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00" yWindow="690" windowWidth="12120" windowHeight="5070" tabRatio="904"/>
  </bookViews>
  <sheets>
    <sheet name="Chart" sheetId="34" r:id="rId1"/>
    <sheet name="Chart II" sheetId="37" r:id="rId2"/>
    <sheet name="Chart III" sheetId="38" r:id="rId3"/>
    <sheet name="Chart IV" sheetId="39" r:id="rId4"/>
    <sheet name="Year End Customer" sheetId="40" r:id="rId5"/>
    <sheet name="City Expansion" sheetId="44" r:id="rId6"/>
    <sheet name="LED" sheetId="41" r:id="rId7"/>
    <sheet name=" CDM Summary" sheetId="42" r:id="rId8"/>
    <sheet name="Summary" sheetId="11" r:id="rId9"/>
    <sheet name="Purchased Power Model " sheetId="19" r:id="rId10"/>
    <sheet name="Economic Indices" sheetId="36" r:id="rId11"/>
    <sheet name="Trends" sheetId="30" r:id="rId12"/>
    <sheet name="10 Year Average" sheetId="32" r:id="rId13"/>
    <sheet name="20 Year Trend" sheetId="33" r:id="rId14"/>
    <sheet name="Residential" sheetId="20" r:id="rId15"/>
    <sheet name="GS &lt; 50 kW" sheetId="21" r:id="rId16"/>
    <sheet name="GS &gt; 50 kW" sheetId="22" r:id="rId17"/>
    <sheet name="I2" sheetId="26" r:id="rId18"/>
    <sheet name="Large User" sheetId="23" r:id="rId19"/>
    <sheet name="Streetlights" sheetId="27" r:id="rId20"/>
    <sheet name="USL" sheetId="28" r:id="rId21"/>
    <sheet name="Rate Class Energy Model" sheetId="9" r:id="rId22"/>
    <sheet name="Rate Class Customer Model" sheetId="17" r:id="rId23"/>
    <sheet name="Rate Class Load Model" sheetId="18" r:id="rId24"/>
    <sheet name="CDM" sheetId="31" r:id="rId25"/>
  </sheets>
  <externalReferences>
    <externalReference r:id="rId26"/>
    <externalReference r:id="rId27"/>
  </externalReferences>
  <definedNames>
    <definedName name="_Order1" hidden="1">255</definedName>
    <definedName name="_Sort" hidden="1">[1]Sheet1!$G$40:$K$40</definedName>
    <definedName name="CAfile">[2]Refs!$B$2</definedName>
    <definedName name="CArevReq">[2]Refs!$B$6</definedName>
    <definedName name="ClassRange1">[2]Refs!$B$3</definedName>
    <definedName name="ClassRange2">[2]Refs!$B$4</definedName>
    <definedName name="fdafsa" localSheetId="17">#REF!</definedName>
    <definedName name="fdafsa" localSheetId="19">#REF!</definedName>
    <definedName name="fdafsa" localSheetId="20">#REF!</definedName>
    <definedName name="fdafsa">#REF!</definedName>
    <definedName name="FolderPath">[2]Menu!$C$8</definedName>
    <definedName name="gdagfda" localSheetId="17">#REF!</definedName>
    <definedName name="gdagfda" localSheetId="19">#REF!</definedName>
    <definedName name="gdagfda" localSheetId="20">#REF!</definedName>
    <definedName name="gdagfda">#REF!</definedName>
    <definedName name="NewRevReq">[2]Refs!$B$8</definedName>
    <definedName name="PAGE11" localSheetId="17">#REF!</definedName>
    <definedName name="PAGE11" localSheetId="18">#REF!</definedName>
    <definedName name="PAGE11" localSheetId="19">#REF!</definedName>
    <definedName name="PAGE11" localSheetId="20">#REF!</definedName>
    <definedName name="PAGE11">#REF!</definedName>
    <definedName name="PAGE2">[1]Sheet1!$A$1:$I$40</definedName>
    <definedName name="PAGE3" localSheetId="17">#REF!</definedName>
    <definedName name="PAGE3" localSheetId="18">#REF!</definedName>
    <definedName name="PAGE3" localSheetId="19">#REF!</definedName>
    <definedName name="PAGE3" localSheetId="20">#REF!</definedName>
    <definedName name="PAGE3">#REF!</definedName>
    <definedName name="PAGE4" localSheetId="17">#REF!</definedName>
    <definedName name="PAGE4" localSheetId="18">#REF!</definedName>
    <definedName name="PAGE4" localSheetId="19">#REF!</definedName>
    <definedName name="PAGE4" localSheetId="20">#REF!</definedName>
    <definedName name="PAGE4">#REF!</definedName>
    <definedName name="PAGE7" localSheetId="17">#REF!</definedName>
    <definedName name="PAGE7" localSheetId="18">#REF!</definedName>
    <definedName name="PAGE7" localSheetId="19">#REF!</definedName>
    <definedName name="PAGE7" localSheetId="20">#REF!</definedName>
    <definedName name="PAGE7">#REF!</definedName>
    <definedName name="PAGE9" localSheetId="17">#REF!</definedName>
    <definedName name="PAGE9" localSheetId="18">#REF!</definedName>
    <definedName name="PAGE9" localSheetId="19">#REF!</definedName>
    <definedName name="PAGE9" localSheetId="20">#REF!</definedName>
    <definedName name="PAGE9">#REF!</definedName>
    <definedName name="_xlnm.Print_Area" localSheetId="15">'GS &lt; 50 kW'!#REF!</definedName>
    <definedName name="_xlnm.Print_Area" localSheetId="16">'GS &gt; 50 kW'!#REF!</definedName>
    <definedName name="_xlnm.Print_Area" localSheetId="17">'I2'!#REF!</definedName>
    <definedName name="_xlnm.Print_Area" localSheetId="18">'Large User'!#REF!</definedName>
    <definedName name="_xlnm.Print_Area" localSheetId="9">'Purchased Power Model '!$K$63:$O$86</definedName>
    <definedName name="_xlnm.Print_Area" localSheetId="22">'Rate Class Customer Model'!$A$1:$C$2</definedName>
    <definedName name="_xlnm.Print_Area" localSheetId="21">'Rate Class Energy Model'!$A$1:$I$2</definedName>
    <definedName name="_xlnm.Print_Area" localSheetId="23">'Rate Class Load Model'!$A$1:$A$1</definedName>
    <definedName name="_xlnm.Print_Area" localSheetId="14">Residential!#REF!</definedName>
    <definedName name="_xlnm.Print_Area" localSheetId="19">Streetlights!#REF!</definedName>
    <definedName name="_xlnm.Print_Area" localSheetId="8">Summary!$A$1:$R$63</definedName>
    <definedName name="_xlnm.Print_Area" localSheetId="20">USL!#REF!</definedName>
    <definedName name="RevReqLookupKey">[2]Refs!$B$5</definedName>
    <definedName name="RevReqRange">[2]Refs!$B$7</definedName>
  </definedNames>
  <calcPr calcId="145621" iterate="1" iterateCount="1000"/>
</workbook>
</file>

<file path=xl/calcChain.xml><?xml version="1.0" encoding="utf-8"?>
<calcChain xmlns="http://schemas.openxmlformats.org/spreadsheetml/2006/main">
  <c r="K3" i="42" l="1"/>
  <c r="G98" i="9" l="1"/>
  <c r="G97" i="9"/>
  <c r="G96" i="9"/>
  <c r="G95" i="9"/>
  <c r="G94" i="9"/>
  <c r="R69" i="37" l="1"/>
  <c r="G72" i="44"/>
  <c r="G71" i="44"/>
  <c r="G70" i="44"/>
  <c r="G69" i="44"/>
  <c r="G68" i="44"/>
  <c r="K11" i="42"/>
  <c r="K17" i="42" s="1"/>
  <c r="O17" i="42"/>
  <c r="J17" i="42"/>
  <c r="J19" i="42"/>
  <c r="D43" i="41"/>
  <c r="C43" i="41"/>
  <c r="E34" i="41"/>
  <c r="B39" i="41"/>
  <c r="C39" i="41" s="1"/>
  <c r="R74" i="37" s="1"/>
  <c r="B38" i="41"/>
  <c r="C38" i="41" s="1"/>
  <c r="R73" i="37" s="1"/>
  <c r="B37" i="41"/>
  <c r="C37" i="41" s="1"/>
  <c r="R72" i="37" s="1"/>
  <c r="B36" i="41"/>
  <c r="C36" i="41" s="1"/>
  <c r="R71" i="37" s="1"/>
  <c r="B35" i="41"/>
  <c r="C35" i="41" s="1"/>
  <c r="R70" i="37" s="1"/>
  <c r="D25" i="41"/>
  <c r="F25" i="41" s="1"/>
  <c r="F43" i="41" l="1"/>
  <c r="D52" i="41" s="1"/>
  <c r="G43" i="41"/>
  <c r="C5" i="41"/>
  <c r="C25" i="41" s="1"/>
  <c r="K61" i="9"/>
  <c r="O63" i="9"/>
  <c r="N63" i="9"/>
  <c r="M63" i="9"/>
  <c r="L63" i="9"/>
  <c r="K63" i="9"/>
  <c r="J63" i="9"/>
  <c r="I63" i="9"/>
  <c r="H63" i="9"/>
  <c r="G63" i="9"/>
  <c r="G25" i="41" l="1"/>
  <c r="C26" i="41"/>
  <c r="E25" i="41"/>
  <c r="D35" i="41"/>
  <c r="E35" i="41"/>
  <c r="M44" i="38"/>
  <c r="M39" i="38"/>
  <c r="M34" i="38"/>
  <c r="M29" i="38"/>
  <c r="M24" i="38"/>
  <c r="M10" i="38"/>
  <c r="M7" i="38"/>
  <c r="M5" i="38"/>
  <c r="I25" i="41" l="1"/>
  <c r="E43" i="41"/>
  <c r="H25" i="41"/>
  <c r="D26" i="41"/>
  <c r="C27" i="41"/>
  <c r="G26" i="41"/>
  <c r="E26" i="41"/>
  <c r="D36" i="41"/>
  <c r="E36" i="41"/>
  <c r="B19" i="37"/>
  <c r="C28" i="41" l="1"/>
  <c r="G27" i="41"/>
  <c r="E27" i="41"/>
  <c r="D27" i="41"/>
  <c r="H26" i="41"/>
  <c r="I26" i="41" s="1"/>
  <c r="E44" i="41"/>
  <c r="F26" i="41"/>
  <c r="H43" i="41"/>
  <c r="C52" i="41"/>
  <c r="D37" i="41"/>
  <c r="E37" i="41"/>
  <c r="I43" i="41" l="1"/>
  <c r="E52" i="41"/>
  <c r="G28" i="41"/>
  <c r="E28" i="41"/>
  <c r="D28" i="41"/>
  <c r="C29" i="41"/>
  <c r="E45" i="41"/>
  <c r="F27" i="41"/>
  <c r="H27" i="41"/>
  <c r="I27" i="41" s="1"/>
  <c r="G70" i="37"/>
  <c r="F44" i="41"/>
  <c r="D38" i="41"/>
  <c r="E38" i="41"/>
  <c r="R60" i="42"/>
  <c r="Q59" i="42"/>
  <c r="P58" i="42"/>
  <c r="O57" i="42"/>
  <c r="N49" i="42"/>
  <c r="R69" i="42"/>
  <c r="Q69" i="42"/>
  <c r="P69" i="42"/>
  <c r="O69" i="42"/>
  <c r="R68" i="42"/>
  <c r="Q68" i="42"/>
  <c r="P68" i="42"/>
  <c r="O68" i="42"/>
  <c r="N68" i="42"/>
  <c r="E46" i="41" l="1"/>
  <c r="F28" i="41"/>
  <c r="H28" i="41"/>
  <c r="I28" i="41" s="1"/>
  <c r="F45" i="41"/>
  <c r="G71" i="37"/>
  <c r="E29" i="41"/>
  <c r="D29" i="41"/>
  <c r="G29" i="41"/>
  <c r="C30" i="41"/>
  <c r="D39" i="41"/>
  <c r="E39" i="41"/>
  <c r="O10" i="42"/>
  <c r="N10" i="42"/>
  <c r="M10" i="42"/>
  <c r="L10" i="42"/>
  <c r="K10" i="42"/>
  <c r="J10" i="42"/>
  <c r="N47" i="42"/>
  <c r="O47" i="42" s="1"/>
  <c r="P47" i="42" s="1"/>
  <c r="Q47" i="42" s="1"/>
  <c r="R47" i="42" s="1"/>
  <c r="M47" i="42"/>
  <c r="M46" i="42"/>
  <c r="N46" i="42" s="1"/>
  <c r="O46" i="42" s="1"/>
  <c r="P46" i="42" s="1"/>
  <c r="Q46" i="42" s="1"/>
  <c r="R46" i="42" s="1"/>
  <c r="L46" i="42"/>
  <c r="R45" i="42"/>
  <c r="Q45" i="42"/>
  <c r="P45" i="42"/>
  <c r="O45" i="42"/>
  <c r="N45" i="42"/>
  <c r="M45" i="42"/>
  <c r="L45" i="42"/>
  <c r="K45" i="42"/>
  <c r="F46" i="41" l="1"/>
  <c r="G72" i="37"/>
  <c r="E47" i="41"/>
  <c r="F29" i="41"/>
  <c r="H29" i="41"/>
  <c r="I29" i="41" s="1"/>
  <c r="D30" i="41"/>
  <c r="G30" i="41"/>
  <c r="E30" i="41"/>
  <c r="D5" i="41"/>
  <c r="F5" i="41" s="1"/>
  <c r="G5" i="41"/>
  <c r="H30" i="41" l="1"/>
  <c r="I30" i="41" s="1"/>
  <c r="F30" i="41"/>
  <c r="E48" i="41"/>
  <c r="G73" i="37"/>
  <c r="F47" i="41"/>
  <c r="E5" i="41"/>
  <c r="H5" i="41" s="1"/>
  <c r="I5" i="41" s="1"/>
  <c r="G74" i="37" l="1"/>
  <c r="F48" i="41"/>
  <c r="C333" i="37"/>
  <c r="F318" i="37"/>
  <c r="E318" i="37"/>
  <c r="D318" i="37"/>
  <c r="D333" i="37" s="1"/>
  <c r="C318" i="37"/>
  <c r="B318" i="37"/>
  <c r="F303" i="37"/>
  <c r="F333" i="37" s="1"/>
  <c r="E303" i="37"/>
  <c r="E333" i="37" s="1"/>
  <c r="D303" i="37"/>
  <c r="C303" i="37"/>
  <c r="B303" i="37"/>
  <c r="B333" i="37" s="1"/>
  <c r="J159" i="37"/>
  <c r="I18" i="44"/>
  <c r="H18" i="44"/>
  <c r="G18" i="44"/>
  <c r="F18" i="44"/>
  <c r="E18" i="44"/>
  <c r="D18" i="44"/>
  <c r="C18" i="44"/>
  <c r="B18" i="44"/>
  <c r="I17" i="44"/>
  <c r="I36" i="44" s="1"/>
  <c r="I57" i="44" s="1"/>
  <c r="H17" i="44"/>
  <c r="H36" i="44" s="1"/>
  <c r="G17" i="44"/>
  <c r="G36" i="44" s="1"/>
  <c r="F17" i="44"/>
  <c r="F36" i="44" s="1"/>
  <c r="F57" i="44" s="1"/>
  <c r="E17" i="44"/>
  <c r="E36" i="44" s="1"/>
  <c r="E57" i="44" s="1"/>
  <c r="D17" i="44"/>
  <c r="D36" i="44" s="1"/>
  <c r="C17" i="44"/>
  <c r="C36" i="44" s="1"/>
  <c r="B17" i="44"/>
  <c r="B36" i="44" s="1"/>
  <c r="B57" i="44" s="1"/>
  <c r="B58" i="44" s="1"/>
  <c r="B59" i="44" s="1"/>
  <c r="B60" i="44" s="1"/>
  <c r="B61" i="44" s="1"/>
  <c r="B62" i="44" s="1"/>
  <c r="I16" i="44"/>
  <c r="H16" i="44"/>
  <c r="G16" i="44"/>
  <c r="F16" i="44"/>
  <c r="E16" i="44"/>
  <c r="D16" i="44"/>
  <c r="C16" i="44"/>
  <c r="B16" i="44"/>
  <c r="B35" i="44" s="1"/>
  <c r="B56" i="44" s="1"/>
  <c r="I15" i="44"/>
  <c r="H15" i="44"/>
  <c r="G15" i="44"/>
  <c r="F15" i="44"/>
  <c r="E15" i="44"/>
  <c r="D15" i="44"/>
  <c r="C15" i="44"/>
  <c r="B15" i="44"/>
  <c r="B34" i="44" s="1"/>
  <c r="I14" i="44"/>
  <c r="H14" i="44"/>
  <c r="G14" i="44"/>
  <c r="F14" i="44"/>
  <c r="E14" i="44"/>
  <c r="D14" i="44"/>
  <c r="C14" i="44"/>
  <c r="B14" i="44"/>
  <c r="B33" i="44" s="1"/>
  <c r="I13" i="44"/>
  <c r="H13" i="44"/>
  <c r="G13" i="44"/>
  <c r="F13" i="44"/>
  <c r="E13" i="44"/>
  <c r="D13" i="44"/>
  <c r="C13" i="44"/>
  <c r="B13" i="44"/>
  <c r="B32" i="44" s="1"/>
  <c r="I12" i="44"/>
  <c r="H12" i="44"/>
  <c r="G12" i="44"/>
  <c r="F12" i="44"/>
  <c r="E12" i="44"/>
  <c r="D12" i="44"/>
  <c r="C12" i="44"/>
  <c r="B12" i="44"/>
  <c r="B31" i="44" s="1"/>
  <c r="I11" i="44"/>
  <c r="H11" i="44"/>
  <c r="G11" i="44"/>
  <c r="F11" i="44"/>
  <c r="E11" i="44"/>
  <c r="D11" i="44"/>
  <c r="C11" i="44"/>
  <c r="B11" i="44"/>
  <c r="B30" i="44" s="1"/>
  <c r="I10" i="44"/>
  <c r="H10" i="44"/>
  <c r="G10" i="44"/>
  <c r="F10" i="44"/>
  <c r="E10" i="44"/>
  <c r="D10" i="44"/>
  <c r="C10" i="44"/>
  <c r="B10" i="44"/>
  <c r="B29" i="44" s="1"/>
  <c r="I9" i="44"/>
  <c r="H9" i="44"/>
  <c r="G9" i="44"/>
  <c r="F9" i="44"/>
  <c r="E9" i="44"/>
  <c r="D9" i="44"/>
  <c r="C9" i="44"/>
  <c r="B9" i="44"/>
  <c r="B28" i="44" s="1"/>
  <c r="I8" i="44"/>
  <c r="H8" i="44"/>
  <c r="G8" i="44"/>
  <c r="F8" i="44"/>
  <c r="E8" i="44"/>
  <c r="D8" i="44"/>
  <c r="C8" i="44"/>
  <c r="B8" i="44"/>
  <c r="B27" i="44" s="1"/>
  <c r="I7" i="44"/>
  <c r="H7" i="44"/>
  <c r="G7" i="44"/>
  <c r="F7" i="44"/>
  <c r="E7" i="44"/>
  <c r="D7" i="44"/>
  <c r="C7" i="44"/>
  <c r="B7" i="44"/>
  <c r="B26" i="44" s="1"/>
  <c r="I6" i="44"/>
  <c r="H6" i="44"/>
  <c r="G6" i="44"/>
  <c r="F6" i="44"/>
  <c r="E6" i="44"/>
  <c r="D6" i="44"/>
  <c r="C6" i="44"/>
  <c r="B6" i="44"/>
  <c r="B25" i="44" s="1"/>
  <c r="I4" i="44"/>
  <c r="I23" i="44" s="1"/>
  <c r="H4" i="44"/>
  <c r="H23" i="44" s="1"/>
  <c r="G4" i="44"/>
  <c r="G23" i="44" s="1"/>
  <c r="F4" i="44"/>
  <c r="F23" i="44" s="1"/>
  <c r="E4" i="44"/>
  <c r="E23" i="44" s="1"/>
  <c r="D4" i="44"/>
  <c r="D23" i="44" s="1"/>
  <c r="C4" i="44"/>
  <c r="C23" i="44" s="1"/>
  <c r="B4" i="44"/>
  <c r="B23" i="44" s="1"/>
  <c r="I3" i="44"/>
  <c r="I22" i="44" s="1"/>
  <c r="H3" i="44"/>
  <c r="H22" i="44" s="1"/>
  <c r="G3" i="44"/>
  <c r="G22" i="44" s="1"/>
  <c r="F3" i="44"/>
  <c r="F22" i="44" s="1"/>
  <c r="E3" i="44"/>
  <c r="E22" i="44" s="1"/>
  <c r="D3" i="44"/>
  <c r="D22" i="44" s="1"/>
  <c r="C3" i="44"/>
  <c r="C22" i="44" s="1"/>
  <c r="B3" i="44"/>
  <c r="B22" i="44" s="1"/>
  <c r="I69" i="37"/>
  <c r="H69" i="37"/>
  <c r="G69" i="37"/>
  <c r="F69" i="37"/>
  <c r="E69" i="37"/>
  <c r="D69" i="37"/>
  <c r="C69" i="37"/>
  <c r="B69" i="37"/>
  <c r="F79" i="34"/>
  <c r="E79" i="34"/>
  <c r="D79" i="34"/>
  <c r="C79" i="34"/>
  <c r="D60" i="34"/>
  <c r="E60" i="34" s="1"/>
  <c r="F60" i="34" s="1"/>
  <c r="C60" i="34"/>
  <c r="D37" i="34"/>
  <c r="C37" i="34"/>
  <c r="E18" i="34"/>
  <c r="F18" i="34" s="1"/>
  <c r="C18" i="34"/>
  <c r="H36" i="18"/>
  <c r="F36" i="18"/>
  <c r="D36" i="18"/>
  <c r="C36" i="18"/>
  <c r="B36" i="18"/>
  <c r="E13" i="18"/>
  <c r="E36" i="18" s="1"/>
  <c r="E12" i="18"/>
  <c r="N41" i="9"/>
  <c r="B18" i="9"/>
  <c r="I146" i="28"/>
  <c r="I145" i="28"/>
  <c r="I144" i="28"/>
  <c r="I143" i="28"/>
  <c r="I142" i="28"/>
  <c r="I141" i="28"/>
  <c r="I140" i="28"/>
  <c r="I139" i="28"/>
  <c r="I138" i="28"/>
  <c r="I137" i="28"/>
  <c r="I136" i="28"/>
  <c r="I135" i="28"/>
  <c r="I133" i="28"/>
  <c r="I132" i="28"/>
  <c r="I131" i="28"/>
  <c r="I130" i="28"/>
  <c r="I129" i="28"/>
  <c r="I128" i="28"/>
  <c r="I127" i="28"/>
  <c r="I126" i="28"/>
  <c r="I125" i="28"/>
  <c r="I124" i="28"/>
  <c r="I123" i="28"/>
  <c r="I122" i="28"/>
  <c r="I121" i="28"/>
  <c r="I120" i="28"/>
  <c r="I119" i="28"/>
  <c r="I118" i="28"/>
  <c r="I117" i="28"/>
  <c r="I116" i="28"/>
  <c r="I115" i="28"/>
  <c r="I114" i="28"/>
  <c r="I113" i="28"/>
  <c r="I112" i="28"/>
  <c r="I111" i="28"/>
  <c r="I110" i="28"/>
  <c r="I109" i="28"/>
  <c r="I108" i="28"/>
  <c r="I107" i="28"/>
  <c r="I106" i="28"/>
  <c r="I105" i="28"/>
  <c r="I104" i="28"/>
  <c r="I103" i="28"/>
  <c r="I102" i="28"/>
  <c r="I101" i="28"/>
  <c r="I100" i="28"/>
  <c r="I99" i="28"/>
  <c r="I98" i="28"/>
  <c r="I97" i="28"/>
  <c r="I96" i="28"/>
  <c r="I95" i="28"/>
  <c r="I94" i="28"/>
  <c r="I93" i="28"/>
  <c r="I92" i="28"/>
  <c r="I91" i="28"/>
  <c r="I90" i="28"/>
  <c r="I89" i="28"/>
  <c r="I88" i="28"/>
  <c r="I87" i="28"/>
  <c r="I86" i="28"/>
  <c r="I85" i="28"/>
  <c r="I84" i="28"/>
  <c r="I83" i="28"/>
  <c r="I82" i="28"/>
  <c r="I81" i="28"/>
  <c r="I80" i="28"/>
  <c r="I79" i="28"/>
  <c r="I78" i="28"/>
  <c r="I77" i="28"/>
  <c r="I76" i="28"/>
  <c r="I75" i="28"/>
  <c r="I74" i="28"/>
  <c r="I73" i="28"/>
  <c r="I72" i="28"/>
  <c r="I71" i="28"/>
  <c r="I70" i="28"/>
  <c r="I69" i="28"/>
  <c r="I68" i="28"/>
  <c r="I67" i="28"/>
  <c r="I66" i="28"/>
  <c r="I65" i="28"/>
  <c r="I64" i="28"/>
  <c r="I63" i="28"/>
  <c r="I62" i="28"/>
  <c r="I61" i="28"/>
  <c r="I60" i="28"/>
  <c r="I59" i="28"/>
  <c r="I58" i="28"/>
  <c r="I57" i="28"/>
  <c r="I56" i="28"/>
  <c r="I55" i="28"/>
  <c r="I54" i="28"/>
  <c r="I53" i="28"/>
  <c r="I52" i="28"/>
  <c r="I51" i="28"/>
  <c r="I50" i="28"/>
  <c r="I49" i="28"/>
  <c r="I48" i="28"/>
  <c r="I47" i="28"/>
  <c r="I46" i="28"/>
  <c r="I45" i="28"/>
  <c r="I44" i="28"/>
  <c r="I43" i="28"/>
  <c r="I42" i="28"/>
  <c r="I41" i="28"/>
  <c r="I40" i="28"/>
  <c r="I39" i="28"/>
  <c r="I38" i="28"/>
  <c r="I37" i="28"/>
  <c r="I36" i="28"/>
  <c r="I35" i="28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I9" i="28"/>
  <c r="I8" i="28"/>
  <c r="I7" i="28"/>
  <c r="I6" i="28"/>
  <c r="I5" i="28"/>
  <c r="I4" i="28"/>
  <c r="I3" i="28"/>
  <c r="I146" i="27"/>
  <c r="I145" i="27"/>
  <c r="I144" i="27"/>
  <c r="I143" i="27"/>
  <c r="I142" i="27"/>
  <c r="I141" i="27"/>
  <c r="I140" i="27"/>
  <c r="I139" i="27"/>
  <c r="I138" i="27"/>
  <c r="I137" i="27"/>
  <c r="I136" i="27"/>
  <c r="I135" i="27"/>
  <c r="I133" i="27"/>
  <c r="I132" i="27"/>
  <c r="I131" i="27"/>
  <c r="I130" i="27"/>
  <c r="I129" i="27"/>
  <c r="I128" i="27"/>
  <c r="I127" i="27"/>
  <c r="I126" i="27"/>
  <c r="I125" i="27"/>
  <c r="I124" i="27"/>
  <c r="I123" i="27"/>
  <c r="I122" i="27"/>
  <c r="I12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  <c r="I7" i="27"/>
  <c r="I6" i="27"/>
  <c r="I5" i="27"/>
  <c r="I4" i="27"/>
  <c r="I3" i="27"/>
  <c r="I146" i="23"/>
  <c r="I145" i="23"/>
  <c r="I144" i="23"/>
  <c r="I143" i="23"/>
  <c r="I142" i="23"/>
  <c r="I141" i="23"/>
  <c r="I140" i="23"/>
  <c r="I139" i="23"/>
  <c r="I138" i="23"/>
  <c r="I137" i="23"/>
  <c r="I136" i="23"/>
  <c r="I135" i="23"/>
  <c r="I133" i="23"/>
  <c r="I132" i="23"/>
  <c r="I131" i="23"/>
  <c r="I130" i="23"/>
  <c r="I129" i="23"/>
  <c r="I128" i="23"/>
  <c r="I127" i="23"/>
  <c r="I126" i="23"/>
  <c r="I125" i="23"/>
  <c r="I124" i="23"/>
  <c r="I123" i="23"/>
  <c r="I122" i="23"/>
  <c r="I121" i="23"/>
  <c r="I120" i="23"/>
  <c r="I119" i="23"/>
  <c r="I118" i="23"/>
  <c r="I117" i="23"/>
  <c r="I116" i="23"/>
  <c r="I115" i="23"/>
  <c r="I114" i="23"/>
  <c r="I113" i="23"/>
  <c r="I112" i="23"/>
  <c r="I111" i="23"/>
  <c r="I110" i="23"/>
  <c r="I109" i="23"/>
  <c r="I108" i="23"/>
  <c r="I107" i="23"/>
  <c r="I106" i="23"/>
  <c r="I105" i="23"/>
  <c r="I104" i="23"/>
  <c r="I103" i="23"/>
  <c r="I102" i="23"/>
  <c r="I101" i="23"/>
  <c r="I100" i="23"/>
  <c r="I99" i="23"/>
  <c r="I98" i="23"/>
  <c r="I97" i="23"/>
  <c r="I96" i="23"/>
  <c r="I95" i="23"/>
  <c r="I94" i="23"/>
  <c r="I93" i="23"/>
  <c r="I92" i="23"/>
  <c r="I91" i="23"/>
  <c r="I90" i="23"/>
  <c r="I89" i="23"/>
  <c r="I88" i="23"/>
  <c r="I87" i="23"/>
  <c r="I86" i="23"/>
  <c r="I85" i="23"/>
  <c r="I84" i="23"/>
  <c r="I83" i="23"/>
  <c r="I82" i="23"/>
  <c r="I81" i="23"/>
  <c r="I80" i="23"/>
  <c r="I79" i="23"/>
  <c r="I78" i="23"/>
  <c r="I77" i="23"/>
  <c r="I76" i="23"/>
  <c r="I75" i="23"/>
  <c r="I74" i="23"/>
  <c r="I73" i="23"/>
  <c r="I72" i="23"/>
  <c r="I71" i="23"/>
  <c r="I70" i="23"/>
  <c r="I69" i="23"/>
  <c r="I68" i="23"/>
  <c r="I67" i="23"/>
  <c r="I66" i="23"/>
  <c r="I65" i="23"/>
  <c r="I64" i="23"/>
  <c r="I63" i="23"/>
  <c r="I62" i="23"/>
  <c r="I61" i="23"/>
  <c r="I60" i="23"/>
  <c r="I59" i="23"/>
  <c r="I58" i="23"/>
  <c r="I57" i="23"/>
  <c r="I56" i="23"/>
  <c r="I55" i="23"/>
  <c r="I54" i="23"/>
  <c r="I53" i="23"/>
  <c r="I52" i="23"/>
  <c r="I51" i="23"/>
  <c r="I50" i="23"/>
  <c r="I49" i="23"/>
  <c r="I48" i="23"/>
  <c r="I47" i="23"/>
  <c r="I46" i="23"/>
  <c r="I45" i="23"/>
  <c r="I44" i="23"/>
  <c r="I43" i="23"/>
  <c r="I42" i="23"/>
  <c r="I41" i="23"/>
  <c r="I40" i="23"/>
  <c r="I39" i="23"/>
  <c r="I38" i="23"/>
  <c r="I37" i="23"/>
  <c r="I36" i="23"/>
  <c r="I35" i="23"/>
  <c r="I34" i="23"/>
  <c r="I33" i="23"/>
  <c r="I32" i="23"/>
  <c r="I31" i="23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I7" i="23"/>
  <c r="I6" i="23"/>
  <c r="I5" i="23"/>
  <c r="I4" i="23"/>
  <c r="I3" i="23"/>
  <c r="I146" i="26"/>
  <c r="I145" i="26"/>
  <c r="I144" i="26"/>
  <c r="I143" i="26"/>
  <c r="I142" i="26"/>
  <c r="I141" i="26"/>
  <c r="I140" i="26"/>
  <c r="I139" i="26"/>
  <c r="I138" i="26"/>
  <c r="I137" i="26"/>
  <c r="I136" i="26"/>
  <c r="I135" i="26"/>
  <c r="I133" i="26"/>
  <c r="I132" i="26"/>
  <c r="I131" i="26"/>
  <c r="I130" i="26"/>
  <c r="I129" i="26"/>
  <c r="I128" i="26"/>
  <c r="I127" i="26"/>
  <c r="I126" i="26"/>
  <c r="I125" i="26"/>
  <c r="I124" i="26"/>
  <c r="I123" i="26"/>
  <c r="I122" i="26"/>
  <c r="I121" i="26"/>
  <c r="I120" i="26"/>
  <c r="I119" i="26"/>
  <c r="I118" i="26"/>
  <c r="I117" i="26"/>
  <c r="I116" i="26"/>
  <c r="I115" i="26"/>
  <c r="I114" i="26"/>
  <c r="I113" i="26"/>
  <c r="I112" i="26"/>
  <c r="I111" i="26"/>
  <c r="I110" i="26"/>
  <c r="I109" i="26"/>
  <c r="I108" i="26"/>
  <c r="I107" i="26"/>
  <c r="I106" i="26"/>
  <c r="I105" i="26"/>
  <c r="I104" i="26"/>
  <c r="I103" i="26"/>
  <c r="I102" i="26"/>
  <c r="I101" i="26"/>
  <c r="I100" i="26"/>
  <c r="I99" i="26"/>
  <c r="I98" i="26"/>
  <c r="I97" i="26"/>
  <c r="I96" i="26"/>
  <c r="I95" i="26"/>
  <c r="I94" i="26"/>
  <c r="I93" i="26"/>
  <c r="I92" i="26"/>
  <c r="I91" i="26"/>
  <c r="I90" i="26"/>
  <c r="I89" i="26"/>
  <c r="I88" i="26"/>
  <c r="I87" i="26"/>
  <c r="I86" i="26"/>
  <c r="I85" i="26"/>
  <c r="I84" i="26"/>
  <c r="I83" i="26"/>
  <c r="I82" i="26"/>
  <c r="I81" i="26"/>
  <c r="I80" i="26"/>
  <c r="I79" i="26"/>
  <c r="I78" i="26"/>
  <c r="I77" i="26"/>
  <c r="I76" i="26"/>
  <c r="I75" i="26"/>
  <c r="I74" i="26"/>
  <c r="I73" i="26"/>
  <c r="I72" i="26"/>
  <c r="I71" i="26"/>
  <c r="I70" i="26"/>
  <c r="I69" i="26"/>
  <c r="I68" i="26"/>
  <c r="I67" i="26"/>
  <c r="I66" i="26"/>
  <c r="I65" i="26"/>
  <c r="I64" i="26"/>
  <c r="I63" i="26"/>
  <c r="I62" i="26"/>
  <c r="I61" i="26"/>
  <c r="I60" i="26"/>
  <c r="I59" i="26"/>
  <c r="I58" i="26"/>
  <c r="I57" i="26"/>
  <c r="I56" i="26"/>
  <c r="I55" i="26"/>
  <c r="I54" i="26"/>
  <c r="I53" i="26"/>
  <c r="I52" i="26"/>
  <c r="I51" i="26"/>
  <c r="I50" i="26"/>
  <c r="I49" i="26"/>
  <c r="I48" i="26"/>
  <c r="I47" i="26"/>
  <c r="I46" i="26"/>
  <c r="I45" i="26"/>
  <c r="I44" i="26"/>
  <c r="I43" i="26"/>
  <c r="I42" i="26"/>
  <c r="I41" i="26"/>
  <c r="I40" i="26"/>
  <c r="I39" i="26"/>
  <c r="I38" i="26"/>
  <c r="I37" i="26"/>
  <c r="I36" i="26"/>
  <c r="I35" i="26"/>
  <c r="I34" i="26"/>
  <c r="I33" i="26"/>
  <c r="I32" i="26"/>
  <c r="I31" i="26"/>
  <c r="I30" i="26"/>
  <c r="I29" i="26"/>
  <c r="I28" i="26"/>
  <c r="I27" i="26"/>
  <c r="I26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10" i="26"/>
  <c r="I9" i="26"/>
  <c r="I8" i="26"/>
  <c r="I7" i="26"/>
  <c r="I6" i="26"/>
  <c r="I5" i="26"/>
  <c r="I4" i="26"/>
  <c r="I3" i="26"/>
  <c r="I146" i="22"/>
  <c r="I145" i="22"/>
  <c r="I144" i="22"/>
  <c r="I143" i="22"/>
  <c r="I142" i="22"/>
  <c r="I141" i="22"/>
  <c r="I140" i="22"/>
  <c r="I139" i="22"/>
  <c r="I138" i="22"/>
  <c r="I137" i="22"/>
  <c r="I136" i="22"/>
  <c r="I135" i="22"/>
  <c r="I133" i="22"/>
  <c r="I132" i="22"/>
  <c r="I131" i="22"/>
  <c r="I130" i="22"/>
  <c r="I129" i="22"/>
  <c r="I128" i="22"/>
  <c r="I127" i="22"/>
  <c r="I126" i="22"/>
  <c r="I125" i="22"/>
  <c r="I124" i="22"/>
  <c r="I123" i="22"/>
  <c r="I122" i="22"/>
  <c r="I121" i="22"/>
  <c r="I120" i="22"/>
  <c r="I119" i="22"/>
  <c r="I118" i="22"/>
  <c r="I117" i="22"/>
  <c r="I116" i="22"/>
  <c r="I115" i="22"/>
  <c r="I114" i="22"/>
  <c r="I113" i="22"/>
  <c r="I112" i="22"/>
  <c r="I111" i="22"/>
  <c r="I110" i="22"/>
  <c r="I109" i="22"/>
  <c r="I108" i="22"/>
  <c r="I107" i="22"/>
  <c r="I106" i="22"/>
  <c r="I105" i="22"/>
  <c r="I104" i="22"/>
  <c r="I103" i="22"/>
  <c r="I102" i="22"/>
  <c r="I101" i="22"/>
  <c r="I100" i="22"/>
  <c r="I99" i="22"/>
  <c r="I98" i="22"/>
  <c r="I97" i="22"/>
  <c r="I96" i="22"/>
  <c r="I95" i="22"/>
  <c r="I94" i="22"/>
  <c r="I93" i="22"/>
  <c r="I92" i="22"/>
  <c r="I91" i="22"/>
  <c r="I90" i="22"/>
  <c r="I89" i="22"/>
  <c r="I88" i="22"/>
  <c r="I87" i="22"/>
  <c r="I86" i="22"/>
  <c r="I85" i="22"/>
  <c r="I84" i="22"/>
  <c r="I83" i="22"/>
  <c r="I82" i="22"/>
  <c r="I81" i="22"/>
  <c r="I80" i="22"/>
  <c r="I79" i="22"/>
  <c r="I78" i="22"/>
  <c r="I77" i="22"/>
  <c r="I76" i="22"/>
  <c r="I75" i="22"/>
  <c r="I74" i="22"/>
  <c r="I73" i="22"/>
  <c r="I72" i="22"/>
  <c r="I71" i="22"/>
  <c r="I70" i="22"/>
  <c r="I69" i="22"/>
  <c r="I68" i="22"/>
  <c r="I67" i="22"/>
  <c r="I66" i="22"/>
  <c r="I65" i="22"/>
  <c r="I64" i="22"/>
  <c r="I63" i="22"/>
  <c r="I62" i="22"/>
  <c r="I61" i="22"/>
  <c r="I60" i="22"/>
  <c r="I59" i="22"/>
  <c r="I58" i="22"/>
  <c r="I57" i="22"/>
  <c r="I56" i="22"/>
  <c r="I55" i="22"/>
  <c r="I54" i="22"/>
  <c r="I53" i="22"/>
  <c r="I52" i="22"/>
  <c r="I51" i="22"/>
  <c r="I50" i="22"/>
  <c r="I49" i="22"/>
  <c r="I48" i="22"/>
  <c r="I47" i="22"/>
  <c r="I46" i="22"/>
  <c r="I45" i="22"/>
  <c r="I44" i="22"/>
  <c r="I43" i="22"/>
  <c r="I42" i="22"/>
  <c r="I41" i="22"/>
  <c r="I40" i="22"/>
  <c r="I39" i="22"/>
  <c r="I38" i="22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9" i="22"/>
  <c r="I8" i="22"/>
  <c r="I7" i="22"/>
  <c r="I6" i="22"/>
  <c r="I5" i="22"/>
  <c r="I4" i="22"/>
  <c r="I3" i="22"/>
  <c r="I146" i="21"/>
  <c r="I145" i="21"/>
  <c r="I144" i="21"/>
  <c r="I143" i="21"/>
  <c r="I142" i="21"/>
  <c r="I141" i="21"/>
  <c r="I140" i="21"/>
  <c r="I139" i="21"/>
  <c r="I138" i="21"/>
  <c r="I137" i="21"/>
  <c r="I136" i="21"/>
  <c r="I135" i="21"/>
  <c r="I133" i="21"/>
  <c r="I132" i="21"/>
  <c r="I131" i="21"/>
  <c r="I130" i="21"/>
  <c r="I129" i="21"/>
  <c r="I128" i="21"/>
  <c r="I127" i="21"/>
  <c r="I126" i="21"/>
  <c r="I125" i="21"/>
  <c r="I124" i="21"/>
  <c r="I123" i="21"/>
  <c r="I122" i="21"/>
  <c r="I121" i="21"/>
  <c r="I120" i="21"/>
  <c r="I119" i="21"/>
  <c r="I118" i="21"/>
  <c r="I117" i="21"/>
  <c r="I116" i="21"/>
  <c r="I115" i="21"/>
  <c r="I114" i="21"/>
  <c r="I113" i="21"/>
  <c r="I112" i="21"/>
  <c r="I111" i="21"/>
  <c r="I110" i="21"/>
  <c r="I109" i="21"/>
  <c r="I108" i="21"/>
  <c r="I107" i="21"/>
  <c r="I106" i="21"/>
  <c r="I105" i="21"/>
  <c r="I104" i="21"/>
  <c r="I103" i="21"/>
  <c r="I102" i="21"/>
  <c r="I101" i="21"/>
  <c r="I100" i="21"/>
  <c r="I99" i="21"/>
  <c r="I98" i="21"/>
  <c r="I97" i="21"/>
  <c r="I96" i="21"/>
  <c r="I95" i="21"/>
  <c r="I94" i="21"/>
  <c r="I93" i="21"/>
  <c r="I92" i="21"/>
  <c r="I91" i="21"/>
  <c r="I90" i="21"/>
  <c r="I89" i="21"/>
  <c r="I88" i="21"/>
  <c r="I87" i="21"/>
  <c r="I86" i="21"/>
  <c r="I85" i="21"/>
  <c r="I84" i="21"/>
  <c r="I83" i="21"/>
  <c r="I82" i="21"/>
  <c r="I81" i="21"/>
  <c r="I80" i="21"/>
  <c r="I79" i="21"/>
  <c r="I78" i="21"/>
  <c r="I77" i="21"/>
  <c r="I76" i="21"/>
  <c r="I75" i="21"/>
  <c r="I74" i="21"/>
  <c r="I73" i="21"/>
  <c r="I72" i="21"/>
  <c r="I71" i="21"/>
  <c r="I70" i="21"/>
  <c r="I69" i="21"/>
  <c r="I68" i="21"/>
  <c r="I67" i="21"/>
  <c r="I66" i="21"/>
  <c r="I65" i="21"/>
  <c r="I64" i="21"/>
  <c r="I63" i="21"/>
  <c r="I62" i="21"/>
  <c r="I61" i="21"/>
  <c r="I60" i="21"/>
  <c r="I59" i="21"/>
  <c r="I58" i="21"/>
  <c r="I57" i="21"/>
  <c r="I56" i="21"/>
  <c r="I55" i="21"/>
  <c r="I54" i="21"/>
  <c r="I53" i="21"/>
  <c r="I52" i="21"/>
  <c r="I51" i="21"/>
  <c r="I50" i="21"/>
  <c r="I49" i="21"/>
  <c r="I48" i="21"/>
  <c r="I47" i="21"/>
  <c r="I46" i="21"/>
  <c r="I45" i="21"/>
  <c r="I44" i="21"/>
  <c r="I43" i="21"/>
  <c r="I42" i="21"/>
  <c r="I41" i="21"/>
  <c r="I40" i="21"/>
  <c r="I39" i="21"/>
  <c r="I38" i="21"/>
  <c r="I37" i="21"/>
  <c r="I36" i="21"/>
  <c r="I35" i="21"/>
  <c r="I34" i="21"/>
  <c r="I33" i="21"/>
  <c r="I32" i="21"/>
  <c r="I31" i="21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I8" i="21"/>
  <c r="I7" i="21"/>
  <c r="I6" i="21"/>
  <c r="I5" i="21"/>
  <c r="I4" i="21"/>
  <c r="I3" i="21"/>
  <c r="I146" i="20"/>
  <c r="I145" i="20"/>
  <c r="I144" i="20"/>
  <c r="I143" i="20"/>
  <c r="I142" i="20"/>
  <c r="I141" i="20"/>
  <c r="I140" i="20"/>
  <c r="I139" i="20"/>
  <c r="I138" i="20"/>
  <c r="I137" i="20"/>
  <c r="I136" i="20"/>
  <c r="I135" i="20"/>
  <c r="I133" i="20"/>
  <c r="I132" i="20"/>
  <c r="I131" i="20"/>
  <c r="I130" i="20"/>
  <c r="I129" i="20"/>
  <c r="I128" i="20"/>
  <c r="I127" i="20"/>
  <c r="I126" i="20"/>
  <c r="I125" i="20"/>
  <c r="I124" i="20"/>
  <c r="I123" i="20"/>
  <c r="I122" i="20"/>
  <c r="I121" i="20"/>
  <c r="I120" i="20"/>
  <c r="I119" i="20"/>
  <c r="I118" i="20"/>
  <c r="I117" i="20"/>
  <c r="I116" i="20"/>
  <c r="I115" i="20"/>
  <c r="I114" i="20"/>
  <c r="I113" i="20"/>
  <c r="I112" i="20"/>
  <c r="I111" i="20"/>
  <c r="I110" i="20"/>
  <c r="I109" i="20"/>
  <c r="I108" i="20"/>
  <c r="I107" i="20"/>
  <c r="I106" i="20"/>
  <c r="I105" i="20"/>
  <c r="I104" i="20"/>
  <c r="I103" i="20"/>
  <c r="I102" i="20"/>
  <c r="I101" i="20"/>
  <c r="I100" i="20"/>
  <c r="I99" i="20"/>
  <c r="I98" i="20"/>
  <c r="I97" i="20"/>
  <c r="I96" i="20"/>
  <c r="I95" i="20"/>
  <c r="I94" i="20"/>
  <c r="I93" i="20"/>
  <c r="I92" i="20"/>
  <c r="I91" i="20"/>
  <c r="I90" i="20"/>
  <c r="I89" i="20"/>
  <c r="I88" i="20"/>
  <c r="I87" i="20"/>
  <c r="I86" i="20"/>
  <c r="I85" i="20"/>
  <c r="I84" i="20"/>
  <c r="I83" i="20"/>
  <c r="I82" i="20"/>
  <c r="I81" i="20"/>
  <c r="I80" i="20"/>
  <c r="I79" i="20"/>
  <c r="I78" i="20"/>
  <c r="I77" i="20"/>
  <c r="I76" i="20"/>
  <c r="I75" i="20"/>
  <c r="I74" i="20"/>
  <c r="I73" i="20"/>
  <c r="I72" i="20"/>
  <c r="I71" i="20"/>
  <c r="I70" i="20"/>
  <c r="I69" i="20"/>
  <c r="I68" i="20"/>
  <c r="I67" i="20"/>
  <c r="I66" i="20"/>
  <c r="I65" i="20"/>
  <c r="I64" i="20"/>
  <c r="I63" i="20"/>
  <c r="I62" i="20"/>
  <c r="I61" i="20"/>
  <c r="I60" i="20"/>
  <c r="I59" i="20"/>
  <c r="I58" i="20"/>
  <c r="I57" i="20"/>
  <c r="I56" i="20"/>
  <c r="I55" i="20"/>
  <c r="I54" i="20"/>
  <c r="I53" i="20"/>
  <c r="I52" i="20"/>
  <c r="I51" i="20"/>
  <c r="I50" i="20"/>
  <c r="I49" i="20"/>
  <c r="I48" i="20"/>
  <c r="I47" i="20"/>
  <c r="I46" i="20"/>
  <c r="I45" i="20"/>
  <c r="I44" i="20"/>
  <c r="I43" i="20"/>
  <c r="I42" i="20"/>
  <c r="I41" i="20"/>
  <c r="I40" i="20"/>
  <c r="I39" i="20"/>
  <c r="I38" i="20"/>
  <c r="I37" i="20"/>
  <c r="I36" i="20"/>
  <c r="I35" i="20"/>
  <c r="I34" i="20"/>
  <c r="I33" i="20"/>
  <c r="I32" i="20"/>
  <c r="I31" i="20"/>
  <c r="I30" i="20"/>
  <c r="I29" i="20"/>
  <c r="I28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14" i="20"/>
  <c r="I13" i="20"/>
  <c r="I12" i="20"/>
  <c r="I11" i="20"/>
  <c r="I10" i="20"/>
  <c r="I9" i="20"/>
  <c r="I8" i="20"/>
  <c r="I7" i="20"/>
  <c r="I6" i="20"/>
  <c r="I5" i="20"/>
  <c r="I4" i="20"/>
  <c r="I3" i="20"/>
  <c r="D221" i="33"/>
  <c r="B221" i="33"/>
  <c r="E221" i="33"/>
  <c r="C221" i="33"/>
  <c r="B221" i="32"/>
  <c r="E221" i="32"/>
  <c r="C221" i="32"/>
  <c r="D221" i="32" s="1"/>
  <c r="B221" i="19"/>
  <c r="E221" i="19" s="1"/>
  <c r="C221" i="19"/>
  <c r="D221" i="19" s="1"/>
  <c r="E144" i="19"/>
  <c r="E141" i="19"/>
  <c r="E138" i="19"/>
  <c r="E135" i="19"/>
  <c r="E132" i="19"/>
  <c r="E129" i="19"/>
  <c r="E126" i="19"/>
  <c r="E123" i="19"/>
  <c r="E120" i="19"/>
  <c r="E117" i="19"/>
  <c r="E114" i="19"/>
  <c r="E111" i="19"/>
  <c r="E108" i="19"/>
  <c r="E105" i="19"/>
  <c r="E102" i="19"/>
  <c r="E99" i="19"/>
  <c r="E96" i="19"/>
  <c r="E93" i="19"/>
  <c r="E90" i="19"/>
  <c r="E87" i="19"/>
  <c r="E84" i="19"/>
  <c r="E81" i="19"/>
  <c r="E78" i="19"/>
  <c r="E75" i="19"/>
  <c r="E72" i="19"/>
  <c r="E69" i="19"/>
  <c r="E66" i="19"/>
  <c r="E63" i="19"/>
  <c r="E60" i="19"/>
  <c r="E57" i="19"/>
  <c r="E54" i="19"/>
  <c r="E51" i="19"/>
  <c r="E48" i="19"/>
  <c r="E45" i="19"/>
  <c r="E42" i="19"/>
  <c r="E39" i="19"/>
  <c r="E36" i="19"/>
  <c r="E33" i="19"/>
  <c r="E30" i="19"/>
  <c r="E27" i="19"/>
  <c r="E24" i="19"/>
  <c r="E21" i="19"/>
  <c r="E18" i="19"/>
  <c r="E15" i="19"/>
  <c r="E12" i="19"/>
  <c r="E9" i="19"/>
  <c r="E6" i="19"/>
  <c r="E3" i="19"/>
  <c r="C47" i="44" l="1"/>
  <c r="C57" i="44"/>
  <c r="G47" i="44"/>
  <c r="G57" i="44"/>
  <c r="D57" i="44"/>
  <c r="D47" i="44"/>
  <c r="H57" i="44"/>
  <c r="H47" i="44"/>
  <c r="E47" i="44"/>
  <c r="I47" i="44"/>
  <c r="J36" i="44"/>
  <c r="B47" i="44"/>
  <c r="F47" i="44"/>
  <c r="J18" i="44"/>
  <c r="G318" i="37"/>
  <c r="G303" i="37"/>
  <c r="G333" i="37" s="1"/>
  <c r="J69" i="37"/>
  <c r="D18" i="30" l="1"/>
  <c r="D17" i="30"/>
  <c r="D16" i="30"/>
  <c r="D15" i="30"/>
  <c r="D14" i="30"/>
  <c r="B18" i="30"/>
  <c r="B17" i="30"/>
  <c r="B16" i="30"/>
  <c r="B15" i="30"/>
  <c r="B14" i="30"/>
  <c r="C13" i="30"/>
  <c r="B13" i="30"/>
  <c r="D13" i="30"/>
  <c r="B221" i="28" l="1"/>
  <c r="C221" i="28"/>
  <c r="D221" i="28" s="1"/>
  <c r="B221" i="27"/>
  <c r="C221" i="27"/>
  <c r="D221" i="27" s="1"/>
  <c r="E221" i="27"/>
  <c r="B221" i="23"/>
  <c r="E221" i="23"/>
  <c r="C221" i="23"/>
  <c r="D221" i="23" s="1"/>
  <c r="B221" i="26"/>
  <c r="E221" i="26"/>
  <c r="B221" i="22"/>
  <c r="E221" i="22" s="1"/>
  <c r="C221" i="22"/>
  <c r="D221" i="22" s="1"/>
  <c r="B221" i="21"/>
  <c r="E221" i="21"/>
  <c r="C221" i="21"/>
  <c r="D221" i="21" s="1"/>
  <c r="B221" i="20"/>
  <c r="E221" i="20"/>
  <c r="C221" i="20"/>
  <c r="D221" i="20" s="1"/>
  <c r="G146" i="33"/>
  <c r="F146" i="33"/>
  <c r="C146" i="33"/>
  <c r="B146" i="33"/>
  <c r="G145" i="33"/>
  <c r="F145" i="33"/>
  <c r="C145" i="33"/>
  <c r="B145" i="33"/>
  <c r="G144" i="33"/>
  <c r="F144" i="33"/>
  <c r="C144" i="33"/>
  <c r="B144" i="33"/>
  <c r="G143" i="33"/>
  <c r="F143" i="33"/>
  <c r="C143" i="33"/>
  <c r="B143" i="33"/>
  <c r="G142" i="33"/>
  <c r="F142" i="33"/>
  <c r="C142" i="33"/>
  <c r="B142" i="33"/>
  <c r="G141" i="33"/>
  <c r="F141" i="33"/>
  <c r="C141" i="33"/>
  <c r="B141" i="33"/>
  <c r="G140" i="33"/>
  <c r="F140" i="33"/>
  <c r="C140" i="33"/>
  <c r="B140" i="33"/>
  <c r="G139" i="33"/>
  <c r="F139" i="33"/>
  <c r="C139" i="33"/>
  <c r="B139" i="33"/>
  <c r="G138" i="33"/>
  <c r="F138" i="33"/>
  <c r="C138" i="33"/>
  <c r="B138" i="33"/>
  <c r="G137" i="33"/>
  <c r="F137" i="33"/>
  <c r="C137" i="33"/>
  <c r="B137" i="33"/>
  <c r="G136" i="33"/>
  <c r="F136" i="33"/>
  <c r="C136" i="33"/>
  <c r="B136" i="33"/>
  <c r="G135" i="33"/>
  <c r="F135" i="33"/>
  <c r="C135" i="33"/>
  <c r="B135" i="33"/>
  <c r="G146" i="32"/>
  <c r="F146" i="32"/>
  <c r="C146" i="32"/>
  <c r="B146" i="32"/>
  <c r="G145" i="32"/>
  <c r="F145" i="32"/>
  <c r="C145" i="32"/>
  <c r="B145" i="32"/>
  <c r="G144" i="32"/>
  <c r="F144" i="32"/>
  <c r="C144" i="32"/>
  <c r="B144" i="32"/>
  <c r="G143" i="32"/>
  <c r="F143" i="32"/>
  <c r="C143" i="32"/>
  <c r="B143" i="32"/>
  <c r="G142" i="32"/>
  <c r="F142" i="32"/>
  <c r="C142" i="32"/>
  <c r="B142" i="32"/>
  <c r="G141" i="32"/>
  <c r="F141" i="32"/>
  <c r="C141" i="32"/>
  <c r="B141" i="32"/>
  <c r="G140" i="32"/>
  <c r="F140" i="32"/>
  <c r="C140" i="32"/>
  <c r="B140" i="32"/>
  <c r="G139" i="32"/>
  <c r="F139" i="32"/>
  <c r="C139" i="32"/>
  <c r="B139" i="32"/>
  <c r="G138" i="32"/>
  <c r="F138" i="32"/>
  <c r="C138" i="32"/>
  <c r="B138" i="32"/>
  <c r="G137" i="32"/>
  <c r="F137" i="32"/>
  <c r="C137" i="32"/>
  <c r="B137" i="32"/>
  <c r="G136" i="32"/>
  <c r="F136" i="32"/>
  <c r="C136" i="32"/>
  <c r="B136" i="32"/>
  <c r="G135" i="32"/>
  <c r="F135" i="32"/>
  <c r="C135" i="32"/>
  <c r="B135" i="32"/>
  <c r="C135" i="27"/>
  <c r="F135" i="27"/>
  <c r="G135" i="27"/>
  <c r="E42" i="17"/>
  <c r="J42" i="17"/>
  <c r="I42" i="17"/>
  <c r="H42" i="17"/>
  <c r="G42" i="17"/>
  <c r="F42" i="17"/>
  <c r="D42" i="17"/>
  <c r="C42" i="17"/>
  <c r="B42" i="17"/>
  <c r="I14" i="17"/>
  <c r="H14" i="17"/>
  <c r="G14" i="17"/>
  <c r="F14" i="17"/>
  <c r="E14" i="17"/>
  <c r="D14" i="17"/>
  <c r="C14" i="17"/>
  <c r="B14" i="17"/>
  <c r="J14" i="17" s="1"/>
  <c r="J18" i="40"/>
  <c r="C221" i="26" l="1"/>
  <c r="D221" i="26" s="1"/>
  <c r="I43" i="37" l="1"/>
  <c r="I141" i="37" s="1"/>
  <c r="H43" i="37"/>
  <c r="H141" i="37" s="1"/>
  <c r="F43" i="37"/>
  <c r="F141" i="37" s="1"/>
  <c r="E43" i="37"/>
  <c r="E141" i="37" s="1"/>
  <c r="D43" i="37"/>
  <c r="D141" i="37" s="1"/>
  <c r="I42" i="37"/>
  <c r="I140" i="37" s="1"/>
  <c r="H42" i="37"/>
  <c r="H140" i="37" s="1"/>
  <c r="G42" i="37"/>
  <c r="G140" i="37" s="1"/>
  <c r="F42" i="37"/>
  <c r="F140" i="37" s="1"/>
  <c r="E42" i="37"/>
  <c r="E140" i="37" s="1"/>
  <c r="D42" i="37"/>
  <c r="D140" i="37" s="1"/>
  <c r="C42" i="37"/>
  <c r="C140" i="37" s="1"/>
  <c r="B42" i="37"/>
  <c r="B140" i="37" s="1"/>
  <c r="I41" i="37"/>
  <c r="I139" i="37" s="1"/>
  <c r="H41" i="37"/>
  <c r="H139" i="37" s="1"/>
  <c r="G41" i="37"/>
  <c r="G139" i="37" s="1"/>
  <c r="F41" i="37"/>
  <c r="F139" i="37" s="1"/>
  <c r="E41" i="37"/>
  <c r="E139" i="37" s="1"/>
  <c r="D41" i="37"/>
  <c r="D139" i="37" s="1"/>
  <c r="C41" i="37"/>
  <c r="C139" i="37" s="1"/>
  <c r="B41" i="37"/>
  <c r="B139" i="37" s="1"/>
  <c r="I40" i="37"/>
  <c r="I138" i="37" s="1"/>
  <c r="H40" i="37"/>
  <c r="H138" i="37" s="1"/>
  <c r="G40" i="37"/>
  <c r="G138" i="37" s="1"/>
  <c r="F40" i="37"/>
  <c r="F138" i="37" s="1"/>
  <c r="E40" i="37"/>
  <c r="E138" i="37" s="1"/>
  <c r="D40" i="37"/>
  <c r="D138" i="37" s="1"/>
  <c r="C40" i="37"/>
  <c r="C138" i="37" s="1"/>
  <c r="B40" i="37"/>
  <c r="B138" i="37" s="1"/>
  <c r="I39" i="37"/>
  <c r="I137" i="37" s="1"/>
  <c r="H39" i="37"/>
  <c r="H137" i="37" s="1"/>
  <c r="G39" i="37"/>
  <c r="G137" i="37" s="1"/>
  <c r="F39" i="37"/>
  <c r="F137" i="37" s="1"/>
  <c r="E39" i="37"/>
  <c r="E137" i="37" s="1"/>
  <c r="D39" i="37"/>
  <c r="D137" i="37" s="1"/>
  <c r="C39" i="37"/>
  <c r="C137" i="37" s="1"/>
  <c r="B39" i="37"/>
  <c r="B137" i="37" s="1"/>
  <c r="I38" i="37"/>
  <c r="I136" i="37" s="1"/>
  <c r="H38" i="37"/>
  <c r="H136" i="37" s="1"/>
  <c r="G38" i="37"/>
  <c r="G136" i="37" s="1"/>
  <c r="F38" i="37"/>
  <c r="F136" i="37" s="1"/>
  <c r="E38" i="37"/>
  <c r="E136" i="37" s="1"/>
  <c r="D38" i="37"/>
  <c r="D136" i="37" s="1"/>
  <c r="C38" i="37"/>
  <c r="C136" i="37" s="1"/>
  <c r="B38" i="37"/>
  <c r="B136" i="37" s="1"/>
  <c r="I37" i="37"/>
  <c r="I135" i="37" s="1"/>
  <c r="H37" i="37"/>
  <c r="H135" i="37" s="1"/>
  <c r="G37" i="37"/>
  <c r="G135" i="37" s="1"/>
  <c r="F37" i="37"/>
  <c r="F135" i="37" s="1"/>
  <c r="E37" i="37"/>
  <c r="E135" i="37" s="1"/>
  <c r="D37" i="37"/>
  <c r="D135" i="37" s="1"/>
  <c r="C37" i="37"/>
  <c r="C135" i="37" s="1"/>
  <c r="B37" i="37"/>
  <c r="B135" i="37" s="1"/>
  <c r="I36" i="37"/>
  <c r="I134" i="37" s="1"/>
  <c r="H36" i="37"/>
  <c r="H134" i="37" s="1"/>
  <c r="G36" i="37"/>
  <c r="G134" i="37" s="1"/>
  <c r="F36" i="37"/>
  <c r="F134" i="37" s="1"/>
  <c r="E36" i="37"/>
  <c r="E134" i="37" s="1"/>
  <c r="D36" i="37"/>
  <c r="D134" i="37" s="1"/>
  <c r="C36" i="37"/>
  <c r="C134" i="37" s="1"/>
  <c r="B36" i="37"/>
  <c r="B134" i="37" s="1"/>
  <c r="I35" i="37"/>
  <c r="I133" i="37" s="1"/>
  <c r="H35" i="37"/>
  <c r="H133" i="37" s="1"/>
  <c r="G35" i="37"/>
  <c r="G133" i="37" s="1"/>
  <c r="F35" i="37"/>
  <c r="F133" i="37" s="1"/>
  <c r="E35" i="37"/>
  <c r="E133" i="37" s="1"/>
  <c r="D35" i="37"/>
  <c r="D133" i="37" s="1"/>
  <c r="C35" i="37"/>
  <c r="C133" i="37" s="1"/>
  <c r="B35" i="37"/>
  <c r="B133" i="37" s="1"/>
  <c r="I34" i="37"/>
  <c r="I132" i="37" s="1"/>
  <c r="H34" i="37"/>
  <c r="H132" i="37" s="1"/>
  <c r="G34" i="37"/>
  <c r="G132" i="37" s="1"/>
  <c r="F34" i="37"/>
  <c r="F132" i="37" s="1"/>
  <c r="E34" i="37"/>
  <c r="E132" i="37" s="1"/>
  <c r="D34" i="37"/>
  <c r="D132" i="37" s="1"/>
  <c r="C34" i="37"/>
  <c r="C132" i="37" s="1"/>
  <c r="B34" i="37"/>
  <c r="B132" i="37" s="1"/>
  <c r="I33" i="37"/>
  <c r="I131" i="37" s="1"/>
  <c r="H33" i="37"/>
  <c r="H131" i="37" s="1"/>
  <c r="G33" i="37"/>
  <c r="G131" i="37" s="1"/>
  <c r="F33" i="37"/>
  <c r="F131" i="37" s="1"/>
  <c r="E33" i="37"/>
  <c r="E131" i="37" s="1"/>
  <c r="D33" i="37"/>
  <c r="D131" i="37" s="1"/>
  <c r="C33" i="37"/>
  <c r="C131" i="37" s="1"/>
  <c r="B33" i="37"/>
  <c r="B131" i="37" s="1"/>
  <c r="L11" i="42" l="1"/>
  <c r="L17" i="42" s="1"/>
  <c r="N11" i="42" l="1"/>
  <c r="N17" i="42" s="1"/>
  <c r="M11" i="42"/>
  <c r="M17" i="42" s="1"/>
  <c r="AF31" i="37"/>
  <c r="AF30" i="37"/>
  <c r="B68" i="38" l="1"/>
  <c r="K12" i="17" l="1"/>
  <c r="K11" i="17"/>
  <c r="K10" i="17"/>
  <c r="K9" i="17"/>
  <c r="K8" i="17"/>
  <c r="K7" i="17"/>
  <c r="K6" i="17"/>
  <c r="K5" i="17"/>
  <c r="O11" i="42"/>
  <c r="O7" i="42"/>
  <c r="G19" i="42"/>
  <c r="F19" i="42"/>
  <c r="O16" i="42"/>
  <c r="N15" i="42"/>
  <c r="M14" i="42"/>
  <c r="N14" i="42" s="1"/>
  <c r="L13" i="42"/>
  <c r="M13" i="42" s="1"/>
  <c r="N13" i="42" s="1"/>
  <c r="J11" i="42"/>
  <c r="I10" i="42"/>
  <c r="H9" i="42"/>
  <c r="G8" i="42"/>
  <c r="S48" i="42"/>
  <c r="O44" i="42"/>
  <c r="P44" i="42" s="1"/>
  <c r="Q44" i="42" s="1"/>
  <c r="R44" i="42" s="1"/>
  <c r="P49" i="42"/>
  <c r="Q49" i="42" s="1"/>
  <c r="R49" i="42" s="1"/>
  <c r="O49" i="42"/>
  <c r="S49" i="42" s="1"/>
  <c r="O48" i="42"/>
  <c r="P48" i="42" s="1"/>
  <c r="X4" i="42"/>
  <c r="Y4" i="42" s="1"/>
  <c r="G17" i="42"/>
  <c r="F17" i="42"/>
  <c r="I9" i="42"/>
  <c r="H8" i="42"/>
  <c r="H17" i="42" l="1"/>
  <c r="H19" i="42" s="1"/>
  <c r="Q48" i="42"/>
  <c r="R48" i="42" l="1"/>
  <c r="S60" i="42" l="1"/>
  <c r="R59" i="42"/>
  <c r="Q58" i="42"/>
  <c r="R58" i="42" s="1"/>
  <c r="P57" i="42"/>
  <c r="Q57" i="42" s="1"/>
  <c r="N56" i="42"/>
  <c r="K12" i="42" s="1"/>
  <c r="A56" i="42"/>
  <c r="A57" i="42" s="1"/>
  <c r="A58" i="42" s="1"/>
  <c r="A59" i="42" s="1"/>
  <c r="A60" i="42" s="1"/>
  <c r="M55" i="42"/>
  <c r="N55" i="42" s="1"/>
  <c r="T54" i="42"/>
  <c r="F54" i="42"/>
  <c r="G54" i="42" s="1"/>
  <c r="H54" i="42" s="1"/>
  <c r="I54" i="42" s="1"/>
  <c r="J54" i="42" s="1"/>
  <c r="K54" i="42" s="1"/>
  <c r="L54" i="42" s="1"/>
  <c r="M54" i="42" s="1"/>
  <c r="N54" i="42" s="1"/>
  <c r="O54" i="42" s="1"/>
  <c r="P54" i="42" s="1"/>
  <c r="Q54" i="42" s="1"/>
  <c r="R54" i="42" s="1"/>
  <c r="J50" i="42"/>
  <c r="I50" i="42"/>
  <c r="H50" i="42"/>
  <c r="G50" i="42"/>
  <c r="F50" i="42"/>
  <c r="E50" i="42"/>
  <c r="N48" i="42"/>
  <c r="A46" i="42"/>
  <c r="A47" i="42" s="1"/>
  <c r="A48" i="42" s="1"/>
  <c r="A49" i="42" s="1"/>
  <c r="F44" i="42"/>
  <c r="G44" i="42" s="1"/>
  <c r="H44" i="42" s="1"/>
  <c r="I44" i="42" s="1"/>
  <c r="S39" i="42"/>
  <c r="T39" i="42" s="1"/>
  <c r="T38" i="42"/>
  <c r="S38" i="42"/>
  <c r="R38" i="42"/>
  <c r="Q38" i="42"/>
  <c r="P38" i="42"/>
  <c r="O38" i="42"/>
  <c r="N38" i="42"/>
  <c r="M38" i="42"/>
  <c r="L38" i="42"/>
  <c r="K38" i="42"/>
  <c r="J38" i="42"/>
  <c r="I38" i="42"/>
  <c r="H38" i="42"/>
  <c r="G38" i="42"/>
  <c r="F38" i="42"/>
  <c r="E38" i="42"/>
  <c r="T37" i="42"/>
  <c r="S37" i="42"/>
  <c r="R37" i="42"/>
  <c r="Q37" i="42"/>
  <c r="P37" i="42"/>
  <c r="O37" i="42"/>
  <c r="N37" i="42"/>
  <c r="M37" i="42"/>
  <c r="L37" i="42"/>
  <c r="K37" i="42"/>
  <c r="J37" i="42"/>
  <c r="I37" i="42"/>
  <c r="H37" i="42"/>
  <c r="G37" i="42"/>
  <c r="F37" i="42"/>
  <c r="E37" i="42"/>
  <c r="T36" i="42"/>
  <c r="S36" i="42"/>
  <c r="R36" i="42"/>
  <c r="Q36" i="42"/>
  <c r="P36" i="42"/>
  <c r="O36" i="42"/>
  <c r="N36" i="42"/>
  <c r="M36" i="42"/>
  <c r="L36" i="42"/>
  <c r="K36" i="42"/>
  <c r="J36" i="42"/>
  <c r="I36" i="42"/>
  <c r="H36" i="42"/>
  <c r="G36" i="42"/>
  <c r="F36" i="42"/>
  <c r="E36" i="42"/>
  <c r="A36" i="42"/>
  <c r="A37" i="42" s="1"/>
  <c r="A38" i="42" s="1"/>
  <c r="A39" i="42" s="1"/>
  <c r="T35" i="42"/>
  <c r="S35" i="42"/>
  <c r="R35" i="42"/>
  <c r="Q35" i="42"/>
  <c r="P35" i="42"/>
  <c r="O35" i="42"/>
  <c r="N35" i="42"/>
  <c r="M35" i="42"/>
  <c r="L35" i="42"/>
  <c r="K35" i="42"/>
  <c r="J35" i="42"/>
  <c r="I35" i="42"/>
  <c r="H35" i="42"/>
  <c r="H40" i="42" s="1"/>
  <c r="G35" i="42"/>
  <c r="F35" i="42"/>
  <c r="E35" i="42"/>
  <c r="F34" i="42"/>
  <c r="G34" i="42" s="1"/>
  <c r="H34" i="42" s="1"/>
  <c r="I34" i="42" s="1"/>
  <c r="J34" i="42" s="1"/>
  <c r="K34" i="42" s="1"/>
  <c r="L34" i="42" s="1"/>
  <c r="M34" i="42" s="1"/>
  <c r="N34" i="42" s="1"/>
  <c r="O34" i="42" s="1"/>
  <c r="P34" i="42" s="1"/>
  <c r="Q34" i="42" s="1"/>
  <c r="R34" i="42" s="1"/>
  <c r="S34" i="42" s="1"/>
  <c r="T34" i="42" s="1"/>
  <c r="T30" i="42"/>
  <c r="S30" i="42"/>
  <c r="R30" i="42"/>
  <c r="Q30" i="42"/>
  <c r="P30" i="42"/>
  <c r="O30" i="42"/>
  <c r="N30" i="42"/>
  <c r="M30" i="42"/>
  <c r="L30" i="42"/>
  <c r="K30" i="42"/>
  <c r="J30" i="42"/>
  <c r="I30" i="42"/>
  <c r="H30" i="42"/>
  <c r="G30" i="42"/>
  <c r="F30" i="42"/>
  <c r="E30" i="42"/>
  <c r="A27" i="42"/>
  <c r="A28" i="42" s="1"/>
  <c r="A29" i="42" s="1"/>
  <c r="F24" i="42"/>
  <c r="G24" i="42" s="1"/>
  <c r="H24" i="42" s="1"/>
  <c r="I24" i="42" s="1"/>
  <c r="J24" i="42" s="1"/>
  <c r="K24" i="42" s="1"/>
  <c r="L24" i="42" s="1"/>
  <c r="M24" i="42" s="1"/>
  <c r="N24" i="42" s="1"/>
  <c r="O24" i="42" s="1"/>
  <c r="P24" i="42" s="1"/>
  <c r="Q24" i="42" s="1"/>
  <c r="R24" i="42" s="1"/>
  <c r="S24" i="42" s="1"/>
  <c r="T24" i="42" s="1"/>
  <c r="S59" i="42" l="1"/>
  <c r="O15" i="42"/>
  <c r="S58" i="42"/>
  <c r="O14" i="42"/>
  <c r="L12" i="42"/>
  <c r="K50" i="42"/>
  <c r="J44" i="42"/>
  <c r="G40" i="42"/>
  <c r="E40" i="42"/>
  <c r="I40" i="42"/>
  <c r="F7" i="42" s="1"/>
  <c r="F40" i="42"/>
  <c r="M40" i="42"/>
  <c r="J7" i="42" s="1"/>
  <c r="J40" i="42"/>
  <c r="G7" i="42" s="1"/>
  <c r="Q40" i="42"/>
  <c r="N7" i="42" s="1"/>
  <c r="N40" i="42"/>
  <c r="K7" i="42" s="1"/>
  <c r="R40" i="42"/>
  <c r="L40" i="42"/>
  <c r="I7" i="42" s="1"/>
  <c r="P40" i="42"/>
  <c r="M7" i="42" s="1"/>
  <c r="T40" i="42"/>
  <c r="K40" i="42"/>
  <c r="H7" i="42" s="1"/>
  <c r="O40" i="42"/>
  <c r="L7" i="42" s="1"/>
  <c r="S40" i="42"/>
  <c r="O55" i="42"/>
  <c r="P55" i="42" s="1"/>
  <c r="Q55" i="42" s="1"/>
  <c r="R55" i="42" s="1"/>
  <c r="R57" i="42"/>
  <c r="O13" i="42" s="1"/>
  <c r="O56" i="42"/>
  <c r="P56" i="42" s="1"/>
  <c r="Q56" i="42" s="1"/>
  <c r="R56" i="42" s="1"/>
  <c r="O12" i="42" s="1"/>
  <c r="S57" i="42" l="1"/>
  <c r="M12" i="42"/>
  <c r="J9" i="42"/>
  <c r="I8" i="42"/>
  <c r="I17" i="42" s="1"/>
  <c r="I19" i="42" s="1"/>
  <c r="K44" i="42"/>
  <c r="S56" i="42"/>
  <c r="S55" i="42"/>
  <c r="L50" i="42"/>
  <c r="J8" i="42"/>
  <c r="N12" i="42" l="1"/>
  <c r="S47" i="42"/>
  <c r="K9" i="42"/>
  <c r="L44" i="42"/>
  <c r="M44" i="42" s="1"/>
  <c r="M50" i="42"/>
  <c r="L9" i="42" l="1"/>
  <c r="K8" i="42"/>
  <c r="N44" i="42"/>
  <c r="N50" i="42"/>
  <c r="M9" i="42" l="1"/>
  <c r="L8" i="42"/>
  <c r="O50" i="42"/>
  <c r="J86" i="44"/>
  <c r="N9" i="42" l="1"/>
  <c r="M8" i="42"/>
  <c r="P50" i="42"/>
  <c r="I45" i="44"/>
  <c r="H45" i="44"/>
  <c r="G45" i="44"/>
  <c r="F45" i="44"/>
  <c r="E45" i="44"/>
  <c r="D45" i="44"/>
  <c r="C45" i="44"/>
  <c r="I44" i="44"/>
  <c r="H44" i="44"/>
  <c r="G44" i="44"/>
  <c r="F44" i="44"/>
  <c r="E44" i="44"/>
  <c r="D44" i="44"/>
  <c r="C44" i="44"/>
  <c r="B45" i="44"/>
  <c r="B44" i="44"/>
  <c r="D39" i="44"/>
  <c r="I35" i="44"/>
  <c r="I56" i="44" s="1"/>
  <c r="I66" i="44" s="1"/>
  <c r="H35" i="44"/>
  <c r="H56" i="44" s="1"/>
  <c r="H66" i="44" s="1"/>
  <c r="G35" i="44"/>
  <c r="G56" i="44" s="1"/>
  <c r="G66" i="44" s="1"/>
  <c r="F35" i="44"/>
  <c r="E35" i="44"/>
  <c r="D35" i="44"/>
  <c r="D56" i="44" s="1"/>
  <c r="D66" i="44" s="1"/>
  <c r="C35" i="44"/>
  <c r="C56" i="44" s="1"/>
  <c r="B66" i="44"/>
  <c r="I34" i="44"/>
  <c r="H34" i="44"/>
  <c r="G34" i="44"/>
  <c r="F34" i="44"/>
  <c r="E34" i="44"/>
  <c r="D34" i="44"/>
  <c r="C34" i="44"/>
  <c r="I33" i="44"/>
  <c r="H33" i="44"/>
  <c r="G33" i="44"/>
  <c r="F33" i="44"/>
  <c r="E33" i="44"/>
  <c r="D33" i="44"/>
  <c r="C33" i="44"/>
  <c r="I32" i="44"/>
  <c r="H32" i="44"/>
  <c r="G32" i="44"/>
  <c r="F32" i="44"/>
  <c r="E32" i="44"/>
  <c r="D32" i="44"/>
  <c r="C32" i="44"/>
  <c r="I31" i="44"/>
  <c r="H31" i="44"/>
  <c r="G31" i="44"/>
  <c r="F31" i="44"/>
  <c r="E31" i="44"/>
  <c r="D31" i="44"/>
  <c r="C31" i="44"/>
  <c r="I30" i="44"/>
  <c r="H30" i="44"/>
  <c r="G30" i="44"/>
  <c r="F30" i="44"/>
  <c r="E30" i="44"/>
  <c r="D30" i="44"/>
  <c r="C30" i="44"/>
  <c r="I29" i="44"/>
  <c r="H29" i="44"/>
  <c r="G29" i="44"/>
  <c r="F29" i="44"/>
  <c r="E29" i="44"/>
  <c r="D29" i="44"/>
  <c r="C29" i="44"/>
  <c r="I28" i="44"/>
  <c r="H28" i="44"/>
  <c r="G28" i="44"/>
  <c r="F28" i="44"/>
  <c r="E28" i="44"/>
  <c r="D28" i="44"/>
  <c r="I27" i="44"/>
  <c r="H27" i="44"/>
  <c r="G27" i="44"/>
  <c r="F27" i="44"/>
  <c r="E27" i="44"/>
  <c r="D27" i="44"/>
  <c r="I26" i="44"/>
  <c r="H26" i="44"/>
  <c r="G26" i="44"/>
  <c r="F26" i="44"/>
  <c r="E26" i="44"/>
  <c r="D26" i="44"/>
  <c r="I25" i="44"/>
  <c r="H25" i="44"/>
  <c r="G25" i="44"/>
  <c r="F25" i="44"/>
  <c r="E25" i="44"/>
  <c r="D25" i="44"/>
  <c r="J23" i="44"/>
  <c r="J22" i="44"/>
  <c r="J17" i="44"/>
  <c r="J16" i="44"/>
  <c r="J15" i="44"/>
  <c r="J14" i="44"/>
  <c r="J13" i="44"/>
  <c r="J12" i="44"/>
  <c r="J11" i="44"/>
  <c r="J10" i="44"/>
  <c r="J9" i="44"/>
  <c r="J8" i="44"/>
  <c r="J7" i="44"/>
  <c r="J6" i="44"/>
  <c r="J4" i="44"/>
  <c r="J3" i="44"/>
  <c r="E40" i="17"/>
  <c r="E39" i="44" s="1"/>
  <c r="J58" i="36"/>
  <c r="J57" i="36"/>
  <c r="J56" i="36"/>
  <c r="J55" i="36"/>
  <c r="J54" i="36"/>
  <c r="J53" i="36"/>
  <c r="J52" i="36"/>
  <c r="J51" i="36"/>
  <c r="J50" i="36"/>
  <c r="J49" i="36"/>
  <c r="J48" i="36"/>
  <c r="J47" i="36"/>
  <c r="J46" i="36"/>
  <c r="J45" i="36"/>
  <c r="J44" i="36"/>
  <c r="J43" i="36"/>
  <c r="J42" i="36"/>
  <c r="J41" i="36"/>
  <c r="J40" i="36"/>
  <c r="J39" i="36"/>
  <c r="J38" i="36"/>
  <c r="J37" i="36"/>
  <c r="J36" i="36"/>
  <c r="J35" i="36"/>
  <c r="J34" i="36"/>
  <c r="J33" i="36"/>
  <c r="J32" i="36"/>
  <c r="J31" i="36"/>
  <c r="J30" i="36"/>
  <c r="J29" i="36"/>
  <c r="J28" i="36"/>
  <c r="J27" i="36"/>
  <c r="J26" i="36"/>
  <c r="J25" i="36"/>
  <c r="J24" i="36"/>
  <c r="J23" i="36"/>
  <c r="J22" i="36"/>
  <c r="J21" i="36"/>
  <c r="J20" i="36"/>
  <c r="J19" i="36"/>
  <c r="J18" i="36"/>
  <c r="J17" i="36"/>
  <c r="J16" i="36"/>
  <c r="J15" i="36"/>
  <c r="J14" i="36"/>
  <c r="J13" i="36"/>
  <c r="J12" i="36"/>
  <c r="J11" i="36"/>
  <c r="J10" i="36"/>
  <c r="J9" i="36"/>
  <c r="J8" i="36"/>
  <c r="J7" i="36"/>
  <c r="J6" i="36"/>
  <c r="J5" i="36"/>
  <c r="J4" i="36"/>
  <c r="J3" i="36"/>
  <c r="J78" i="36"/>
  <c r="J77" i="36"/>
  <c r="J76" i="36"/>
  <c r="J75" i="36"/>
  <c r="J74" i="36"/>
  <c r="J73" i="36"/>
  <c r="J72" i="36"/>
  <c r="J71" i="36"/>
  <c r="J70" i="36"/>
  <c r="J69" i="36"/>
  <c r="J68" i="36"/>
  <c r="J67" i="36"/>
  <c r="J66" i="36"/>
  <c r="J65" i="36"/>
  <c r="J64" i="36"/>
  <c r="J63" i="36"/>
  <c r="J62" i="36"/>
  <c r="J61" i="36"/>
  <c r="J60" i="36"/>
  <c r="J59" i="36"/>
  <c r="R42" i="31"/>
  <c r="R41" i="31"/>
  <c r="Q41" i="31"/>
  <c r="R40" i="31"/>
  <c r="Q40" i="31"/>
  <c r="P40" i="31"/>
  <c r="N31" i="31"/>
  <c r="N30" i="31"/>
  <c r="M30" i="31"/>
  <c r="N29" i="31"/>
  <c r="M29" i="31"/>
  <c r="N28" i="31"/>
  <c r="M28" i="31"/>
  <c r="L28" i="31"/>
  <c r="K28" i="31"/>
  <c r="L29" i="31"/>
  <c r="O9" i="42" l="1"/>
  <c r="S46" i="42"/>
  <c r="N8" i="42"/>
  <c r="Q50" i="42"/>
  <c r="J44" i="44"/>
  <c r="E67" i="44"/>
  <c r="P44" i="37" s="1"/>
  <c r="E44" i="37" s="1"/>
  <c r="E142" i="37" s="1"/>
  <c r="C66" i="44"/>
  <c r="E56" i="44"/>
  <c r="E66" i="44" s="1"/>
  <c r="J29" i="44"/>
  <c r="F56" i="44"/>
  <c r="F66" i="44" s="1"/>
  <c r="J33" i="44"/>
  <c r="J45" i="44"/>
  <c r="C25" i="44"/>
  <c r="J25" i="44" s="1"/>
  <c r="C26" i="44"/>
  <c r="J26" i="44" s="1"/>
  <c r="C27" i="44"/>
  <c r="J27" i="44" s="1"/>
  <c r="C28" i="44"/>
  <c r="J28" i="44" s="1"/>
  <c r="J30" i="44"/>
  <c r="J31" i="44"/>
  <c r="J32" i="44"/>
  <c r="J34" i="44"/>
  <c r="J35" i="44"/>
  <c r="O8" i="42" l="1"/>
  <c r="R50" i="42"/>
  <c r="S45" i="42"/>
  <c r="S50" i="42" s="1"/>
  <c r="E158" i="37"/>
  <c r="E94" i="37"/>
  <c r="E212" i="37" s="1"/>
  <c r="M27" i="38"/>
  <c r="AA44" i="37"/>
  <c r="D48" i="44"/>
  <c r="D49" i="44" s="1"/>
  <c r="D50" i="44" s="1"/>
  <c r="D51" i="44" s="1"/>
  <c r="D52" i="44" s="1"/>
  <c r="E48" i="44"/>
  <c r="E49" i="44" s="1"/>
  <c r="J56" i="44"/>
  <c r="D67" i="44"/>
  <c r="O44" i="37" s="1"/>
  <c r="D44" i="37" s="1"/>
  <c r="D142" i="37" s="1"/>
  <c r="D58" i="44"/>
  <c r="J66" i="44"/>
  <c r="S206" i="39"/>
  <c r="S205" i="39"/>
  <c r="S204" i="39"/>
  <c r="S203" i="39"/>
  <c r="S202" i="39"/>
  <c r="S201" i="39"/>
  <c r="S200" i="39"/>
  <c r="S199" i="39"/>
  <c r="S198" i="39"/>
  <c r="S197" i="39"/>
  <c r="S196" i="39"/>
  <c r="S195" i="39"/>
  <c r="S194" i="39"/>
  <c r="S193" i="39"/>
  <c r="S192" i="39"/>
  <c r="S191" i="39"/>
  <c r="S190" i="39"/>
  <c r="S189" i="39"/>
  <c r="S188" i="39"/>
  <c r="S187" i="39"/>
  <c r="S186" i="39"/>
  <c r="S185" i="39"/>
  <c r="S184" i="39"/>
  <c r="S183" i="39"/>
  <c r="S182" i="39"/>
  <c r="S181" i="39"/>
  <c r="S180" i="39"/>
  <c r="S179" i="39"/>
  <c r="S178" i="39"/>
  <c r="S177" i="39"/>
  <c r="S176" i="39"/>
  <c r="S175" i="39"/>
  <c r="S174" i="39"/>
  <c r="S173" i="39"/>
  <c r="S172" i="39"/>
  <c r="S171" i="39"/>
  <c r="S170" i="39"/>
  <c r="S169" i="39"/>
  <c r="S168" i="39"/>
  <c r="S167" i="39"/>
  <c r="S166" i="39"/>
  <c r="S165" i="39"/>
  <c r="S164" i="39"/>
  <c r="S163" i="39"/>
  <c r="S162" i="39"/>
  <c r="S161" i="39"/>
  <c r="S160" i="39"/>
  <c r="S159" i="39"/>
  <c r="S158" i="39"/>
  <c r="S157" i="39"/>
  <c r="S156" i="39"/>
  <c r="S155" i="39"/>
  <c r="S154" i="39"/>
  <c r="S153" i="39"/>
  <c r="S152" i="39"/>
  <c r="S151" i="39"/>
  <c r="S150" i="39"/>
  <c r="S149" i="39"/>
  <c r="S148" i="39"/>
  <c r="S147" i="39"/>
  <c r="S146" i="39"/>
  <c r="S145" i="39"/>
  <c r="S144" i="39"/>
  <c r="S143" i="39"/>
  <c r="S142" i="39"/>
  <c r="S141" i="39"/>
  <c r="S140" i="39"/>
  <c r="S139" i="39"/>
  <c r="S138" i="39"/>
  <c r="S137" i="39"/>
  <c r="S136" i="39"/>
  <c r="S135" i="39"/>
  <c r="S134" i="39"/>
  <c r="S133" i="39"/>
  <c r="S132" i="39"/>
  <c r="S131" i="39"/>
  <c r="S130" i="39"/>
  <c r="S129" i="39"/>
  <c r="S128" i="39"/>
  <c r="S127" i="39"/>
  <c r="S126" i="39"/>
  <c r="S125" i="39"/>
  <c r="S124" i="39"/>
  <c r="S123" i="39"/>
  <c r="S122" i="39"/>
  <c r="S121" i="39"/>
  <c r="S120" i="39"/>
  <c r="S119" i="39"/>
  <c r="S118" i="39"/>
  <c r="S117" i="39"/>
  <c r="S116" i="39"/>
  <c r="S115" i="39"/>
  <c r="S114" i="39"/>
  <c r="S113" i="39"/>
  <c r="S112" i="39"/>
  <c r="S111" i="39"/>
  <c r="S110" i="39"/>
  <c r="S109" i="39"/>
  <c r="S108" i="39"/>
  <c r="S107" i="39"/>
  <c r="S106" i="39"/>
  <c r="S105" i="39"/>
  <c r="S104" i="39"/>
  <c r="S103" i="39"/>
  <c r="S102" i="39"/>
  <c r="S101" i="39"/>
  <c r="S100" i="39"/>
  <c r="S99" i="39"/>
  <c r="S98" i="39"/>
  <c r="S97" i="39"/>
  <c r="S96" i="39"/>
  <c r="S95" i="39"/>
  <c r="S94" i="39"/>
  <c r="S93" i="39"/>
  <c r="S92" i="39"/>
  <c r="S91" i="39"/>
  <c r="S90" i="39"/>
  <c r="S89" i="39"/>
  <c r="S88" i="39"/>
  <c r="S87" i="39"/>
  <c r="S86" i="39"/>
  <c r="S85" i="39"/>
  <c r="S84" i="39"/>
  <c r="S83" i="39"/>
  <c r="S82" i="39"/>
  <c r="S81" i="39"/>
  <c r="S80" i="39"/>
  <c r="S79" i="39"/>
  <c r="S78" i="39"/>
  <c r="S77" i="39"/>
  <c r="S76" i="39"/>
  <c r="S75" i="39"/>
  <c r="S74" i="39"/>
  <c r="S73" i="39"/>
  <c r="S72" i="39"/>
  <c r="S71" i="39"/>
  <c r="S70" i="39"/>
  <c r="S69" i="39"/>
  <c r="S68" i="39"/>
  <c r="S67" i="39"/>
  <c r="S66" i="39"/>
  <c r="S65" i="39"/>
  <c r="S64" i="39"/>
  <c r="S63" i="39"/>
  <c r="S62" i="39"/>
  <c r="S61" i="39"/>
  <c r="S60" i="39"/>
  <c r="S59" i="39"/>
  <c r="S58" i="39"/>
  <c r="S57" i="39"/>
  <c r="S56" i="39"/>
  <c r="S55" i="39"/>
  <c r="S54" i="39"/>
  <c r="S53" i="39"/>
  <c r="S52" i="39"/>
  <c r="S51" i="39"/>
  <c r="S50" i="39"/>
  <c r="S49" i="39"/>
  <c r="S48" i="39"/>
  <c r="S47" i="39"/>
  <c r="S46" i="39"/>
  <c r="S45" i="39"/>
  <c r="S44" i="39"/>
  <c r="S43" i="39"/>
  <c r="S42" i="39"/>
  <c r="S41" i="39"/>
  <c r="S40" i="39"/>
  <c r="S39" i="39"/>
  <c r="S38" i="39"/>
  <c r="S37" i="39"/>
  <c r="S36" i="39"/>
  <c r="S35" i="39"/>
  <c r="S34" i="39"/>
  <c r="S33" i="39"/>
  <c r="S32" i="39"/>
  <c r="S31" i="39"/>
  <c r="S30" i="39"/>
  <c r="S29" i="39"/>
  <c r="S28" i="39"/>
  <c r="S27" i="39"/>
  <c r="S26" i="39"/>
  <c r="S25" i="39"/>
  <c r="S24" i="39"/>
  <c r="S23" i="39"/>
  <c r="S22" i="39"/>
  <c r="S21" i="39"/>
  <c r="S20" i="39"/>
  <c r="S19" i="39"/>
  <c r="S18" i="39"/>
  <c r="S17" i="39"/>
  <c r="S16" i="39"/>
  <c r="S15" i="39"/>
  <c r="S14" i="39"/>
  <c r="S13" i="39"/>
  <c r="S12" i="39"/>
  <c r="S11" i="39"/>
  <c r="S10" i="39"/>
  <c r="S9" i="39"/>
  <c r="S8" i="39"/>
  <c r="S7" i="39"/>
  <c r="S6" i="39"/>
  <c r="S5" i="39"/>
  <c r="S4" i="39"/>
  <c r="S3" i="39"/>
  <c r="J206" i="39"/>
  <c r="J205" i="39"/>
  <c r="J204" i="39"/>
  <c r="J203" i="39"/>
  <c r="J202" i="39"/>
  <c r="J201" i="39"/>
  <c r="J200" i="39"/>
  <c r="J199" i="39"/>
  <c r="J198" i="39"/>
  <c r="J197" i="39"/>
  <c r="J196" i="39"/>
  <c r="J195" i="39"/>
  <c r="J194" i="39"/>
  <c r="J193" i="39"/>
  <c r="J192" i="39"/>
  <c r="J191" i="39"/>
  <c r="J190" i="39"/>
  <c r="J189" i="39"/>
  <c r="J188" i="39"/>
  <c r="J187" i="39"/>
  <c r="J186" i="39"/>
  <c r="J185" i="39"/>
  <c r="J184" i="39"/>
  <c r="J183" i="39"/>
  <c r="J182" i="39"/>
  <c r="J181" i="39"/>
  <c r="J180" i="39"/>
  <c r="J179" i="39"/>
  <c r="J178" i="39"/>
  <c r="J177" i="39"/>
  <c r="J176" i="39"/>
  <c r="J175" i="39"/>
  <c r="J174" i="39"/>
  <c r="J173" i="39"/>
  <c r="J172" i="39"/>
  <c r="J171" i="39"/>
  <c r="J170" i="39"/>
  <c r="J169" i="39"/>
  <c r="J168" i="39"/>
  <c r="J167" i="39"/>
  <c r="J166" i="39"/>
  <c r="J165" i="39"/>
  <c r="J164" i="39"/>
  <c r="J163" i="39"/>
  <c r="J162" i="39"/>
  <c r="J161" i="39"/>
  <c r="J160" i="39"/>
  <c r="J159" i="39"/>
  <c r="J158" i="39"/>
  <c r="J157" i="39"/>
  <c r="J156" i="39"/>
  <c r="J155" i="39"/>
  <c r="J154" i="39"/>
  <c r="J153" i="39"/>
  <c r="J152" i="39"/>
  <c r="J151" i="39"/>
  <c r="J150" i="39"/>
  <c r="J149" i="39"/>
  <c r="J148" i="39"/>
  <c r="J147" i="39"/>
  <c r="J146" i="39"/>
  <c r="J145" i="39"/>
  <c r="J144" i="39"/>
  <c r="J143" i="39"/>
  <c r="J142" i="39"/>
  <c r="J141" i="39"/>
  <c r="J140" i="39"/>
  <c r="J139" i="39"/>
  <c r="J138" i="39"/>
  <c r="J137" i="39"/>
  <c r="J136" i="39"/>
  <c r="J135" i="39"/>
  <c r="J134" i="39"/>
  <c r="J133" i="39"/>
  <c r="J132" i="39"/>
  <c r="J131" i="39"/>
  <c r="J130" i="39"/>
  <c r="J129" i="39"/>
  <c r="J128" i="39"/>
  <c r="J127" i="39"/>
  <c r="J126" i="39"/>
  <c r="J125" i="39"/>
  <c r="J124" i="39"/>
  <c r="J123" i="39"/>
  <c r="J122" i="39"/>
  <c r="J121" i="39"/>
  <c r="J120" i="39"/>
  <c r="J119" i="39"/>
  <c r="J118" i="39"/>
  <c r="J117" i="39"/>
  <c r="J116" i="39"/>
  <c r="J115" i="39"/>
  <c r="J114" i="39"/>
  <c r="J113" i="39"/>
  <c r="J112" i="39"/>
  <c r="J111" i="39"/>
  <c r="J110" i="39"/>
  <c r="J109" i="39"/>
  <c r="J108" i="39"/>
  <c r="J107" i="39"/>
  <c r="J106" i="39"/>
  <c r="J105" i="39"/>
  <c r="J104" i="39"/>
  <c r="J103" i="39"/>
  <c r="J102" i="39"/>
  <c r="J101" i="39"/>
  <c r="J100" i="39"/>
  <c r="J99" i="39"/>
  <c r="J98" i="39"/>
  <c r="J97" i="39"/>
  <c r="J96" i="39"/>
  <c r="J95" i="39"/>
  <c r="J94" i="39"/>
  <c r="J93" i="39"/>
  <c r="J92" i="39"/>
  <c r="J91" i="39"/>
  <c r="J90" i="39"/>
  <c r="J89" i="39"/>
  <c r="J88" i="39"/>
  <c r="J87" i="39"/>
  <c r="J86" i="39"/>
  <c r="J85" i="39"/>
  <c r="J84" i="39"/>
  <c r="J83" i="39"/>
  <c r="J82" i="39"/>
  <c r="J81" i="39"/>
  <c r="J80" i="39"/>
  <c r="J79" i="39"/>
  <c r="J78" i="39"/>
  <c r="J77" i="39"/>
  <c r="J76" i="39"/>
  <c r="J75" i="39"/>
  <c r="J74" i="39"/>
  <c r="J73" i="39"/>
  <c r="J72" i="39"/>
  <c r="J71" i="39"/>
  <c r="J70" i="39"/>
  <c r="J69" i="39"/>
  <c r="J68" i="39"/>
  <c r="J67" i="39"/>
  <c r="J66" i="39"/>
  <c r="J65" i="39"/>
  <c r="J64" i="39"/>
  <c r="J63" i="39"/>
  <c r="J62" i="39"/>
  <c r="J61" i="39"/>
  <c r="J60" i="39"/>
  <c r="J59" i="39"/>
  <c r="J58" i="39"/>
  <c r="J57" i="39"/>
  <c r="J56" i="39"/>
  <c r="J55" i="39"/>
  <c r="J54" i="39"/>
  <c r="J53" i="39"/>
  <c r="J52" i="39"/>
  <c r="J51" i="39"/>
  <c r="J50" i="39"/>
  <c r="J49" i="39"/>
  <c r="J48" i="39"/>
  <c r="J47" i="39"/>
  <c r="J46" i="39"/>
  <c r="J45" i="39"/>
  <c r="J44" i="39"/>
  <c r="J43" i="39"/>
  <c r="J42" i="39"/>
  <c r="J41" i="39"/>
  <c r="J40" i="39"/>
  <c r="J39" i="39"/>
  <c r="J38" i="39"/>
  <c r="J37" i="39"/>
  <c r="J36" i="39"/>
  <c r="J35" i="39"/>
  <c r="J34" i="39"/>
  <c r="J33" i="39"/>
  <c r="J32" i="39"/>
  <c r="J31" i="39"/>
  <c r="J30" i="39"/>
  <c r="J29" i="39"/>
  <c r="J28" i="39"/>
  <c r="J27" i="39"/>
  <c r="J26" i="39"/>
  <c r="J25" i="39"/>
  <c r="J24" i="39"/>
  <c r="J23" i="39"/>
  <c r="J22" i="39"/>
  <c r="J21" i="39"/>
  <c r="J20" i="39"/>
  <c r="J19" i="39"/>
  <c r="J18" i="39"/>
  <c r="J17" i="39"/>
  <c r="J16" i="39"/>
  <c r="J15" i="39"/>
  <c r="J14" i="39"/>
  <c r="J13" i="39"/>
  <c r="J12" i="39"/>
  <c r="J11" i="39"/>
  <c r="J10" i="39"/>
  <c r="J9" i="39"/>
  <c r="J8" i="39"/>
  <c r="J7" i="39"/>
  <c r="J6" i="39"/>
  <c r="J5" i="39"/>
  <c r="J4" i="39"/>
  <c r="J3" i="39"/>
  <c r="G134" i="39"/>
  <c r="F134" i="39"/>
  <c r="C134" i="39"/>
  <c r="B134" i="39"/>
  <c r="D158" i="37" l="1"/>
  <c r="D94" i="37"/>
  <c r="D212" i="37" s="1"/>
  <c r="Z44" i="37"/>
  <c r="M22" i="38"/>
  <c r="E58" i="44"/>
  <c r="E59" i="44"/>
  <c r="E50" i="44"/>
  <c r="D59" i="44"/>
  <c r="D68" i="44"/>
  <c r="O45" i="37" s="1"/>
  <c r="B220" i="28"/>
  <c r="B220" i="27"/>
  <c r="B220" i="23"/>
  <c r="B220" i="26"/>
  <c r="B220" i="22"/>
  <c r="B220" i="21"/>
  <c r="B220" i="20"/>
  <c r="G134" i="28"/>
  <c r="F134" i="28"/>
  <c r="C134" i="28"/>
  <c r="G134" i="27"/>
  <c r="F134" i="27"/>
  <c r="C134" i="27"/>
  <c r="G134" i="23"/>
  <c r="F134" i="23"/>
  <c r="C134" i="23"/>
  <c r="G134" i="26"/>
  <c r="F134" i="26"/>
  <c r="C134" i="26"/>
  <c r="G134" i="22"/>
  <c r="F134" i="22"/>
  <c r="C134" i="22"/>
  <c r="G134" i="21"/>
  <c r="F134" i="21"/>
  <c r="C134" i="21"/>
  <c r="E69" i="44" l="1"/>
  <c r="P46" i="37" s="1"/>
  <c r="E68" i="44"/>
  <c r="P45" i="37" s="1"/>
  <c r="D60" i="44"/>
  <c r="D69" i="44"/>
  <c r="O46" i="37" s="1"/>
  <c r="E51" i="44"/>
  <c r="E60" i="44"/>
  <c r="C134" i="33"/>
  <c r="U134" i="39" s="1"/>
  <c r="B134" i="33"/>
  <c r="T134" i="39" s="1"/>
  <c r="C134" i="32"/>
  <c r="L134" i="39" s="1"/>
  <c r="B134" i="32"/>
  <c r="K134" i="39" s="1"/>
  <c r="C11" i="30"/>
  <c r="C10" i="30"/>
  <c r="C9" i="30"/>
  <c r="C8" i="30"/>
  <c r="C7" i="30"/>
  <c r="C6" i="30"/>
  <c r="C5" i="30"/>
  <c r="C4" i="30"/>
  <c r="C3" i="30"/>
  <c r="C2" i="30"/>
  <c r="B12" i="30"/>
  <c r="B11" i="30"/>
  <c r="B10" i="30"/>
  <c r="B9" i="30"/>
  <c r="B8" i="30"/>
  <c r="B7" i="30"/>
  <c r="B6" i="30"/>
  <c r="B5" i="30"/>
  <c r="B4" i="30"/>
  <c r="B3" i="30"/>
  <c r="B2" i="30"/>
  <c r="E70" i="44" l="1"/>
  <c r="P47" i="37" s="1"/>
  <c r="E52" i="44"/>
  <c r="E62" i="44" s="1"/>
  <c r="E61" i="44"/>
  <c r="D61" i="44"/>
  <c r="D70" i="44"/>
  <c r="O47" i="37" s="1"/>
  <c r="E71" i="44" l="1"/>
  <c r="P48" i="37" s="1"/>
  <c r="E72" i="44"/>
  <c r="P49" i="37" s="1"/>
  <c r="D62" i="44"/>
  <c r="D71" i="44"/>
  <c r="O48" i="37" s="1"/>
  <c r="D72" i="44" l="1"/>
  <c r="O49" i="37" s="1"/>
  <c r="B220" i="19"/>
  <c r="H123" i="19"/>
  <c r="I123" i="19" s="1"/>
  <c r="J123" i="19" s="1"/>
  <c r="C59" i="34" l="1"/>
  <c r="C78" i="34" s="1"/>
  <c r="A184" i="37"/>
  <c r="A183" i="37"/>
  <c r="A182" i="37"/>
  <c r="A181" i="37"/>
  <c r="A180" i="37"/>
  <c r="I129" i="37"/>
  <c r="I166" i="37" s="1"/>
  <c r="H129" i="37"/>
  <c r="H166" i="37" s="1"/>
  <c r="G129" i="37"/>
  <c r="G166" i="37" s="1"/>
  <c r="F129" i="37"/>
  <c r="F166" i="37" s="1"/>
  <c r="E129" i="37"/>
  <c r="E166" i="37" s="1"/>
  <c r="D129" i="37"/>
  <c r="D166" i="37" s="1"/>
  <c r="C129" i="37"/>
  <c r="C166" i="37" s="1"/>
  <c r="B129" i="37"/>
  <c r="B166" i="37" s="1"/>
  <c r="I128" i="37"/>
  <c r="I165" i="37" s="1"/>
  <c r="H128" i="37"/>
  <c r="H165" i="37" s="1"/>
  <c r="G128" i="37"/>
  <c r="G165" i="37" s="1"/>
  <c r="F128" i="37"/>
  <c r="F165" i="37" s="1"/>
  <c r="E128" i="37"/>
  <c r="E165" i="37" s="1"/>
  <c r="D128" i="37"/>
  <c r="D165" i="37" s="1"/>
  <c r="C128" i="37"/>
  <c r="C165" i="37" s="1"/>
  <c r="B128" i="37"/>
  <c r="B165" i="37" s="1"/>
  <c r="I81" i="37"/>
  <c r="I85" i="44" s="1"/>
  <c r="H81" i="37"/>
  <c r="H85" i="44" s="1"/>
  <c r="G81" i="37"/>
  <c r="G85" i="44" s="1"/>
  <c r="F81" i="37"/>
  <c r="F85" i="44" s="1"/>
  <c r="E81" i="37"/>
  <c r="E85" i="44" s="1"/>
  <c r="D81" i="37"/>
  <c r="D85" i="44" s="1"/>
  <c r="C81" i="37"/>
  <c r="C85" i="44" s="1"/>
  <c r="B81" i="37"/>
  <c r="B85" i="44" s="1"/>
  <c r="I80" i="37"/>
  <c r="I84" i="44" s="1"/>
  <c r="H80" i="37"/>
  <c r="H84" i="44" s="1"/>
  <c r="G80" i="37"/>
  <c r="G84" i="44" s="1"/>
  <c r="F80" i="37"/>
  <c r="F84" i="44" s="1"/>
  <c r="E80" i="37"/>
  <c r="E84" i="44" s="1"/>
  <c r="D80" i="37"/>
  <c r="D84" i="44" s="1"/>
  <c r="C80" i="37"/>
  <c r="C84" i="44" s="1"/>
  <c r="B80" i="37"/>
  <c r="B84" i="44" s="1"/>
  <c r="A171" i="37" l="1"/>
  <c r="A192" i="37"/>
  <c r="A168" i="37"/>
  <c r="A189" i="37"/>
  <c r="A172" i="37"/>
  <c r="A193" i="37"/>
  <c r="A170" i="37"/>
  <c r="A191" i="37"/>
  <c r="A169" i="37"/>
  <c r="A190" i="37"/>
  <c r="J165" i="37"/>
  <c r="J166" i="37"/>
  <c r="J128" i="37"/>
  <c r="J129" i="37"/>
  <c r="I9" i="9"/>
  <c r="I8" i="9"/>
  <c r="I7" i="9"/>
  <c r="I13" i="17"/>
  <c r="H13" i="17"/>
  <c r="G13" i="17"/>
  <c r="G43" i="37" s="1"/>
  <c r="G141" i="37" s="1"/>
  <c r="F13" i="17"/>
  <c r="E13" i="17"/>
  <c r="E15" i="17" s="1"/>
  <c r="D13" i="17"/>
  <c r="C13" i="17"/>
  <c r="C43" i="37" s="1"/>
  <c r="C141" i="37" s="1"/>
  <c r="I12" i="17"/>
  <c r="H12" i="17"/>
  <c r="G12" i="17"/>
  <c r="F12" i="17"/>
  <c r="E12" i="17"/>
  <c r="D12" i="17"/>
  <c r="C12" i="17"/>
  <c r="I11" i="17"/>
  <c r="H11" i="17"/>
  <c r="G11" i="17"/>
  <c r="F11" i="17"/>
  <c r="E11" i="17"/>
  <c r="D11" i="17"/>
  <c r="C11" i="17"/>
  <c r="I10" i="17"/>
  <c r="H10" i="17"/>
  <c r="G10" i="17"/>
  <c r="F10" i="17"/>
  <c r="E10" i="17"/>
  <c r="D10" i="17"/>
  <c r="C10" i="17"/>
  <c r="I9" i="17"/>
  <c r="H9" i="17"/>
  <c r="G9" i="17"/>
  <c r="F9" i="17"/>
  <c r="E9" i="17"/>
  <c r="D9" i="17"/>
  <c r="C9" i="17"/>
  <c r="I8" i="17"/>
  <c r="I27" i="17" s="1"/>
  <c r="H8" i="17"/>
  <c r="G8" i="17"/>
  <c r="F8" i="17"/>
  <c r="E8" i="17"/>
  <c r="D8" i="17"/>
  <c r="C8" i="17"/>
  <c r="I7" i="17"/>
  <c r="H7" i="17"/>
  <c r="G7" i="17"/>
  <c r="F7" i="17"/>
  <c r="E7" i="17"/>
  <c r="D7" i="17"/>
  <c r="C7" i="17"/>
  <c r="I6" i="17"/>
  <c r="I26" i="17" s="1"/>
  <c r="H6" i="17"/>
  <c r="G6" i="17"/>
  <c r="F6" i="17"/>
  <c r="E6" i="17"/>
  <c r="D6" i="17"/>
  <c r="I5" i="17"/>
  <c r="O32" i="9" s="1"/>
  <c r="O50" i="9" s="1"/>
  <c r="H5" i="17"/>
  <c r="G5" i="17"/>
  <c r="F5" i="17"/>
  <c r="E5" i="17"/>
  <c r="D5" i="17"/>
  <c r="I4" i="17"/>
  <c r="O31" i="9" s="1"/>
  <c r="H4" i="17"/>
  <c r="G4" i="17"/>
  <c r="F4" i="17"/>
  <c r="E4" i="17"/>
  <c r="D4" i="17"/>
  <c r="I3" i="17"/>
  <c r="O30" i="9" s="1"/>
  <c r="H3" i="17"/>
  <c r="G3" i="17"/>
  <c r="F3" i="17"/>
  <c r="E3" i="17"/>
  <c r="D3" i="17"/>
  <c r="B13" i="17"/>
  <c r="B43" i="37" s="1"/>
  <c r="B141" i="37" s="1"/>
  <c r="B12" i="17"/>
  <c r="B11" i="17"/>
  <c r="B10" i="17"/>
  <c r="B9" i="17"/>
  <c r="B8" i="17"/>
  <c r="B7" i="17"/>
  <c r="B6" i="17"/>
  <c r="B5" i="17"/>
  <c r="B4" i="17"/>
  <c r="B3" i="17"/>
  <c r="E16" i="17" l="1"/>
  <c r="E45" i="37"/>
  <c r="I28" i="17"/>
  <c r="O49" i="9"/>
  <c r="I25" i="17"/>
  <c r="I23" i="17"/>
  <c r="I24" i="17"/>
  <c r="J17" i="40"/>
  <c r="J16" i="40"/>
  <c r="J15" i="40"/>
  <c r="J14" i="40"/>
  <c r="J13" i="40"/>
  <c r="J12" i="40"/>
  <c r="J11" i="40"/>
  <c r="J10" i="40"/>
  <c r="C9" i="40"/>
  <c r="C8" i="40"/>
  <c r="C7" i="40"/>
  <c r="J6" i="40"/>
  <c r="J4" i="40"/>
  <c r="J3" i="40"/>
  <c r="E180" i="37" l="1"/>
  <c r="N27" i="38"/>
  <c r="AA45" i="37"/>
  <c r="E17" i="17"/>
  <c r="E46" i="37"/>
  <c r="J7" i="40"/>
  <c r="C3" i="17"/>
  <c r="C4" i="17"/>
  <c r="J8" i="40"/>
  <c r="C5" i="17"/>
  <c r="J9" i="40"/>
  <c r="C6" i="17"/>
  <c r="E159" i="37"/>
  <c r="E168" i="37" s="1"/>
  <c r="E169" i="37" s="1"/>
  <c r="E170" i="37" s="1"/>
  <c r="E171" i="37" s="1"/>
  <c r="E172" i="37" s="1"/>
  <c r="E181" i="37" l="1"/>
  <c r="O27" i="38"/>
  <c r="AA46" i="37"/>
  <c r="E18" i="17"/>
  <c r="E47" i="37"/>
  <c r="D15" i="17"/>
  <c r="D16" i="17" l="1"/>
  <c r="D45" i="37"/>
  <c r="AA47" i="37"/>
  <c r="E182" i="37"/>
  <c r="P27" i="38"/>
  <c r="E19" i="17"/>
  <c r="E49" i="37" s="1"/>
  <c r="E48" i="37"/>
  <c r="D159" i="37"/>
  <c r="D168" i="37" s="1"/>
  <c r="D169" i="37" s="1"/>
  <c r="D170" i="37" s="1"/>
  <c r="D171" i="37" s="1"/>
  <c r="D172" i="37" s="1"/>
  <c r="F40" i="17"/>
  <c r="E183" i="37" l="1"/>
  <c r="AA48" i="37"/>
  <c r="Q27" i="38"/>
  <c r="E184" i="37"/>
  <c r="R27" i="38"/>
  <c r="AA49" i="37"/>
  <c r="Z45" i="37"/>
  <c r="N22" i="38"/>
  <c r="D180" i="37"/>
  <c r="D17" i="17"/>
  <c r="D46" i="37"/>
  <c r="F39" i="44"/>
  <c r="F15" i="17"/>
  <c r="F159" i="37"/>
  <c r="Z46" i="37" l="1"/>
  <c r="O22" i="38"/>
  <c r="D181" i="37"/>
  <c r="D18" i="17"/>
  <c r="D47" i="37"/>
  <c r="F16" i="17"/>
  <c r="F48" i="44"/>
  <c r="F49" i="44" s="1"/>
  <c r="F50" i="44" s="1"/>
  <c r="F51" i="44" s="1"/>
  <c r="F52" i="44" s="1"/>
  <c r="B32" i="17"/>
  <c r="C32" i="17"/>
  <c r="C31" i="17"/>
  <c r="C30" i="17"/>
  <c r="C29" i="17"/>
  <c r="C28" i="17"/>
  <c r="C27" i="17"/>
  <c r="C26" i="17"/>
  <c r="C25" i="17"/>
  <c r="C24" i="17"/>
  <c r="C23" i="17"/>
  <c r="F17" i="17" l="1"/>
  <c r="Z47" i="37"/>
  <c r="D182" i="37"/>
  <c r="P22" i="38"/>
  <c r="D19" i="17"/>
  <c r="D49" i="37" s="1"/>
  <c r="D48" i="37"/>
  <c r="F67" i="44"/>
  <c r="Q44" i="37" s="1"/>
  <c r="F44" i="37" s="1"/>
  <c r="F142" i="37" s="1"/>
  <c r="F168" i="37" s="1"/>
  <c r="F169" i="37" s="1"/>
  <c r="F170" i="37" s="1"/>
  <c r="F171" i="37" s="1"/>
  <c r="F172" i="37" s="1"/>
  <c r="F58" i="44"/>
  <c r="F33" i="17"/>
  <c r="D33" i="17"/>
  <c r="F158" i="37" l="1"/>
  <c r="F94" i="37"/>
  <c r="F212" i="37" s="1"/>
  <c r="AB44" i="37"/>
  <c r="M32" i="38"/>
  <c r="Q22" i="38"/>
  <c r="D183" i="37"/>
  <c r="Z48" i="37"/>
  <c r="D184" i="37"/>
  <c r="Z49" i="37"/>
  <c r="R22" i="38"/>
  <c r="F18" i="17"/>
  <c r="F68" i="44"/>
  <c r="Q45" i="37" s="1"/>
  <c r="F45" i="37" s="1"/>
  <c r="F59" i="44"/>
  <c r="C40" i="44"/>
  <c r="C40" i="17"/>
  <c r="G206" i="39"/>
  <c r="F206" i="39"/>
  <c r="A206" i="39"/>
  <c r="G205" i="39"/>
  <c r="F205" i="39"/>
  <c r="A205" i="39"/>
  <c r="G204" i="39"/>
  <c r="F204" i="39"/>
  <c r="A204" i="39"/>
  <c r="G203" i="39"/>
  <c r="F203" i="39"/>
  <c r="A203" i="39"/>
  <c r="G202" i="39"/>
  <c r="F202" i="39"/>
  <c r="A202" i="39"/>
  <c r="G201" i="39"/>
  <c r="F201" i="39"/>
  <c r="A201" i="39"/>
  <c r="G200" i="39"/>
  <c r="F200" i="39"/>
  <c r="A200" i="39"/>
  <c r="G199" i="39"/>
  <c r="F199" i="39"/>
  <c r="A199" i="39"/>
  <c r="G198" i="39"/>
  <c r="F198" i="39"/>
  <c r="A198" i="39"/>
  <c r="G197" i="39"/>
  <c r="F197" i="39"/>
  <c r="A197" i="39"/>
  <c r="G196" i="39"/>
  <c r="F196" i="39"/>
  <c r="A196" i="39"/>
  <c r="G195" i="39"/>
  <c r="F195" i="39"/>
  <c r="A195" i="39"/>
  <c r="G194" i="39"/>
  <c r="F194" i="39"/>
  <c r="A194" i="39"/>
  <c r="G193" i="39"/>
  <c r="F193" i="39"/>
  <c r="A193" i="39"/>
  <c r="G192" i="39"/>
  <c r="F192" i="39"/>
  <c r="A192" i="39"/>
  <c r="G191" i="39"/>
  <c r="F191" i="39"/>
  <c r="A191" i="39"/>
  <c r="G190" i="39"/>
  <c r="F190" i="39"/>
  <c r="A190" i="39"/>
  <c r="G189" i="39"/>
  <c r="F189" i="39"/>
  <c r="A189" i="39"/>
  <c r="G188" i="39"/>
  <c r="F188" i="39"/>
  <c r="A188" i="39"/>
  <c r="G187" i="39"/>
  <c r="F187" i="39"/>
  <c r="A187" i="39"/>
  <c r="G186" i="39"/>
  <c r="F186" i="39"/>
  <c r="A186" i="39"/>
  <c r="G185" i="39"/>
  <c r="F185" i="39"/>
  <c r="A185" i="39"/>
  <c r="G184" i="39"/>
  <c r="F184" i="39"/>
  <c r="A184" i="39"/>
  <c r="G183" i="39"/>
  <c r="F183" i="39"/>
  <c r="A183" i="39"/>
  <c r="G182" i="39"/>
  <c r="F182" i="39"/>
  <c r="A182" i="39"/>
  <c r="G181" i="39"/>
  <c r="F181" i="39"/>
  <c r="A181" i="39"/>
  <c r="G180" i="39"/>
  <c r="F180" i="39"/>
  <c r="A180" i="39"/>
  <c r="G179" i="39"/>
  <c r="F179" i="39"/>
  <c r="A179" i="39"/>
  <c r="G178" i="39"/>
  <c r="F178" i="39"/>
  <c r="A178" i="39"/>
  <c r="G177" i="39"/>
  <c r="F177" i="39"/>
  <c r="A177" i="39"/>
  <c r="G176" i="39"/>
  <c r="F176" i="39"/>
  <c r="A176" i="39"/>
  <c r="G175" i="39"/>
  <c r="F175" i="39"/>
  <c r="A175" i="39"/>
  <c r="G174" i="39"/>
  <c r="F174" i="39"/>
  <c r="A174" i="39"/>
  <c r="G173" i="39"/>
  <c r="F173" i="39"/>
  <c r="A173" i="39"/>
  <c r="G172" i="39"/>
  <c r="F172" i="39"/>
  <c r="A172" i="39"/>
  <c r="G171" i="39"/>
  <c r="F171" i="39"/>
  <c r="A171" i="39"/>
  <c r="G170" i="39"/>
  <c r="F170" i="39"/>
  <c r="A170" i="39"/>
  <c r="G169" i="39"/>
  <c r="F169" i="39"/>
  <c r="A169" i="39"/>
  <c r="G168" i="39"/>
  <c r="F168" i="39"/>
  <c r="A168" i="39"/>
  <c r="G167" i="39"/>
  <c r="F167" i="39"/>
  <c r="A167" i="39"/>
  <c r="G166" i="39"/>
  <c r="F166" i="39"/>
  <c r="A166" i="39"/>
  <c r="G165" i="39"/>
  <c r="F165" i="39"/>
  <c r="A165" i="39"/>
  <c r="G164" i="39"/>
  <c r="F164" i="39"/>
  <c r="A164" i="39"/>
  <c r="G163" i="39"/>
  <c r="F163" i="39"/>
  <c r="A163" i="39"/>
  <c r="G162" i="39"/>
  <c r="F162" i="39"/>
  <c r="A162" i="39"/>
  <c r="G161" i="39"/>
  <c r="F161" i="39"/>
  <c r="A161" i="39"/>
  <c r="G160" i="39"/>
  <c r="F160" i="39"/>
  <c r="A160" i="39"/>
  <c r="G159" i="39"/>
  <c r="F159" i="39"/>
  <c r="A159" i="39"/>
  <c r="G158" i="39"/>
  <c r="F158" i="39"/>
  <c r="A158" i="39"/>
  <c r="G157" i="39"/>
  <c r="F157" i="39"/>
  <c r="A157" i="39"/>
  <c r="G156" i="39"/>
  <c r="F156" i="39"/>
  <c r="A156" i="39"/>
  <c r="G155" i="39"/>
  <c r="F155" i="39"/>
  <c r="A155" i="39"/>
  <c r="G154" i="39"/>
  <c r="F154" i="39"/>
  <c r="A154" i="39"/>
  <c r="G153" i="39"/>
  <c r="F153" i="39"/>
  <c r="A153" i="39"/>
  <c r="G152" i="39"/>
  <c r="F152" i="39"/>
  <c r="A152" i="39"/>
  <c r="G151" i="39"/>
  <c r="F151" i="39"/>
  <c r="A151" i="39"/>
  <c r="G150" i="39"/>
  <c r="F150" i="39"/>
  <c r="A150" i="39"/>
  <c r="G149" i="39"/>
  <c r="F149" i="39"/>
  <c r="A149" i="39"/>
  <c r="G148" i="39"/>
  <c r="F148" i="39"/>
  <c r="A148" i="39"/>
  <c r="G147" i="39"/>
  <c r="F147" i="39"/>
  <c r="A147" i="39"/>
  <c r="G146" i="39"/>
  <c r="F146" i="39"/>
  <c r="A146" i="39"/>
  <c r="G145" i="39"/>
  <c r="F145" i="39"/>
  <c r="A145" i="39"/>
  <c r="G144" i="39"/>
  <c r="F144" i="39"/>
  <c r="A144" i="39"/>
  <c r="G143" i="39"/>
  <c r="F143" i="39"/>
  <c r="A143" i="39"/>
  <c r="G142" i="39"/>
  <c r="F142" i="39"/>
  <c r="A142" i="39"/>
  <c r="G141" i="39"/>
  <c r="F141" i="39"/>
  <c r="A141" i="39"/>
  <c r="G140" i="39"/>
  <c r="F140" i="39"/>
  <c r="A140" i="39"/>
  <c r="G139" i="39"/>
  <c r="F139" i="39"/>
  <c r="A139" i="39"/>
  <c r="G138" i="39"/>
  <c r="F138" i="39"/>
  <c r="A138" i="39"/>
  <c r="G137" i="39"/>
  <c r="F137" i="39"/>
  <c r="A137" i="39"/>
  <c r="G136" i="39"/>
  <c r="F136" i="39"/>
  <c r="A136" i="39"/>
  <c r="G135" i="39"/>
  <c r="F135" i="39"/>
  <c r="A135" i="39"/>
  <c r="A134" i="39"/>
  <c r="G133" i="39"/>
  <c r="F133" i="39"/>
  <c r="B133" i="39"/>
  <c r="A133" i="39"/>
  <c r="G132" i="39"/>
  <c r="F132" i="39"/>
  <c r="B132" i="39"/>
  <c r="A132" i="39"/>
  <c r="G131" i="39"/>
  <c r="F131" i="39"/>
  <c r="B131" i="39"/>
  <c r="A131" i="39"/>
  <c r="G130" i="39"/>
  <c r="F130" i="39"/>
  <c r="B130" i="39"/>
  <c r="A130" i="39"/>
  <c r="G129" i="39"/>
  <c r="F129" i="39"/>
  <c r="B129" i="39"/>
  <c r="A129" i="39"/>
  <c r="G128" i="39"/>
  <c r="F128" i="39"/>
  <c r="B128" i="39"/>
  <c r="A128" i="39"/>
  <c r="G127" i="39"/>
  <c r="F127" i="39"/>
  <c r="B127" i="39"/>
  <c r="A127" i="39"/>
  <c r="G126" i="39"/>
  <c r="F126" i="39"/>
  <c r="B126" i="39"/>
  <c r="A126" i="39"/>
  <c r="G125" i="39"/>
  <c r="F125" i="39"/>
  <c r="B125" i="39"/>
  <c r="A125" i="39"/>
  <c r="G124" i="39"/>
  <c r="F124" i="39"/>
  <c r="B124" i="39"/>
  <c r="A124" i="39"/>
  <c r="G123" i="39"/>
  <c r="F123" i="39"/>
  <c r="E123" i="39"/>
  <c r="B123" i="39"/>
  <c r="A123" i="39"/>
  <c r="G122" i="39"/>
  <c r="F122" i="39"/>
  <c r="B122" i="39"/>
  <c r="A122" i="39"/>
  <c r="G121" i="39"/>
  <c r="F121" i="39"/>
  <c r="B121" i="39"/>
  <c r="A121" i="39"/>
  <c r="G120" i="39"/>
  <c r="F120" i="39"/>
  <c r="B120" i="39"/>
  <c r="A120" i="39"/>
  <c r="G119" i="39"/>
  <c r="F119" i="39"/>
  <c r="B119" i="39"/>
  <c r="A119" i="39"/>
  <c r="G118" i="39"/>
  <c r="F118" i="39"/>
  <c r="B118" i="39"/>
  <c r="A118" i="39"/>
  <c r="G117" i="39"/>
  <c r="F117" i="39"/>
  <c r="B117" i="39"/>
  <c r="A117" i="39"/>
  <c r="G116" i="39"/>
  <c r="F116" i="39"/>
  <c r="B116" i="39"/>
  <c r="A116" i="39"/>
  <c r="G115" i="39"/>
  <c r="F115" i="39"/>
  <c r="B115" i="39"/>
  <c r="A115" i="39"/>
  <c r="G114" i="39"/>
  <c r="F114" i="39"/>
  <c r="B114" i="39"/>
  <c r="A114" i="39"/>
  <c r="G113" i="39"/>
  <c r="F113" i="39"/>
  <c r="B113" i="39"/>
  <c r="A113" i="39"/>
  <c r="G112" i="39"/>
  <c r="F112" i="39"/>
  <c r="B112" i="39"/>
  <c r="A112" i="39"/>
  <c r="G111" i="39"/>
  <c r="F111" i="39"/>
  <c r="B111" i="39"/>
  <c r="A111" i="39"/>
  <c r="G110" i="39"/>
  <c r="F110" i="39"/>
  <c r="B110" i="39"/>
  <c r="A110" i="39"/>
  <c r="G109" i="39"/>
  <c r="F109" i="39"/>
  <c r="B109" i="39"/>
  <c r="A109" i="39"/>
  <c r="G108" i="39"/>
  <c r="F108" i="39"/>
  <c r="B108" i="39"/>
  <c r="A108" i="39"/>
  <c r="G107" i="39"/>
  <c r="F107" i="39"/>
  <c r="B107" i="39"/>
  <c r="A107" i="39"/>
  <c r="G106" i="39"/>
  <c r="F106" i="39"/>
  <c r="B106" i="39"/>
  <c r="A106" i="39"/>
  <c r="G105" i="39"/>
  <c r="F105" i="39"/>
  <c r="B105" i="39"/>
  <c r="A105" i="39"/>
  <c r="G104" i="39"/>
  <c r="F104" i="39"/>
  <c r="B104" i="39"/>
  <c r="A104" i="39"/>
  <c r="G103" i="39"/>
  <c r="F103" i="39"/>
  <c r="B103" i="39"/>
  <c r="A103" i="39"/>
  <c r="G102" i="39"/>
  <c r="F102" i="39"/>
  <c r="B102" i="39"/>
  <c r="A102" i="39"/>
  <c r="G101" i="39"/>
  <c r="F101" i="39"/>
  <c r="B101" i="39"/>
  <c r="A101" i="39"/>
  <c r="G100" i="39"/>
  <c r="F100" i="39"/>
  <c r="B100" i="39"/>
  <c r="A100" i="39"/>
  <c r="G99" i="39"/>
  <c r="F99" i="39"/>
  <c r="B99" i="39"/>
  <c r="A99" i="39"/>
  <c r="G98" i="39"/>
  <c r="F98" i="39"/>
  <c r="D98" i="39"/>
  <c r="C98" i="39"/>
  <c r="B98" i="39"/>
  <c r="A98" i="39"/>
  <c r="G97" i="39"/>
  <c r="F97" i="39"/>
  <c r="D97" i="39"/>
  <c r="C97" i="39"/>
  <c r="B97" i="39"/>
  <c r="A97" i="39"/>
  <c r="G96" i="39"/>
  <c r="F96" i="39"/>
  <c r="D96" i="39"/>
  <c r="C96" i="39"/>
  <c r="B96" i="39"/>
  <c r="A96" i="39"/>
  <c r="G95" i="39"/>
  <c r="F95" i="39"/>
  <c r="D95" i="39"/>
  <c r="C95" i="39"/>
  <c r="B95" i="39"/>
  <c r="A95" i="39"/>
  <c r="G94" i="39"/>
  <c r="F94" i="39"/>
  <c r="D94" i="39"/>
  <c r="C94" i="39"/>
  <c r="B94" i="39"/>
  <c r="A94" i="39"/>
  <c r="G93" i="39"/>
  <c r="F93" i="39"/>
  <c r="D93" i="39"/>
  <c r="C93" i="39"/>
  <c r="B93" i="39"/>
  <c r="A93" i="39"/>
  <c r="G92" i="39"/>
  <c r="F92" i="39"/>
  <c r="D92" i="39"/>
  <c r="C92" i="39"/>
  <c r="B92" i="39"/>
  <c r="A92" i="39"/>
  <c r="G91" i="39"/>
  <c r="F91" i="39"/>
  <c r="D91" i="39"/>
  <c r="C91" i="39"/>
  <c r="B91" i="39"/>
  <c r="A91" i="39"/>
  <c r="G90" i="39"/>
  <c r="F90" i="39"/>
  <c r="D90" i="39"/>
  <c r="C90" i="39"/>
  <c r="B90" i="39"/>
  <c r="A90" i="39"/>
  <c r="G89" i="39"/>
  <c r="F89" i="39"/>
  <c r="D89" i="39"/>
  <c r="C89" i="39"/>
  <c r="B89" i="39"/>
  <c r="A89" i="39"/>
  <c r="G88" i="39"/>
  <c r="F88" i="39"/>
  <c r="D88" i="39"/>
  <c r="C88" i="39"/>
  <c r="B88" i="39"/>
  <c r="A88" i="39"/>
  <c r="G87" i="39"/>
  <c r="F87" i="39"/>
  <c r="D87" i="39"/>
  <c r="C87" i="39"/>
  <c r="B87" i="39"/>
  <c r="A87" i="39"/>
  <c r="G86" i="39"/>
  <c r="F86" i="39"/>
  <c r="D86" i="39"/>
  <c r="C86" i="39"/>
  <c r="B86" i="39"/>
  <c r="A86" i="39"/>
  <c r="G85" i="39"/>
  <c r="F85" i="39"/>
  <c r="D85" i="39"/>
  <c r="C85" i="39"/>
  <c r="B85" i="39"/>
  <c r="A85" i="39"/>
  <c r="G84" i="39"/>
  <c r="F84" i="39"/>
  <c r="D84" i="39"/>
  <c r="C84" i="39"/>
  <c r="B84" i="39"/>
  <c r="A84" i="39"/>
  <c r="G83" i="39"/>
  <c r="F83" i="39"/>
  <c r="D83" i="39"/>
  <c r="C83" i="39"/>
  <c r="B83" i="39"/>
  <c r="A83" i="39"/>
  <c r="G82" i="39"/>
  <c r="F82" i="39"/>
  <c r="D82" i="39"/>
  <c r="C82" i="39"/>
  <c r="B82" i="39"/>
  <c r="A82" i="39"/>
  <c r="G81" i="39"/>
  <c r="F81" i="39"/>
  <c r="D81" i="39"/>
  <c r="C81" i="39"/>
  <c r="B81" i="39"/>
  <c r="A81" i="39"/>
  <c r="G80" i="39"/>
  <c r="F80" i="39"/>
  <c r="D80" i="39"/>
  <c r="C80" i="39"/>
  <c r="B80" i="39"/>
  <c r="A80" i="39"/>
  <c r="G79" i="39"/>
  <c r="F79" i="39"/>
  <c r="D79" i="39"/>
  <c r="C79" i="39"/>
  <c r="B79" i="39"/>
  <c r="A79" i="39"/>
  <c r="G78" i="39"/>
  <c r="F78" i="39"/>
  <c r="D78" i="39"/>
  <c r="C78" i="39"/>
  <c r="B78" i="39"/>
  <c r="A78" i="39"/>
  <c r="G77" i="39"/>
  <c r="F77" i="39"/>
  <c r="D77" i="39"/>
  <c r="C77" i="39"/>
  <c r="B77" i="39"/>
  <c r="A77" i="39"/>
  <c r="G76" i="39"/>
  <c r="F76" i="39"/>
  <c r="D76" i="39"/>
  <c r="C76" i="39"/>
  <c r="B76" i="39"/>
  <c r="A76" i="39"/>
  <c r="G75" i="39"/>
  <c r="F75" i="39"/>
  <c r="D75" i="39"/>
  <c r="C75" i="39"/>
  <c r="B75" i="39"/>
  <c r="A75" i="39"/>
  <c r="G74" i="39"/>
  <c r="F74" i="39"/>
  <c r="D74" i="39"/>
  <c r="C74" i="39"/>
  <c r="B74" i="39"/>
  <c r="A74" i="39"/>
  <c r="G73" i="39"/>
  <c r="F73" i="39"/>
  <c r="D73" i="39"/>
  <c r="C73" i="39"/>
  <c r="B73" i="39"/>
  <c r="A73" i="39"/>
  <c r="G72" i="39"/>
  <c r="F72" i="39"/>
  <c r="D72" i="39"/>
  <c r="C72" i="39"/>
  <c r="B72" i="39"/>
  <c r="A72" i="39"/>
  <c r="G71" i="39"/>
  <c r="F71" i="39"/>
  <c r="D71" i="39"/>
  <c r="C71" i="39"/>
  <c r="B71" i="39"/>
  <c r="A71" i="39"/>
  <c r="G70" i="39"/>
  <c r="F70" i="39"/>
  <c r="D70" i="39"/>
  <c r="C70" i="39"/>
  <c r="B70" i="39"/>
  <c r="A70" i="39"/>
  <c r="G69" i="39"/>
  <c r="F69" i="39"/>
  <c r="D69" i="39"/>
  <c r="C69" i="39"/>
  <c r="B69" i="39"/>
  <c r="A69" i="39"/>
  <c r="G68" i="39"/>
  <c r="F68" i="39"/>
  <c r="D68" i="39"/>
  <c r="C68" i="39"/>
  <c r="B68" i="39"/>
  <c r="A68" i="39"/>
  <c r="G67" i="39"/>
  <c r="F67" i="39"/>
  <c r="D67" i="39"/>
  <c r="C67" i="39"/>
  <c r="B67" i="39"/>
  <c r="A67" i="39"/>
  <c r="G66" i="39"/>
  <c r="F66" i="39"/>
  <c r="D66" i="39"/>
  <c r="C66" i="39"/>
  <c r="B66" i="39"/>
  <c r="A66" i="39"/>
  <c r="G65" i="39"/>
  <c r="F65" i="39"/>
  <c r="D65" i="39"/>
  <c r="C65" i="39"/>
  <c r="B65" i="39"/>
  <c r="A65" i="39"/>
  <c r="G64" i="39"/>
  <c r="F64" i="39"/>
  <c r="D64" i="39"/>
  <c r="C64" i="39"/>
  <c r="B64" i="39"/>
  <c r="A64" i="39"/>
  <c r="G63" i="39"/>
  <c r="F63" i="39"/>
  <c r="D63" i="39"/>
  <c r="C63" i="39"/>
  <c r="B63" i="39"/>
  <c r="A63" i="39"/>
  <c r="G62" i="39"/>
  <c r="F62" i="39"/>
  <c r="D62" i="39"/>
  <c r="C62" i="39"/>
  <c r="B62" i="39"/>
  <c r="A62" i="39"/>
  <c r="G61" i="39"/>
  <c r="F61" i="39"/>
  <c r="D61" i="39"/>
  <c r="C61" i="39"/>
  <c r="B61" i="39"/>
  <c r="A61" i="39"/>
  <c r="G60" i="39"/>
  <c r="F60" i="39"/>
  <c r="D60" i="39"/>
  <c r="C60" i="39"/>
  <c r="B60" i="39"/>
  <c r="A60" i="39"/>
  <c r="G59" i="39"/>
  <c r="F59" i="39"/>
  <c r="D59" i="39"/>
  <c r="C59" i="39"/>
  <c r="B59" i="39"/>
  <c r="A59" i="39"/>
  <c r="G58" i="39"/>
  <c r="F58" i="39"/>
  <c r="D58" i="39"/>
  <c r="C58" i="39"/>
  <c r="B58" i="39"/>
  <c r="A58" i="39"/>
  <c r="G57" i="39"/>
  <c r="F57" i="39"/>
  <c r="D57" i="39"/>
  <c r="C57" i="39"/>
  <c r="B57" i="39"/>
  <c r="A57" i="39"/>
  <c r="G56" i="39"/>
  <c r="F56" i="39"/>
  <c r="D56" i="39"/>
  <c r="C56" i="39"/>
  <c r="B56" i="39"/>
  <c r="A56" i="39"/>
  <c r="G55" i="39"/>
  <c r="F55" i="39"/>
  <c r="D55" i="39"/>
  <c r="C55" i="39"/>
  <c r="B55" i="39"/>
  <c r="A55" i="39"/>
  <c r="G54" i="39"/>
  <c r="F54" i="39"/>
  <c r="D54" i="39"/>
  <c r="C54" i="39"/>
  <c r="B54" i="39"/>
  <c r="A54" i="39"/>
  <c r="G53" i="39"/>
  <c r="F53" i="39"/>
  <c r="D53" i="39"/>
  <c r="C53" i="39"/>
  <c r="B53" i="39"/>
  <c r="A53" i="39"/>
  <c r="G52" i="39"/>
  <c r="F52" i="39"/>
  <c r="D52" i="39"/>
  <c r="C52" i="39"/>
  <c r="B52" i="39"/>
  <c r="A52" i="39"/>
  <c r="G51" i="39"/>
  <c r="F51" i="39"/>
  <c r="D51" i="39"/>
  <c r="C51" i="39"/>
  <c r="B51" i="39"/>
  <c r="A51" i="39"/>
  <c r="G50" i="39"/>
  <c r="F50" i="39"/>
  <c r="D50" i="39"/>
  <c r="C50" i="39"/>
  <c r="B50" i="39"/>
  <c r="A50" i="39"/>
  <c r="G49" i="39"/>
  <c r="F49" i="39"/>
  <c r="D49" i="39"/>
  <c r="C49" i="39"/>
  <c r="B49" i="39"/>
  <c r="A49" i="39"/>
  <c r="G48" i="39"/>
  <c r="F48" i="39"/>
  <c r="D48" i="39"/>
  <c r="C48" i="39"/>
  <c r="B48" i="39"/>
  <c r="A48" i="39"/>
  <c r="G47" i="39"/>
  <c r="F47" i="39"/>
  <c r="D47" i="39"/>
  <c r="C47" i="39"/>
  <c r="B47" i="39"/>
  <c r="A47" i="39"/>
  <c r="G46" i="39"/>
  <c r="F46" i="39"/>
  <c r="D46" i="39"/>
  <c r="C46" i="39"/>
  <c r="B46" i="39"/>
  <c r="A46" i="39"/>
  <c r="G45" i="39"/>
  <c r="F45" i="39"/>
  <c r="D45" i="39"/>
  <c r="C45" i="39"/>
  <c r="B45" i="39"/>
  <c r="A45" i="39"/>
  <c r="G44" i="39"/>
  <c r="F44" i="39"/>
  <c r="D44" i="39"/>
  <c r="C44" i="39"/>
  <c r="B44" i="39"/>
  <c r="A44" i="39"/>
  <c r="G43" i="39"/>
  <c r="F43" i="39"/>
  <c r="D43" i="39"/>
  <c r="C43" i="39"/>
  <c r="B43" i="39"/>
  <c r="A43" i="39"/>
  <c r="G42" i="39"/>
  <c r="F42" i="39"/>
  <c r="D42" i="39"/>
  <c r="C42" i="39"/>
  <c r="B42" i="39"/>
  <c r="A42" i="39"/>
  <c r="G41" i="39"/>
  <c r="F41" i="39"/>
  <c r="D41" i="39"/>
  <c r="C41" i="39"/>
  <c r="B41" i="39"/>
  <c r="A41" i="39"/>
  <c r="G40" i="39"/>
  <c r="F40" i="39"/>
  <c r="D40" i="39"/>
  <c r="C40" i="39"/>
  <c r="B40" i="39"/>
  <c r="A40" i="39"/>
  <c r="G39" i="39"/>
  <c r="F39" i="39"/>
  <c r="D39" i="39"/>
  <c r="C39" i="39"/>
  <c r="B39" i="39"/>
  <c r="A39" i="39"/>
  <c r="G38" i="39"/>
  <c r="F38" i="39"/>
  <c r="D38" i="39"/>
  <c r="C38" i="39"/>
  <c r="B38" i="39"/>
  <c r="A38" i="39"/>
  <c r="G37" i="39"/>
  <c r="F37" i="39"/>
  <c r="D37" i="39"/>
  <c r="C37" i="39"/>
  <c r="B37" i="39"/>
  <c r="A37" i="39"/>
  <c r="G36" i="39"/>
  <c r="F36" i="39"/>
  <c r="D36" i="39"/>
  <c r="C36" i="39"/>
  <c r="B36" i="39"/>
  <c r="A36" i="39"/>
  <c r="G35" i="39"/>
  <c r="F35" i="39"/>
  <c r="D35" i="39"/>
  <c r="C35" i="39"/>
  <c r="B35" i="39"/>
  <c r="A35" i="39"/>
  <c r="G34" i="39"/>
  <c r="F34" i="39"/>
  <c r="D34" i="39"/>
  <c r="C34" i="39"/>
  <c r="B34" i="39"/>
  <c r="A34" i="39"/>
  <c r="G33" i="39"/>
  <c r="F33" i="39"/>
  <c r="D33" i="39"/>
  <c r="C33" i="39"/>
  <c r="B33" i="39"/>
  <c r="A33" i="39"/>
  <c r="G32" i="39"/>
  <c r="F32" i="39"/>
  <c r="D32" i="39"/>
  <c r="C32" i="39"/>
  <c r="B32" i="39"/>
  <c r="A32" i="39"/>
  <c r="G31" i="39"/>
  <c r="F31" i="39"/>
  <c r="D31" i="39"/>
  <c r="C31" i="39"/>
  <c r="B31" i="39"/>
  <c r="A31" i="39"/>
  <c r="G30" i="39"/>
  <c r="F30" i="39"/>
  <c r="D30" i="39"/>
  <c r="C30" i="39"/>
  <c r="B30" i="39"/>
  <c r="A30" i="39"/>
  <c r="G29" i="39"/>
  <c r="F29" i="39"/>
  <c r="D29" i="39"/>
  <c r="C29" i="39"/>
  <c r="B29" i="39"/>
  <c r="A29" i="39"/>
  <c r="G28" i="39"/>
  <c r="F28" i="39"/>
  <c r="D28" i="39"/>
  <c r="C28" i="39"/>
  <c r="B28" i="39"/>
  <c r="A28" i="39"/>
  <c r="G27" i="39"/>
  <c r="F27" i="39"/>
  <c r="D27" i="39"/>
  <c r="C27" i="39"/>
  <c r="B27" i="39"/>
  <c r="A27" i="39"/>
  <c r="G26" i="39"/>
  <c r="F26" i="39"/>
  <c r="D26" i="39"/>
  <c r="C26" i="39"/>
  <c r="B26" i="39"/>
  <c r="A26" i="39"/>
  <c r="G25" i="39"/>
  <c r="F25" i="39"/>
  <c r="D25" i="39"/>
  <c r="C25" i="39"/>
  <c r="B25" i="39"/>
  <c r="A25" i="39"/>
  <c r="G24" i="39"/>
  <c r="F24" i="39"/>
  <c r="D24" i="39"/>
  <c r="C24" i="39"/>
  <c r="B24" i="39"/>
  <c r="A24" i="39"/>
  <c r="G23" i="39"/>
  <c r="F23" i="39"/>
  <c r="D23" i="39"/>
  <c r="C23" i="39"/>
  <c r="B23" i="39"/>
  <c r="A23" i="39"/>
  <c r="G22" i="39"/>
  <c r="F22" i="39"/>
  <c r="D22" i="39"/>
  <c r="C22" i="39"/>
  <c r="B22" i="39"/>
  <c r="A22" i="39"/>
  <c r="G21" i="39"/>
  <c r="F21" i="39"/>
  <c r="D21" i="39"/>
  <c r="C21" i="39"/>
  <c r="B21" i="39"/>
  <c r="A21" i="39"/>
  <c r="G20" i="39"/>
  <c r="F20" i="39"/>
  <c r="D20" i="39"/>
  <c r="C20" i="39"/>
  <c r="B20" i="39"/>
  <c r="A20" i="39"/>
  <c r="G19" i="39"/>
  <c r="F19" i="39"/>
  <c r="D19" i="39"/>
  <c r="C19" i="39"/>
  <c r="B19" i="39"/>
  <c r="A19" i="39"/>
  <c r="G18" i="39"/>
  <c r="F18" i="39"/>
  <c r="D18" i="39"/>
  <c r="C18" i="39"/>
  <c r="B18" i="39"/>
  <c r="A18" i="39"/>
  <c r="G17" i="39"/>
  <c r="F17" i="39"/>
  <c r="D17" i="39"/>
  <c r="C17" i="39"/>
  <c r="B17" i="39"/>
  <c r="A17" i="39"/>
  <c r="G16" i="39"/>
  <c r="F16" i="39"/>
  <c r="D16" i="39"/>
  <c r="C16" i="39"/>
  <c r="B16" i="39"/>
  <c r="A16" i="39"/>
  <c r="G15" i="39"/>
  <c r="F15" i="39"/>
  <c r="D15" i="39"/>
  <c r="C15" i="39"/>
  <c r="B15" i="39"/>
  <c r="A15" i="39"/>
  <c r="G14" i="39"/>
  <c r="F14" i="39"/>
  <c r="D14" i="39"/>
  <c r="C14" i="39"/>
  <c r="B14" i="39"/>
  <c r="A14" i="39"/>
  <c r="G13" i="39"/>
  <c r="F13" i="39"/>
  <c r="D13" i="39"/>
  <c r="C13" i="39"/>
  <c r="B13" i="39"/>
  <c r="A13" i="39"/>
  <c r="G12" i="39"/>
  <c r="F12" i="39"/>
  <c r="D12" i="39"/>
  <c r="C12" i="39"/>
  <c r="B12" i="39"/>
  <c r="A12" i="39"/>
  <c r="G11" i="39"/>
  <c r="F11" i="39"/>
  <c r="D11" i="39"/>
  <c r="C11" i="39"/>
  <c r="B11" i="39"/>
  <c r="A11" i="39"/>
  <c r="G10" i="39"/>
  <c r="F10" i="39"/>
  <c r="D10" i="39"/>
  <c r="C10" i="39"/>
  <c r="B10" i="39"/>
  <c r="A10" i="39"/>
  <c r="G9" i="39"/>
  <c r="F9" i="39"/>
  <c r="D9" i="39"/>
  <c r="C9" i="39"/>
  <c r="B9" i="39"/>
  <c r="A9" i="39"/>
  <c r="G8" i="39"/>
  <c r="F8" i="39"/>
  <c r="D8" i="39"/>
  <c r="C8" i="39"/>
  <c r="B8" i="39"/>
  <c r="A8" i="39"/>
  <c r="G7" i="39"/>
  <c r="F7" i="39"/>
  <c r="D7" i="39"/>
  <c r="C7" i="39"/>
  <c r="B7" i="39"/>
  <c r="A7" i="39"/>
  <c r="G6" i="39"/>
  <c r="F6" i="39"/>
  <c r="D6" i="39"/>
  <c r="C6" i="39"/>
  <c r="B6" i="39"/>
  <c r="A6" i="39"/>
  <c r="G5" i="39"/>
  <c r="F5" i="39"/>
  <c r="D5" i="39"/>
  <c r="C5" i="39"/>
  <c r="B5" i="39"/>
  <c r="A5" i="39"/>
  <c r="G4" i="39"/>
  <c r="F4" i="39"/>
  <c r="D4" i="39"/>
  <c r="C4" i="39"/>
  <c r="B4" i="39"/>
  <c r="A4" i="39"/>
  <c r="G3" i="39"/>
  <c r="F3" i="39"/>
  <c r="D3" i="39"/>
  <c r="C3" i="39"/>
  <c r="B3" i="39"/>
  <c r="A3" i="39"/>
  <c r="C110" i="38"/>
  <c r="B110" i="38"/>
  <c r="C105" i="38"/>
  <c r="C106" i="38" s="1"/>
  <c r="B105" i="38"/>
  <c r="B106" i="38" s="1"/>
  <c r="C100" i="38"/>
  <c r="C101" i="38" s="1"/>
  <c r="B100" i="38"/>
  <c r="B101" i="38" s="1"/>
  <c r="C95" i="38"/>
  <c r="C96" i="38" s="1"/>
  <c r="B95" i="38"/>
  <c r="B96" i="38" s="1"/>
  <c r="B90" i="38"/>
  <c r="B91" i="38" s="1"/>
  <c r="C90" i="38"/>
  <c r="C91" i="38" s="1"/>
  <c r="B85" i="38"/>
  <c r="B86" i="38" s="1"/>
  <c r="C85" i="38"/>
  <c r="C86" i="38" s="1"/>
  <c r="C81" i="38"/>
  <c r="B81" i="38"/>
  <c r="C77" i="38"/>
  <c r="B77" i="38"/>
  <c r="C68" i="38"/>
  <c r="A46" i="38"/>
  <c r="A108" i="38" s="1"/>
  <c r="A41" i="38"/>
  <c r="A103" i="38" s="1"/>
  <c r="A36" i="38"/>
  <c r="A98" i="38" s="1"/>
  <c r="A31" i="38"/>
  <c r="A93" i="38" s="1"/>
  <c r="A26" i="38"/>
  <c r="A88" i="38" s="1"/>
  <c r="A21" i="38"/>
  <c r="A83" i="38" s="1"/>
  <c r="A17" i="38"/>
  <c r="A79" i="38" s="1"/>
  <c r="A13" i="38"/>
  <c r="A75" i="38" s="1"/>
  <c r="F317" i="37"/>
  <c r="F316" i="37"/>
  <c r="F315" i="37"/>
  <c r="F314" i="37"/>
  <c r="F313" i="37"/>
  <c r="F312" i="37"/>
  <c r="F311" i="37"/>
  <c r="F310" i="37"/>
  <c r="F309" i="37"/>
  <c r="F308" i="37"/>
  <c r="F307" i="37"/>
  <c r="F302" i="37"/>
  <c r="L44" i="38" s="1"/>
  <c r="L44" i="11" s="1"/>
  <c r="E302" i="37"/>
  <c r="L39" i="38" s="1"/>
  <c r="L39" i="11" s="1"/>
  <c r="D302" i="37"/>
  <c r="L34" i="38" s="1"/>
  <c r="L34" i="11" s="1"/>
  <c r="C302" i="37"/>
  <c r="L29" i="38" s="1"/>
  <c r="L29" i="11" s="1"/>
  <c r="B302" i="37"/>
  <c r="L24" i="38" s="1"/>
  <c r="L24" i="11" s="1"/>
  <c r="F301" i="37"/>
  <c r="K44" i="38" s="1"/>
  <c r="K44" i="11" s="1"/>
  <c r="E301" i="37"/>
  <c r="K39" i="38" s="1"/>
  <c r="K39" i="11" s="1"/>
  <c r="D301" i="37"/>
  <c r="K34" i="38" s="1"/>
  <c r="K34" i="11" s="1"/>
  <c r="C301" i="37"/>
  <c r="K29" i="38" s="1"/>
  <c r="K29" i="11" s="1"/>
  <c r="B301" i="37"/>
  <c r="K24" i="38" s="1"/>
  <c r="K24" i="11" s="1"/>
  <c r="F300" i="37"/>
  <c r="J44" i="38" s="1"/>
  <c r="J44" i="11" s="1"/>
  <c r="E300" i="37"/>
  <c r="J39" i="38" s="1"/>
  <c r="J39" i="11" s="1"/>
  <c r="D300" i="37"/>
  <c r="J34" i="38" s="1"/>
  <c r="J34" i="11" s="1"/>
  <c r="C300" i="37"/>
  <c r="J29" i="38" s="1"/>
  <c r="J29" i="11" s="1"/>
  <c r="B300" i="37"/>
  <c r="J24" i="38" s="1"/>
  <c r="J24" i="11" s="1"/>
  <c r="F299" i="37"/>
  <c r="I44" i="38" s="1"/>
  <c r="I44" i="11" s="1"/>
  <c r="E299" i="37"/>
  <c r="I39" i="38" s="1"/>
  <c r="I39" i="11" s="1"/>
  <c r="D299" i="37"/>
  <c r="I34" i="38" s="1"/>
  <c r="I34" i="11" s="1"/>
  <c r="C299" i="37"/>
  <c r="I29" i="38" s="1"/>
  <c r="I29" i="11" s="1"/>
  <c r="B299" i="37"/>
  <c r="I24" i="38" s="1"/>
  <c r="I24" i="11" s="1"/>
  <c r="F298" i="37"/>
  <c r="H44" i="38" s="1"/>
  <c r="H44" i="11" s="1"/>
  <c r="E298" i="37"/>
  <c r="H39" i="38" s="1"/>
  <c r="H39" i="11" s="1"/>
  <c r="D298" i="37"/>
  <c r="H34" i="38" s="1"/>
  <c r="H34" i="11" s="1"/>
  <c r="C298" i="37"/>
  <c r="H29" i="38" s="1"/>
  <c r="H29" i="11" s="1"/>
  <c r="B298" i="37"/>
  <c r="H24" i="38" s="1"/>
  <c r="H24" i="11" s="1"/>
  <c r="F297" i="37"/>
  <c r="G44" i="38" s="1"/>
  <c r="G44" i="11" s="1"/>
  <c r="E297" i="37"/>
  <c r="G39" i="38" s="1"/>
  <c r="G39" i="11" s="1"/>
  <c r="D297" i="37"/>
  <c r="G34" i="38" s="1"/>
  <c r="G34" i="11" s="1"/>
  <c r="C297" i="37"/>
  <c r="G29" i="38" s="1"/>
  <c r="G29" i="11" s="1"/>
  <c r="B297" i="37"/>
  <c r="G24" i="38" s="1"/>
  <c r="G24" i="11" s="1"/>
  <c r="F296" i="37"/>
  <c r="F44" i="38" s="1"/>
  <c r="F44" i="11" s="1"/>
  <c r="E296" i="37"/>
  <c r="F39" i="38" s="1"/>
  <c r="F39" i="11" s="1"/>
  <c r="D296" i="37"/>
  <c r="F34" i="38" s="1"/>
  <c r="F34" i="11" s="1"/>
  <c r="C296" i="37"/>
  <c r="F29" i="38" s="1"/>
  <c r="F29" i="11" s="1"/>
  <c r="B296" i="37"/>
  <c r="F24" i="38" s="1"/>
  <c r="F24" i="11" s="1"/>
  <c r="F295" i="37"/>
  <c r="E44" i="38" s="1"/>
  <c r="E44" i="11" s="1"/>
  <c r="E295" i="37"/>
  <c r="E39" i="38" s="1"/>
  <c r="E39" i="11" s="1"/>
  <c r="D295" i="37"/>
  <c r="E34" i="38" s="1"/>
  <c r="E34" i="11" s="1"/>
  <c r="C295" i="37"/>
  <c r="E29" i="38" s="1"/>
  <c r="E29" i="11" s="1"/>
  <c r="B295" i="37"/>
  <c r="E24" i="38" s="1"/>
  <c r="E24" i="11" s="1"/>
  <c r="F294" i="37"/>
  <c r="D44" i="38" s="1"/>
  <c r="D44" i="11" s="1"/>
  <c r="E294" i="37"/>
  <c r="D39" i="38" s="1"/>
  <c r="D39" i="11" s="1"/>
  <c r="D294" i="37"/>
  <c r="D34" i="38" s="1"/>
  <c r="D34" i="11" s="1"/>
  <c r="C294" i="37"/>
  <c r="D29" i="38" s="1"/>
  <c r="D29" i="11" s="1"/>
  <c r="B294" i="37"/>
  <c r="D24" i="38" s="1"/>
  <c r="D24" i="11" s="1"/>
  <c r="F293" i="37"/>
  <c r="C44" i="38" s="1"/>
  <c r="C44" i="11" s="1"/>
  <c r="E293" i="37"/>
  <c r="C39" i="38" s="1"/>
  <c r="C39" i="11" s="1"/>
  <c r="D293" i="37"/>
  <c r="C34" i="38" s="1"/>
  <c r="C34" i="11" s="1"/>
  <c r="C293" i="37"/>
  <c r="C29" i="38" s="1"/>
  <c r="C29" i="11" s="1"/>
  <c r="B293" i="37"/>
  <c r="C24" i="38" s="1"/>
  <c r="C24" i="11" s="1"/>
  <c r="F292" i="37"/>
  <c r="B44" i="38" s="1"/>
  <c r="B44" i="11" s="1"/>
  <c r="E292" i="37"/>
  <c r="B39" i="38" s="1"/>
  <c r="B39" i="11" s="1"/>
  <c r="D292" i="37"/>
  <c r="B34" i="38" s="1"/>
  <c r="B34" i="11" s="1"/>
  <c r="C292" i="37"/>
  <c r="B29" i="38" s="1"/>
  <c r="B29" i="11" s="1"/>
  <c r="B292" i="37"/>
  <c r="B24" i="38" s="1"/>
  <c r="B24" i="11" s="1"/>
  <c r="N32" i="38" l="1"/>
  <c r="AB45" i="37"/>
  <c r="F180" i="37"/>
  <c r="F19" i="17"/>
  <c r="G96" i="38"/>
  <c r="I106" i="38"/>
  <c r="E86" i="38"/>
  <c r="D106" i="38"/>
  <c r="E91" i="38"/>
  <c r="E106" i="38"/>
  <c r="F96" i="38"/>
  <c r="H106" i="38"/>
  <c r="H101" i="38"/>
  <c r="F91" i="38"/>
  <c r="E101" i="38"/>
  <c r="H86" i="38"/>
  <c r="F86" i="38"/>
  <c r="H91" i="38"/>
  <c r="D96" i="38"/>
  <c r="H96" i="38"/>
  <c r="F101" i="38"/>
  <c r="F106" i="38"/>
  <c r="D101" i="38"/>
  <c r="I101" i="38"/>
  <c r="G86" i="38"/>
  <c r="I91" i="38"/>
  <c r="E96" i="38"/>
  <c r="I96" i="38"/>
  <c r="G101" i="38"/>
  <c r="G106" i="38"/>
  <c r="D91" i="38"/>
  <c r="F69" i="44"/>
  <c r="Q46" i="37" s="1"/>
  <c r="F46" i="37" s="1"/>
  <c r="F60" i="44"/>
  <c r="C39" i="44"/>
  <c r="C159" i="37"/>
  <c r="J84" i="38"/>
  <c r="M22" i="11"/>
  <c r="J94" i="38"/>
  <c r="M32" i="11"/>
  <c r="B53" i="38"/>
  <c r="J53" i="38"/>
  <c r="C114" i="38"/>
  <c r="D53" i="38"/>
  <c r="H53" i="38"/>
  <c r="L53" i="38"/>
  <c r="G91" i="38"/>
  <c r="G53" i="38"/>
  <c r="D86" i="38"/>
  <c r="I86" i="38"/>
  <c r="E53" i="38"/>
  <c r="I53" i="38"/>
  <c r="C53" i="38"/>
  <c r="K53" i="38"/>
  <c r="F53" i="38"/>
  <c r="B115" i="38"/>
  <c r="C115" i="38"/>
  <c r="B114" i="38"/>
  <c r="F324" i="37"/>
  <c r="F328" i="37"/>
  <c r="F329" i="37"/>
  <c r="F332" i="37"/>
  <c r="F322" i="37"/>
  <c r="F326" i="37"/>
  <c r="G298" i="37"/>
  <c r="H10" i="38" s="1"/>
  <c r="G300" i="37"/>
  <c r="J10" i="38" s="1"/>
  <c r="F330" i="37"/>
  <c r="G293" i="37"/>
  <c r="C10" i="38" s="1"/>
  <c r="F323" i="37"/>
  <c r="G297" i="37"/>
  <c r="G10" i="38" s="1"/>
  <c r="F327" i="37"/>
  <c r="G301" i="37"/>
  <c r="K10" i="38" s="1"/>
  <c r="F331" i="37"/>
  <c r="F325" i="37"/>
  <c r="G296" i="37"/>
  <c r="F10" i="38" s="1"/>
  <c r="G294" i="37"/>
  <c r="D10" i="38" s="1"/>
  <c r="G302" i="37"/>
  <c r="L10" i="38" s="1"/>
  <c r="G295" i="37"/>
  <c r="E10" i="38" s="1"/>
  <c r="G292" i="37"/>
  <c r="B10" i="38" s="1"/>
  <c r="G299" i="37"/>
  <c r="I10" i="38" s="1"/>
  <c r="F335" i="37" l="1"/>
  <c r="F181" i="37"/>
  <c r="O32" i="38"/>
  <c r="AB46" i="37"/>
  <c r="G115" i="38"/>
  <c r="F115" i="38"/>
  <c r="E115" i="38"/>
  <c r="H115" i="38"/>
  <c r="E10" i="11"/>
  <c r="E58" i="38"/>
  <c r="E58" i="11" s="1"/>
  <c r="K10" i="11"/>
  <c r="K58" i="38"/>
  <c r="K58" i="11" s="1"/>
  <c r="C10" i="11"/>
  <c r="C58" i="38"/>
  <c r="C58" i="11" s="1"/>
  <c r="I10" i="11"/>
  <c r="I58" i="38"/>
  <c r="I58" i="11" s="1"/>
  <c r="H10" i="11"/>
  <c r="H58" i="38"/>
  <c r="H58" i="11" s="1"/>
  <c r="I115" i="38"/>
  <c r="L10" i="11"/>
  <c r="L58" i="38"/>
  <c r="L58" i="11" s="1"/>
  <c r="G10" i="11"/>
  <c r="G58" i="38"/>
  <c r="G58" i="11" s="1"/>
  <c r="D10" i="11"/>
  <c r="D58" i="38"/>
  <c r="D58" i="11" s="1"/>
  <c r="F58" i="38"/>
  <c r="F58" i="11" s="1"/>
  <c r="F10" i="11"/>
  <c r="J58" i="38"/>
  <c r="J58" i="11" s="1"/>
  <c r="J10" i="11"/>
  <c r="B58" i="38"/>
  <c r="B58" i="11" s="1"/>
  <c r="B10" i="11"/>
  <c r="K63" i="38"/>
  <c r="D115" i="38"/>
  <c r="B63" i="38"/>
  <c r="F61" i="44"/>
  <c r="F70" i="44"/>
  <c r="Q47" i="37" s="1"/>
  <c r="F47" i="37" s="1"/>
  <c r="C48" i="44"/>
  <c r="C49" i="44" s="1"/>
  <c r="C50" i="44" s="1"/>
  <c r="C51" i="44" s="1"/>
  <c r="C52" i="44" s="1"/>
  <c r="C15" i="17"/>
  <c r="C33" i="17"/>
  <c r="P32" i="38" l="1"/>
  <c r="F182" i="37"/>
  <c r="AB47" i="37"/>
  <c r="I63" i="38"/>
  <c r="E63" i="38"/>
  <c r="C63" i="38"/>
  <c r="G63" i="38"/>
  <c r="J63" i="38"/>
  <c r="F63" i="38"/>
  <c r="D63" i="38"/>
  <c r="H63" i="38"/>
  <c r="F62" i="44"/>
  <c r="F71" i="44"/>
  <c r="Q48" i="37" s="1"/>
  <c r="F48" i="37" s="1"/>
  <c r="C67" i="44"/>
  <c r="N44" i="37" s="1"/>
  <c r="C44" i="37" s="1"/>
  <c r="C58" i="44"/>
  <c r="C16" i="17"/>
  <c r="C94" i="37" l="1"/>
  <c r="C212" i="37" s="1"/>
  <c r="C142" i="37"/>
  <c r="C168" i="37" s="1"/>
  <c r="C169" i="37" s="1"/>
  <c r="C170" i="37" s="1"/>
  <c r="C171" i="37" s="1"/>
  <c r="C172" i="37" s="1"/>
  <c r="Q32" i="38"/>
  <c r="AB48" i="37"/>
  <c r="F183" i="37"/>
  <c r="M18" i="38"/>
  <c r="Y44" i="37"/>
  <c r="F72" i="44"/>
  <c r="Q49" i="37" s="1"/>
  <c r="F49" i="37" s="1"/>
  <c r="C68" i="44"/>
  <c r="N45" i="37" s="1"/>
  <c r="C45" i="37" s="1"/>
  <c r="C59" i="44"/>
  <c r="C17" i="17"/>
  <c r="I177" i="37"/>
  <c r="H177" i="37"/>
  <c r="E198" i="37"/>
  <c r="H198" i="37"/>
  <c r="I198" i="37"/>
  <c r="B199" i="37"/>
  <c r="F198" i="37"/>
  <c r="F177" i="37"/>
  <c r="C199" i="37"/>
  <c r="C178" i="37"/>
  <c r="G199" i="37"/>
  <c r="G178" i="37"/>
  <c r="C198" i="37"/>
  <c r="C177" i="37"/>
  <c r="G198" i="37"/>
  <c r="G177" i="37"/>
  <c r="D199" i="37"/>
  <c r="D178" i="37"/>
  <c r="H199" i="37"/>
  <c r="H178" i="37"/>
  <c r="E199" i="37"/>
  <c r="I199" i="37"/>
  <c r="I178" i="37"/>
  <c r="B198" i="37"/>
  <c r="F199" i="37"/>
  <c r="D198" i="37"/>
  <c r="A242" i="37"/>
  <c r="A241" i="37"/>
  <c r="A240" i="37"/>
  <c r="A239" i="37"/>
  <c r="A238" i="37"/>
  <c r="B24" i="17"/>
  <c r="B23" i="17"/>
  <c r="D177" i="37"/>
  <c r="B178" i="37"/>
  <c r="C158" i="37" l="1"/>
  <c r="AB49" i="37"/>
  <c r="R32" i="38"/>
  <c r="F184" i="37"/>
  <c r="N18" i="38"/>
  <c r="Y45" i="37"/>
  <c r="C180" i="37"/>
  <c r="J80" i="38"/>
  <c r="M18" i="11"/>
  <c r="A262" i="37"/>
  <c r="A253" i="37"/>
  <c r="A263" i="37"/>
  <c r="A254" i="37"/>
  <c r="A260" i="37"/>
  <c r="A251" i="37"/>
  <c r="A259" i="37"/>
  <c r="A250" i="37"/>
  <c r="A261" i="37"/>
  <c r="A252" i="37"/>
  <c r="C60" i="44"/>
  <c r="C69" i="44"/>
  <c r="N46" i="37" s="1"/>
  <c r="C46" i="37" s="1"/>
  <c r="C18" i="17"/>
  <c r="B177" i="37"/>
  <c r="E177" i="37"/>
  <c r="F178" i="37"/>
  <c r="E178" i="37"/>
  <c r="I236" i="37"/>
  <c r="I248" i="37" s="1"/>
  <c r="H236" i="37"/>
  <c r="H248" i="37" s="1"/>
  <c r="G236" i="37"/>
  <c r="G248" i="37" s="1"/>
  <c r="F236" i="37"/>
  <c r="F248" i="37" s="1"/>
  <c r="E236" i="37"/>
  <c r="E248" i="37" s="1"/>
  <c r="D236" i="37"/>
  <c r="D248" i="37" s="1"/>
  <c r="C236" i="37"/>
  <c r="C248" i="37" s="1"/>
  <c r="B236" i="37"/>
  <c r="B248" i="37" s="1"/>
  <c r="I235" i="37"/>
  <c r="I247" i="37" s="1"/>
  <c r="H235" i="37"/>
  <c r="H247" i="37" s="1"/>
  <c r="G235" i="37"/>
  <c r="G247" i="37" s="1"/>
  <c r="F235" i="37"/>
  <c r="F247" i="37" s="1"/>
  <c r="E235" i="37"/>
  <c r="E247" i="37" s="1"/>
  <c r="C235" i="37"/>
  <c r="C247" i="37" s="1"/>
  <c r="B235" i="37"/>
  <c r="B247" i="37" s="1"/>
  <c r="D235" i="37"/>
  <c r="D247" i="37" s="1"/>
  <c r="J31" i="37"/>
  <c r="F6" i="37" s="1"/>
  <c r="J30" i="37"/>
  <c r="F5" i="37" s="1"/>
  <c r="A277" i="37" l="1"/>
  <c r="A285" i="37" s="1"/>
  <c r="A341" i="37" s="1"/>
  <c r="A269" i="37"/>
  <c r="A279" i="37"/>
  <c r="A287" i="37" s="1"/>
  <c r="A343" i="37" s="1"/>
  <c r="A271" i="37"/>
  <c r="A275" i="37"/>
  <c r="A283" i="37" s="1"/>
  <c r="A339" i="37" s="1"/>
  <c r="A267" i="37"/>
  <c r="A276" i="37"/>
  <c r="A284" i="37" s="1"/>
  <c r="A340" i="37" s="1"/>
  <c r="A268" i="37"/>
  <c r="A278" i="37"/>
  <c r="A286" i="37" s="1"/>
  <c r="A342" i="37" s="1"/>
  <c r="A270" i="37"/>
  <c r="Y46" i="37"/>
  <c r="O18" i="38"/>
  <c r="C181" i="37"/>
  <c r="X36" i="37"/>
  <c r="E14" i="38"/>
  <c r="Y33" i="37"/>
  <c r="B18" i="38"/>
  <c r="B18" i="11" s="1"/>
  <c r="Z34" i="37"/>
  <c r="C22" i="38"/>
  <c r="C22" i="11" s="1"/>
  <c r="AA35" i="37"/>
  <c r="D27" i="38"/>
  <c r="D27" i="11" s="1"/>
  <c r="AB36" i="37"/>
  <c r="E32" i="38"/>
  <c r="Y37" i="37"/>
  <c r="F18" i="38"/>
  <c r="Z38" i="37"/>
  <c r="G22" i="38"/>
  <c r="AD38" i="37"/>
  <c r="G42" i="38"/>
  <c r="AA39" i="37"/>
  <c r="H27" i="38"/>
  <c r="AE39" i="37"/>
  <c r="H47" i="38"/>
  <c r="Y41" i="37"/>
  <c r="J18" i="38"/>
  <c r="AC41" i="37"/>
  <c r="J37" i="38"/>
  <c r="Z42" i="37"/>
  <c r="K22" i="38"/>
  <c r="AD42" i="37"/>
  <c r="K42" i="38"/>
  <c r="AA43" i="37"/>
  <c r="L27" i="38"/>
  <c r="AE43" i="37"/>
  <c r="L47" i="38"/>
  <c r="X33" i="37"/>
  <c r="B14" i="38"/>
  <c r="X41" i="37"/>
  <c r="J14" i="38"/>
  <c r="Z33" i="37"/>
  <c r="B22" i="38"/>
  <c r="B22" i="11" s="1"/>
  <c r="AA34" i="37"/>
  <c r="C27" i="38"/>
  <c r="C27" i="11" s="1"/>
  <c r="AB35" i="37"/>
  <c r="D32" i="38"/>
  <c r="D32" i="11" s="1"/>
  <c r="Y36" i="37"/>
  <c r="E18" i="38"/>
  <c r="Z37" i="37"/>
  <c r="F22" i="38"/>
  <c r="AA38" i="37"/>
  <c r="G27" i="38"/>
  <c r="AB39" i="37"/>
  <c r="H32" i="38"/>
  <c r="AC40" i="37"/>
  <c r="I37" i="38"/>
  <c r="AD41" i="37"/>
  <c r="J42" i="38"/>
  <c r="AE42" i="37"/>
  <c r="K47" i="38"/>
  <c r="B148" i="37"/>
  <c r="X34" i="37"/>
  <c r="C14" i="38"/>
  <c r="X38" i="37"/>
  <c r="G14" i="38"/>
  <c r="X42" i="37"/>
  <c r="K14" i="38"/>
  <c r="AA33" i="37"/>
  <c r="B27" i="38"/>
  <c r="B27" i="11" s="1"/>
  <c r="AE33" i="37"/>
  <c r="B47" i="38"/>
  <c r="B47" i="11" s="1"/>
  <c r="AB34" i="37"/>
  <c r="C32" i="38"/>
  <c r="C32" i="11" s="1"/>
  <c r="Y35" i="37"/>
  <c r="D18" i="38"/>
  <c r="D18" i="11" s="1"/>
  <c r="AC35" i="37"/>
  <c r="D37" i="38"/>
  <c r="D37" i="11" s="1"/>
  <c r="Z36" i="37"/>
  <c r="E22" i="38"/>
  <c r="AD36" i="37"/>
  <c r="E42" i="38"/>
  <c r="AA37" i="37"/>
  <c r="F27" i="38"/>
  <c r="AE37" i="37"/>
  <c r="F47" i="38"/>
  <c r="AB38" i="37"/>
  <c r="G32" i="38"/>
  <c r="Y39" i="37"/>
  <c r="H18" i="38"/>
  <c r="AC39" i="37"/>
  <c r="H37" i="38"/>
  <c r="Z40" i="37"/>
  <c r="I22" i="38"/>
  <c r="AD40" i="37"/>
  <c r="I42" i="38"/>
  <c r="AA41" i="37"/>
  <c r="J27" i="38"/>
  <c r="AE41" i="37"/>
  <c r="J47" i="38"/>
  <c r="AB42" i="37"/>
  <c r="K32" i="38"/>
  <c r="Y43" i="37"/>
  <c r="L18" i="38"/>
  <c r="AC43" i="37"/>
  <c r="L37" i="38"/>
  <c r="X40" i="37"/>
  <c r="I14" i="38"/>
  <c r="AC33" i="37"/>
  <c r="B37" i="38"/>
  <c r="B37" i="11" s="1"/>
  <c r="AD34" i="37"/>
  <c r="C42" i="38"/>
  <c r="C42" i="11" s="1"/>
  <c r="AE35" i="37"/>
  <c r="D47" i="38"/>
  <c r="D47" i="11" s="1"/>
  <c r="AC37" i="37"/>
  <c r="F37" i="38"/>
  <c r="AB40" i="37"/>
  <c r="I32" i="38"/>
  <c r="X37" i="37"/>
  <c r="F14" i="38"/>
  <c r="AD33" i="37"/>
  <c r="B42" i="38"/>
  <c r="B42" i="11" s="1"/>
  <c r="AE34" i="37"/>
  <c r="C47" i="38"/>
  <c r="C47" i="11" s="1"/>
  <c r="AC36" i="37"/>
  <c r="E37" i="38"/>
  <c r="AD37" i="37"/>
  <c r="F42" i="38"/>
  <c r="AE38" i="37"/>
  <c r="G47" i="38"/>
  <c r="Y40" i="37"/>
  <c r="I18" i="38"/>
  <c r="Z41" i="37"/>
  <c r="J22" i="38"/>
  <c r="AA42" i="37"/>
  <c r="K27" i="38"/>
  <c r="AB43" i="37"/>
  <c r="L32" i="38"/>
  <c r="X35" i="37"/>
  <c r="D14" i="38"/>
  <c r="X39" i="37"/>
  <c r="H14" i="38"/>
  <c r="X43" i="37"/>
  <c r="L14" i="38"/>
  <c r="AB33" i="37"/>
  <c r="B32" i="38"/>
  <c r="B32" i="11" s="1"/>
  <c r="Y34" i="37"/>
  <c r="C18" i="38"/>
  <c r="C18" i="11" s="1"/>
  <c r="G149" i="37"/>
  <c r="AC34" i="37"/>
  <c r="C37" i="38"/>
  <c r="C37" i="11" s="1"/>
  <c r="Z35" i="37"/>
  <c r="D22" i="38"/>
  <c r="D22" i="11" s="1"/>
  <c r="AD35" i="37"/>
  <c r="D42" i="38"/>
  <c r="D42" i="11" s="1"/>
  <c r="AA36" i="37"/>
  <c r="E27" i="38"/>
  <c r="AE36" i="37"/>
  <c r="E47" i="38"/>
  <c r="AB37" i="37"/>
  <c r="F32" i="38"/>
  <c r="Y38" i="37"/>
  <c r="G18" i="38"/>
  <c r="AC38" i="37"/>
  <c r="G37" i="38"/>
  <c r="Z39" i="37"/>
  <c r="H22" i="38"/>
  <c r="AD39" i="37"/>
  <c r="H42" i="38"/>
  <c r="AA40" i="37"/>
  <c r="I27" i="38"/>
  <c r="AE40" i="37"/>
  <c r="I47" i="38"/>
  <c r="AB41" i="37"/>
  <c r="J32" i="38"/>
  <c r="Y42" i="37"/>
  <c r="K18" i="38"/>
  <c r="AC42" i="37"/>
  <c r="K37" i="38"/>
  <c r="Z43" i="37"/>
  <c r="L22" i="38"/>
  <c r="AD43" i="37"/>
  <c r="L42" i="38"/>
  <c r="J178" i="37"/>
  <c r="C61" i="44"/>
  <c r="C70" i="44"/>
  <c r="N47" i="37" s="1"/>
  <c r="C47" i="37" s="1"/>
  <c r="C19" i="17"/>
  <c r="J177" i="37"/>
  <c r="I152" i="37"/>
  <c r="J36" i="37"/>
  <c r="F11" i="37" s="1"/>
  <c r="J40" i="37"/>
  <c r="F15" i="37" s="1"/>
  <c r="J35" i="37"/>
  <c r="F10" i="37" s="1"/>
  <c r="J37" i="37"/>
  <c r="F12" i="37" s="1"/>
  <c r="J39" i="37"/>
  <c r="F14" i="37" s="1"/>
  <c r="J41" i="37"/>
  <c r="F16" i="37" s="1"/>
  <c r="J43" i="37"/>
  <c r="F18" i="37" s="1"/>
  <c r="J42" i="37"/>
  <c r="F17" i="37" s="1"/>
  <c r="J34" i="37"/>
  <c r="F9" i="37" s="1"/>
  <c r="J38" i="37"/>
  <c r="F13" i="37" s="1"/>
  <c r="J33" i="37"/>
  <c r="B56" i="38" l="1"/>
  <c r="F8" i="37"/>
  <c r="C182" i="37"/>
  <c r="Y47" i="37"/>
  <c r="P18" i="38"/>
  <c r="I154" i="37"/>
  <c r="B154" i="37"/>
  <c r="H148" i="37"/>
  <c r="I151" i="37"/>
  <c r="I148" i="37"/>
  <c r="D148" i="37"/>
  <c r="I150" i="37"/>
  <c r="C148" i="37"/>
  <c r="I149" i="37"/>
  <c r="G148" i="37"/>
  <c r="I155" i="37"/>
  <c r="I156" i="37"/>
  <c r="I153" i="37"/>
  <c r="H80" i="38"/>
  <c r="K18" i="11"/>
  <c r="F89" i="38"/>
  <c r="I27" i="11"/>
  <c r="G37" i="11"/>
  <c r="D99" i="38"/>
  <c r="E47" i="11"/>
  <c r="B109" i="38"/>
  <c r="D14" i="11"/>
  <c r="D51" i="38"/>
  <c r="C76" i="38"/>
  <c r="F14" i="11"/>
  <c r="F51" i="38"/>
  <c r="H94" i="38"/>
  <c r="K32" i="11"/>
  <c r="D76" i="38"/>
  <c r="G14" i="11"/>
  <c r="G51" i="38"/>
  <c r="AF33" i="37"/>
  <c r="I89" i="38"/>
  <c r="L27" i="11"/>
  <c r="J37" i="11"/>
  <c r="G99" i="38"/>
  <c r="B94" i="38"/>
  <c r="E32" i="11"/>
  <c r="H99" i="38"/>
  <c r="K37" i="11"/>
  <c r="F109" i="38"/>
  <c r="I47" i="11"/>
  <c r="H51" i="38"/>
  <c r="E76" i="38"/>
  <c r="H14" i="11"/>
  <c r="H89" i="38"/>
  <c r="K27" i="11"/>
  <c r="D109" i="38"/>
  <c r="G47" i="11"/>
  <c r="AF37" i="37"/>
  <c r="F37" i="11"/>
  <c r="C99" i="38"/>
  <c r="I14" i="11"/>
  <c r="I51" i="38"/>
  <c r="F76" i="38"/>
  <c r="G89" i="38"/>
  <c r="J27" i="11"/>
  <c r="E99" i="38"/>
  <c r="H37" i="11"/>
  <c r="C109" i="38"/>
  <c r="F47" i="11"/>
  <c r="E22" i="11"/>
  <c r="B84" i="38"/>
  <c r="H76" i="38"/>
  <c r="K14" i="11"/>
  <c r="AF38" i="37"/>
  <c r="AG38" i="37" s="1"/>
  <c r="D89" i="38"/>
  <c r="G27" i="11"/>
  <c r="AF41" i="37"/>
  <c r="H84" i="38"/>
  <c r="K22" i="11"/>
  <c r="E89" i="38"/>
  <c r="H27" i="11"/>
  <c r="F18" i="11"/>
  <c r="C80" i="38"/>
  <c r="E104" i="38"/>
  <c r="H42" i="11"/>
  <c r="F32" i="11"/>
  <c r="C94" i="38"/>
  <c r="AF39" i="37"/>
  <c r="F80" i="38"/>
  <c r="I18" i="11"/>
  <c r="AF40" i="37"/>
  <c r="I80" i="38"/>
  <c r="L18" i="11"/>
  <c r="G109" i="38"/>
  <c r="J47" i="11"/>
  <c r="F84" i="38"/>
  <c r="I22" i="11"/>
  <c r="B104" i="38"/>
  <c r="E42" i="11"/>
  <c r="AF42" i="37"/>
  <c r="H109" i="38"/>
  <c r="K47" i="11"/>
  <c r="E18" i="11"/>
  <c r="B80" i="38"/>
  <c r="I109" i="38"/>
  <c r="L47" i="11"/>
  <c r="E109" i="38"/>
  <c r="H47" i="11"/>
  <c r="D84" i="38"/>
  <c r="G22" i="11"/>
  <c r="B76" i="38"/>
  <c r="E51" i="38"/>
  <c r="E14" i="11"/>
  <c r="AF43" i="37"/>
  <c r="C104" i="38"/>
  <c r="F42" i="11"/>
  <c r="I99" i="38"/>
  <c r="L37" i="11"/>
  <c r="E80" i="38"/>
  <c r="H18" i="11"/>
  <c r="F27" i="11"/>
  <c r="C89" i="38"/>
  <c r="AF34" i="37"/>
  <c r="F99" i="38"/>
  <c r="I37" i="11"/>
  <c r="G76" i="38"/>
  <c r="J14" i="11"/>
  <c r="E84" i="38"/>
  <c r="H22" i="11"/>
  <c r="I84" i="38"/>
  <c r="L22" i="11"/>
  <c r="G94" i="38"/>
  <c r="J32" i="11"/>
  <c r="D80" i="38"/>
  <c r="G18" i="11"/>
  <c r="E27" i="11"/>
  <c r="B89" i="38"/>
  <c r="I76" i="38"/>
  <c r="L14" i="11"/>
  <c r="I94" i="38"/>
  <c r="L32" i="11"/>
  <c r="G84" i="38"/>
  <c r="J22" i="11"/>
  <c r="E37" i="11"/>
  <c r="B99" i="38"/>
  <c r="F94" i="38"/>
  <c r="I32" i="11"/>
  <c r="F104" i="38"/>
  <c r="I42" i="11"/>
  <c r="D94" i="38"/>
  <c r="G32" i="11"/>
  <c r="C14" i="11"/>
  <c r="C51" i="38"/>
  <c r="E94" i="38"/>
  <c r="H32" i="11"/>
  <c r="C84" i="38"/>
  <c r="F22" i="11"/>
  <c r="B14" i="11"/>
  <c r="B51" i="38"/>
  <c r="G80" i="38"/>
  <c r="J18" i="11"/>
  <c r="D104" i="38"/>
  <c r="G42" i="11"/>
  <c r="AF35" i="37"/>
  <c r="AF36" i="37"/>
  <c r="F56" i="38"/>
  <c r="AH37" i="37"/>
  <c r="L56" i="38"/>
  <c r="AH43" i="37"/>
  <c r="D56" i="38"/>
  <c r="AH35" i="37"/>
  <c r="G56" i="38"/>
  <c r="AH38" i="37"/>
  <c r="J56" i="38"/>
  <c r="AH41" i="37"/>
  <c r="I56" i="38"/>
  <c r="AH40" i="37"/>
  <c r="K56" i="38"/>
  <c r="AH42" i="37"/>
  <c r="C56" i="38"/>
  <c r="AH34" i="37"/>
  <c r="H56" i="38"/>
  <c r="AH39" i="37"/>
  <c r="E56" i="38"/>
  <c r="AH36" i="37"/>
  <c r="C62" i="44"/>
  <c r="C71" i="44"/>
  <c r="N48" i="37" s="1"/>
  <c r="C48" i="37" s="1"/>
  <c r="J131" i="37"/>
  <c r="I157" i="37"/>
  <c r="F148" i="37"/>
  <c r="E148" i="37"/>
  <c r="B157" i="37"/>
  <c r="B153" i="37"/>
  <c r="B150" i="37"/>
  <c r="B155" i="37"/>
  <c r="B156" i="37"/>
  <c r="B152" i="37"/>
  <c r="B151" i="37"/>
  <c r="B149" i="37"/>
  <c r="H157" i="37"/>
  <c r="J132" i="37"/>
  <c r="F149" i="37"/>
  <c r="E149" i="37"/>
  <c r="H149" i="37"/>
  <c r="D149" i="37"/>
  <c r="C149" i="37"/>
  <c r="E152" i="37"/>
  <c r="J137" i="37"/>
  <c r="C156" i="37"/>
  <c r="C150" i="37"/>
  <c r="H152" i="37"/>
  <c r="C152" i="37"/>
  <c r="F154" i="37"/>
  <c r="D156" i="37"/>
  <c r="G151" i="37"/>
  <c r="H150" i="37"/>
  <c r="H155" i="37"/>
  <c r="D151" i="37"/>
  <c r="G154" i="37"/>
  <c r="D152" i="37"/>
  <c r="G156" i="37"/>
  <c r="H151" i="37"/>
  <c r="H153" i="37"/>
  <c r="F157" i="37"/>
  <c r="D155" i="37"/>
  <c r="G150" i="37"/>
  <c r="C153" i="37"/>
  <c r="G155" i="37"/>
  <c r="C151" i="37"/>
  <c r="F155" i="37"/>
  <c r="D153" i="37"/>
  <c r="G157" i="37"/>
  <c r="H154" i="37"/>
  <c r="E151" i="37"/>
  <c r="C157" i="37"/>
  <c r="E157" i="37"/>
  <c r="F150" i="37"/>
  <c r="D157" i="37"/>
  <c r="G152" i="37"/>
  <c r="F156" i="37"/>
  <c r="G153" i="37"/>
  <c r="D150" i="37"/>
  <c r="D154" i="37"/>
  <c r="C154" i="37"/>
  <c r="J135" i="37"/>
  <c r="J140" i="37"/>
  <c r="J138" i="37"/>
  <c r="D160" i="37" l="1"/>
  <c r="Q18" i="38"/>
  <c r="C183" i="37"/>
  <c r="Y48" i="37"/>
  <c r="AG36" i="37"/>
  <c r="AG41" i="37"/>
  <c r="AG35" i="37"/>
  <c r="AG39" i="37"/>
  <c r="F113" i="38"/>
  <c r="C113" i="38"/>
  <c r="AG34" i="37"/>
  <c r="E113" i="38"/>
  <c r="AG40" i="37"/>
  <c r="B113" i="38"/>
  <c r="AG42" i="37"/>
  <c r="D113" i="38"/>
  <c r="AG43" i="37"/>
  <c r="AG37" i="37"/>
  <c r="C72" i="44"/>
  <c r="N49" i="37" s="1"/>
  <c r="C49" i="37" s="1"/>
  <c r="J148" i="37"/>
  <c r="J141" i="37"/>
  <c r="J157" i="37" s="1"/>
  <c r="J139" i="37"/>
  <c r="J156" i="37" s="1"/>
  <c r="F153" i="37"/>
  <c r="J134" i="37"/>
  <c r="J151" i="37" s="1"/>
  <c r="E155" i="37"/>
  <c r="C155" i="37"/>
  <c r="C160" i="37" s="1"/>
  <c r="E150" i="37"/>
  <c r="F151" i="37"/>
  <c r="E154" i="37"/>
  <c r="E153" i="37"/>
  <c r="H156" i="37"/>
  <c r="J136" i="37"/>
  <c r="J153" i="37" s="1"/>
  <c r="J133" i="37"/>
  <c r="J149" i="37" s="1"/>
  <c r="F152" i="37"/>
  <c r="E156" i="37"/>
  <c r="J154" i="37"/>
  <c r="H68" i="37"/>
  <c r="H66" i="37"/>
  <c r="H65" i="37"/>
  <c r="H64" i="37"/>
  <c r="H63" i="37"/>
  <c r="H62" i="37"/>
  <c r="H61" i="37"/>
  <c r="I60" i="37"/>
  <c r="H60" i="37"/>
  <c r="C60" i="37"/>
  <c r="I59" i="37"/>
  <c r="H59" i="37"/>
  <c r="C59" i="37"/>
  <c r="I58" i="37"/>
  <c r="H58" i="37"/>
  <c r="C58" i="37"/>
  <c r="H67" i="37"/>
  <c r="J55" i="37"/>
  <c r="F160" i="37" l="1"/>
  <c r="E160" i="37"/>
  <c r="C184" i="37"/>
  <c r="R18" i="38"/>
  <c r="Y49" i="37"/>
  <c r="C48" i="38"/>
  <c r="C48" i="11" s="1"/>
  <c r="B48" i="38"/>
  <c r="B48" i="11" s="1"/>
  <c r="C84" i="37"/>
  <c r="C19" i="38"/>
  <c r="C19" i="11" s="1"/>
  <c r="H87" i="37"/>
  <c r="H205" i="37" s="1"/>
  <c r="F43" i="38"/>
  <c r="F43" i="11" s="1"/>
  <c r="H91" i="37"/>
  <c r="H209" i="37" s="1"/>
  <c r="J43" i="38"/>
  <c r="C85" i="37"/>
  <c r="D19" i="38"/>
  <c r="D19" i="11" s="1"/>
  <c r="I85" i="37"/>
  <c r="I203" i="37" s="1"/>
  <c r="D48" i="38"/>
  <c r="D48" i="11" s="1"/>
  <c r="H83" i="37"/>
  <c r="H201" i="37" s="1"/>
  <c r="B43" i="38"/>
  <c r="B43" i="11" s="1"/>
  <c r="H85" i="37"/>
  <c r="H203" i="37" s="1"/>
  <c r="D43" i="38"/>
  <c r="D43" i="11" s="1"/>
  <c r="H89" i="37"/>
  <c r="H207" i="37" s="1"/>
  <c r="H43" i="38"/>
  <c r="C83" i="37"/>
  <c r="C201" i="37" s="1"/>
  <c r="B19" i="38"/>
  <c r="B19" i="11" s="1"/>
  <c r="H92" i="37"/>
  <c r="H210" i="37" s="1"/>
  <c r="K43" i="38"/>
  <c r="H84" i="37"/>
  <c r="H202" i="37" s="1"/>
  <c r="C43" i="38"/>
  <c r="C43" i="11" s="1"/>
  <c r="H86" i="37"/>
  <c r="H204" i="37" s="1"/>
  <c r="E43" i="38"/>
  <c r="E43" i="11" s="1"/>
  <c r="H88" i="37"/>
  <c r="H206" i="37" s="1"/>
  <c r="G43" i="38"/>
  <c r="H90" i="37"/>
  <c r="H208" i="37" s="1"/>
  <c r="I43" i="38"/>
  <c r="H93" i="37"/>
  <c r="H211" i="37" s="1"/>
  <c r="L43" i="38"/>
  <c r="B72" i="38"/>
  <c r="J80" i="37"/>
  <c r="I84" i="37"/>
  <c r="I83" i="37"/>
  <c r="I201" i="37" s="1"/>
  <c r="J152" i="37"/>
  <c r="J155" i="37"/>
  <c r="J150" i="37"/>
  <c r="D189" i="37" l="1"/>
  <c r="C189" i="37"/>
  <c r="H113" i="37"/>
  <c r="H115" i="37"/>
  <c r="H217" i="37"/>
  <c r="C106" i="37"/>
  <c r="C203" i="37"/>
  <c r="H106" i="37"/>
  <c r="C202" i="37"/>
  <c r="C217" i="37" s="1"/>
  <c r="J84" i="44"/>
  <c r="J198" i="37"/>
  <c r="J235" i="37" s="1"/>
  <c r="J247" i="37" s="1"/>
  <c r="L43" i="11"/>
  <c r="I105" i="38"/>
  <c r="I43" i="11"/>
  <c r="F105" i="38"/>
  <c r="K43" i="11"/>
  <c r="H105" i="38"/>
  <c r="H43" i="11"/>
  <c r="E105" i="38"/>
  <c r="J43" i="11"/>
  <c r="G105" i="38"/>
  <c r="G43" i="11"/>
  <c r="D105" i="38"/>
  <c r="I106" i="37"/>
  <c r="I202" i="37"/>
  <c r="I217" i="37" s="1"/>
  <c r="I107" i="37"/>
  <c r="H111" i="37"/>
  <c r="H107" i="37"/>
  <c r="C107" i="37"/>
  <c r="H109" i="37"/>
  <c r="H219" i="37"/>
  <c r="H223" i="37"/>
  <c r="H112" i="37"/>
  <c r="H110" i="37"/>
  <c r="H114" i="37"/>
  <c r="H108" i="37"/>
  <c r="H222" i="37"/>
  <c r="H218" i="37"/>
  <c r="H220" i="37"/>
  <c r="H224" i="37"/>
  <c r="H221" i="37"/>
  <c r="H225" i="37"/>
  <c r="H226" i="37"/>
  <c r="J56" i="37"/>
  <c r="S43" i="31"/>
  <c r="S42" i="31"/>
  <c r="S41" i="31"/>
  <c r="S40" i="31"/>
  <c r="N39" i="31"/>
  <c r="O39" i="31" s="1"/>
  <c r="N38" i="31"/>
  <c r="M38" i="31"/>
  <c r="M44" i="31" s="1"/>
  <c r="T32" i="31"/>
  <c r="T31" i="31"/>
  <c r="T30" i="31"/>
  <c r="T29" i="31"/>
  <c r="T28" i="31"/>
  <c r="I44" i="31"/>
  <c r="H44" i="31"/>
  <c r="G44" i="31"/>
  <c r="F44" i="31"/>
  <c r="E44" i="31"/>
  <c r="A39" i="31"/>
  <c r="A40" i="31" s="1"/>
  <c r="A41" i="31" s="1"/>
  <c r="A42" i="31" s="1"/>
  <c r="A43" i="31" s="1"/>
  <c r="J44" i="31"/>
  <c r="F37" i="31"/>
  <c r="G37" i="31" s="1"/>
  <c r="H37" i="31" s="1"/>
  <c r="I37" i="31" s="1"/>
  <c r="J37" i="31" s="1"/>
  <c r="K37" i="31" s="1"/>
  <c r="L37" i="31" s="1"/>
  <c r="M37" i="31" s="1"/>
  <c r="N37" i="31" s="1"/>
  <c r="O37" i="31" s="1"/>
  <c r="P37" i="31" s="1"/>
  <c r="Q37" i="31" s="1"/>
  <c r="R37" i="31" s="1"/>
  <c r="E123" i="28"/>
  <c r="E2" i="28"/>
  <c r="E123" i="27"/>
  <c r="E2" i="27"/>
  <c r="E123" i="23"/>
  <c r="E2" i="23"/>
  <c r="E123" i="26"/>
  <c r="E2" i="26"/>
  <c r="E123" i="22"/>
  <c r="E2" i="22"/>
  <c r="E2" i="21"/>
  <c r="E2" i="20"/>
  <c r="F189" i="37" l="1"/>
  <c r="D190" i="37"/>
  <c r="C190" i="37"/>
  <c r="E189" i="37"/>
  <c r="C218" i="37"/>
  <c r="P39" i="31"/>
  <c r="Q39" i="31" s="1"/>
  <c r="R39" i="31" s="1"/>
  <c r="O38" i="31"/>
  <c r="N44" i="31"/>
  <c r="I218" i="37"/>
  <c r="C72" i="38"/>
  <c r="J81" i="37"/>
  <c r="K44" i="31"/>
  <c r="L44" i="31"/>
  <c r="E123" i="32"/>
  <c r="N123" i="39" s="1"/>
  <c r="E2" i="33"/>
  <c r="E2" i="32"/>
  <c r="C191" i="37" l="1"/>
  <c r="D191" i="37"/>
  <c r="F190" i="37"/>
  <c r="E190" i="37"/>
  <c r="J85" i="44"/>
  <c r="J199" i="37"/>
  <c r="J236" i="37" s="1"/>
  <c r="J248" i="37" s="1"/>
  <c r="S39" i="31"/>
  <c r="P38" i="31"/>
  <c r="O44" i="31"/>
  <c r="F191" i="37" l="1"/>
  <c r="C193" i="37"/>
  <c r="C192" i="37"/>
  <c r="E191" i="37"/>
  <c r="D193" i="37"/>
  <c r="D192" i="37"/>
  <c r="P44" i="31"/>
  <c r="Q38" i="31"/>
  <c r="F193" i="37" l="1"/>
  <c r="F192" i="37"/>
  <c r="E193" i="37"/>
  <c r="E192" i="37"/>
  <c r="R38" i="31"/>
  <c r="Q44" i="31"/>
  <c r="S38" i="31"/>
  <c r="S44" i="31" s="1"/>
  <c r="E133" i="19"/>
  <c r="E130" i="19"/>
  <c r="E118" i="19"/>
  <c r="E115" i="19"/>
  <c r="E109" i="19"/>
  <c r="E103" i="19"/>
  <c r="E100" i="19"/>
  <c r="E97" i="19"/>
  <c r="E91" i="19"/>
  <c r="E73" i="19"/>
  <c r="E70" i="19"/>
  <c r="E49" i="19"/>
  <c r="E43" i="19"/>
  <c r="E16" i="19"/>
  <c r="E13" i="19"/>
  <c r="E7" i="19"/>
  <c r="E124" i="19"/>
  <c r="E121" i="19"/>
  <c r="E82" i="19"/>
  <c r="E46" i="19"/>
  <c r="E4" i="19"/>
  <c r="E101" i="19" l="1"/>
  <c r="E100" i="39"/>
  <c r="E100" i="28"/>
  <c r="E100" i="23"/>
  <c r="E100" i="27"/>
  <c r="E100" i="22"/>
  <c r="E100" i="26"/>
  <c r="E100" i="32"/>
  <c r="N100" i="39" s="1"/>
  <c r="E5" i="19"/>
  <c r="E4" i="39"/>
  <c r="E4" i="28"/>
  <c r="E4" i="23"/>
  <c r="E4" i="27"/>
  <c r="E4" i="22"/>
  <c r="E4" i="26"/>
  <c r="E4" i="32"/>
  <c r="N4" i="39" s="1"/>
  <c r="E92" i="19"/>
  <c r="E91" i="39"/>
  <c r="E91" i="28"/>
  <c r="E91" i="23"/>
  <c r="E91" i="26"/>
  <c r="E91" i="27"/>
  <c r="E91" i="22"/>
  <c r="E91" i="32"/>
  <c r="N91" i="39" s="1"/>
  <c r="E28" i="19"/>
  <c r="E27" i="39"/>
  <c r="E27" i="28"/>
  <c r="E27" i="26"/>
  <c r="E27" i="27"/>
  <c r="E27" i="23"/>
  <c r="E27" i="22"/>
  <c r="E27" i="32"/>
  <c r="N27" i="39" s="1"/>
  <c r="E64" i="19"/>
  <c r="E63" i="39"/>
  <c r="E63" i="28"/>
  <c r="E63" i="23"/>
  <c r="E63" i="27"/>
  <c r="E63" i="26"/>
  <c r="E63" i="22"/>
  <c r="E63" i="32"/>
  <c r="N63" i="39" s="1"/>
  <c r="E87" i="39"/>
  <c r="E87" i="28"/>
  <c r="E87" i="23"/>
  <c r="E87" i="26"/>
  <c r="E87" i="27"/>
  <c r="E87" i="22"/>
  <c r="E87" i="32"/>
  <c r="N87" i="39" s="1"/>
  <c r="E111" i="39"/>
  <c r="E111" i="28"/>
  <c r="E111" i="23"/>
  <c r="E111" i="27"/>
  <c r="E111" i="26"/>
  <c r="E111" i="22"/>
  <c r="E111" i="32"/>
  <c r="N111" i="39" s="1"/>
  <c r="E44" i="19"/>
  <c r="E43" i="39"/>
  <c r="E43" i="28"/>
  <c r="E43" i="26"/>
  <c r="E43" i="23"/>
  <c r="E43" i="27"/>
  <c r="E43" i="22"/>
  <c r="E43" i="32"/>
  <c r="N43" i="39" s="1"/>
  <c r="E74" i="19"/>
  <c r="E73" i="39"/>
  <c r="E73" i="27"/>
  <c r="E73" i="22"/>
  <c r="E73" i="28"/>
  <c r="E73" i="23"/>
  <c r="E73" i="26"/>
  <c r="E73" i="32"/>
  <c r="N73" i="39" s="1"/>
  <c r="E98" i="19"/>
  <c r="E97" i="39"/>
  <c r="E97" i="27"/>
  <c r="E97" i="28"/>
  <c r="E97" i="23"/>
  <c r="E97" i="22"/>
  <c r="E97" i="26"/>
  <c r="E97" i="32"/>
  <c r="N97" i="39" s="1"/>
  <c r="E112" i="19"/>
  <c r="E6" i="39"/>
  <c r="E6" i="27"/>
  <c r="E6" i="28"/>
  <c r="E6" i="23"/>
  <c r="E6" i="26"/>
  <c r="E6" i="22"/>
  <c r="E6" i="32"/>
  <c r="N6" i="39" s="1"/>
  <c r="E19" i="19"/>
  <c r="E18" i="39"/>
  <c r="E18" i="27"/>
  <c r="E18" i="28"/>
  <c r="E18" i="23"/>
  <c r="E18" i="22"/>
  <c r="E18" i="26"/>
  <c r="E18" i="32"/>
  <c r="N18" i="39" s="1"/>
  <c r="E31" i="19"/>
  <c r="E30" i="39"/>
  <c r="E30" i="27"/>
  <c r="E30" i="28"/>
  <c r="E30" i="23"/>
  <c r="E30" i="22"/>
  <c r="E30" i="26"/>
  <c r="E30" i="32"/>
  <c r="N30" i="39" s="1"/>
  <c r="E42" i="39"/>
  <c r="E42" i="27"/>
  <c r="E42" i="28"/>
  <c r="E42" i="23"/>
  <c r="E42" i="26"/>
  <c r="E42" i="22"/>
  <c r="E42" i="32"/>
  <c r="N42" i="39" s="1"/>
  <c r="E55" i="19"/>
  <c r="E54" i="39"/>
  <c r="E54" i="27"/>
  <c r="E54" i="28"/>
  <c r="E54" i="23"/>
  <c r="E54" i="26"/>
  <c r="E54" i="22"/>
  <c r="E54" i="32"/>
  <c r="N54" i="39" s="1"/>
  <c r="E67" i="19"/>
  <c r="E66" i="39"/>
  <c r="E66" i="27"/>
  <c r="E66" i="28"/>
  <c r="E66" i="23"/>
  <c r="E66" i="26"/>
  <c r="E66" i="22"/>
  <c r="E66" i="32"/>
  <c r="N66" i="39" s="1"/>
  <c r="E79" i="19"/>
  <c r="E78" i="39"/>
  <c r="E78" i="27"/>
  <c r="E78" i="28"/>
  <c r="E78" i="23"/>
  <c r="E78" i="26"/>
  <c r="E78" i="22"/>
  <c r="E78" i="32"/>
  <c r="N78" i="39" s="1"/>
  <c r="E90" i="39"/>
  <c r="E90" i="27"/>
  <c r="E90" i="28"/>
  <c r="E90" i="23"/>
  <c r="E90" i="26"/>
  <c r="E90" i="22"/>
  <c r="E90" i="32"/>
  <c r="N90" i="39" s="1"/>
  <c r="E102" i="39"/>
  <c r="E102" i="27"/>
  <c r="E102" i="28"/>
  <c r="E102" i="23"/>
  <c r="E102" i="26"/>
  <c r="E102" i="22"/>
  <c r="E102" i="32"/>
  <c r="N102" i="39" s="1"/>
  <c r="E114" i="39"/>
  <c r="E114" i="27"/>
  <c r="E114" i="28"/>
  <c r="E114" i="23"/>
  <c r="E114" i="26"/>
  <c r="E114" i="22"/>
  <c r="E114" i="32"/>
  <c r="N114" i="39" s="1"/>
  <c r="E129" i="39"/>
  <c r="E129" i="28"/>
  <c r="E129" i="23"/>
  <c r="E129" i="27"/>
  <c r="E129" i="26"/>
  <c r="E129" i="22"/>
  <c r="E129" i="32"/>
  <c r="N129" i="39" s="1"/>
  <c r="E17" i="19"/>
  <c r="E16" i="39"/>
  <c r="E16" i="28"/>
  <c r="E16" i="23"/>
  <c r="E16" i="27"/>
  <c r="E16" i="22"/>
  <c r="E16" i="26"/>
  <c r="E16" i="32"/>
  <c r="N16" i="39" s="1"/>
  <c r="E71" i="19"/>
  <c r="E70" i="39"/>
  <c r="E70" i="27"/>
  <c r="E70" i="28"/>
  <c r="E70" i="23"/>
  <c r="E70" i="22"/>
  <c r="E70" i="26"/>
  <c r="E70" i="32"/>
  <c r="N70" i="39" s="1"/>
  <c r="E122" i="19"/>
  <c r="E121" i="39"/>
  <c r="E121" i="27"/>
  <c r="E121" i="22"/>
  <c r="E121" i="28"/>
  <c r="E121" i="23"/>
  <c r="E121" i="26"/>
  <c r="E121" i="32"/>
  <c r="N121" i="39" s="1"/>
  <c r="E134" i="19"/>
  <c r="E133" i="39"/>
  <c r="E133" i="28"/>
  <c r="E133" i="23"/>
  <c r="E133" i="26"/>
  <c r="E133" i="22"/>
  <c r="E133" i="27"/>
  <c r="E133" i="32"/>
  <c r="N133" i="39" s="1"/>
  <c r="E40" i="19"/>
  <c r="E39" i="39"/>
  <c r="E39" i="28"/>
  <c r="E39" i="26"/>
  <c r="E39" i="23"/>
  <c r="E39" i="27"/>
  <c r="E39" i="22"/>
  <c r="E39" i="32"/>
  <c r="N39" i="39" s="1"/>
  <c r="E76" i="19"/>
  <c r="E75" i="39"/>
  <c r="E75" i="28"/>
  <c r="E75" i="23"/>
  <c r="E75" i="26"/>
  <c r="E75" i="27"/>
  <c r="E75" i="22"/>
  <c r="E75" i="32"/>
  <c r="N75" i="39" s="1"/>
  <c r="E126" i="39"/>
  <c r="E126" i="28"/>
  <c r="E126" i="23"/>
  <c r="E126" i="27"/>
  <c r="E126" i="26"/>
  <c r="E126" i="22"/>
  <c r="E126" i="32"/>
  <c r="N126" i="39" s="1"/>
  <c r="E8" i="19"/>
  <c r="E7" i="39"/>
  <c r="E7" i="28"/>
  <c r="E7" i="26"/>
  <c r="E7" i="23"/>
  <c r="E7" i="27"/>
  <c r="E7" i="22"/>
  <c r="E7" i="32"/>
  <c r="N7" i="39" s="1"/>
  <c r="E83" i="19"/>
  <c r="E82" i="39"/>
  <c r="E82" i="27"/>
  <c r="E82" i="28"/>
  <c r="E82" i="23"/>
  <c r="E82" i="22"/>
  <c r="E82" i="26"/>
  <c r="E82" i="32"/>
  <c r="N82" i="39" s="1"/>
  <c r="E116" i="19"/>
  <c r="E115" i="39"/>
  <c r="E115" i="28"/>
  <c r="E115" i="23"/>
  <c r="E115" i="26"/>
  <c r="E115" i="22"/>
  <c r="E115" i="27"/>
  <c r="E115" i="32"/>
  <c r="N115" i="39" s="1"/>
  <c r="E127" i="19"/>
  <c r="E10" i="19"/>
  <c r="E9" i="39"/>
  <c r="E9" i="27"/>
  <c r="E9" i="23"/>
  <c r="E9" i="22"/>
  <c r="E9" i="28"/>
  <c r="E9" i="26"/>
  <c r="E9" i="32"/>
  <c r="N9" i="39" s="1"/>
  <c r="E22" i="19"/>
  <c r="E21" i="39"/>
  <c r="E21" i="27"/>
  <c r="E21" i="22"/>
  <c r="E21" i="23"/>
  <c r="E21" i="26"/>
  <c r="E21" i="28"/>
  <c r="E21" i="32"/>
  <c r="N21" i="39" s="1"/>
  <c r="E34" i="19"/>
  <c r="E33" i="39"/>
  <c r="E33" i="27"/>
  <c r="E33" i="28"/>
  <c r="E33" i="23"/>
  <c r="E33" i="22"/>
  <c r="E33" i="26"/>
  <c r="E33" i="32"/>
  <c r="N33" i="39" s="1"/>
  <c r="E45" i="39"/>
  <c r="E45" i="27"/>
  <c r="E45" i="22"/>
  <c r="E45" i="28"/>
  <c r="E45" i="23"/>
  <c r="E45" i="26"/>
  <c r="E45" i="32"/>
  <c r="N45" i="39" s="1"/>
  <c r="E58" i="19"/>
  <c r="E57" i="39"/>
  <c r="E57" i="27"/>
  <c r="E57" i="22"/>
  <c r="E57" i="28"/>
  <c r="E57" i="23"/>
  <c r="E57" i="26"/>
  <c r="E57" i="32"/>
  <c r="N57" i="39" s="1"/>
  <c r="E69" i="39"/>
  <c r="E69" i="27"/>
  <c r="E69" i="22"/>
  <c r="E69" i="23"/>
  <c r="E69" i="26"/>
  <c r="E69" i="28"/>
  <c r="E69" i="32"/>
  <c r="N69" i="39" s="1"/>
  <c r="E81" i="39"/>
  <c r="E81" i="27"/>
  <c r="E81" i="28"/>
  <c r="E81" i="23"/>
  <c r="E81" i="22"/>
  <c r="E81" i="26"/>
  <c r="E81" i="32"/>
  <c r="N81" i="39" s="1"/>
  <c r="E94" i="19"/>
  <c r="E93" i="39"/>
  <c r="E93" i="27"/>
  <c r="E93" i="22"/>
  <c r="E93" i="28"/>
  <c r="E93" i="23"/>
  <c r="E93" i="26"/>
  <c r="E93" i="32"/>
  <c r="N93" i="39" s="1"/>
  <c r="E106" i="19"/>
  <c r="E105" i="39"/>
  <c r="E105" i="27"/>
  <c r="E105" i="22"/>
  <c r="E105" i="28"/>
  <c r="E105" i="23"/>
  <c r="E105" i="26"/>
  <c r="E105" i="32"/>
  <c r="N105" i="39" s="1"/>
  <c r="E117" i="39"/>
  <c r="E117" i="27"/>
  <c r="E117" i="22"/>
  <c r="E117" i="28"/>
  <c r="E117" i="23"/>
  <c r="E117" i="26"/>
  <c r="E117" i="32"/>
  <c r="N117" i="39" s="1"/>
  <c r="E132" i="39"/>
  <c r="E132" i="27"/>
  <c r="E132" i="26"/>
  <c r="E132" i="28"/>
  <c r="E132" i="23"/>
  <c r="E132" i="22"/>
  <c r="E132" i="32"/>
  <c r="N132" i="39" s="1"/>
  <c r="E3" i="39"/>
  <c r="E3" i="28"/>
  <c r="E3" i="26"/>
  <c r="E3" i="23"/>
  <c r="E3" i="22"/>
  <c r="E3" i="27"/>
  <c r="E3" i="32"/>
  <c r="N3" i="39" s="1"/>
  <c r="E110" i="19"/>
  <c r="E109" i="39"/>
  <c r="E109" i="27"/>
  <c r="E109" i="22"/>
  <c r="E109" i="28"/>
  <c r="E109" i="23"/>
  <c r="E109" i="26"/>
  <c r="E109" i="32"/>
  <c r="N109" i="39" s="1"/>
  <c r="E15" i="39"/>
  <c r="E15" i="28"/>
  <c r="E15" i="27"/>
  <c r="E15" i="26"/>
  <c r="E15" i="23"/>
  <c r="E15" i="22"/>
  <c r="E15" i="32"/>
  <c r="N15" i="39" s="1"/>
  <c r="E52" i="19"/>
  <c r="E51" i="39"/>
  <c r="E51" i="28"/>
  <c r="E51" i="23"/>
  <c r="E51" i="26"/>
  <c r="E51" i="22"/>
  <c r="E51" i="27"/>
  <c r="E51" i="32"/>
  <c r="N51" i="39" s="1"/>
  <c r="E99" i="39"/>
  <c r="E99" i="28"/>
  <c r="E99" i="23"/>
  <c r="E99" i="26"/>
  <c r="E99" i="27"/>
  <c r="E99" i="22"/>
  <c r="E99" i="32"/>
  <c r="N99" i="39" s="1"/>
  <c r="E47" i="19"/>
  <c r="E46" i="39"/>
  <c r="E46" i="27"/>
  <c r="E46" i="28"/>
  <c r="E46" i="23"/>
  <c r="E46" i="22"/>
  <c r="E46" i="26"/>
  <c r="E46" i="32"/>
  <c r="N46" i="39" s="1"/>
  <c r="E14" i="19"/>
  <c r="E13" i="39"/>
  <c r="E13" i="27"/>
  <c r="E13" i="22"/>
  <c r="E13" i="28"/>
  <c r="E13" i="23"/>
  <c r="E13" i="26"/>
  <c r="E13" i="32"/>
  <c r="N13" i="39" s="1"/>
  <c r="E50" i="19"/>
  <c r="E49" i="39"/>
  <c r="E49" i="27"/>
  <c r="E49" i="28"/>
  <c r="E49" i="23"/>
  <c r="E49" i="22"/>
  <c r="E49" i="26"/>
  <c r="E49" i="32"/>
  <c r="N49" i="39" s="1"/>
  <c r="E88" i="19"/>
  <c r="E104" i="19"/>
  <c r="E103" i="39"/>
  <c r="E103" i="28"/>
  <c r="E103" i="23"/>
  <c r="E103" i="26"/>
  <c r="E103" i="27"/>
  <c r="E103" i="22"/>
  <c r="E103" i="32"/>
  <c r="N103" i="39" s="1"/>
  <c r="E119" i="19"/>
  <c r="E118" i="39"/>
  <c r="E118" i="27"/>
  <c r="E118" i="28"/>
  <c r="E118" i="23"/>
  <c r="E118" i="22"/>
  <c r="E118" i="26"/>
  <c r="E118" i="32"/>
  <c r="N118" i="39" s="1"/>
  <c r="E131" i="19"/>
  <c r="E130" i="39"/>
  <c r="E130" i="28"/>
  <c r="E130" i="23"/>
  <c r="E130" i="27"/>
  <c r="E130" i="26"/>
  <c r="E130" i="22"/>
  <c r="E130" i="32"/>
  <c r="N130" i="39" s="1"/>
  <c r="E12" i="39"/>
  <c r="E12" i="28"/>
  <c r="E12" i="23"/>
  <c r="E12" i="27"/>
  <c r="E12" i="22"/>
  <c r="E12" i="26"/>
  <c r="E12" i="32"/>
  <c r="N12" i="39" s="1"/>
  <c r="E25" i="19"/>
  <c r="E24" i="39"/>
  <c r="E24" i="28"/>
  <c r="E24" i="23"/>
  <c r="E24" i="27"/>
  <c r="E24" i="22"/>
  <c r="E24" i="26"/>
  <c r="E24" i="32"/>
  <c r="N24" i="39" s="1"/>
  <c r="E37" i="19"/>
  <c r="E36" i="39"/>
  <c r="E36" i="28"/>
  <c r="E36" i="23"/>
  <c r="E36" i="27"/>
  <c r="E36" i="26"/>
  <c r="E36" i="22"/>
  <c r="E36" i="32"/>
  <c r="N36" i="39" s="1"/>
  <c r="E48" i="39"/>
  <c r="E48" i="28"/>
  <c r="E48" i="23"/>
  <c r="E48" i="27"/>
  <c r="E48" i="26"/>
  <c r="E48" i="22"/>
  <c r="E48" i="32"/>
  <c r="N48" i="39" s="1"/>
  <c r="E61" i="19"/>
  <c r="E60" i="39"/>
  <c r="E60" i="28"/>
  <c r="E60" i="23"/>
  <c r="E60" i="27"/>
  <c r="E60" i="26"/>
  <c r="E60" i="22"/>
  <c r="E60" i="32"/>
  <c r="N60" i="39" s="1"/>
  <c r="E72" i="39"/>
  <c r="E72" i="28"/>
  <c r="E72" i="23"/>
  <c r="E72" i="27"/>
  <c r="E72" i="22"/>
  <c r="E72" i="26"/>
  <c r="E72" i="32"/>
  <c r="N72" i="39" s="1"/>
  <c r="E85" i="19"/>
  <c r="E84" i="39"/>
  <c r="E84" i="28"/>
  <c r="E84" i="23"/>
  <c r="E84" i="27"/>
  <c r="E84" i="22"/>
  <c r="E84" i="26"/>
  <c r="E84" i="32"/>
  <c r="N84" i="39" s="1"/>
  <c r="E96" i="39"/>
  <c r="E96" i="28"/>
  <c r="E96" i="23"/>
  <c r="E96" i="27"/>
  <c r="E96" i="22"/>
  <c r="E96" i="26"/>
  <c r="E96" i="32"/>
  <c r="N96" i="39" s="1"/>
  <c r="E108" i="39"/>
  <c r="E108" i="28"/>
  <c r="E108" i="23"/>
  <c r="E108" i="27"/>
  <c r="E108" i="22"/>
  <c r="E108" i="26"/>
  <c r="E108" i="32"/>
  <c r="N108" i="39" s="1"/>
  <c r="E120" i="39"/>
  <c r="E120" i="28"/>
  <c r="E120" i="23"/>
  <c r="E120" i="27"/>
  <c r="E120" i="26"/>
  <c r="E120" i="22"/>
  <c r="E120" i="32"/>
  <c r="N120" i="39" s="1"/>
  <c r="R44" i="31"/>
  <c r="E125" i="19"/>
  <c r="E124" i="39"/>
  <c r="E124" i="27"/>
  <c r="E124" i="26"/>
  <c r="E124" i="22"/>
  <c r="E124" i="23"/>
  <c r="E124" i="28"/>
  <c r="E124" i="32"/>
  <c r="N124" i="39" s="1"/>
  <c r="F35" i="18"/>
  <c r="F34" i="18"/>
  <c r="F33" i="18"/>
  <c r="F32" i="18"/>
  <c r="F31" i="18"/>
  <c r="F30" i="18"/>
  <c r="F29" i="18"/>
  <c r="F28" i="18"/>
  <c r="F27" i="18"/>
  <c r="F26" i="18"/>
  <c r="F25" i="18"/>
  <c r="G12" i="18"/>
  <c r="L63" i="38" s="1"/>
  <c r="N40" i="9"/>
  <c r="N59" i="9" s="1"/>
  <c r="N39" i="9"/>
  <c r="N38" i="9"/>
  <c r="N37" i="9"/>
  <c r="N36" i="9"/>
  <c r="N35" i="9"/>
  <c r="N34" i="9"/>
  <c r="N33" i="9"/>
  <c r="N32" i="9"/>
  <c r="I32" i="9"/>
  <c r="N31" i="9"/>
  <c r="I31" i="9"/>
  <c r="I32" i="17"/>
  <c r="I31" i="17"/>
  <c r="I30" i="17"/>
  <c r="I29" i="17"/>
  <c r="F45" i="18" l="1"/>
  <c r="E95" i="19"/>
  <c r="E94" i="39"/>
  <c r="E94" i="27"/>
  <c r="E94" i="28"/>
  <c r="E94" i="23"/>
  <c r="E94" i="22"/>
  <c r="E94" i="26"/>
  <c r="E94" i="32"/>
  <c r="N94" i="39" s="1"/>
  <c r="E44" i="39"/>
  <c r="E44" i="28"/>
  <c r="E44" i="23"/>
  <c r="E44" i="27"/>
  <c r="E44" i="22"/>
  <c r="E44" i="26"/>
  <c r="E44" i="32"/>
  <c r="N44" i="39" s="1"/>
  <c r="E86" i="19"/>
  <c r="E85" i="39"/>
  <c r="E85" i="27"/>
  <c r="E85" i="22"/>
  <c r="E85" i="23"/>
  <c r="E85" i="26"/>
  <c r="E85" i="28"/>
  <c r="E85" i="32"/>
  <c r="N85" i="39" s="1"/>
  <c r="E110" i="39"/>
  <c r="E110" i="27"/>
  <c r="E110" i="28"/>
  <c r="E110" i="23"/>
  <c r="E110" i="22"/>
  <c r="E110" i="26"/>
  <c r="E110" i="32"/>
  <c r="N110" i="39" s="1"/>
  <c r="E53" i="19"/>
  <c r="E52" i="39"/>
  <c r="E52" i="28"/>
  <c r="E52" i="23"/>
  <c r="E52" i="27"/>
  <c r="E52" i="22"/>
  <c r="E52" i="26"/>
  <c r="E52" i="32"/>
  <c r="N52" i="39" s="1"/>
  <c r="E107" i="19"/>
  <c r="E106" i="39"/>
  <c r="E106" i="27"/>
  <c r="E106" i="28"/>
  <c r="E106" i="23"/>
  <c r="E106" i="26"/>
  <c r="E106" i="22"/>
  <c r="E106" i="32"/>
  <c r="N106" i="39" s="1"/>
  <c r="E113" i="19"/>
  <c r="E112" i="39"/>
  <c r="E112" i="28"/>
  <c r="E112" i="23"/>
  <c r="E112" i="27"/>
  <c r="E112" i="26"/>
  <c r="E112" i="22"/>
  <c r="E112" i="32"/>
  <c r="N112" i="39" s="1"/>
  <c r="E98" i="39"/>
  <c r="E98" i="27"/>
  <c r="E98" i="28"/>
  <c r="E98" i="23"/>
  <c r="E98" i="26"/>
  <c r="E98" i="22"/>
  <c r="E98" i="32"/>
  <c r="N98" i="39" s="1"/>
  <c r="E38" i="19"/>
  <c r="E37" i="39"/>
  <c r="E37" i="27"/>
  <c r="E37" i="22"/>
  <c r="E37" i="23"/>
  <c r="E37" i="26"/>
  <c r="E37" i="28"/>
  <c r="E37" i="32"/>
  <c r="N37" i="39" s="1"/>
  <c r="E26" i="19"/>
  <c r="E25" i="39"/>
  <c r="E25" i="27"/>
  <c r="E25" i="23"/>
  <c r="E25" i="22"/>
  <c r="E25" i="28"/>
  <c r="E25" i="26"/>
  <c r="E25" i="32"/>
  <c r="N25" i="39" s="1"/>
  <c r="E89" i="19"/>
  <c r="E88" i="39"/>
  <c r="E88" i="28"/>
  <c r="E88" i="23"/>
  <c r="E88" i="27"/>
  <c r="E88" i="26"/>
  <c r="E88" i="22"/>
  <c r="E88" i="32"/>
  <c r="N88" i="39" s="1"/>
  <c r="E50" i="39"/>
  <c r="E50" i="27"/>
  <c r="E50" i="28"/>
  <c r="E50" i="23"/>
  <c r="E50" i="26"/>
  <c r="E50" i="22"/>
  <c r="E50" i="32"/>
  <c r="N50" i="39" s="1"/>
  <c r="E14" i="39"/>
  <c r="E14" i="27"/>
  <c r="E14" i="28"/>
  <c r="E14" i="23"/>
  <c r="E14" i="26"/>
  <c r="E14" i="22"/>
  <c r="E14" i="32"/>
  <c r="N14" i="39" s="1"/>
  <c r="E47" i="39"/>
  <c r="E47" i="28"/>
  <c r="E47" i="27"/>
  <c r="E47" i="26"/>
  <c r="E47" i="23"/>
  <c r="E47" i="22"/>
  <c r="E47" i="32"/>
  <c r="N47" i="39" s="1"/>
  <c r="E35" i="19"/>
  <c r="E34" i="39"/>
  <c r="E34" i="27"/>
  <c r="E34" i="28"/>
  <c r="E34" i="23"/>
  <c r="E34" i="26"/>
  <c r="E34" i="22"/>
  <c r="E34" i="32"/>
  <c r="N34" i="39" s="1"/>
  <c r="E23" i="19"/>
  <c r="E22" i="39"/>
  <c r="E22" i="27"/>
  <c r="E22" i="28"/>
  <c r="E22" i="23"/>
  <c r="E22" i="26"/>
  <c r="E22" i="22"/>
  <c r="E22" i="32"/>
  <c r="N22" i="39" s="1"/>
  <c r="E11" i="19"/>
  <c r="E10" i="39"/>
  <c r="E10" i="27"/>
  <c r="E10" i="28"/>
  <c r="E10" i="23"/>
  <c r="E10" i="22"/>
  <c r="E10" i="26"/>
  <c r="E10" i="32"/>
  <c r="N10" i="39" s="1"/>
  <c r="E77" i="19"/>
  <c r="E76" i="39"/>
  <c r="E76" i="28"/>
  <c r="E76" i="23"/>
  <c r="E76" i="27"/>
  <c r="E76" i="22"/>
  <c r="E76" i="26"/>
  <c r="E76" i="32"/>
  <c r="N76" i="39" s="1"/>
  <c r="E41" i="19"/>
  <c r="E40" i="39"/>
  <c r="E40" i="28"/>
  <c r="E40" i="23"/>
  <c r="E40" i="27"/>
  <c r="E40" i="22"/>
  <c r="E40" i="26"/>
  <c r="E40" i="32"/>
  <c r="N40" i="39" s="1"/>
  <c r="E134" i="39"/>
  <c r="E134" i="27"/>
  <c r="E134" i="28"/>
  <c r="E134" i="23"/>
  <c r="E134" i="26"/>
  <c r="E134" i="22"/>
  <c r="E134" i="21"/>
  <c r="E134" i="32"/>
  <c r="N134" i="39" s="1"/>
  <c r="E122" i="39"/>
  <c r="E122" i="27"/>
  <c r="E122" i="26"/>
  <c r="E122" i="28"/>
  <c r="E122" i="23"/>
  <c r="E122" i="22"/>
  <c r="E122" i="32"/>
  <c r="N122" i="39" s="1"/>
  <c r="E71" i="39"/>
  <c r="E71" i="28"/>
  <c r="E71" i="23"/>
  <c r="E71" i="26"/>
  <c r="E71" i="27"/>
  <c r="E71" i="22"/>
  <c r="E71" i="32"/>
  <c r="N71" i="39" s="1"/>
  <c r="E17" i="39"/>
  <c r="E17" i="27"/>
  <c r="E17" i="28"/>
  <c r="E17" i="23"/>
  <c r="E17" i="22"/>
  <c r="E17" i="26"/>
  <c r="E17" i="32"/>
  <c r="N17" i="39" s="1"/>
  <c r="E80" i="19"/>
  <c r="E79" i="39"/>
  <c r="E79" i="28"/>
  <c r="E79" i="23"/>
  <c r="E79" i="27"/>
  <c r="E79" i="26"/>
  <c r="E79" i="22"/>
  <c r="E79" i="32"/>
  <c r="N79" i="39" s="1"/>
  <c r="E68" i="19"/>
  <c r="E67" i="39"/>
  <c r="E67" i="28"/>
  <c r="E67" i="23"/>
  <c r="E67" i="26"/>
  <c r="E67" i="27"/>
  <c r="E67" i="22"/>
  <c r="E67" i="32"/>
  <c r="N67" i="39" s="1"/>
  <c r="E56" i="19"/>
  <c r="E55" i="39"/>
  <c r="E55" i="28"/>
  <c r="E55" i="23"/>
  <c r="E55" i="26"/>
  <c r="E55" i="27"/>
  <c r="E55" i="22"/>
  <c r="E55" i="32"/>
  <c r="N55" i="39" s="1"/>
  <c r="E131" i="39"/>
  <c r="E131" i="27"/>
  <c r="E131" i="22"/>
  <c r="E131" i="23"/>
  <c r="E131" i="26"/>
  <c r="E131" i="28"/>
  <c r="E131" i="32"/>
  <c r="N131" i="39" s="1"/>
  <c r="E119" i="39"/>
  <c r="E119" i="28"/>
  <c r="E119" i="23"/>
  <c r="E119" i="26"/>
  <c r="E119" i="27"/>
  <c r="E119" i="22"/>
  <c r="E119" i="32"/>
  <c r="N119" i="39" s="1"/>
  <c r="E104" i="39"/>
  <c r="E104" i="28"/>
  <c r="E104" i="23"/>
  <c r="E104" i="27"/>
  <c r="E104" i="22"/>
  <c r="E104" i="26"/>
  <c r="E104" i="32"/>
  <c r="N104" i="39" s="1"/>
  <c r="E32" i="19"/>
  <c r="E31" i="39"/>
  <c r="E31" i="28"/>
  <c r="E31" i="27"/>
  <c r="E31" i="26"/>
  <c r="E31" i="23"/>
  <c r="E31" i="22"/>
  <c r="E31" i="32"/>
  <c r="N31" i="39" s="1"/>
  <c r="E20" i="19"/>
  <c r="E19" i="39"/>
  <c r="E19" i="28"/>
  <c r="E19" i="26"/>
  <c r="E19" i="27"/>
  <c r="E19" i="23"/>
  <c r="E19" i="22"/>
  <c r="E19" i="32"/>
  <c r="N19" i="39" s="1"/>
  <c r="E74" i="39"/>
  <c r="E74" i="27"/>
  <c r="E74" i="28"/>
  <c r="E74" i="23"/>
  <c r="E74" i="26"/>
  <c r="E74" i="22"/>
  <c r="E74" i="32"/>
  <c r="N74" i="39" s="1"/>
  <c r="E62" i="19"/>
  <c r="E61" i="39"/>
  <c r="E61" i="27"/>
  <c r="E61" i="22"/>
  <c r="E61" i="28"/>
  <c r="E61" i="23"/>
  <c r="E61" i="26"/>
  <c r="E61" i="32"/>
  <c r="N61" i="39" s="1"/>
  <c r="E59" i="19"/>
  <c r="E58" i="39"/>
  <c r="E58" i="27"/>
  <c r="E58" i="28"/>
  <c r="E58" i="23"/>
  <c r="E58" i="22"/>
  <c r="E58" i="26"/>
  <c r="E58" i="32"/>
  <c r="N58" i="39" s="1"/>
  <c r="E128" i="19"/>
  <c r="E127" i="39"/>
  <c r="E127" i="27"/>
  <c r="E127" i="28"/>
  <c r="E127" i="23"/>
  <c r="E127" i="26"/>
  <c r="E127" i="22"/>
  <c r="E127" i="32"/>
  <c r="N127" i="39" s="1"/>
  <c r="E116" i="39"/>
  <c r="E116" i="28"/>
  <c r="E116" i="23"/>
  <c r="E116" i="27"/>
  <c r="E116" i="22"/>
  <c r="E116" i="26"/>
  <c r="E116" i="32"/>
  <c r="N116" i="39" s="1"/>
  <c r="E83" i="39"/>
  <c r="E83" i="28"/>
  <c r="E83" i="23"/>
  <c r="E83" i="26"/>
  <c r="E83" i="22"/>
  <c r="E83" i="27"/>
  <c r="E83" i="32"/>
  <c r="N83" i="39" s="1"/>
  <c r="E8" i="39"/>
  <c r="E8" i="28"/>
  <c r="E8" i="23"/>
  <c r="E8" i="27"/>
  <c r="E8" i="22"/>
  <c r="E8" i="26"/>
  <c r="E8" i="32"/>
  <c r="N8" i="39" s="1"/>
  <c r="E65" i="19"/>
  <c r="E64" i="39"/>
  <c r="E64" i="28"/>
  <c r="E64" i="23"/>
  <c r="E64" i="27"/>
  <c r="E64" i="22"/>
  <c r="E64" i="26"/>
  <c r="E64" i="32"/>
  <c r="N64" i="39" s="1"/>
  <c r="E29" i="19"/>
  <c r="E28" i="39"/>
  <c r="E28" i="28"/>
  <c r="E28" i="23"/>
  <c r="E28" i="27"/>
  <c r="E28" i="22"/>
  <c r="E28" i="26"/>
  <c r="E28" i="32"/>
  <c r="N28" i="39" s="1"/>
  <c r="E92" i="39"/>
  <c r="E92" i="28"/>
  <c r="E92" i="23"/>
  <c r="E92" i="27"/>
  <c r="E92" i="22"/>
  <c r="E92" i="26"/>
  <c r="E92" i="32"/>
  <c r="N92" i="39" s="1"/>
  <c r="E5" i="39"/>
  <c r="E5" i="27"/>
  <c r="E5" i="22"/>
  <c r="E5" i="23"/>
  <c r="E5" i="26"/>
  <c r="E5" i="28"/>
  <c r="E5" i="32"/>
  <c r="N5" i="39" s="1"/>
  <c r="E101" i="39"/>
  <c r="E101" i="27"/>
  <c r="E101" i="22"/>
  <c r="E101" i="26"/>
  <c r="E101" i="28"/>
  <c r="E101" i="23"/>
  <c r="E101" i="32"/>
  <c r="N101" i="39" s="1"/>
  <c r="N56" i="9"/>
  <c r="E125" i="39"/>
  <c r="E125" i="23"/>
  <c r="E125" i="27"/>
  <c r="E125" i="26"/>
  <c r="E125" i="28"/>
  <c r="E125" i="22"/>
  <c r="E125" i="32"/>
  <c r="N125" i="39" s="1"/>
  <c r="N57" i="9"/>
  <c r="N58" i="9"/>
  <c r="J53" i="11"/>
  <c r="J63" i="11" s="1"/>
  <c r="L53" i="11"/>
  <c r="K53" i="11"/>
  <c r="K63" i="11" s="1"/>
  <c r="E135" i="33" l="1"/>
  <c r="E135" i="32"/>
  <c r="N135" i="39" s="1"/>
  <c r="E135" i="27"/>
  <c r="I40" i="17"/>
  <c r="I159" i="37" s="1"/>
  <c r="I40" i="44"/>
  <c r="E135" i="39"/>
  <c r="E135" i="28"/>
  <c r="E135" i="23"/>
  <c r="E135" i="26"/>
  <c r="E135" i="22"/>
  <c r="E136" i="19"/>
  <c r="E77" i="39"/>
  <c r="E77" i="27"/>
  <c r="E77" i="22"/>
  <c r="E77" i="28"/>
  <c r="E77" i="23"/>
  <c r="E77" i="26"/>
  <c r="E77" i="32"/>
  <c r="N77" i="39" s="1"/>
  <c r="E11" i="39"/>
  <c r="E11" i="28"/>
  <c r="E11" i="26"/>
  <c r="E11" i="27"/>
  <c r="E11" i="22"/>
  <c r="E11" i="23"/>
  <c r="E11" i="32"/>
  <c r="N11" i="39" s="1"/>
  <c r="E53" i="39"/>
  <c r="E53" i="27"/>
  <c r="E53" i="22"/>
  <c r="E53" i="26"/>
  <c r="E53" i="28"/>
  <c r="E53" i="23"/>
  <c r="E53" i="32"/>
  <c r="N53" i="39" s="1"/>
  <c r="E59" i="39"/>
  <c r="E59" i="28"/>
  <c r="E59" i="23"/>
  <c r="E59" i="26"/>
  <c r="E59" i="27"/>
  <c r="E59" i="22"/>
  <c r="E59" i="32"/>
  <c r="N59" i="39" s="1"/>
  <c r="E80" i="39"/>
  <c r="E80" i="28"/>
  <c r="E80" i="23"/>
  <c r="E80" i="27"/>
  <c r="E80" i="22"/>
  <c r="E80" i="26"/>
  <c r="E80" i="32"/>
  <c r="N80" i="39" s="1"/>
  <c r="E86" i="39"/>
  <c r="E86" i="27"/>
  <c r="E86" i="28"/>
  <c r="E86" i="23"/>
  <c r="E86" i="26"/>
  <c r="E86" i="22"/>
  <c r="E86" i="32"/>
  <c r="N86" i="39" s="1"/>
  <c r="E113" i="39"/>
  <c r="E113" i="27"/>
  <c r="E113" i="28"/>
  <c r="E113" i="23"/>
  <c r="E113" i="22"/>
  <c r="E113" i="26"/>
  <c r="E113" i="32"/>
  <c r="N113" i="39" s="1"/>
  <c r="E29" i="39"/>
  <c r="E29" i="27"/>
  <c r="E29" i="22"/>
  <c r="E29" i="28"/>
  <c r="E29" i="23"/>
  <c r="E29" i="26"/>
  <c r="E29" i="32"/>
  <c r="N29" i="39" s="1"/>
  <c r="E20" i="39"/>
  <c r="E20" i="28"/>
  <c r="E20" i="23"/>
  <c r="E20" i="27"/>
  <c r="E20" i="22"/>
  <c r="E20" i="26"/>
  <c r="E20" i="32"/>
  <c r="N20" i="39" s="1"/>
  <c r="E32" i="39"/>
  <c r="E32" i="28"/>
  <c r="E32" i="23"/>
  <c r="E32" i="27"/>
  <c r="E32" i="22"/>
  <c r="E32" i="26"/>
  <c r="E32" i="32"/>
  <c r="N32" i="39" s="1"/>
  <c r="E89" i="39"/>
  <c r="E89" i="27"/>
  <c r="E89" i="22"/>
  <c r="E89" i="28"/>
  <c r="E89" i="23"/>
  <c r="E89" i="26"/>
  <c r="E89" i="32"/>
  <c r="N89" i="39" s="1"/>
  <c r="E26" i="39"/>
  <c r="E26" i="27"/>
  <c r="E26" i="28"/>
  <c r="E26" i="23"/>
  <c r="E26" i="26"/>
  <c r="E26" i="22"/>
  <c r="E26" i="32"/>
  <c r="N26" i="39" s="1"/>
  <c r="E38" i="39"/>
  <c r="E38" i="27"/>
  <c r="E38" i="28"/>
  <c r="E38" i="23"/>
  <c r="E38" i="26"/>
  <c r="E38" i="22"/>
  <c r="E38" i="32"/>
  <c r="N38" i="39" s="1"/>
  <c r="E41" i="39"/>
  <c r="E41" i="27"/>
  <c r="E41" i="23"/>
  <c r="E41" i="22"/>
  <c r="E41" i="28"/>
  <c r="E41" i="26"/>
  <c r="E41" i="32"/>
  <c r="N41" i="39" s="1"/>
  <c r="E23" i="39"/>
  <c r="E23" i="28"/>
  <c r="E23" i="26"/>
  <c r="E23" i="23"/>
  <c r="E23" i="27"/>
  <c r="E23" i="22"/>
  <c r="E23" i="32"/>
  <c r="N23" i="39" s="1"/>
  <c r="E35" i="39"/>
  <c r="E35" i="28"/>
  <c r="E35" i="26"/>
  <c r="E35" i="27"/>
  <c r="E35" i="22"/>
  <c r="E35" i="23"/>
  <c r="E35" i="32"/>
  <c r="N35" i="39" s="1"/>
  <c r="E107" i="39"/>
  <c r="E107" i="28"/>
  <c r="E107" i="23"/>
  <c r="E107" i="26"/>
  <c r="E107" i="27"/>
  <c r="E107" i="22"/>
  <c r="E107" i="32"/>
  <c r="N107" i="39" s="1"/>
  <c r="E65" i="39"/>
  <c r="E65" i="27"/>
  <c r="E65" i="28"/>
  <c r="E65" i="23"/>
  <c r="E65" i="22"/>
  <c r="E65" i="26"/>
  <c r="E65" i="32"/>
  <c r="N65" i="39" s="1"/>
  <c r="E128" i="39"/>
  <c r="E128" i="27"/>
  <c r="E128" i="26"/>
  <c r="E128" i="28"/>
  <c r="E128" i="23"/>
  <c r="E128" i="22"/>
  <c r="E128" i="32"/>
  <c r="N128" i="39" s="1"/>
  <c r="E62" i="39"/>
  <c r="E62" i="27"/>
  <c r="E62" i="28"/>
  <c r="E62" i="23"/>
  <c r="E62" i="26"/>
  <c r="E62" i="22"/>
  <c r="E62" i="32"/>
  <c r="N62" i="39" s="1"/>
  <c r="E56" i="39"/>
  <c r="E56" i="28"/>
  <c r="E56" i="23"/>
  <c r="E56" i="27"/>
  <c r="E56" i="22"/>
  <c r="E56" i="26"/>
  <c r="E56" i="32"/>
  <c r="N56" i="39" s="1"/>
  <c r="E68" i="39"/>
  <c r="E68" i="28"/>
  <c r="E68" i="23"/>
  <c r="E68" i="27"/>
  <c r="E68" i="22"/>
  <c r="E68" i="26"/>
  <c r="E68" i="32"/>
  <c r="N68" i="39" s="1"/>
  <c r="E95" i="39"/>
  <c r="E95" i="28"/>
  <c r="E95" i="23"/>
  <c r="E95" i="27"/>
  <c r="E95" i="26"/>
  <c r="E95" i="22"/>
  <c r="E95" i="32"/>
  <c r="N95" i="39" s="1"/>
  <c r="L63" i="11"/>
  <c r="H32" i="17"/>
  <c r="G32" i="17"/>
  <c r="D32" i="17"/>
  <c r="H31" i="17"/>
  <c r="G31" i="17"/>
  <c r="H30" i="17"/>
  <c r="G30" i="17"/>
  <c r="F31" i="17"/>
  <c r="E31" i="17"/>
  <c r="D31" i="17"/>
  <c r="B31" i="17"/>
  <c r="N30" i="9"/>
  <c r="E136" i="33" l="1"/>
  <c r="E136" i="32"/>
  <c r="N136" i="39" s="1"/>
  <c r="I39" i="44"/>
  <c r="I15" i="17"/>
  <c r="E137" i="19"/>
  <c r="E136" i="39"/>
  <c r="E136" i="27"/>
  <c r="E136" i="26"/>
  <c r="E136" i="22"/>
  <c r="E136" i="28"/>
  <c r="E136" i="23"/>
  <c r="E33" i="17"/>
  <c r="F34" i="17"/>
  <c r="D34" i="17"/>
  <c r="C34" i="17"/>
  <c r="J13" i="17"/>
  <c r="F32" i="17"/>
  <c r="E32" i="17"/>
  <c r="E137" i="33" l="1"/>
  <c r="E137" i="32"/>
  <c r="N137" i="39" s="1"/>
  <c r="I16" i="17"/>
  <c r="K13" i="17"/>
  <c r="I48" i="44"/>
  <c r="I67" i="44"/>
  <c r="T44" i="37" s="1"/>
  <c r="I44" i="37" s="1"/>
  <c r="E137" i="39"/>
  <c r="E137" i="27"/>
  <c r="E137" i="26"/>
  <c r="E137" i="28"/>
  <c r="E137" i="23"/>
  <c r="E137" i="22"/>
  <c r="K80" i="38"/>
  <c r="N18" i="11"/>
  <c r="J89" i="38"/>
  <c r="M27" i="11"/>
  <c r="K94" i="38"/>
  <c r="N32" i="11"/>
  <c r="K84" i="38"/>
  <c r="N22" i="11"/>
  <c r="E34" i="17"/>
  <c r="F35" i="17"/>
  <c r="D35" i="17"/>
  <c r="C35" i="17"/>
  <c r="O16" i="9"/>
  <c r="M16" i="9"/>
  <c r="L16" i="9"/>
  <c r="K16" i="9"/>
  <c r="J16" i="9"/>
  <c r="I16" i="9"/>
  <c r="H16" i="9"/>
  <c r="O15" i="9"/>
  <c r="M15" i="9"/>
  <c r="L15" i="9"/>
  <c r="K15" i="9"/>
  <c r="J15" i="9"/>
  <c r="I15" i="9"/>
  <c r="H15" i="9"/>
  <c r="I94" i="37" l="1"/>
  <c r="I212" i="37" s="1"/>
  <c r="I142" i="37"/>
  <c r="I168" i="37" s="1"/>
  <c r="I169" i="37" s="1"/>
  <c r="I170" i="37" s="1"/>
  <c r="I171" i="37" s="1"/>
  <c r="I172" i="37" s="1"/>
  <c r="P16" i="9"/>
  <c r="P39" i="9" s="1"/>
  <c r="P15" i="9"/>
  <c r="P38" i="9" s="1"/>
  <c r="E138" i="33"/>
  <c r="E138" i="32"/>
  <c r="AE44" i="37"/>
  <c r="M47" i="38"/>
  <c r="I17" i="17"/>
  <c r="B67" i="37"/>
  <c r="H39" i="9"/>
  <c r="B66" i="37"/>
  <c r="H38" i="9"/>
  <c r="C67" i="37"/>
  <c r="I39" i="9"/>
  <c r="E315" i="37"/>
  <c r="E330" i="37" s="1"/>
  <c r="G66" i="37"/>
  <c r="E33" i="18"/>
  <c r="M38" i="9"/>
  <c r="B316" i="37"/>
  <c r="D67" i="37"/>
  <c r="J39" i="9"/>
  <c r="B34" i="18"/>
  <c r="H34" i="18"/>
  <c r="I67" i="37"/>
  <c r="O39" i="9"/>
  <c r="C315" i="37"/>
  <c r="C330" i="37" s="1"/>
  <c r="E66" i="37"/>
  <c r="C33" i="18"/>
  <c r="K38" i="9"/>
  <c r="D316" i="37"/>
  <c r="D331" i="37" s="1"/>
  <c r="F67" i="37"/>
  <c r="L39" i="9"/>
  <c r="D34" i="18"/>
  <c r="D315" i="37"/>
  <c r="D330" i="37" s="1"/>
  <c r="F66" i="37"/>
  <c r="L38" i="9"/>
  <c r="D33" i="18"/>
  <c r="E316" i="37"/>
  <c r="E331" i="37" s="1"/>
  <c r="G67" i="37"/>
  <c r="E34" i="18"/>
  <c r="M39" i="9"/>
  <c r="C66" i="37"/>
  <c r="I38" i="9"/>
  <c r="B315" i="37"/>
  <c r="D66" i="37"/>
  <c r="B33" i="18"/>
  <c r="J38" i="9"/>
  <c r="H33" i="18"/>
  <c r="I66" i="37"/>
  <c r="O38" i="9"/>
  <c r="C316" i="37"/>
  <c r="C331" i="37" s="1"/>
  <c r="E67" i="37"/>
  <c r="C34" i="18"/>
  <c r="K39" i="9"/>
  <c r="I49" i="44"/>
  <c r="I58" i="44"/>
  <c r="E139" i="19"/>
  <c r="E138" i="39"/>
  <c r="E138" i="28"/>
  <c r="E138" i="23"/>
  <c r="E138" i="27"/>
  <c r="E138" i="22"/>
  <c r="E138" i="26"/>
  <c r="N138" i="39"/>
  <c r="K89" i="38"/>
  <c r="N27" i="11"/>
  <c r="L94" i="38"/>
  <c r="O32" i="11"/>
  <c r="L56" i="11"/>
  <c r="L80" i="38"/>
  <c r="O18" i="11"/>
  <c r="L84" i="38"/>
  <c r="O22" i="11"/>
  <c r="E35" i="17"/>
  <c r="F36" i="17"/>
  <c r="D36" i="17"/>
  <c r="C36" i="17"/>
  <c r="G16" i="9"/>
  <c r="G15" i="9"/>
  <c r="I158" i="37" l="1"/>
  <c r="I160" i="37" s="1"/>
  <c r="J57" i="9"/>
  <c r="L57" i="9"/>
  <c r="K57" i="9"/>
  <c r="H57" i="9"/>
  <c r="E139" i="33"/>
  <c r="E139" i="32"/>
  <c r="I18" i="17"/>
  <c r="I92" i="37"/>
  <c r="K48" i="38"/>
  <c r="G315" i="37"/>
  <c r="G330" i="37" s="1"/>
  <c r="B330" i="37"/>
  <c r="C91" i="37"/>
  <c r="J19" i="38"/>
  <c r="D92" i="37"/>
  <c r="K23" i="38"/>
  <c r="K28" i="38"/>
  <c r="E92" i="37"/>
  <c r="G316" i="37"/>
  <c r="G331" i="37" s="1"/>
  <c r="B331" i="37"/>
  <c r="J67" i="37"/>
  <c r="B92" i="37"/>
  <c r="K15" i="38"/>
  <c r="J23" i="38"/>
  <c r="D91" i="37"/>
  <c r="C92" i="37"/>
  <c r="K19" i="38"/>
  <c r="G92" i="37"/>
  <c r="K38" i="38"/>
  <c r="K33" i="38"/>
  <c r="F92" i="37"/>
  <c r="I91" i="37"/>
  <c r="J48" i="38"/>
  <c r="M57" i="9"/>
  <c r="J33" i="38"/>
  <c r="F91" i="37"/>
  <c r="J28" i="38"/>
  <c r="E91" i="37"/>
  <c r="G91" i="37"/>
  <c r="J38" i="38"/>
  <c r="I57" i="9"/>
  <c r="B91" i="37"/>
  <c r="J15" i="38"/>
  <c r="J66" i="37"/>
  <c r="I68" i="44"/>
  <c r="T45" i="37" s="1"/>
  <c r="I45" i="37" s="1"/>
  <c r="I50" i="44"/>
  <c r="I59" i="44"/>
  <c r="E140" i="19"/>
  <c r="E139" i="39"/>
  <c r="E139" i="28"/>
  <c r="E139" i="23"/>
  <c r="E139" i="27"/>
  <c r="E139" i="26"/>
  <c r="E139" i="22"/>
  <c r="N139" i="39"/>
  <c r="L89" i="38"/>
  <c r="O27" i="11"/>
  <c r="M84" i="38"/>
  <c r="P22" i="11"/>
  <c r="M80" i="38"/>
  <c r="P18" i="11"/>
  <c r="M94" i="38"/>
  <c r="P32" i="11"/>
  <c r="E36" i="17"/>
  <c r="F37" i="17"/>
  <c r="D37" i="17"/>
  <c r="C37" i="17"/>
  <c r="A22" i="9"/>
  <c r="A45" i="9" s="1"/>
  <c r="A23" i="9"/>
  <c r="A46" i="9" s="1"/>
  <c r="A17" i="9"/>
  <c r="A40" i="9" s="1"/>
  <c r="A18" i="9"/>
  <c r="A41" i="9" s="1"/>
  <c r="A19" i="9"/>
  <c r="A42" i="9" s="1"/>
  <c r="A20" i="9"/>
  <c r="A43" i="9" s="1"/>
  <c r="A21" i="9"/>
  <c r="A44" i="9" s="1"/>
  <c r="E140" i="33" l="1"/>
  <c r="E140" i="32"/>
  <c r="N140" i="39" s="1"/>
  <c r="AE45" i="37"/>
  <c r="I180" i="37"/>
  <c r="I189" i="37" s="1"/>
  <c r="N47" i="38"/>
  <c r="I19" i="17"/>
  <c r="J38" i="11"/>
  <c r="G100" i="38"/>
  <c r="F209" i="37"/>
  <c r="G110" i="38"/>
  <c r="J48" i="11"/>
  <c r="F114" i="37"/>
  <c r="F210" i="37"/>
  <c r="K9" i="38"/>
  <c r="J92" i="37"/>
  <c r="J210" i="37"/>
  <c r="G77" i="38"/>
  <c r="J15" i="11"/>
  <c r="J52" i="38"/>
  <c r="J28" i="11"/>
  <c r="G90" i="38"/>
  <c r="H110" i="38"/>
  <c r="K48" i="11"/>
  <c r="B209" i="37"/>
  <c r="H100" i="38"/>
  <c r="K38" i="11"/>
  <c r="D209" i="37"/>
  <c r="H77" i="38"/>
  <c r="K52" i="38"/>
  <c r="K15" i="11"/>
  <c r="E210" i="37"/>
  <c r="E114" i="37"/>
  <c r="K23" i="11"/>
  <c r="H85" i="38"/>
  <c r="I210" i="37"/>
  <c r="I114" i="37"/>
  <c r="J9" i="38"/>
  <c r="J209" i="37"/>
  <c r="J91" i="37"/>
  <c r="E209" i="37"/>
  <c r="K19" i="11"/>
  <c r="H81" i="38"/>
  <c r="C209" i="37"/>
  <c r="G209" i="37"/>
  <c r="J33" i="11"/>
  <c r="G95" i="38"/>
  <c r="I209" i="37"/>
  <c r="K33" i="11"/>
  <c r="H95" i="38"/>
  <c r="C114" i="37"/>
  <c r="C210" i="37"/>
  <c r="C225" i="37" s="1"/>
  <c r="G210" i="37"/>
  <c r="G225" i="37" s="1"/>
  <c r="G114" i="37"/>
  <c r="J23" i="11"/>
  <c r="G85" i="38"/>
  <c r="B114" i="37"/>
  <c r="B210" i="37"/>
  <c r="K28" i="11"/>
  <c r="H90" i="38"/>
  <c r="D210" i="37"/>
  <c r="D114" i="37"/>
  <c r="G81" i="38"/>
  <c r="J19" i="11"/>
  <c r="I69" i="44"/>
  <c r="T46" i="37" s="1"/>
  <c r="I46" i="37" s="1"/>
  <c r="I51" i="44"/>
  <c r="I60" i="44"/>
  <c r="E140" i="39"/>
  <c r="E140" i="27"/>
  <c r="E140" i="22"/>
  <c r="E140" i="28"/>
  <c r="E140" i="23"/>
  <c r="E140" i="26"/>
  <c r="N84" i="38"/>
  <c r="Q22" i="11"/>
  <c r="M89" i="38"/>
  <c r="P27" i="11"/>
  <c r="N94" i="38"/>
  <c r="Q32" i="11"/>
  <c r="N80" i="38"/>
  <c r="Q18" i="11"/>
  <c r="E37" i="17"/>
  <c r="O33" i="31"/>
  <c r="AW21" i="31"/>
  <c r="AV21" i="31"/>
  <c r="AU21" i="31"/>
  <c r="AT21" i="31"/>
  <c r="AS21" i="31"/>
  <c r="AR21" i="31"/>
  <c r="AQ21" i="31"/>
  <c r="AP21" i="31"/>
  <c r="AO21" i="31"/>
  <c r="AN21" i="31"/>
  <c r="AM21" i="31"/>
  <c r="AL21" i="31"/>
  <c r="AK21" i="31"/>
  <c r="AJ21" i="31"/>
  <c r="AI21" i="31"/>
  <c r="AH21" i="31"/>
  <c r="AG21" i="31"/>
  <c r="AF21" i="31"/>
  <c r="AE21" i="31"/>
  <c r="AD21" i="31"/>
  <c r="AC21" i="31"/>
  <c r="AB21" i="31"/>
  <c r="AA21" i="31"/>
  <c r="Z21" i="31"/>
  <c r="Y21" i="31"/>
  <c r="X21" i="31"/>
  <c r="W21" i="31"/>
  <c r="V21" i="31"/>
  <c r="U21" i="31"/>
  <c r="T21" i="31"/>
  <c r="S21" i="31"/>
  <c r="S52" i="31" s="1"/>
  <c r="R21" i="31"/>
  <c r="R52" i="31" s="1"/>
  <c r="Q21" i="31"/>
  <c r="Q52" i="31" s="1"/>
  <c r="P21" i="31"/>
  <c r="P52" i="31" s="1"/>
  <c r="O21" i="31"/>
  <c r="O52" i="31" s="1"/>
  <c r="AW20" i="31"/>
  <c r="AV20" i="31"/>
  <c r="AU20" i="31"/>
  <c r="AT20" i="31"/>
  <c r="AS20" i="31"/>
  <c r="AR20" i="31"/>
  <c r="AQ20" i="31"/>
  <c r="AP20" i="31"/>
  <c r="AO20" i="31"/>
  <c r="AN20" i="31"/>
  <c r="AM20" i="31"/>
  <c r="AL20" i="31"/>
  <c r="AK20" i="31"/>
  <c r="AJ20" i="31"/>
  <c r="AI20" i="31"/>
  <c r="AH20" i="31"/>
  <c r="AG20" i="31"/>
  <c r="AF20" i="31"/>
  <c r="AE20" i="31"/>
  <c r="AD20" i="31"/>
  <c r="AC20" i="31"/>
  <c r="AB20" i="31"/>
  <c r="AA20" i="31"/>
  <c r="Z20" i="31"/>
  <c r="Y20" i="31"/>
  <c r="X20" i="31"/>
  <c r="W20" i="31"/>
  <c r="V20" i="31"/>
  <c r="U20" i="31"/>
  <c r="T20" i="31"/>
  <c r="S20" i="31"/>
  <c r="S51" i="31" s="1"/>
  <c r="R20" i="31"/>
  <c r="R51" i="31" s="1"/>
  <c r="Q20" i="31"/>
  <c r="Q51" i="31" s="1"/>
  <c r="P20" i="31"/>
  <c r="P51" i="31" s="1"/>
  <c r="O20" i="31"/>
  <c r="O51" i="31" s="1"/>
  <c r="AW19" i="31"/>
  <c r="AV19" i="31"/>
  <c r="AU19" i="31"/>
  <c r="AT19" i="31"/>
  <c r="AS19" i="31"/>
  <c r="AR19" i="31"/>
  <c r="AQ19" i="31"/>
  <c r="AP19" i="31"/>
  <c r="AO19" i="31"/>
  <c r="AN19" i="31"/>
  <c r="AM19" i="31"/>
  <c r="AL19" i="31"/>
  <c r="AK19" i="31"/>
  <c r="AJ19" i="31"/>
  <c r="AI19" i="31"/>
  <c r="AH19" i="31"/>
  <c r="AG19" i="31"/>
  <c r="AF19" i="31"/>
  <c r="AE19" i="31"/>
  <c r="AD19" i="31"/>
  <c r="AC19" i="31"/>
  <c r="AB19" i="31"/>
  <c r="AA19" i="31"/>
  <c r="Z19" i="31"/>
  <c r="Y19" i="31"/>
  <c r="X19" i="31"/>
  <c r="W19" i="31"/>
  <c r="V19" i="31"/>
  <c r="U19" i="31"/>
  <c r="T19" i="31"/>
  <c r="S19" i="31"/>
  <c r="S50" i="31" s="1"/>
  <c r="R19" i="31"/>
  <c r="R50" i="31" s="1"/>
  <c r="Q19" i="31"/>
  <c r="Q50" i="31" s="1"/>
  <c r="P19" i="31"/>
  <c r="P50" i="31" s="1"/>
  <c r="O19" i="31"/>
  <c r="O50" i="31" s="1"/>
  <c r="AW18" i="31"/>
  <c r="AV18" i="31"/>
  <c r="AU18" i="31"/>
  <c r="AT18" i="31"/>
  <c r="AS18" i="31"/>
  <c r="AR18" i="31"/>
  <c r="AQ18" i="31"/>
  <c r="AP18" i="31"/>
  <c r="AO18" i="31"/>
  <c r="AN18" i="31"/>
  <c r="AM18" i="31"/>
  <c r="AL18" i="31"/>
  <c r="AK18" i="31"/>
  <c r="AJ18" i="31"/>
  <c r="AI18" i="31"/>
  <c r="AH18" i="31"/>
  <c r="AG18" i="31"/>
  <c r="AF18" i="31"/>
  <c r="AE18" i="31"/>
  <c r="AD18" i="31"/>
  <c r="AC18" i="31"/>
  <c r="AB18" i="31"/>
  <c r="AA18" i="31"/>
  <c r="Z18" i="31"/>
  <c r="Y18" i="31"/>
  <c r="X18" i="31"/>
  <c r="W18" i="31"/>
  <c r="V18" i="31"/>
  <c r="U18" i="31"/>
  <c r="T18" i="31"/>
  <c r="S18" i="31"/>
  <c r="S49" i="31" s="1"/>
  <c r="R18" i="31"/>
  <c r="R49" i="31" s="1"/>
  <c r="Q18" i="31"/>
  <c r="Q49" i="31" s="1"/>
  <c r="P18" i="31"/>
  <c r="P49" i="31" s="1"/>
  <c r="O18" i="31"/>
  <c r="O49" i="31" s="1"/>
  <c r="J225" i="37" l="1"/>
  <c r="E141" i="33"/>
  <c r="E141" i="32"/>
  <c r="N141" i="39" s="1"/>
  <c r="AE46" i="37"/>
  <c r="I181" i="37"/>
  <c r="I190" i="37" s="1"/>
  <c r="O47" i="38"/>
  <c r="F225" i="37"/>
  <c r="K52" i="11"/>
  <c r="H114" i="38"/>
  <c r="J114" i="37"/>
  <c r="I225" i="37"/>
  <c r="D225" i="37"/>
  <c r="B225" i="37"/>
  <c r="J57" i="38"/>
  <c r="J57" i="11" s="1"/>
  <c r="G72" i="38"/>
  <c r="J9" i="11"/>
  <c r="E225" i="37"/>
  <c r="J52" i="11"/>
  <c r="H72" i="38"/>
  <c r="K9" i="11"/>
  <c r="K57" i="38"/>
  <c r="K57" i="11" s="1"/>
  <c r="G114" i="38"/>
  <c r="I70" i="44"/>
  <c r="T47" i="37" s="1"/>
  <c r="I47" i="37" s="1"/>
  <c r="I52" i="44"/>
  <c r="I62" i="44" s="1"/>
  <c r="I61" i="44"/>
  <c r="E142" i="19"/>
  <c r="E141" i="39"/>
  <c r="E141" i="27"/>
  <c r="E141" i="26"/>
  <c r="E141" i="28"/>
  <c r="E141" i="23"/>
  <c r="E141" i="22"/>
  <c r="O84" i="38"/>
  <c r="R22" i="11"/>
  <c r="O80" i="38"/>
  <c r="R18" i="11"/>
  <c r="O94" i="38"/>
  <c r="R32" i="11"/>
  <c r="N89" i="38"/>
  <c r="Q27" i="11"/>
  <c r="S33" i="31"/>
  <c r="Q33" i="31"/>
  <c r="N33" i="31"/>
  <c r="R33" i="31"/>
  <c r="P33" i="31"/>
  <c r="G206" i="33"/>
  <c r="Y206" i="39" s="1"/>
  <c r="F206" i="33"/>
  <c r="X206" i="39" s="1"/>
  <c r="G205" i="33"/>
  <c r="Y205" i="39" s="1"/>
  <c r="F205" i="33"/>
  <c r="X205" i="39" s="1"/>
  <c r="G204" i="33"/>
  <c r="Y204" i="39" s="1"/>
  <c r="F204" i="33"/>
  <c r="X204" i="39" s="1"/>
  <c r="G203" i="33"/>
  <c r="Y203" i="39" s="1"/>
  <c r="F203" i="33"/>
  <c r="X203" i="39" s="1"/>
  <c r="G202" i="33"/>
  <c r="Y202" i="39" s="1"/>
  <c r="F202" i="33"/>
  <c r="X202" i="39" s="1"/>
  <c r="G201" i="33"/>
  <c r="Y201" i="39" s="1"/>
  <c r="F201" i="33"/>
  <c r="X201" i="39" s="1"/>
  <c r="G200" i="33"/>
  <c r="Y200" i="39" s="1"/>
  <c r="F200" i="33"/>
  <c r="X200" i="39" s="1"/>
  <c r="G199" i="33"/>
  <c r="Y199" i="39" s="1"/>
  <c r="F199" i="33"/>
  <c r="X199" i="39" s="1"/>
  <c r="G198" i="33"/>
  <c r="Y198" i="39" s="1"/>
  <c r="F198" i="33"/>
  <c r="X198" i="39" s="1"/>
  <c r="G197" i="33"/>
  <c r="Y197" i="39" s="1"/>
  <c r="F197" i="33"/>
  <c r="X197" i="39" s="1"/>
  <c r="G196" i="33"/>
  <c r="Y196" i="39" s="1"/>
  <c r="F196" i="33"/>
  <c r="X196" i="39" s="1"/>
  <c r="G195" i="33"/>
  <c r="Y195" i="39" s="1"/>
  <c r="F195" i="33"/>
  <c r="X195" i="39" s="1"/>
  <c r="G194" i="33"/>
  <c r="Y194" i="39" s="1"/>
  <c r="F194" i="33"/>
  <c r="X194" i="39" s="1"/>
  <c r="G193" i="33"/>
  <c r="Y193" i="39" s="1"/>
  <c r="F193" i="33"/>
  <c r="X193" i="39" s="1"/>
  <c r="G192" i="33"/>
  <c r="Y192" i="39" s="1"/>
  <c r="F192" i="33"/>
  <c r="X192" i="39" s="1"/>
  <c r="G191" i="33"/>
  <c r="Y191" i="39" s="1"/>
  <c r="F191" i="33"/>
  <c r="X191" i="39" s="1"/>
  <c r="G190" i="33"/>
  <c r="Y190" i="39" s="1"/>
  <c r="F190" i="33"/>
  <c r="X190" i="39" s="1"/>
  <c r="G189" i="33"/>
  <c r="Y189" i="39" s="1"/>
  <c r="F189" i="33"/>
  <c r="X189" i="39" s="1"/>
  <c r="G188" i="33"/>
  <c r="Y188" i="39" s="1"/>
  <c r="F188" i="33"/>
  <c r="X188" i="39" s="1"/>
  <c r="G187" i="33"/>
  <c r="Y187" i="39" s="1"/>
  <c r="F187" i="33"/>
  <c r="X187" i="39" s="1"/>
  <c r="G186" i="33"/>
  <c r="Y186" i="39" s="1"/>
  <c r="F186" i="33"/>
  <c r="X186" i="39" s="1"/>
  <c r="G185" i="33"/>
  <c r="Y185" i="39" s="1"/>
  <c r="F185" i="33"/>
  <c r="X185" i="39" s="1"/>
  <c r="G184" i="33"/>
  <c r="Y184" i="39" s="1"/>
  <c r="F184" i="33"/>
  <c r="X184" i="39" s="1"/>
  <c r="G183" i="33"/>
  <c r="Y183" i="39" s="1"/>
  <c r="F183" i="33"/>
  <c r="X183" i="39" s="1"/>
  <c r="G182" i="33"/>
  <c r="Y182" i="39" s="1"/>
  <c r="F182" i="33"/>
  <c r="X182" i="39" s="1"/>
  <c r="G181" i="33"/>
  <c r="Y181" i="39" s="1"/>
  <c r="F181" i="33"/>
  <c r="X181" i="39" s="1"/>
  <c r="G180" i="33"/>
  <c r="Y180" i="39" s="1"/>
  <c r="F180" i="33"/>
  <c r="X180" i="39" s="1"/>
  <c r="G179" i="33"/>
  <c r="Y179" i="39" s="1"/>
  <c r="F179" i="33"/>
  <c r="X179" i="39" s="1"/>
  <c r="G178" i="33"/>
  <c r="Y178" i="39" s="1"/>
  <c r="F178" i="33"/>
  <c r="X178" i="39" s="1"/>
  <c r="G177" i="33"/>
  <c r="Y177" i="39" s="1"/>
  <c r="F177" i="33"/>
  <c r="X177" i="39" s="1"/>
  <c r="G176" i="33"/>
  <c r="Y176" i="39" s="1"/>
  <c r="F176" i="33"/>
  <c r="X176" i="39" s="1"/>
  <c r="G175" i="33"/>
  <c r="Y175" i="39" s="1"/>
  <c r="F175" i="33"/>
  <c r="X175" i="39" s="1"/>
  <c r="G174" i="33"/>
  <c r="Y174" i="39" s="1"/>
  <c r="F174" i="33"/>
  <c r="X174" i="39" s="1"/>
  <c r="G173" i="33"/>
  <c r="Y173" i="39" s="1"/>
  <c r="F173" i="33"/>
  <c r="X173" i="39" s="1"/>
  <c r="G172" i="33"/>
  <c r="Y172" i="39" s="1"/>
  <c r="F172" i="33"/>
  <c r="X172" i="39" s="1"/>
  <c r="G171" i="33"/>
  <c r="Y171" i="39" s="1"/>
  <c r="F171" i="33"/>
  <c r="X171" i="39" s="1"/>
  <c r="G170" i="33"/>
  <c r="Y170" i="39" s="1"/>
  <c r="F170" i="33"/>
  <c r="X170" i="39" s="1"/>
  <c r="G169" i="33"/>
  <c r="Y169" i="39" s="1"/>
  <c r="F169" i="33"/>
  <c r="X169" i="39" s="1"/>
  <c r="G168" i="33"/>
  <c r="Y168" i="39" s="1"/>
  <c r="F168" i="33"/>
  <c r="X168" i="39" s="1"/>
  <c r="G167" i="33"/>
  <c r="Y167" i="39" s="1"/>
  <c r="F167" i="33"/>
  <c r="X167" i="39" s="1"/>
  <c r="G166" i="33"/>
  <c r="Y166" i="39" s="1"/>
  <c r="F166" i="33"/>
  <c r="X166" i="39" s="1"/>
  <c r="G165" i="33"/>
  <c r="Y165" i="39" s="1"/>
  <c r="F165" i="33"/>
  <c r="X165" i="39" s="1"/>
  <c r="G164" i="33"/>
  <c r="Y164" i="39" s="1"/>
  <c r="F164" i="33"/>
  <c r="X164" i="39" s="1"/>
  <c r="G163" i="33"/>
  <c r="Y163" i="39" s="1"/>
  <c r="F163" i="33"/>
  <c r="X163" i="39" s="1"/>
  <c r="G162" i="33"/>
  <c r="Y162" i="39" s="1"/>
  <c r="F162" i="33"/>
  <c r="X162" i="39" s="1"/>
  <c r="G161" i="33"/>
  <c r="Y161" i="39" s="1"/>
  <c r="F161" i="33"/>
  <c r="X161" i="39" s="1"/>
  <c r="G160" i="33"/>
  <c r="Y160" i="39" s="1"/>
  <c r="F160" i="33"/>
  <c r="X160" i="39" s="1"/>
  <c r="G159" i="33"/>
  <c r="Y159" i="39" s="1"/>
  <c r="F159" i="33"/>
  <c r="X159" i="39" s="1"/>
  <c r="G158" i="33"/>
  <c r="Y158" i="39" s="1"/>
  <c r="F158" i="33"/>
  <c r="X158" i="39" s="1"/>
  <c r="G157" i="33"/>
  <c r="Y157" i="39" s="1"/>
  <c r="F157" i="33"/>
  <c r="X157" i="39" s="1"/>
  <c r="G156" i="33"/>
  <c r="Y156" i="39" s="1"/>
  <c r="F156" i="33"/>
  <c r="X156" i="39" s="1"/>
  <c r="G155" i="33"/>
  <c r="Y155" i="39" s="1"/>
  <c r="F155" i="33"/>
  <c r="X155" i="39" s="1"/>
  <c r="G154" i="33"/>
  <c r="Y154" i="39" s="1"/>
  <c r="F154" i="33"/>
  <c r="X154" i="39" s="1"/>
  <c r="G153" i="33"/>
  <c r="Y153" i="39" s="1"/>
  <c r="F153" i="33"/>
  <c r="X153" i="39" s="1"/>
  <c r="G152" i="33"/>
  <c r="Y152" i="39" s="1"/>
  <c r="F152" i="33"/>
  <c r="X152" i="39" s="1"/>
  <c r="G151" i="33"/>
  <c r="Y151" i="39" s="1"/>
  <c r="F151" i="33"/>
  <c r="X151" i="39" s="1"/>
  <c r="G150" i="33"/>
  <c r="Y150" i="39" s="1"/>
  <c r="F150" i="33"/>
  <c r="X150" i="39" s="1"/>
  <c r="G149" i="33"/>
  <c r="Y149" i="39" s="1"/>
  <c r="F149" i="33"/>
  <c r="X149" i="39" s="1"/>
  <c r="G148" i="33"/>
  <c r="Y148" i="39" s="1"/>
  <c r="F148" i="33"/>
  <c r="X148" i="39" s="1"/>
  <c r="G147" i="33"/>
  <c r="Y147" i="39" s="1"/>
  <c r="F147" i="33"/>
  <c r="X147" i="39" s="1"/>
  <c r="Y146" i="39"/>
  <c r="X146" i="39"/>
  <c r="Y145" i="39"/>
  <c r="X145" i="39"/>
  <c r="Y144" i="39"/>
  <c r="X144" i="39"/>
  <c r="Y143" i="39"/>
  <c r="X143" i="39"/>
  <c r="Y142" i="39"/>
  <c r="X142" i="39"/>
  <c r="Y141" i="39"/>
  <c r="X141" i="39"/>
  <c r="Y140" i="39"/>
  <c r="X140" i="39"/>
  <c r="Y139" i="39"/>
  <c r="X139" i="39"/>
  <c r="Y138" i="39"/>
  <c r="X138" i="39"/>
  <c r="Y137" i="39"/>
  <c r="X137" i="39"/>
  <c r="Y136" i="39"/>
  <c r="X136" i="39"/>
  <c r="Y135" i="39"/>
  <c r="X135" i="39"/>
  <c r="G134" i="33"/>
  <c r="Y134" i="39" s="1"/>
  <c r="F134" i="33"/>
  <c r="X134" i="39" s="1"/>
  <c r="G133" i="33"/>
  <c r="Y133" i="39" s="1"/>
  <c r="F133" i="33"/>
  <c r="X133" i="39" s="1"/>
  <c r="B133" i="33"/>
  <c r="T133" i="39" s="1"/>
  <c r="G132" i="33"/>
  <c r="Y132" i="39" s="1"/>
  <c r="F132" i="33"/>
  <c r="X132" i="39" s="1"/>
  <c r="B132" i="33"/>
  <c r="T132" i="39" s="1"/>
  <c r="G131" i="33"/>
  <c r="Y131" i="39" s="1"/>
  <c r="F131" i="33"/>
  <c r="X131" i="39" s="1"/>
  <c r="B131" i="33"/>
  <c r="T131" i="39" s="1"/>
  <c r="G130" i="33"/>
  <c r="Y130" i="39" s="1"/>
  <c r="F130" i="33"/>
  <c r="X130" i="39" s="1"/>
  <c r="B130" i="33"/>
  <c r="T130" i="39" s="1"/>
  <c r="G129" i="33"/>
  <c r="Y129" i="39" s="1"/>
  <c r="F129" i="33"/>
  <c r="X129" i="39" s="1"/>
  <c r="B129" i="33"/>
  <c r="T129" i="39" s="1"/>
  <c r="G128" i="33"/>
  <c r="Y128" i="39" s="1"/>
  <c r="F128" i="33"/>
  <c r="X128" i="39" s="1"/>
  <c r="B128" i="33"/>
  <c r="T128" i="39" s="1"/>
  <c r="G127" i="33"/>
  <c r="Y127" i="39" s="1"/>
  <c r="F127" i="33"/>
  <c r="X127" i="39" s="1"/>
  <c r="B127" i="33"/>
  <c r="T127" i="39" s="1"/>
  <c r="G126" i="33"/>
  <c r="Y126" i="39" s="1"/>
  <c r="F126" i="33"/>
  <c r="X126" i="39" s="1"/>
  <c r="B126" i="33"/>
  <c r="T126" i="39" s="1"/>
  <c r="G125" i="33"/>
  <c r="Y125" i="39" s="1"/>
  <c r="F125" i="33"/>
  <c r="X125" i="39" s="1"/>
  <c r="B125" i="33"/>
  <c r="T125" i="39" s="1"/>
  <c r="G124" i="33"/>
  <c r="Y124" i="39" s="1"/>
  <c r="F124" i="33"/>
  <c r="X124" i="39" s="1"/>
  <c r="B124" i="33"/>
  <c r="T124" i="39" s="1"/>
  <c r="G123" i="33"/>
  <c r="Y123" i="39" s="1"/>
  <c r="F123" i="33"/>
  <c r="X123" i="39" s="1"/>
  <c r="B123" i="33"/>
  <c r="G122" i="33"/>
  <c r="Y122" i="39" s="1"/>
  <c r="F122" i="33"/>
  <c r="X122" i="39" s="1"/>
  <c r="B122" i="33"/>
  <c r="T122" i="39" s="1"/>
  <c r="G121" i="33"/>
  <c r="Y121" i="39" s="1"/>
  <c r="F121" i="33"/>
  <c r="X121" i="39" s="1"/>
  <c r="B121" i="33"/>
  <c r="T121" i="39" s="1"/>
  <c r="G120" i="33"/>
  <c r="Y120" i="39" s="1"/>
  <c r="F120" i="33"/>
  <c r="X120" i="39" s="1"/>
  <c r="B120" i="33"/>
  <c r="T120" i="39" s="1"/>
  <c r="G119" i="33"/>
  <c r="Y119" i="39" s="1"/>
  <c r="F119" i="33"/>
  <c r="X119" i="39" s="1"/>
  <c r="B119" i="33"/>
  <c r="T119" i="39" s="1"/>
  <c r="G118" i="33"/>
  <c r="Y118" i="39" s="1"/>
  <c r="F118" i="33"/>
  <c r="X118" i="39" s="1"/>
  <c r="B118" i="33"/>
  <c r="T118" i="39" s="1"/>
  <c r="G117" i="33"/>
  <c r="Y117" i="39" s="1"/>
  <c r="F117" i="33"/>
  <c r="X117" i="39" s="1"/>
  <c r="B117" i="33"/>
  <c r="T117" i="39" s="1"/>
  <c r="G116" i="33"/>
  <c r="Y116" i="39" s="1"/>
  <c r="F116" i="33"/>
  <c r="X116" i="39" s="1"/>
  <c r="B116" i="33"/>
  <c r="T116" i="39" s="1"/>
  <c r="G115" i="33"/>
  <c r="Y115" i="39" s="1"/>
  <c r="F115" i="33"/>
  <c r="X115" i="39" s="1"/>
  <c r="B115" i="33"/>
  <c r="T115" i="39" s="1"/>
  <c r="G114" i="33"/>
  <c r="Y114" i="39" s="1"/>
  <c r="F114" i="33"/>
  <c r="X114" i="39" s="1"/>
  <c r="B114" i="33"/>
  <c r="T114" i="39" s="1"/>
  <c r="G113" i="33"/>
  <c r="Y113" i="39" s="1"/>
  <c r="F113" i="33"/>
  <c r="X113" i="39" s="1"/>
  <c r="B113" i="33"/>
  <c r="T113" i="39" s="1"/>
  <c r="G112" i="33"/>
  <c r="Y112" i="39" s="1"/>
  <c r="F112" i="33"/>
  <c r="X112" i="39" s="1"/>
  <c r="B112" i="33"/>
  <c r="T112" i="39" s="1"/>
  <c r="G111" i="33"/>
  <c r="Y111" i="39" s="1"/>
  <c r="F111" i="33"/>
  <c r="X111" i="39" s="1"/>
  <c r="B111" i="33"/>
  <c r="T111" i="39" s="1"/>
  <c r="G110" i="33"/>
  <c r="Y110" i="39" s="1"/>
  <c r="F110" i="33"/>
  <c r="X110" i="39" s="1"/>
  <c r="B110" i="33"/>
  <c r="T110" i="39" s="1"/>
  <c r="G109" i="33"/>
  <c r="Y109" i="39" s="1"/>
  <c r="F109" i="33"/>
  <c r="X109" i="39" s="1"/>
  <c r="B109" i="33"/>
  <c r="T109" i="39" s="1"/>
  <c r="G108" i="33"/>
  <c r="Y108" i="39" s="1"/>
  <c r="F108" i="33"/>
  <c r="X108" i="39" s="1"/>
  <c r="B108" i="33"/>
  <c r="T108" i="39" s="1"/>
  <c r="G107" i="33"/>
  <c r="Y107" i="39" s="1"/>
  <c r="F107" i="33"/>
  <c r="X107" i="39" s="1"/>
  <c r="B107" i="33"/>
  <c r="T107" i="39" s="1"/>
  <c r="G106" i="33"/>
  <c r="Y106" i="39" s="1"/>
  <c r="F106" i="33"/>
  <c r="X106" i="39" s="1"/>
  <c r="B106" i="33"/>
  <c r="T106" i="39" s="1"/>
  <c r="G105" i="33"/>
  <c r="Y105" i="39" s="1"/>
  <c r="F105" i="33"/>
  <c r="X105" i="39" s="1"/>
  <c r="B105" i="33"/>
  <c r="T105" i="39" s="1"/>
  <c r="G104" i="33"/>
  <c r="Y104" i="39" s="1"/>
  <c r="F104" i="33"/>
  <c r="X104" i="39" s="1"/>
  <c r="B104" i="33"/>
  <c r="T104" i="39" s="1"/>
  <c r="G103" i="33"/>
  <c r="Y103" i="39" s="1"/>
  <c r="F103" i="33"/>
  <c r="X103" i="39" s="1"/>
  <c r="B103" i="33"/>
  <c r="T103" i="39" s="1"/>
  <c r="G102" i="33"/>
  <c r="Y102" i="39" s="1"/>
  <c r="F102" i="33"/>
  <c r="X102" i="39" s="1"/>
  <c r="B102" i="33"/>
  <c r="T102" i="39" s="1"/>
  <c r="G101" i="33"/>
  <c r="Y101" i="39" s="1"/>
  <c r="F101" i="33"/>
  <c r="X101" i="39" s="1"/>
  <c r="B101" i="33"/>
  <c r="T101" i="39" s="1"/>
  <c r="G100" i="33"/>
  <c r="Y100" i="39" s="1"/>
  <c r="F100" i="33"/>
  <c r="X100" i="39" s="1"/>
  <c r="B100" i="33"/>
  <c r="T100" i="39" s="1"/>
  <c r="G99" i="33"/>
  <c r="Y99" i="39" s="1"/>
  <c r="F99" i="33"/>
  <c r="X99" i="39" s="1"/>
  <c r="B99" i="33"/>
  <c r="T99" i="39" s="1"/>
  <c r="G98" i="33"/>
  <c r="Y98" i="39" s="1"/>
  <c r="F98" i="33"/>
  <c r="X98" i="39" s="1"/>
  <c r="D98" i="33"/>
  <c r="V98" i="39" s="1"/>
  <c r="C98" i="33"/>
  <c r="U98" i="39" s="1"/>
  <c r="B98" i="33"/>
  <c r="T98" i="39" s="1"/>
  <c r="G97" i="33"/>
  <c r="Y97" i="39" s="1"/>
  <c r="F97" i="33"/>
  <c r="X97" i="39" s="1"/>
  <c r="D97" i="33"/>
  <c r="V97" i="39" s="1"/>
  <c r="C97" i="33"/>
  <c r="U97" i="39" s="1"/>
  <c r="B97" i="33"/>
  <c r="T97" i="39" s="1"/>
  <c r="G96" i="33"/>
  <c r="Y96" i="39" s="1"/>
  <c r="F96" i="33"/>
  <c r="X96" i="39" s="1"/>
  <c r="D96" i="33"/>
  <c r="V96" i="39" s="1"/>
  <c r="C96" i="33"/>
  <c r="U96" i="39" s="1"/>
  <c r="B96" i="33"/>
  <c r="T96" i="39" s="1"/>
  <c r="G95" i="33"/>
  <c r="Y95" i="39" s="1"/>
  <c r="F95" i="33"/>
  <c r="X95" i="39" s="1"/>
  <c r="D95" i="33"/>
  <c r="V95" i="39" s="1"/>
  <c r="C95" i="33"/>
  <c r="U95" i="39" s="1"/>
  <c r="B95" i="33"/>
  <c r="T95" i="39" s="1"/>
  <c r="G94" i="33"/>
  <c r="Y94" i="39" s="1"/>
  <c r="F94" i="33"/>
  <c r="X94" i="39" s="1"/>
  <c r="D94" i="33"/>
  <c r="V94" i="39" s="1"/>
  <c r="C94" i="33"/>
  <c r="U94" i="39" s="1"/>
  <c r="B94" i="33"/>
  <c r="T94" i="39" s="1"/>
  <c r="G93" i="33"/>
  <c r="Y93" i="39" s="1"/>
  <c r="F93" i="33"/>
  <c r="X93" i="39" s="1"/>
  <c r="D93" i="33"/>
  <c r="V93" i="39" s="1"/>
  <c r="C93" i="33"/>
  <c r="U93" i="39" s="1"/>
  <c r="B93" i="33"/>
  <c r="T93" i="39" s="1"/>
  <c r="G92" i="33"/>
  <c r="Y92" i="39" s="1"/>
  <c r="F92" i="33"/>
  <c r="X92" i="39" s="1"/>
  <c r="D92" i="33"/>
  <c r="V92" i="39" s="1"/>
  <c r="C92" i="33"/>
  <c r="U92" i="39" s="1"/>
  <c r="B92" i="33"/>
  <c r="T92" i="39" s="1"/>
  <c r="G91" i="33"/>
  <c r="Y91" i="39" s="1"/>
  <c r="F91" i="33"/>
  <c r="X91" i="39" s="1"/>
  <c r="D91" i="33"/>
  <c r="V91" i="39" s="1"/>
  <c r="C91" i="33"/>
  <c r="U91" i="39" s="1"/>
  <c r="B91" i="33"/>
  <c r="T91" i="39" s="1"/>
  <c r="G90" i="33"/>
  <c r="Y90" i="39" s="1"/>
  <c r="F90" i="33"/>
  <c r="X90" i="39" s="1"/>
  <c r="D90" i="33"/>
  <c r="V90" i="39" s="1"/>
  <c r="C90" i="33"/>
  <c r="U90" i="39" s="1"/>
  <c r="B90" i="33"/>
  <c r="T90" i="39" s="1"/>
  <c r="G89" i="33"/>
  <c r="Y89" i="39" s="1"/>
  <c r="F89" i="33"/>
  <c r="X89" i="39" s="1"/>
  <c r="D89" i="33"/>
  <c r="V89" i="39" s="1"/>
  <c r="C89" i="33"/>
  <c r="U89" i="39" s="1"/>
  <c r="B89" i="33"/>
  <c r="T89" i="39" s="1"/>
  <c r="G88" i="33"/>
  <c r="Y88" i="39" s="1"/>
  <c r="F88" i="33"/>
  <c r="X88" i="39" s="1"/>
  <c r="D88" i="33"/>
  <c r="V88" i="39" s="1"/>
  <c r="C88" i="33"/>
  <c r="U88" i="39" s="1"/>
  <c r="B88" i="33"/>
  <c r="T88" i="39" s="1"/>
  <c r="G87" i="33"/>
  <c r="Y87" i="39" s="1"/>
  <c r="F87" i="33"/>
  <c r="X87" i="39" s="1"/>
  <c r="D87" i="33"/>
  <c r="V87" i="39" s="1"/>
  <c r="C87" i="33"/>
  <c r="U87" i="39" s="1"/>
  <c r="B87" i="33"/>
  <c r="T87" i="39" s="1"/>
  <c r="G86" i="33"/>
  <c r="Y86" i="39" s="1"/>
  <c r="F86" i="33"/>
  <c r="X86" i="39" s="1"/>
  <c r="D86" i="33"/>
  <c r="V86" i="39" s="1"/>
  <c r="C86" i="33"/>
  <c r="U86" i="39" s="1"/>
  <c r="B86" i="33"/>
  <c r="T86" i="39" s="1"/>
  <c r="G85" i="33"/>
  <c r="Y85" i="39" s="1"/>
  <c r="F85" i="33"/>
  <c r="X85" i="39" s="1"/>
  <c r="D85" i="33"/>
  <c r="V85" i="39" s="1"/>
  <c r="C85" i="33"/>
  <c r="U85" i="39" s="1"/>
  <c r="B85" i="33"/>
  <c r="T85" i="39" s="1"/>
  <c r="G84" i="33"/>
  <c r="Y84" i="39" s="1"/>
  <c r="F84" i="33"/>
  <c r="X84" i="39" s="1"/>
  <c r="D84" i="33"/>
  <c r="V84" i="39" s="1"/>
  <c r="C84" i="33"/>
  <c r="U84" i="39" s="1"/>
  <c r="B84" i="33"/>
  <c r="T84" i="39" s="1"/>
  <c r="G83" i="33"/>
  <c r="Y83" i="39" s="1"/>
  <c r="F83" i="33"/>
  <c r="X83" i="39" s="1"/>
  <c r="D83" i="33"/>
  <c r="V83" i="39" s="1"/>
  <c r="C83" i="33"/>
  <c r="U83" i="39" s="1"/>
  <c r="B83" i="33"/>
  <c r="T83" i="39" s="1"/>
  <c r="G82" i="33"/>
  <c r="Y82" i="39" s="1"/>
  <c r="F82" i="33"/>
  <c r="X82" i="39" s="1"/>
  <c r="D82" i="33"/>
  <c r="V82" i="39" s="1"/>
  <c r="C82" i="33"/>
  <c r="U82" i="39" s="1"/>
  <c r="B82" i="33"/>
  <c r="T82" i="39" s="1"/>
  <c r="G81" i="33"/>
  <c r="Y81" i="39" s="1"/>
  <c r="F81" i="33"/>
  <c r="X81" i="39" s="1"/>
  <c r="D81" i="33"/>
  <c r="V81" i="39" s="1"/>
  <c r="C81" i="33"/>
  <c r="U81" i="39" s="1"/>
  <c r="B81" i="33"/>
  <c r="T81" i="39" s="1"/>
  <c r="G80" i="33"/>
  <c r="Y80" i="39" s="1"/>
  <c r="F80" i="33"/>
  <c r="X80" i="39" s="1"/>
  <c r="D80" i="33"/>
  <c r="V80" i="39" s="1"/>
  <c r="C80" i="33"/>
  <c r="U80" i="39" s="1"/>
  <c r="B80" i="33"/>
  <c r="T80" i="39" s="1"/>
  <c r="G79" i="33"/>
  <c r="Y79" i="39" s="1"/>
  <c r="F79" i="33"/>
  <c r="X79" i="39" s="1"/>
  <c r="D79" i="33"/>
  <c r="V79" i="39" s="1"/>
  <c r="C79" i="33"/>
  <c r="U79" i="39" s="1"/>
  <c r="B79" i="33"/>
  <c r="T79" i="39" s="1"/>
  <c r="G78" i="33"/>
  <c r="Y78" i="39" s="1"/>
  <c r="F78" i="33"/>
  <c r="X78" i="39" s="1"/>
  <c r="D78" i="33"/>
  <c r="V78" i="39" s="1"/>
  <c r="C78" i="33"/>
  <c r="U78" i="39" s="1"/>
  <c r="B78" i="33"/>
  <c r="T78" i="39" s="1"/>
  <c r="G77" i="33"/>
  <c r="Y77" i="39" s="1"/>
  <c r="F77" i="33"/>
  <c r="X77" i="39" s="1"/>
  <c r="D77" i="33"/>
  <c r="V77" i="39" s="1"/>
  <c r="C77" i="33"/>
  <c r="U77" i="39" s="1"/>
  <c r="B77" i="33"/>
  <c r="T77" i="39" s="1"/>
  <c r="G76" i="33"/>
  <c r="Y76" i="39" s="1"/>
  <c r="F76" i="33"/>
  <c r="X76" i="39" s="1"/>
  <c r="D76" i="33"/>
  <c r="V76" i="39" s="1"/>
  <c r="C76" i="33"/>
  <c r="U76" i="39" s="1"/>
  <c r="B76" i="33"/>
  <c r="T76" i="39" s="1"/>
  <c r="G75" i="33"/>
  <c r="Y75" i="39" s="1"/>
  <c r="F75" i="33"/>
  <c r="X75" i="39" s="1"/>
  <c r="D75" i="33"/>
  <c r="V75" i="39" s="1"/>
  <c r="C75" i="33"/>
  <c r="U75" i="39" s="1"/>
  <c r="B75" i="33"/>
  <c r="T75" i="39" s="1"/>
  <c r="G74" i="33"/>
  <c r="Y74" i="39" s="1"/>
  <c r="F74" i="33"/>
  <c r="X74" i="39" s="1"/>
  <c r="D74" i="33"/>
  <c r="V74" i="39" s="1"/>
  <c r="C74" i="33"/>
  <c r="U74" i="39" s="1"/>
  <c r="B74" i="33"/>
  <c r="T74" i="39" s="1"/>
  <c r="G73" i="33"/>
  <c r="Y73" i="39" s="1"/>
  <c r="F73" i="33"/>
  <c r="X73" i="39" s="1"/>
  <c r="D73" i="33"/>
  <c r="V73" i="39" s="1"/>
  <c r="C73" i="33"/>
  <c r="U73" i="39" s="1"/>
  <c r="B73" i="33"/>
  <c r="T73" i="39" s="1"/>
  <c r="G72" i="33"/>
  <c r="Y72" i="39" s="1"/>
  <c r="F72" i="33"/>
  <c r="X72" i="39" s="1"/>
  <c r="D72" i="33"/>
  <c r="V72" i="39" s="1"/>
  <c r="C72" i="33"/>
  <c r="U72" i="39" s="1"/>
  <c r="B72" i="33"/>
  <c r="T72" i="39" s="1"/>
  <c r="G71" i="33"/>
  <c r="Y71" i="39" s="1"/>
  <c r="F71" i="33"/>
  <c r="X71" i="39" s="1"/>
  <c r="D71" i="33"/>
  <c r="V71" i="39" s="1"/>
  <c r="C71" i="33"/>
  <c r="U71" i="39" s="1"/>
  <c r="B71" i="33"/>
  <c r="T71" i="39" s="1"/>
  <c r="G70" i="33"/>
  <c r="Y70" i="39" s="1"/>
  <c r="F70" i="33"/>
  <c r="X70" i="39" s="1"/>
  <c r="D70" i="33"/>
  <c r="V70" i="39" s="1"/>
  <c r="C70" i="33"/>
  <c r="U70" i="39" s="1"/>
  <c r="B70" i="33"/>
  <c r="T70" i="39" s="1"/>
  <c r="G69" i="33"/>
  <c r="Y69" i="39" s="1"/>
  <c r="F69" i="33"/>
  <c r="X69" i="39" s="1"/>
  <c r="D69" i="33"/>
  <c r="V69" i="39" s="1"/>
  <c r="C69" i="33"/>
  <c r="U69" i="39" s="1"/>
  <c r="B69" i="33"/>
  <c r="T69" i="39" s="1"/>
  <c r="G68" i="33"/>
  <c r="Y68" i="39" s="1"/>
  <c r="F68" i="33"/>
  <c r="X68" i="39" s="1"/>
  <c r="D68" i="33"/>
  <c r="V68" i="39" s="1"/>
  <c r="C68" i="33"/>
  <c r="U68" i="39" s="1"/>
  <c r="B68" i="33"/>
  <c r="T68" i="39" s="1"/>
  <c r="G67" i="33"/>
  <c r="Y67" i="39" s="1"/>
  <c r="F67" i="33"/>
  <c r="X67" i="39" s="1"/>
  <c r="D67" i="33"/>
  <c r="V67" i="39" s="1"/>
  <c r="C67" i="33"/>
  <c r="U67" i="39" s="1"/>
  <c r="B67" i="33"/>
  <c r="T67" i="39" s="1"/>
  <c r="G66" i="33"/>
  <c r="Y66" i="39" s="1"/>
  <c r="F66" i="33"/>
  <c r="X66" i="39" s="1"/>
  <c r="D66" i="33"/>
  <c r="V66" i="39" s="1"/>
  <c r="C66" i="33"/>
  <c r="U66" i="39" s="1"/>
  <c r="B66" i="33"/>
  <c r="T66" i="39" s="1"/>
  <c r="G65" i="33"/>
  <c r="Y65" i="39" s="1"/>
  <c r="F65" i="33"/>
  <c r="X65" i="39" s="1"/>
  <c r="D65" i="33"/>
  <c r="V65" i="39" s="1"/>
  <c r="C65" i="33"/>
  <c r="U65" i="39" s="1"/>
  <c r="B65" i="33"/>
  <c r="T65" i="39" s="1"/>
  <c r="G64" i="33"/>
  <c r="Y64" i="39" s="1"/>
  <c r="F64" i="33"/>
  <c r="X64" i="39" s="1"/>
  <c r="D64" i="33"/>
  <c r="V64" i="39" s="1"/>
  <c r="C64" i="33"/>
  <c r="U64" i="39" s="1"/>
  <c r="B64" i="33"/>
  <c r="T64" i="39" s="1"/>
  <c r="G63" i="33"/>
  <c r="Y63" i="39" s="1"/>
  <c r="F63" i="33"/>
  <c r="X63" i="39" s="1"/>
  <c r="D63" i="33"/>
  <c r="V63" i="39" s="1"/>
  <c r="C63" i="33"/>
  <c r="U63" i="39" s="1"/>
  <c r="B63" i="33"/>
  <c r="T63" i="39" s="1"/>
  <c r="G62" i="33"/>
  <c r="Y62" i="39" s="1"/>
  <c r="F62" i="33"/>
  <c r="X62" i="39" s="1"/>
  <c r="D62" i="33"/>
  <c r="V62" i="39" s="1"/>
  <c r="C62" i="33"/>
  <c r="U62" i="39" s="1"/>
  <c r="B62" i="33"/>
  <c r="T62" i="39" s="1"/>
  <c r="G61" i="33"/>
  <c r="Y61" i="39" s="1"/>
  <c r="F61" i="33"/>
  <c r="X61" i="39" s="1"/>
  <c r="D61" i="33"/>
  <c r="V61" i="39" s="1"/>
  <c r="C61" i="33"/>
  <c r="U61" i="39" s="1"/>
  <c r="B61" i="33"/>
  <c r="T61" i="39" s="1"/>
  <c r="G60" i="33"/>
  <c r="Y60" i="39" s="1"/>
  <c r="F60" i="33"/>
  <c r="X60" i="39" s="1"/>
  <c r="D60" i="33"/>
  <c r="V60" i="39" s="1"/>
  <c r="C60" i="33"/>
  <c r="U60" i="39" s="1"/>
  <c r="B60" i="33"/>
  <c r="T60" i="39" s="1"/>
  <c r="G59" i="33"/>
  <c r="Y59" i="39" s="1"/>
  <c r="F59" i="33"/>
  <c r="X59" i="39" s="1"/>
  <c r="D59" i="33"/>
  <c r="V59" i="39" s="1"/>
  <c r="C59" i="33"/>
  <c r="U59" i="39" s="1"/>
  <c r="B59" i="33"/>
  <c r="T59" i="39" s="1"/>
  <c r="G58" i="33"/>
  <c r="Y58" i="39" s="1"/>
  <c r="F58" i="33"/>
  <c r="X58" i="39" s="1"/>
  <c r="D58" i="33"/>
  <c r="V58" i="39" s="1"/>
  <c r="C58" i="33"/>
  <c r="U58" i="39" s="1"/>
  <c r="B58" i="33"/>
  <c r="T58" i="39" s="1"/>
  <c r="G57" i="33"/>
  <c r="Y57" i="39" s="1"/>
  <c r="F57" i="33"/>
  <c r="X57" i="39" s="1"/>
  <c r="D57" i="33"/>
  <c r="V57" i="39" s="1"/>
  <c r="C57" i="33"/>
  <c r="U57" i="39" s="1"/>
  <c r="B57" i="33"/>
  <c r="T57" i="39" s="1"/>
  <c r="G56" i="33"/>
  <c r="Y56" i="39" s="1"/>
  <c r="F56" i="33"/>
  <c r="X56" i="39" s="1"/>
  <c r="D56" i="33"/>
  <c r="V56" i="39" s="1"/>
  <c r="C56" i="33"/>
  <c r="U56" i="39" s="1"/>
  <c r="B56" i="33"/>
  <c r="T56" i="39" s="1"/>
  <c r="G55" i="33"/>
  <c r="Y55" i="39" s="1"/>
  <c r="F55" i="33"/>
  <c r="X55" i="39" s="1"/>
  <c r="D55" i="33"/>
  <c r="V55" i="39" s="1"/>
  <c r="C55" i="33"/>
  <c r="U55" i="39" s="1"/>
  <c r="B55" i="33"/>
  <c r="T55" i="39" s="1"/>
  <c r="G54" i="33"/>
  <c r="Y54" i="39" s="1"/>
  <c r="F54" i="33"/>
  <c r="X54" i="39" s="1"/>
  <c r="D54" i="33"/>
  <c r="V54" i="39" s="1"/>
  <c r="C54" i="33"/>
  <c r="U54" i="39" s="1"/>
  <c r="B54" i="33"/>
  <c r="T54" i="39" s="1"/>
  <c r="G53" i="33"/>
  <c r="Y53" i="39" s="1"/>
  <c r="F53" i="33"/>
  <c r="X53" i="39" s="1"/>
  <c r="D53" i="33"/>
  <c r="V53" i="39" s="1"/>
  <c r="C53" i="33"/>
  <c r="U53" i="39" s="1"/>
  <c r="B53" i="33"/>
  <c r="T53" i="39" s="1"/>
  <c r="G52" i="33"/>
  <c r="Y52" i="39" s="1"/>
  <c r="F52" i="33"/>
  <c r="X52" i="39" s="1"/>
  <c r="D52" i="33"/>
  <c r="V52" i="39" s="1"/>
  <c r="C52" i="33"/>
  <c r="U52" i="39" s="1"/>
  <c r="B52" i="33"/>
  <c r="T52" i="39" s="1"/>
  <c r="G51" i="33"/>
  <c r="Y51" i="39" s="1"/>
  <c r="F51" i="33"/>
  <c r="X51" i="39" s="1"/>
  <c r="D51" i="33"/>
  <c r="V51" i="39" s="1"/>
  <c r="C51" i="33"/>
  <c r="U51" i="39" s="1"/>
  <c r="B51" i="33"/>
  <c r="T51" i="39" s="1"/>
  <c r="G50" i="33"/>
  <c r="Y50" i="39" s="1"/>
  <c r="F50" i="33"/>
  <c r="X50" i="39" s="1"/>
  <c r="D50" i="33"/>
  <c r="V50" i="39" s="1"/>
  <c r="C50" i="33"/>
  <c r="U50" i="39" s="1"/>
  <c r="B50" i="33"/>
  <c r="T50" i="39" s="1"/>
  <c r="G49" i="33"/>
  <c r="Y49" i="39" s="1"/>
  <c r="F49" i="33"/>
  <c r="X49" i="39" s="1"/>
  <c r="D49" i="33"/>
  <c r="V49" i="39" s="1"/>
  <c r="C49" i="33"/>
  <c r="U49" i="39" s="1"/>
  <c r="B49" i="33"/>
  <c r="T49" i="39" s="1"/>
  <c r="G48" i="33"/>
  <c r="Y48" i="39" s="1"/>
  <c r="F48" i="33"/>
  <c r="X48" i="39" s="1"/>
  <c r="D48" i="33"/>
  <c r="V48" i="39" s="1"/>
  <c r="C48" i="33"/>
  <c r="U48" i="39" s="1"/>
  <c r="B48" i="33"/>
  <c r="T48" i="39" s="1"/>
  <c r="G47" i="33"/>
  <c r="Y47" i="39" s="1"/>
  <c r="F47" i="33"/>
  <c r="X47" i="39" s="1"/>
  <c r="D47" i="33"/>
  <c r="V47" i="39" s="1"/>
  <c r="C47" i="33"/>
  <c r="U47" i="39" s="1"/>
  <c r="B47" i="33"/>
  <c r="T47" i="39" s="1"/>
  <c r="G46" i="33"/>
  <c r="Y46" i="39" s="1"/>
  <c r="F46" i="33"/>
  <c r="X46" i="39" s="1"/>
  <c r="D46" i="33"/>
  <c r="V46" i="39" s="1"/>
  <c r="C46" i="33"/>
  <c r="U46" i="39" s="1"/>
  <c r="B46" i="33"/>
  <c r="T46" i="39" s="1"/>
  <c r="G45" i="33"/>
  <c r="Y45" i="39" s="1"/>
  <c r="F45" i="33"/>
  <c r="X45" i="39" s="1"/>
  <c r="D45" i="33"/>
  <c r="V45" i="39" s="1"/>
  <c r="C45" i="33"/>
  <c r="U45" i="39" s="1"/>
  <c r="B45" i="33"/>
  <c r="T45" i="39" s="1"/>
  <c r="G44" i="33"/>
  <c r="Y44" i="39" s="1"/>
  <c r="F44" i="33"/>
  <c r="X44" i="39" s="1"/>
  <c r="D44" i="33"/>
  <c r="V44" i="39" s="1"/>
  <c r="C44" i="33"/>
  <c r="U44" i="39" s="1"/>
  <c r="B44" i="33"/>
  <c r="T44" i="39" s="1"/>
  <c r="G43" i="33"/>
  <c r="Y43" i="39" s="1"/>
  <c r="F43" i="33"/>
  <c r="X43" i="39" s="1"/>
  <c r="D43" i="33"/>
  <c r="V43" i="39" s="1"/>
  <c r="C43" i="33"/>
  <c r="U43" i="39" s="1"/>
  <c r="B43" i="33"/>
  <c r="T43" i="39" s="1"/>
  <c r="G42" i="33"/>
  <c r="Y42" i="39" s="1"/>
  <c r="F42" i="33"/>
  <c r="X42" i="39" s="1"/>
  <c r="D42" i="33"/>
  <c r="V42" i="39" s="1"/>
  <c r="C42" i="33"/>
  <c r="U42" i="39" s="1"/>
  <c r="B42" i="33"/>
  <c r="T42" i="39" s="1"/>
  <c r="G41" i="33"/>
  <c r="Y41" i="39" s="1"/>
  <c r="F41" i="33"/>
  <c r="X41" i="39" s="1"/>
  <c r="D41" i="33"/>
  <c r="V41" i="39" s="1"/>
  <c r="C41" i="33"/>
  <c r="U41" i="39" s="1"/>
  <c r="B41" i="33"/>
  <c r="T41" i="39" s="1"/>
  <c r="G40" i="33"/>
  <c r="Y40" i="39" s="1"/>
  <c r="F40" i="33"/>
  <c r="X40" i="39" s="1"/>
  <c r="D40" i="33"/>
  <c r="V40" i="39" s="1"/>
  <c r="C40" i="33"/>
  <c r="U40" i="39" s="1"/>
  <c r="B40" i="33"/>
  <c r="T40" i="39" s="1"/>
  <c r="G39" i="33"/>
  <c r="Y39" i="39" s="1"/>
  <c r="F39" i="33"/>
  <c r="X39" i="39" s="1"/>
  <c r="D39" i="33"/>
  <c r="V39" i="39" s="1"/>
  <c r="C39" i="33"/>
  <c r="U39" i="39" s="1"/>
  <c r="B39" i="33"/>
  <c r="G38" i="33"/>
  <c r="Y38" i="39" s="1"/>
  <c r="F38" i="33"/>
  <c r="X38" i="39" s="1"/>
  <c r="D38" i="33"/>
  <c r="V38" i="39" s="1"/>
  <c r="C38" i="33"/>
  <c r="U38" i="39" s="1"/>
  <c r="B38" i="33"/>
  <c r="T38" i="39" s="1"/>
  <c r="G37" i="33"/>
  <c r="Y37" i="39" s="1"/>
  <c r="F37" i="33"/>
  <c r="X37" i="39" s="1"/>
  <c r="D37" i="33"/>
  <c r="V37" i="39" s="1"/>
  <c r="C37" i="33"/>
  <c r="U37" i="39" s="1"/>
  <c r="B37" i="33"/>
  <c r="T37" i="39" s="1"/>
  <c r="G36" i="33"/>
  <c r="Y36" i="39" s="1"/>
  <c r="F36" i="33"/>
  <c r="X36" i="39" s="1"/>
  <c r="D36" i="33"/>
  <c r="V36" i="39" s="1"/>
  <c r="C36" i="33"/>
  <c r="U36" i="39" s="1"/>
  <c r="B36" i="33"/>
  <c r="T36" i="39" s="1"/>
  <c r="G35" i="33"/>
  <c r="Y35" i="39" s="1"/>
  <c r="F35" i="33"/>
  <c r="X35" i="39" s="1"/>
  <c r="D35" i="33"/>
  <c r="V35" i="39" s="1"/>
  <c r="C35" i="33"/>
  <c r="U35" i="39" s="1"/>
  <c r="B35" i="33"/>
  <c r="T35" i="39" s="1"/>
  <c r="G34" i="33"/>
  <c r="Y34" i="39" s="1"/>
  <c r="F34" i="33"/>
  <c r="X34" i="39" s="1"/>
  <c r="D34" i="33"/>
  <c r="V34" i="39" s="1"/>
  <c r="C34" i="33"/>
  <c r="U34" i="39" s="1"/>
  <c r="B34" i="33"/>
  <c r="T34" i="39" s="1"/>
  <c r="G33" i="33"/>
  <c r="Y33" i="39" s="1"/>
  <c r="F33" i="33"/>
  <c r="X33" i="39" s="1"/>
  <c r="D33" i="33"/>
  <c r="V33" i="39" s="1"/>
  <c r="C33" i="33"/>
  <c r="U33" i="39" s="1"/>
  <c r="B33" i="33"/>
  <c r="T33" i="39" s="1"/>
  <c r="G32" i="33"/>
  <c r="Y32" i="39" s="1"/>
  <c r="F32" i="33"/>
  <c r="X32" i="39" s="1"/>
  <c r="D32" i="33"/>
  <c r="V32" i="39" s="1"/>
  <c r="C32" i="33"/>
  <c r="U32" i="39" s="1"/>
  <c r="B32" i="33"/>
  <c r="T32" i="39" s="1"/>
  <c r="G31" i="33"/>
  <c r="Y31" i="39" s="1"/>
  <c r="F31" i="33"/>
  <c r="X31" i="39" s="1"/>
  <c r="D31" i="33"/>
  <c r="V31" i="39" s="1"/>
  <c r="C31" i="33"/>
  <c r="U31" i="39" s="1"/>
  <c r="B31" i="33"/>
  <c r="T31" i="39" s="1"/>
  <c r="G30" i="33"/>
  <c r="Y30" i="39" s="1"/>
  <c r="F30" i="33"/>
  <c r="X30" i="39" s="1"/>
  <c r="D30" i="33"/>
  <c r="V30" i="39" s="1"/>
  <c r="C30" i="33"/>
  <c r="U30" i="39" s="1"/>
  <c r="B30" i="33"/>
  <c r="T30" i="39" s="1"/>
  <c r="G29" i="33"/>
  <c r="Y29" i="39" s="1"/>
  <c r="F29" i="33"/>
  <c r="X29" i="39" s="1"/>
  <c r="D29" i="33"/>
  <c r="V29" i="39" s="1"/>
  <c r="C29" i="33"/>
  <c r="U29" i="39" s="1"/>
  <c r="B29" i="33"/>
  <c r="T29" i="39" s="1"/>
  <c r="G28" i="33"/>
  <c r="Y28" i="39" s="1"/>
  <c r="F28" i="33"/>
  <c r="X28" i="39" s="1"/>
  <c r="D28" i="33"/>
  <c r="V28" i="39" s="1"/>
  <c r="C28" i="33"/>
  <c r="U28" i="39" s="1"/>
  <c r="B28" i="33"/>
  <c r="T28" i="39" s="1"/>
  <c r="G27" i="33"/>
  <c r="Y27" i="39" s="1"/>
  <c r="F27" i="33"/>
  <c r="X27" i="39" s="1"/>
  <c r="D27" i="33"/>
  <c r="V27" i="39" s="1"/>
  <c r="C27" i="33"/>
  <c r="U27" i="39" s="1"/>
  <c r="B27" i="33"/>
  <c r="T27" i="39" s="1"/>
  <c r="G26" i="33"/>
  <c r="Y26" i="39" s="1"/>
  <c r="F26" i="33"/>
  <c r="X26" i="39" s="1"/>
  <c r="D26" i="33"/>
  <c r="V26" i="39" s="1"/>
  <c r="C26" i="33"/>
  <c r="U26" i="39" s="1"/>
  <c r="B26" i="33"/>
  <c r="T26" i="39" s="1"/>
  <c r="G25" i="33"/>
  <c r="Y25" i="39" s="1"/>
  <c r="F25" i="33"/>
  <c r="X25" i="39" s="1"/>
  <c r="D25" i="33"/>
  <c r="V25" i="39" s="1"/>
  <c r="C25" i="33"/>
  <c r="U25" i="39" s="1"/>
  <c r="B25" i="33"/>
  <c r="T25" i="39" s="1"/>
  <c r="G24" i="33"/>
  <c r="Y24" i="39" s="1"/>
  <c r="F24" i="33"/>
  <c r="X24" i="39" s="1"/>
  <c r="D24" i="33"/>
  <c r="V24" i="39" s="1"/>
  <c r="C24" i="33"/>
  <c r="U24" i="39" s="1"/>
  <c r="B24" i="33"/>
  <c r="T24" i="39" s="1"/>
  <c r="G23" i="33"/>
  <c r="Y23" i="39" s="1"/>
  <c r="F23" i="33"/>
  <c r="X23" i="39" s="1"/>
  <c r="D23" i="33"/>
  <c r="V23" i="39" s="1"/>
  <c r="C23" i="33"/>
  <c r="U23" i="39" s="1"/>
  <c r="B23" i="33"/>
  <c r="T23" i="39" s="1"/>
  <c r="G22" i="33"/>
  <c r="Y22" i="39" s="1"/>
  <c r="F22" i="33"/>
  <c r="X22" i="39" s="1"/>
  <c r="D22" i="33"/>
  <c r="V22" i="39" s="1"/>
  <c r="C22" i="33"/>
  <c r="U22" i="39" s="1"/>
  <c r="B22" i="33"/>
  <c r="T22" i="39" s="1"/>
  <c r="G21" i="33"/>
  <c r="Y21" i="39" s="1"/>
  <c r="F21" i="33"/>
  <c r="X21" i="39" s="1"/>
  <c r="D21" i="33"/>
  <c r="V21" i="39" s="1"/>
  <c r="C21" i="33"/>
  <c r="U21" i="39" s="1"/>
  <c r="B21" i="33"/>
  <c r="T21" i="39" s="1"/>
  <c r="G20" i="33"/>
  <c r="Y20" i="39" s="1"/>
  <c r="F20" i="33"/>
  <c r="X20" i="39" s="1"/>
  <c r="D20" i="33"/>
  <c r="V20" i="39" s="1"/>
  <c r="C20" i="33"/>
  <c r="U20" i="39" s="1"/>
  <c r="B20" i="33"/>
  <c r="T20" i="39" s="1"/>
  <c r="G19" i="33"/>
  <c r="Y19" i="39" s="1"/>
  <c r="F19" i="33"/>
  <c r="X19" i="39" s="1"/>
  <c r="D19" i="33"/>
  <c r="V19" i="39" s="1"/>
  <c r="C19" i="33"/>
  <c r="U19" i="39" s="1"/>
  <c r="B19" i="33"/>
  <c r="T19" i="39" s="1"/>
  <c r="G18" i="33"/>
  <c r="Y18" i="39" s="1"/>
  <c r="F18" i="33"/>
  <c r="X18" i="39" s="1"/>
  <c r="D18" i="33"/>
  <c r="V18" i="39" s="1"/>
  <c r="C18" i="33"/>
  <c r="U18" i="39" s="1"/>
  <c r="B18" i="33"/>
  <c r="T18" i="39" s="1"/>
  <c r="G17" i="33"/>
  <c r="Y17" i="39" s="1"/>
  <c r="F17" i="33"/>
  <c r="X17" i="39" s="1"/>
  <c r="D17" i="33"/>
  <c r="V17" i="39" s="1"/>
  <c r="C17" i="33"/>
  <c r="U17" i="39" s="1"/>
  <c r="B17" i="33"/>
  <c r="T17" i="39" s="1"/>
  <c r="G16" i="33"/>
  <c r="Y16" i="39" s="1"/>
  <c r="F16" i="33"/>
  <c r="X16" i="39" s="1"/>
  <c r="D16" i="33"/>
  <c r="V16" i="39" s="1"/>
  <c r="C16" i="33"/>
  <c r="U16" i="39" s="1"/>
  <c r="B16" i="33"/>
  <c r="T16" i="39" s="1"/>
  <c r="G15" i="33"/>
  <c r="Y15" i="39" s="1"/>
  <c r="F15" i="33"/>
  <c r="X15" i="39" s="1"/>
  <c r="D15" i="33"/>
  <c r="V15" i="39" s="1"/>
  <c r="C15" i="33"/>
  <c r="U15" i="39" s="1"/>
  <c r="B15" i="33"/>
  <c r="T15" i="39" s="1"/>
  <c r="G14" i="33"/>
  <c r="Y14" i="39" s="1"/>
  <c r="F14" i="33"/>
  <c r="X14" i="39" s="1"/>
  <c r="D14" i="33"/>
  <c r="V14" i="39" s="1"/>
  <c r="C14" i="33"/>
  <c r="U14" i="39" s="1"/>
  <c r="B14" i="33"/>
  <c r="T14" i="39" s="1"/>
  <c r="G13" i="33"/>
  <c r="Y13" i="39" s="1"/>
  <c r="F13" i="33"/>
  <c r="X13" i="39" s="1"/>
  <c r="D13" i="33"/>
  <c r="V13" i="39" s="1"/>
  <c r="C13" i="33"/>
  <c r="U13" i="39" s="1"/>
  <c r="B13" i="33"/>
  <c r="T13" i="39" s="1"/>
  <c r="G12" i="33"/>
  <c r="Y12" i="39" s="1"/>
  <c r="F12" i="33"/>
  <c r="X12" i="39" s="1"/>
  <c r="D12" i="33"/>
  <c r="V12" i="39" s="1"/>
  <c r="C12" i="33"/>
  <c r="U12" i="39" s="1"/>
  <c r="B12" i="33"/>
  <c r="T12" i="39" s="1"/>
  <c r="G11" i="33"/>
  <c r="Y11" i="39" s="1"/>
  <c r="F11" i="33"/>
  <c r="X11" i="39" s="1"/>
  <c r="D11" i="33"/>
  <c r="V11" i="39" s="1"/>
  <c r="C11" i="33"/>
  <c r="U11" i="39" s="1"/>
  <c r="B11" i="33"/>
  <c r="T11" i="39" s="1"/>
  <c r="G10" i="33"/>
  <c r="Y10" i="39" s="1"/>
  <c r="F10" i="33"/>
  <c r="X10" i="39" s="1"/>
  <c r="D10" i="33"/>
  <c r="V10" i="39" s="1"/>
  <c r="C10" i="33"/>
  <c r="U10" i="39" s="1"/>
  <c r="B10" i="33"/>
  <c r="T10" i="39" s="1"/>
  <c r="G9" i="33"/>
  <c r="Y9" i="39" s="1"/>
  <c r="F9" i="33"/>
  <c r="X9" i="39" s="1"/>
  <c r="D9" i="33"/>
  <c r="V9" i="39" s="1"/>
  <c r="C9" i="33"/>
  <c r="U9" i="39" s="1"/>
  <c r="B9" i="33"/>
  <c r="T9" i="39" s="1"/>
  <c r="G8" i="33"/>
  <c r="Y8" i="39" s="1"/>
  <c r="F8" i="33"/>
  <c r="X8" i="39" s="1"/>
  <c r="D8" i="33"/>
  <c r="V8" i="39" s="1"/>
  <c r="C8" i="33"/>
  <c r="U8" i="39" s="1"/>
  <c r="B8" i="33"/>
  <c r="T8" i="39" s="1"/>
  <c r="G7" i="33"/>
  <c r="Y7" i="39" s="1"/>
  <c r="F7" i="33"/>
  <c r="X7" i="39" s="1"/>
  <c r="D7" i="33"/>
  <c r="V7" i="39" s="1"/>
  <c r="C7" i="33"/>
  <c r="U7" i="39" s="1"/>
  <c r="B7" i="33"/>
  <c r="T7" i="39" s="1"/>
  <c r="G6" i="33"/>
  <c r="Y6" i="39" s="1"/>
  <c r="F6" i="33"/>
  <c r="X6" i="39" s="1"/>
  <c r="D6" i="33"/>
  <c r="V6" i="39" s="1"/>
  <c r="C6" i="33"/>
  <c r="U6" i="39" s="1"/>
  <c r="B6" i="33"/>
  <c r="T6" i="39" s="1"/>
  <c r="G5" i="33"/>
  <c r="Y5" i="39" s="1"/>
  <c r="F5" i="33"/>
  <c r="X5" i="39" s="1"/>
  <c r="D5" i="33"/>
  <c r="V5" i="39" s="1"/>
  <c r="C5" i="33"/>
  <c r="U5" i="39" s="1"/>
  <c r="B5" i="33"/>
  <c r="T5" i="39" s="1"/>
  <c r="G4" i="33"/>
  <c r="Y4" i="39" s="1"/>
  <c r="F4" i="33"/>
  <c r="X4" i="39" s="1"/>
  <c r="D4" i="33"/>
  <c r="V4" i="39" s="1"/>
  <c r="C4" i="33"/>
  <c r="U4" i="39" s="1"/>
  <c r="B4" i="33"/>
  <c r="T4" i="39" s="1"/>
  <c r="G3" i="33"/>
  <c r="Y3" i="39" s="1"/>
  <c r="F3" i="33"/>
  <c r="X3" i="39" s="1"/>
  <c r="D3" i="33"/>
  <c r="V3" i="39" s="1"/>
  <c r="C3" i="33"/>
  <c r="U3" i="39" s="1"/>
  <c r="B3" i="33"/>
  <c r="T3" i="39" s="1"/>
  <c r="G206" i="32"/>
  <c r="P206" i="39" s="1"/>
  <c r="F206" i="32"/>
  <c r="O206" i="39" s="1"/>
  <c r="G205" i="32"/>
  <c r="P205" i="39" s="1"/>
  <c r="F205" i="32"/>
  <c r="O205" i="39" s="1"/>
  <c r="G204" i="32"/>
  <c r="P204" i="39" s="1"/>
  <c r="F204" i="32"/>
  <c r="O204" i="39" s="1"/>
  <c r="G203" i="32"/>
  <c r="P203" i="39" s="1"/>
  <c r="F203" i="32"/>
  <c r="O203" i="39" s="1"/>
  <c r="G202" i="32"/>
  <c r="P202" i="39" s="1"/>
  <c r="F202" i="32"/>
  <c r="O202" i="39" s="1"/>
  <c r="G201" i="32"/>
  <c r="P201" i="39" s="1"/>
  <c r="F201" i="32"/>
  <c r="O201" i="39" s="1"/>
  <c r="G200" i="32"/>
  <c r="P200" i="39" s="1"/>
  <c r="F200" i="32"/>
  <c r="O200" i="39" s="1"/>
  <c r="G199" i="32"/>
  <c r="P199" i="39" s="1"/>
  <c r="F199" i="32"/>
  <c r="O199" i="39" s="1"/>
  <c r="G198" i="32"/>
  <c r="P198" i="39" s="1"/>
  <c r="F198" i="32"/>
  <c r="O198" i="39" s="1"/>
  <c r="G197" i="32"/>
  <c r="P197" i="39" s="1"/>
  <c r="F197" i="32"/>
  <c r="O197" i="39" s="1"/>
  <c r="G196" i="32"/>
  <c r="P196" i="39" s="1"/>
  <c r="F196" i="32"/>
  <c r="O196" i="39" s="1"/>
  <c r="G195" i="32"/>
  <c r="P195" i="39" s="1"/>
  <c r="F195" i="32"/>
  <c r="O195" i="39" s="1"/>
  <c r="G194" i="32"/>
  <c r="P194" i="39" s="1"/>
  <c r="F194" i="32"/>
  <c r="O194" i="39" s="1"/>
  <c r="G193" i="32"/>
  <c r="P193" i="39" s="1"/>
  <c r="F193" i="32"/>
  <c r="O193" i="39" s="1"/>
  <c r="G192" i="32"/>
  <c r="P192" i="39" s="1"/>
  <c r="F192" i="32"/>
  <c r="O192" i="39" s="1"/>
  <c r="G191" i="32"/>
  <c r="P191" i="39" s="1"/>
  <c r="F191" i="32"/>
  <c r="O191" i="39" s="1"/>
  <c r="G190" i="32"/>
  <c r="P190" i="39" s="1"/>
  <c r="F190" i="32"/>
  <c r="O190" i="39" s="1"/>
  <c r="G189" i="32"/>
  <c r="P189" i="39" s="1"/>
  <c r="F189" i="32"/>
  <c r="O189" i="39" s="1"/>
  <c r="G188" i="32"/>
  <c r="P188" i="39" s="1"/>
  <c r="F188" i="32"/>
  <c r="O188" i="39" s="1"/>
  <c r="G187" i="32"/>
  <c r="P187" i="39" s="1"/>
  <c r="F187" i="32"/>
  <c r="O187" i="39" s="1"/>
  <c r="G186" i="32"/>
  <c r="P186" i="39" s="1"/>
  <c r="F186" i="32"/>
  <c r="O186" i="39" s="1"/>
  <c r="G185" i="32"/>
  <c r="P185" i="39" s="1"/>
  <c r="F185" i="32"/>
  <c r="O185" i="39" s="1"/>
  <c r="G184" i="32"/>
  <c r="P184" i="39" s="1"/>
  <c r="F184" i="32"/>
  <c r="O184" i="39" s="1"/>
  <c r="G183" i="32"/>
  <c r="P183" i="39" s="1"/>
  <c r="F183" i="32"/>
  <c r="O183" i="39" s="1"/>
  <c r="G182" i="32"/>
  <c r="P182" i="39" s="1"/>
  <c r="F182" i="32"/>
  <c r="O182" i="39" s="1"/>
  <c r="G181" i="32"/>
  <c r="P181" i="39" s="1"/>
  <c r="F181" i="32"/>
  <c r="O181" i="39" s="1"/>
  <c r="G180" i="32"/>
  <c r="P180" i="39" s="1"/>
  <c r="F180" i="32"/>
  <c r="O180" i="39" s="1"/>
  <c r="G179" i="32"/>
  <c r="P179" i="39" s="1"/>
  <c r="F179" i="32"/>
  <c r="O179" i="39" s="1"/>
  <c r="G178" i="32"/>
  <c r="P178" i="39" s="1"/>
  <c r="F178" i="32"/>
  <c r="O178" i="39" s="1"/>
  <c r="G177" i="32"/>
  <c r="P177" i="39" s="1"/>
  <c r="F177" i="32"/>
  <c r="O177" i="39" s="1"/>
  <c r="G176" i="32"/>
  <c r="P176" i="39" s="1"/>
  <c r="F176" i="32"/>
  <c r="O176" i="39" s="1"/>
  <c r="G175" i="32"/>
  <c r="P175" i="39" s="1"/>
  <c r="F175" i="32"/>
  <c r="O175" i="39" s="1"/>
  <c r="G174" i="32"/>
  <c r="P174" i="39" s="1"/>
  <c r="F174" i="32"/>
  <c r="O174" i="39" s="1"/>
  <c r="G173" i="32"/>
  <c r="P173" i="39" s="1"/>
  <c r="F173" i="32"/>
  <c r="O173" i="39" s="1"/>
  <c r="G172" i="32"/>
  <c r="P172" i="39" s="1"/>
  <c r="F172" i="32"/>
  <c r="O172" i="39" s="1"/>
  <c r="G171" i="32"/>
  <c r="P171" i="39" s="1"/>
  <c r="F171" i="32"/>
  <c r="O171" i="39" s="1"/>
  <c r="G170" i="32"/>
  <c r="P170" i="39" s="1"/>
  <c r="F170" i="32"/>
  <c r="O170" i="39" s="1"/>
  <c r="G169" i="32"/>
  <c r="P169" i="39" s="1"/>
  <c r="F169" i="32"/>
  <c r="O169" i="39" s="1"/>
  <c r="G168" i="32"/>
  <c r="P168" i="39" s="1"/>
  <c r="F168" i="32"/>
  <c r="O168" i="39" s="1"/>
  <c r="G167" i="32"/>
  <c r="P167" i="39" s="1"/>
  <c r="F167" i="32"/>
  <c r="O167" i="39" s="1"/>
  <c r="G166" i="32"/>
  <c r="P166" i="39" s="1"/>
  <c r="F166" i="32"/>
  <c r="O166" i="39" s="1"/>
  <c r="G165" i="32"/>
  <c r="P165" i="39" s="1"/>
  <c r="F165" i="32"/>
  <c r="O165" i="39" s="1"/>
  <c r="G164" i="32"/>
  <c r="P164" i="39" s="1"/>
  <c r="F164" i="32"/>
  <c r="O164" i="39" s="1"/>
  <c r="G163" i="32"/>
  <c r="P163" i="39" s="1"/>
  <c r="F163" i="32"/>
  <c r="O163" i="39" s="1"/>
  <c r="G162" i="32"/>
  <c r="P162" i="39" s="1"/>
  <c r="F162" i="32"/>
  <c r="O162" i="39" s="1"/>
  <c r="G161" i="32"/>
  <c r="P161" i="39" s="1"/>
  <c r="F161" i="32"/>
  <c r="O161" i="39" s="1"/>
  <c r="G160" i="32"/>
  <c r="P160" i="39" s="1"/>
  <c r="F160" i="32"/>
  <c r="O160" i="39" s="1"/>
  <c r="G159" i="32"/>
  <c r="P159" i="39" s="1"/>
  <c r="F159" i="32"/>
  <c r="O159" i="39" s="1"/>
  <c r="G158" i="32"/>
  <c r="P158" i="39" s="1"/>
  <c r="F158" i="32"/>
  <c r="O158" i="39" s="1"/>
  <c r="G157" i="32"/>
  <c r="P157" i="39" s="1"/>
  <c r="F157" i="32"/>
  <c r="O157" i="39" s="1"/>
  <c r="G156" i="32"/>
  <c r="P156" i="39" s="1"/>
  <c r="F156" i="32"/>
  <c r="O156" i="39" s="1"/>
  <c r="G155" i="32"/>
  <c r="P155" i="39" s="1"/>
  <c r="F155" i="32"/>
  <c r="O155" i="39" s="1"/>
  <c r="G154" i="32"/>
  <c r="P154" i="39" s="1"/>
  <c r="F154" i="32"/>
  <c r="O154" i="39" s="1"/>
  <c r="G153" i="32"/>
  <c r="P153" i="39" s="1"/>
  <c r="F153" i="32"/>
  <c r="O153" i="39" s="1"/>
  <c r="G152" i="32"/>
  <c r="P152" i="39" s="1"/>
  <c r="F152" i="32"/>
  <c r="O152" i="39" s="1"/>
  <c r="G151" i="32"/>
  <c r="P151" i="39" s="1"/>
  <c r="F151" i="32"/>
  <c r="O151" i="39" s="1"/>
  <c r="G150" i="32"/>
  <c r="P150" i="39" s="1"/>
  <c r="F150" i="32"/>
  <c r="O150" i="39" s="1"/>
  <c r="G149" i="32"/>
  <c r="P149" i="39" s="1"/>
  <c r="F149" i="32"/>
  <c r="O149" i="39" s="1"/>
  <c r="G148" i="32"/>
  <c r="P148" i="39" s="1"/>
  <c r="F148" i="32"/>
  <c r="O148" i="39" s="1"/>
  <c r="G147" i="32"/>
  <c r="P147" i="39" s="1"/>
  <c r="F147" i="32"/>
  <c r="O147" i="39" s="1"/>
  <c r="P146" i="39"/>
  <c r="O146" i="39"/>
  <c r="P145" i="39"/>
  <c r="O145" i="39"/>
  <c r="P144" i="39"/>
  <c r="O144" i="39"/>
  <c r="P143" i="39"/>
  <c r="O143" i="39"/>
  <c r="P142" i="39"/>
  <c r="O142" i="39"/>
  <c r="P141" i="39"/>
  <c r="O141" i="39"/>
  <c r="P140" i="39"/>
  <c r="O140" i="39"/>
  <c r="P139" i="39"/>
  <c r="O139" i="39"/>
  <c r="P138" i="39"/>
  <c r="O138" i="39"/>
  <c r="P137" i="39"/>
  <c r="O137" i="39"/>
  <c r="P136" i="39"/>
  <c r="O136" i="39"/>
  <c r="P135" i="39"/>
  <c r="O135" i="39"/>
  <c r="G134" i="32"/>
  <c r="P134" i="39" s="1"/>
  <c r="F134" i="32"/>
  <c r="O134" i="39" s="1"/>
  <c r="G133" i="32"/>
  <c r="P133" i="39" s="1"/>
  <c r="F133" i="32"/>
  <c r="O133" i="39" s="1"/>
  <c r="B133" i="32"/>
  <c r="K133" i="39" s="1"/>
  <c r="G132" i="32"/>
  <c r="P132" i="39" s="1"/>
  <c r="F132" i="32"/>
  <c r="O132" i="39" s="1"/>
  <c r="B132" i="32"/>
  <c r="K132" i="39" s="1"/>
  <c r="G131" i="32"/>
  <c r="P131" i="39" s="1"/>
  <c r="F131" i="32"/>
  <c r="O131" i="39" s="1"/>
  <c r="B131" i="32"/>
  <c r="K131" i="39" s="1"/>
  <c r="G130" i="32"/>
  <c r="P130" i="39" s="1"/>
  <c r="F130" i="32"/>
  <c r="O130" i="39" s="1"/>
  <c r="B130" i="32"/>
  <c r="K130" i="39" s="1"/>
  <c r="G129" i="32"/>
  <c r="P129" i="39" s="1"/>
  <c r="F129" i="32"/>
  <c r="O129" i="39" s="1"/>
  <c r="B129" i="32"/>
  <c r="K129" i="39" s="1"/>
  <c r="G128" i="32"/>
  <c r="P128" i="39" s="1"/>
  <c r="F128" i="32"/>
  <c r="O128" i="39" s="1"/>
  <c r="B128" i="32"/>
  <c r="K128" i="39" s="1"/>
  <c r="G127" i="32"/>
  <c r="P127" i="39" s="1"/>
  <c r="F127" i="32"/>
  <c r="O127" i="39" s="1"/>
  <c r="B127" i="32"/>
  <c r="K127" i="39" s="1"/>
  <c r="G126" i="32"/>
  <c r="P126" i="39" s="1"/>
  <c r="F126" i="32"/>
  <c r="O126" i="39" s="1"/>
  <c r="B126" i="32"/>
  <c r="K126" i="39" s="1"/>
  <c r="G125" i="32"/>
  <c r="P125" i="39" s="1"/>
  <c r="F125" i="32"/>
  <c r="O125" i="39" s="1"/>
  <c r="B125" i="32"/>
  <c r="K125" i="39" s="1"/>
  <c r="G124" i="32"/>
  <c r="P124" i="39" s="1"/>
  <c r="F124" i="32"/>
  <c r="O124" i="39" s="1"/>
  <c r="B124" i="32"/>
  <c r="K124" i="39" s="1"/>
  <c r="G123" i="32"/>
  <c r="P123" i="39" s="1"/>
  <c r="F123" i="32"/>
  <c r="O123" i="39" s="1"/>
  <c r="B123" i="32"/>
  <c r="G122" i="32"/>
  <c r="P122" i="39" s="1"/>
  <c r="F122" i="32"/>
  <c r="O122" i="39" s="1"/>
  <c r="B122" i="32"/>
  <c r="K122" i="39" s="1"/>
  <c r="G121" i="32"/>
  <c r="P121" i="39" s="1"/>
  <c r="F121" i="32"/>
  <c r="O121" i="39" s="1"/>
  <c r="B121" i="32"/>
  <c r="K121" i="39" s="1"/>
  <c r="G120" i="32"/>
  <c r="P120" i="39" s="1"/>
  <c r="F120" i="32"/>
  <c r="O120" i="39" s="1"/>
  <c r="B120" i="32"/>
  <c r="K120" i="39" s="1"/>
  <c r="G119" i="32"/>
  <c r="P119" i="39" s="1"/>
  <c r="F119" i="32"/>
  <c r="O119" i="39" s="1"/>
  <c r="B119" i="32"/>
  <c r="K119" i="39" s="1"/>
  <c r="G118" i="32"/>
  <c r="P118" i="39" s="1"/>
  <c r="F118" i="32"/>
  <c r="O118" i="39" s="1"/>
  <c r="B118" i="32"/>
  <c r="K118" i="39" s="1"/>
  <c r="G117" i="32"/>
  <c r="P117" i="39" s="1"/>
  <c r="F117" i="32"/>
  <c r="O117" i="39" s="1"/>
  <c r="B117" i="32"/>
  <c r="K117" i="39" s="1"/>
  <c r="G116" i="32"/>
  <c r="P116" i="39" s="1"/>
  <c r="F116" i="32"/>
  <c r="O116" i="39" s="1"/>
  <c r="B116" i="32"/>
  <c r="K116" i="39" s="1"/>
  <c r="G115" i="32"/>
  <c r="P115" i="39" s="1"/>
  <c r="F115" i="32"/>
  <c r="O115" i="39" s="1"/>
  <c r="B115" i="32"/>
  <c r="K115" i="39" s="1"/>
  <c r="G114" i="32"/>
  <c r="P114" i="39" s="1"/>
  <c r="F114" i="32"/>
  <c r="O114" i="39" s="1"/>
  <c r="B114" i="32"/>
  <c r="K114" i="39" s="1"/>
  <c r="G113" i="32"/>
  <c r="P113" i="39" s="1"/>
  <c r="F113" i="32"/>
  <c r="O113" i="39" s="1"/>
  <c r="B113" i="32"/>
  <c r="K113" i="39" s="1"/>
  <c r="G112" i="32"/>
  <c r="P112" i="39" s="1"/>
  <c r="F112" i="32"/>
  <c r="O112" i="39" s="1"/>
  <c r="B112" i="32"/>
  <c r="K112" i="39" s="1"/>
  <c r="G111" i="32"/>
  <c r="P111" i="39" s="1"/>
  <c r="F111" i="32"/>
  <c r="O111" i="39" s="1"/>
  <c r="B111" i="32"/>
  <c r="G110" i="32"/>
  <c r="P110" i="39" s="1"/>
  <c r="F110" i="32"/>
  <c r="O110" i="39" s="1"/>
  <c r="B110" i="32"/>
  <c r="K110" i="39" s="1"/>
  <c r="G109" i="32"/>
  <c r="P109" i="39" s="1"/>
  <c r="F109" i="32"/>
  <c r="O109" i="39" s="1"/>
  <c r="B109" i="32"/>
  <c r="K109" i="39" s="1"/>
  <c r="G108" i="32"/>
  <c r="P108" i="39" s="1"/>
  <c r="F108" i="32"/>
  <c r="O108" i="39" s="1"/>
  <c r="B108" i="32"/>
  <c r="K108" i="39" s="1"/>
  <c r="G107" i="32"/>
  <c r="P107" i="39" s="1"/>
  <c r="F107" i="32"/>
  <c r="O107" i="39" s="1"/>
  <c r="B107" i="32"/>
  <c r="K107" i="39" s="1"/>
  <c r="G106" i="32"/>
  <c r="P106" i="39" s="1"/>
  <c r="F106" i="32"/>
  <c r="O106" i="39" s="1"/>
  <c r="B106" i="32"/>
  <c r="K106" i="39" s="1"/>
  <c r="G105" i="32"/>
  <c r="P105" i="39" s="1"/>
  <c r="F105" i="32"/>
  <c r="O105" i="39" s="1"/>
  <c r="B105" i="32"/>
  <c r="K105" i="39" s="1"/>
  <c r="G104" i="32"/>
  <c r="P104" i="39" s="1"/>
  <c r="F104" i="32"/>
  <c r="O104" i="39" s="1"/>
  <c r="B104" i="32"/>
  <c r="K104" i="39" s="1"/>
  <c r="G103" i="32"/>
  <c r="P103" i="39" s="1"/>
  <c r="F103" i="32"/>
  <c r="O103" i="39" s="1"/>
  <c r="B103" i="32"/>
  <c r="K103" i="39" s="1"/>
  <c r="G102" i="32"/>
  <c r="P102" i="39" s="1"/>
  <c r="F102" i="32"/>
  <c r="O102" i="39" s="1"/>
  <c r="B102" i="32"/>
  <c r="K102" i="39" s="1"/>
  <c r="G101" i="32"/>
  <c r="P101" i="39" s="1"/>
  <c r="F101" i="32"/>
  <c r="O101" i="39" s="1"/>
  <c r="B101" i="32"/>
  <c r="K101" i="39" s="1"/>
  <c r="G100" i="32"/>
  <c r="P100" i="39" s="1"/>
  <c r="F100" i="32"/>
  <c r="O100" i="39" s="1"/>
  <c r="B100" i="32"/>
  <c r="K100" i="39" s="1"/>
  <c r="G99" i="32"/>
  <c r="P99" i="39" s="1"/>
  <c r="F99" i="32"/>
  <c r="O99" i="39" s="1"/>
  <c r="B99" i="32"/>
  <c r="G98" i="32"/>
  <c r="P98" i="39" s="1"/>
  <c r="F98" i="32"/>
  <c r="O98" i="39" s="1"/>
  <c r="D98" i="32"/>
  <c r="M98" i="39" s="1"/>
  <c r="C98" i="32"/>
  <c r="L98" i="39" s="1"/>
  <c r="B98" i="32"/>
  <c r="K98" i="39" s="1"/>
  <c r="G97" i="32"/>
  <c r="P97" i="39" s="1"/>
  <c r="F97" i="32"/>
  <c r="O97" i="39" s="1"/>
  <c r="D97" i="32"/>
  <c r="M97" i="39" s="1"/>
  <c r="C97" i="32"/>
  <c r="L97" i="39" s="1"/>
  <c r="B97" i="32"/>
  <c r="K97" i="39" s="1"/>
  <c r="G96" i="32"/>
  <c r="P96" i="39" s="1"/>
  <c r="F96" i="32"/>
  <c r="O96" i="39" s="1"/>
  <c r="D96" i="32"/>
  <c r="M96" i="39" s="1"/>
  <c r="C96" i="32"/>
  <c r="L96" i="39" s="1"/>
  <c r="B96" i="32"/>
  <c r="K96" i="39" s="1"/>
  <c r="G95" i="32"/>
  <c r="P95" i="39" s="1"/>
  <c r="F95" i="32"/>
  <c r="O95" i="39" s="1"/>
  <c r="D95" i="32"/>
  <c r="M95" i="39" s="1"/>
  <c r="C95" i="32"/>
  <c r="L95" i="39" s="1"/>
  <c r="B95" i="32"/>
  <c r="K95" i="39" s="1"/>
  <c r="G94" i="32"/>
  <c r="P94" i="39" s="1"/>
  <c r="F94" i="32"/>
  <c r="O94" i="39" s="1"/>
  <c r="D94" i="32"/>
  <c r="M94" i="39" s="1"/>
  <c r="C94" i="32"/>
  <c r="L94" i="39" s="1"/>
  <c r="B94" i="32"/>
  <c r="K94" i="39" s="1"/>
  <c r="G93" i="32"/>
  <c r="P93" i="39" s="1"/>
  <c r="F93" i="32"/>
  <c r="O93" i="39" s="1"/>
  <c r="D93" i="32"/>
  <c r="M93" i="39" s="1"/>
  <c r="C93" i="32"/>
  <c r="L93" i="39" s="1"/>
  <c r="B93" i="32"/>
  <c r="K93" i="39" s="1"/>
  <c r="G92" i="32"/>
  <c r="P92" i="39" s="1"/>
  <c r="F92" i="32"/>
  <c r="O92" i="39" s="1"/>
  <c r="D92" i="32"/>
  <c r="M92" i="39" s="1"/>
  <c r="C92" i="32"/>
  <c r="L92" i="39" s="1"/>
  <c r="B92" i="32"/>
  <c r="K92" i="39" s="1"/>
  <c r="G91" i="32"/>
  <c r="P91" i="39" s="1"/>
  <c r="F91" i="32"/>
  <c r="O91" i="39" s="1"/>
  <c r="D91" i="32"/>
  <c r="M91" i="39" s="1"/>
  <c r="C91" i="32"/>
  <c r="L91" i="39" s="1"/>
  <c r="B91" i="32"/>
  <c r="K91" i="39" s="1"/>
  <c r="G90" i="32"/>
  <c r="P90" i="39" s="1"/>
  <c r="F90" i="32"/>
  <c r="O90" i="39" s="1"/>
  <c r="D90" i="32"/>
  <c r="M90" i="39" s="1"/>
  <c r="C90" i="32"/>
  <c r="L90" i="39" s="1"/>
  <c r="B90" i="32"/>
  <c r="K90" i="39" s="1"/>
  <c r="G89" i="32"/>
  <c r="P89" i="39" s="1"/>
  <c r="F89" i="32"/>
  <c r="O89" i="39" s="1"/>
  <c r="D89" i="32"/>
  <c r="M89" i="39" s="1"/>
  <c r="C89" i="32"/>
  <c r="L89" i="39" s="1"/>
  <c r="B89" i="32"/>
  <c r="K89" i="39" s="1"/>
  <c r="G88" i="32"/>
  <c r="P88" i="39" s="1"/>
  <c r="F88" i="32"/>
  <c r="O88" i="39" s="1"/>
  <c r="D88" i="32"/>
  <c r="M88" i="39" s="1"/>
  <c r="C88" i="32"/>
  <c r="L88" i="39" s="1"/>
  <c r="B88" i="32"/>
  <c r="K88" i="39" s="1"/>
  <c r="G87" i="32"/>
  <c r="P87" i="39" s="1"/>
  <c r="F87" i="32"/>
  <c r="O87" i="39" s="1"/>
  <c r="D87" i="32"/>
  <c r="M87" i="39" s="1"/>
  <c r="C87" i="32"/>
  <c r="L87" i="39" s="1"/>
  <c r="B87" i="32"/>
  <c r="G86" i="32"/>
  <c r="P86" i="39" s="1"/>
  <c r="F86" i="32"/>
  <c r="O86" i="39" s="1"/>
  <c r="D86" i="32"/>
  <c r="M86" i="39" s="1"/>
  <c r="C86" i="32"/>
  <c r="L86" i="39" s="1"/>
  <c r="B86" i="32"/>
  <c r="K86" i="39" s="1"/>
  <c r="G85" i="32"/>
  <c r="P85" i="39" s="1"/>
  <c r="F85" i="32"/>
  <c r="O85" i="39" s="1"/>
  <c r="D85" i="32"/>
  <c r="M85" i="39" s="1"/>
  <c r="C85" i="32"/>
  <c r="L85" i="39" s="1"/>
  <c r="B85" i="32"/>
  <c r="K85" i="39" s="1"/>
  <c r="G84" i="32"/>
  <c r="P84" i="39" s="1"/>
  <c r="F84" i="32"/>
  <c r="O84" i="39" s="1"/>
  <c r="D84" i="32"/>
  <c r="M84" i="39" s="1"/>
  <c r="C84" i="32"/>
  <c r="L84" i="39" s="1"/>
  <c r="B84" i="32"/>
  <c r="K84" i="39" s="1"/>
  <c r="G83" i="32"/>
  <c r="P83" i="39" s="1"/>
  <c r="F83" i="32"/>
  <c r="O83" i="39" s="1"/>
  <c r="D83" i="32"/>
  <c r="M83" i="39" s="1"/>
  <c r="C83" i="32"/>
  <c r="L83" i="39" s="1"/>
  <c r="B83" i="32"/>
  <c r="K83" i="39" s="1"/>
  <c r="G82" i="32"/>
  <c r="P82" i="39" s="1"/>
  <c r="F82" i="32"/>
  <c r="O82" i="39" s="1"/>
  <c r="D82" i="32"/>
  <c r="M82" i="39" s="1"/>
  <c r="C82" i="32"/>
  <c r="L82" i="39" s="1"/>
  <c r="B82" i="32"/>
  <c r="K82" i="39" s="1"/>
  <c r="G81" i="32"/>
  <c r="P81" i="39" s="1"/>
  <c r="F81" i="32"/>
  <c r="O81" i="39" s="1"/>
  <c r="D81" i="32"/>
  <c r="M81" i="39" s="1"/>
  <c r="C81" i="32"/>
  <c r="L81" i="39" s="1"/>
  <c r="B81" i="32"/>
  <c r="K81" i="39" s="1"/>
  <c r="G80" i="32"/>
  <c r="P80" i="39" s="1"/>
  <c r="F80" i="32"/>
  <c r="O80" i="39" s="1"/>
  <c r="D80" i="32"/>
  <c r="M80" i="39" s="1"/>
  <c r="C80" i="32"/>
  <c r="L80" i="39" s="1"/>
  <c r="B80" i="32"/>
  <c r="K80" i="39" s="1"/>
  <c r="G79" i="32"/>
  <c r="P79" i="39" s="1"/>
  <c r="F79" i="32"/>
  <c r="O79" i="39" s="1"/>
  <c r="D79" i="32"/>
  <c r="M79" i="39" s="1"/>
  <c r="C79" i="32"/>
  <c r="L79" i="39" s="1"/>
  <c r="B79" i="32"/>
  <c r="K79" i="39" s="1"/>
  <c r="G78" i="32"/>
  <c r="P78" i="39" s="1"/>
  <c r="F78" i="32"/>
  <c r="O78" i="39" s="1"/>
  <c r="D78" i="32"/>
  <c r="M78" i="39" s="1"/>
  <c r="C78" i="32"/>
  <c r="L78" i="39" s="1"/>
  <c r="B78" i="32"/>
  <c r="K78" i="39" s="1"/>
  <c r="G77" i="32"/>
  <c r="P77" i="39" s="1"/>
  <c r="F77" i="32"/>
  <c r="O77" i="39" s="1"/>
  <c r="D77" i="32"/>
  <c r="M77" i="39" s="1"/>
  <c r="C77" i="32"/>
  <c r="L77" i="39" s="1"/>
  <c r="B77" i="32"/>
  <c r="K77" i="39" s="1"/>
  <c r="G76" i="32"/>
  <c r="P76" i="39" s="1"/>
  <c r="F76" i="32"/>
  <c r="O76" i="39" s="1"/>
  <c r="D76" i="32"/>
  <c r="M76" i="39" s="1"/>
  <c r="C76" i="32"/>
  <c r="L76" i="39" s="1"/>
  <c r="B76" i="32"/>
  <c r="K76" i="39" s="1"/>
  <c r="G75" i="32"/>
  <c r="P75" i="39" s="1"/>
  <c r="F75" i="32"/>
  <c r="O75" i="39" s="1"/>
  <c r="D75" i="32"/>
  <c r="M75" i="39" s="1"/>
  <c r="C75" i="32"/>
  <c r="L75" i="39" s="1"/>
  <c r="B75" i="32"/>
  <c r="G74" i="32"/>
  <c r="P74" i="39" s="1"/>
  <c r="F74" i="32"/>
  <c r="O74" i="39" s="1"/>
  <c r="D74" i="32"/>
  <c r="M74" i="39" s="1"/>
  <c r="C74" i="32"/>
  <c r="L74" i="39" s="1"/>
  <c r="B74" i="32"/>
  <c r="K74" i="39" s="1"/>
  <c r="G73" i="32"/>
  <c r="P73" i="39" s="1"/>
  <c r="F73" i="32"/>
  <c r="O73" i="39" s="1"/>
  <c r="D73" i="32"/>
  <c r="M73" i="39" s="1"/>
  <c r="C73" i="32"/>
  <c r="L73" i="39" s="1"/>
  <c r="B73" i="32"/>
  <c r="K73" i="39" s="1"/>
  <c r="G72" i="32"/>
  <c r="P72" i="39" s="1"/>
  <c r="F72" i="32"/>
  <c r="O72" i="39" s="1"/>
  <c r="D72" i="32"/>
  <c r="M72" i="39" s="1"/>
  <c r="C72" i="32"/>
  <c r="L72" i="39" s="1"/>
  <c r="B72" i="32"/>
  <c r="K72" i="39" s="1"/>
  <c r="G71" i="32"/>
  <c r="P71" i="39" s="1"/>
  <c r="F71" i="32"/>
  <c r="O71" i="39" s="1"/>
  <c r="D71" i="32"/>
  <c r="M71" i="39" s="1"/>
  <c r="C71" i="32"/>
  <c r="L71" i="39" s="1"/>
  <c r="B71" i="32"/>
  <c r="K71" i="39" s="1"/>
  <c r="G70" i="32"/>
  <c r="P70" i="39" s="1"/>
  <c r="F70" i="32"/>
  <c r="O70" i="39" s="1"/>
  <c r="D70" i="32"/>
  <c r="M70" i="39" s="1"/>
  <c r="C70" i="32"/>
  <c r="L70" i="39" s="1"/>
  <c r="B70" i="32"/>
  <c r="K70" i="39" s="1"/>
  <c r="G69" i="32"/>
  <c r="P69" i="39" s="1"/>
  <c r="F69" i="32"/>
  <c r="O69" i="39" s="1"/>
  <c r="D69" i="32"/>
  <c r="M69" i="39" s="1"/>
  <c r="C69" i="32"/>
  <c r="L69" i="39" s="1"/>
  <c r="B69" i="32"/>
  <c r="K69" i="39" s="1"/>
  <c r="G68" i="32"/>
  <c r="P68" i="39" s="1"/>
  <c r="F68" i="32"/>
  <c r="O68" i="39" s="1"/>
  <c r="D68" i="32"/>
  <c r="M68" i="39" s="1"/>
  <c r="C68" i="32"/>
  <c r="L68" i="39" s="1"/>
  <c r="B68" i="32"/>
  <c r="K68" i="39" s="1"/>
  <c r="G67" i="32"/>
  <c r="P67" i="39" s="1"/>
  <c r="F67" i="32"/>
  <c r="O67" i="39" s="1"/>
  <c r="D67" i="32"/>
  <c r="M67" i="39" s="1"/>
  <c r="C67" i="32"/>
  <c r="L67" i="39" s="1"/>
  <c r="B67" i="32"/>
  <c r="K67" i="39" s="1"/>
  <c r="G66" i="32"/>
  <c r="P66" i="39" s="1"/>
  <c r="F66" i="32"/>
  <c r="O66" i="39" s="1"/>
  <c r="D66" i="32"/>
  <c r="M66" i="39" s="1"/>
  <c r="C66" i="32"/>
  <c r="L66" i="39" s="1"/>
  <c r="B66" i="32"/>
  <c r="K66" i="39" s="1"/>
  <c r="G65" i="32"/>
  <c r="P65" i="39" s="1"/>
  <c r="F65" i="32"/>
  <c r="O65" i="39" s="1"/>
  <c r="D65" i="32"/>
  <c r="M65" i="39" s="1"/>
  <c r="C65" i="32"/>
  <c r="L65" i="39" s="1"/>
  <c r="B65" i="32"/>
  <c r="K65" i="39" s="1"/>
  <c r="G64" i="32"/>
  <c r="P64" i="39" s="1"/>
  <c r="F64" i="32"/>
  <c r="O64" i="39" s="1"/>
  <c r="D64" i="32"/>
  <c r="M64" i="39" s="1"/>
  <c r="C64" i="32"/>
  <c r="L64" i="39" s="1"/>
  <c r="B64" i="32"/>
  <c r="K64" i="39" s="1"/>
  <c r="G63" i="32"/>
  <c r="P63" i="39" s="1"/>
  <c r="F63" i="32"/>
  <c r="O63" i="39" s="1"/>
  <c r="D63" i="32"/>
  <c r="M63" i="39" s="1"/>
  <c r="C63" i="32"/>
  <c r="L63" i="39" s="1"/>
  <c r="B63" i="32"/>
  <c r="G62" i="32"/>
  <c r="P62" i="39" s="1"/>
  <c r="F62" i="32"/>
  <c r="O62" i="39" s="1"/>
  <c r="D62" i="32"/>
  <c r="M62" i="39" s="1"/>
  <c r="C62" i="32"/>
  <c r="L62" i="39" s="1"/>
  <c r="B62" i="32"/>
  <c r="K62" i="39" s="1"/>
  <c r="G61" i="32"/>
  <c r="P61" i="39" s="1"/>
  <c r="F61" i="32"/>
  <c r="O61" i="39" s="1"/>
  <c r="D61" i="32"/>
  <c r="M61" i="39" s="1"/>
  <c r="C61" i="32"/>
  <c r="L61" i="39" s="1"/>
  <c r="B61" i="32"/>
  <c r="K61" i="39" s="1"/>
  <c r="G60" i="32"/>
  <c r="P60" i="39" s="1"/>
  <c r="F60" i="32"/>
  <c r="O60" i="39" s="1"/>
  <c r="D60" i="32"/>
  <c r="M60" i="39" s="1"/>
  <c r="C60" i="32"/>
  <c r="L60" i="39" s="1"/>
  <c r="B60" i="32"/>
  <c r="K60" i="39" s="1"/>
  <c r="G59" i="32"/>
  <c r="P59" i="39" s="1"/>
  <c r="F59" i="32"/>
  <c r="O59" i="39" s="1"/>
  <c r="D59" i="32"/>
  <c r="M59" i="39" s="1"/>
  <c r="C59" i="32"/>
  <c r="L59" i="39" s="1"/>
  <c r="B59" i="32"/>
  <c r="K59" i="39" s="1"/>
  <c r="G58" i="32"/>
  <c r="P58" i="39" s="1"/>
  <c r="F58" i="32"/>
  <c r="O58" i="39" s="1"/>
  <c r="D58" i="32"/>
  <c r="M58" i="39" s="1"/>
  <c r="C58" i="32"/>
  <c r="L58" i="39" s="1"/>
  <c r="B58" i="32"/>
  <c r="K58" i="39" s="1"/>
  <c r="G57" i="32"/>
  <c r="P57" i="39" s="1"/>
  <c r="F57" i="32"/>
  <c r="O57" i="39" s="1"/>
  <c r="D57" i="32"/>
  <c r="M57" i="39" s="1"/>
  <c r="C57" i="32"/>
  <c r="L57" i="39" s="1"/>
  <c r="B57" i="32"/>
  <c r="K57" i="39" s="1"/>
  <c r="G56" i="32"/>
  <c r="P56" i="39" s="1"/>
  <c r="F56" i="32"/>
  <c r="O56" i="39" s="1"/>
  <c r="D56" i="32"/>
  <c r="M56" i="39" s="1"/>
  <c r="C56" i="32"/>
  <c r="L56" i="39" s="1"/>
  <c r="B56" i="32"/>
  <c r="K56" i="39" s="1"/>
  <c r="G55" i="32"/>
  <c r="P55" i="39" s="1"/>
  <c r="F55" i="32"/>
  <c r="O55" i="39" s="1"/>
  <c r="D55" i="32"/>
  <c r="M55" i="39" s="1"/>
  <c r="C55" i="32"/>
  <c r="L55" i="39" s="1"/>
  <c r="B55" i="32"/>
  <c r="K55" i="39" s="1"/>
  <c r="G54" i="32"/>
  <c r="P54" i="39" s="1"/>
  <c r="F54" i="32"/>
  <c r="O54" i="39" s="1"/>
  <c r="D54" i="32"/>
  <c r="M54" i="39" s="1"/>
  <c r="C54" i="32"/>
  <c r="L54" i="39" s="1"/>
  <c r="B54" i="32"/>
  <c r="K54" i="39" s="1"/>
  <c r="G53" i="32"/>
  <c r="P53" i="39" s="1"/>
  <c r="F53" i="32"/>
  <c r="O53" i="39" s="1"/>
  <c r="D53" i="32"/>
  <c r="M53" i="39" s="1"/>
  <c r="C53" i="32"/>
  <c r="L53" i="39" s="1"/>
  <c r="B53" i="32"/>
  <c r="K53" i="39" s="1"/>
  <c r="G52" i="32"/>
  <c r="P52" i="39" s="1"/>
  <c r="F52" i="32"/>
  <c r="O52" i="39" s="1"/>
  <c r="D52" i="32"/>
  <c r="M52" i="39" s="1"/>
  <c r="C52" i="32"/>
  <c r="L52" i="39" s="1"/>
  <c r="B52" i="32"/>
  <c r="K52" i="39" s="1"/>
  <c r="G51" i="32"/>
  <c r="P51" i="39" s="1"/>
  <c r="F51" i="32"/>
  <c r="O51" i="39" s="1"/>
  <c r="D51" i="32"/>
  <c r="M51" i="39" s="1"/>
  <c r="C51" i="32"/>
  <c r="L51" i="39" s="1"/>
  <c r="B51" i="32"/>
  <c r="G50" i="32"/>
  <c r="P50" i="39" s="1"/>
  <c r="F50" i="32"/>
  <c r="O50" i="39" s="1"/>
  <c r="D50" i="32"/>
  <c r="M50" i="39" s="1"/>
  <c r="C50" i="32"/>
  <c r="L50" i="39" s="1"/>
  <c r="B50" i="32"/>
  <c r="K50" i="39" s="1"/>
  <c r="G49" i="32"/>
  <c r="P49" i="39" s="1"/>
  <c r="F49" i="32"/>
  <c r="O49" i="39" s="1"/>
  <c r="D49" i="32"/>
  <c r="M49" i="39" s="1"/>
  <c r="C49" i="32"/>
  <c r="L49" i="39" s="1"/>
  <c r="B49" i="32"/>
  <c r="K49" i="39" s="1"/>
  <c r="G48" i="32"/>
  <c r="P48" i="39" s="1"/>
  <c r="F48" i="32"/>
  <c r="O48" i="39" s="1"/>
  <c r="D48" i="32"/>
  <c r="M48" i="39" s="1"/>
  <c r="C48" i="32"/>
  <c r="L48" i="39" s="1"/>
  <c r="B48" i="32"/>
  <c r="K48" i="39" s="1"/>
  <c r="G47" i="32"/>
  <c r="P47" i="39" s="1"/>
  <c r="F47" i="32"/>
  <c r="O47" i="39" s="1"/>
  <c r="D47" i="32"/>
  <c r="M47" i="39" s="1"/>
  <c r="C47" i="32"/>
  <c r="L47" i="39" s="1"/>
  <c r="B47" i="32"/>
  <c r="K47" i="39" s="1"/>
  <c r="G46" i="32"/>
  <c r="P46" i="39" s="1"/>
  <c r="F46" i="32"/>
  <c r="O46" i="39" s="1"/>
  <c r="D46" i="32"/>
  <c r="M46" i="39" s="1"/>
  <c r="C46" i="32"/>
  <c r="L46" i="39" s="1"/>
  <c r="B46" i="32"/>
  <c r="K46" i="39" s="1"/>
  <c r="G45" i="32"/>
  <c r="P45" i="39" s="1"/>
  <c r="F45" i="32"/>
  <c r="O45" i="39" s="1"/>
  <c r="D45" i="32"/>
  <c r="M45" i="39" s="1"/>
  <c r="C45" i="32"/>
  <c r="L45" i="39" s="1"/>
  <c r="B45" i="32"/>
  <c r="K45" i="39" s="1"/>
  <c r="G44" i="32"/>
  <c r="P44" i="39" s="1"/>
  <c r="F44" i="32"/>
  <c r="O44" i="39" s="1"/>
  <c r="D44" i="32"/>
  <c r="M44" i="39" s="1"/>
  <c r="C44" i="32"/>
  <c r="L44" i="39" s="1"/>
  <c r="B44" i="32"/>
  <c r="K44" i="39" s="1"/>
  <c r="G43" i="32"/>
  <c r="P43" i="39" s="1"/>
  <c r="F43" i="32"/>
  <c r="O43" i="39" s="1"/>
  <c r="D43" i="32"/>
  <c r="M43" i="39" s="1"/>
  <c r="C43" i="32"/>
  <c r="L43" i="39" s="1"/>
  <c r="B43" i="32"/>
  <c r="K43" i="39" s="1"/>
  <c r="G42" i="32"/>
  <c r="P42" i="39" s="1"/>
  <c r="F42" i="32"/>
  <c r="O42" i="39" s="1"/>
  <c r="D42" i="32"/>
  <c r="M42" i="39" s="1"/>
  <c r="C42" i="32"/>
  <c r="L42" i="39" s="1"/>
  <c r="B42" i="32"/>
  <c r="G41" i="32"/>
  <c r="P41" i="39" s="1"/>
  <c r="F41" i="32"/>
  <c r="O41" i="39" s="1"/>
  <c r="D41" i="32"/>
  <c r="M41" i="39" s="1"/>
  <c r="C41" i="32"/>
  <c r="L41" i="39" s="1"/>
  <c r="B41" i="32"/>
  <c r="K41" i="39" s="1"/>
  <c r="G40" i="32"/>
  <c r="P40" i="39" s="1"/>
  <c r="F40" i="32"/>
  <c r="O40" i="39" s="1"/>
  <c r="D40" i="32"/>
  <c r="M40" i="39" s="1"/>
  <c r="C40" i="32"/>
  <c r="L40" i="39" s="1"/>
  <c r="B40" i="32"/>
  <c r="K40" i="39" s="1"/>
  <c r="G39" i="32"/>
  <c r="P39" i="39" s="1"/>
  <c r="F39" i="32"/>
  <c r="O39" i="39" s="1"/>
  <c r="D39" i="32"/>
  <c r="M39" i="39" s="1"/>
  <c r="C39" i="32"/>
  <c r="L39" i="39" s="1"/>
  <c r="B39" i="32"/>
  <c r="K39" i="39" s="1"/>
  <c r="G38" i="32"/>
  <c r="P38" i="39" s="1"/>
  <c r="F38" i="32"/>
  <c r="O38" i="39" s="1"/>
  <c r="D38" i="32"/>
  <c r="M38" i="39" s="1"/>
  <c r="C38" i="32"/>
  <c r="L38" i="39" s="1"/>
  <c r="B38" i="32"/>
  <c r="K38" i="39" s="1"/>
  <c r="G37" i="32"/>
  <c r="P37" i="39" s="1"/>
  <c r="F37" i="32"/>
  <c r="O37" i="39" s="1"/>
  <c r="D37" i="32"/>
  <c r="M37" i="39" s="1"/>
  <c r="C37" i="32"/>
  <c r="L37" i="39" s="1"/>
  <c r="B37" i="32"/>
  <c r="K37" i="39" s="1"/>
  <c r="G36" i="32"/>
  <c r="P36" i="39" s="1"/>
  <c r="F36" i="32"/>
  <c r="O36" i="39" s="1"/>
  <c r="D36" i="32"/>
  <c r="M36" i="39" s="1"/>
  <c r="C36" i="32"/>
  <c r="L36" i="39" s="1"/>
  <c r="B36" i="32"/>
  <c r="K36" i="39" s="1"/>
  <c r="G35" i="32"/>
  <c r="P35" i="39" s="1"/>
  <c r="F35" i="32"/>
  <c r="O35" i="39" s="1"/>
  <c r="D35" i="32"/>
  <c r="M35" i="39" s="1"/>
  <c r="C35" i="32"/>
  <c r="L35" i="39" s="1"/>
  <c r="B35" i="32"/>
  <c r="K35" i="39" s="1"/>
  <c r="G34" i="32"/>
  <c r="P34" i="39" s="1"/>
  <c r="F34" i="32"/>
  <c r="O34" i="39" s="1"/>
  <c r="D34" i="32"/>
  <c r="M34" i="39" s="1"/>
  <c r="C34" i="32"/>
  <c r="L34" i="39" s="1"/>
  <c r="B34" i="32"/>
  <c r="K34" i="39" s="1"/>
  <c r="G33" i="32"/>
  <c r="P33" i="39" s="1"/>
  <c r="F33" i="32"/>
  <c r="O33" i="39" s="1"/>
  <c r="D33" i="32"/>
  <c r="M33" i="39" s="1"/>
  <c r="C33" i="32"/>
  <c r="L33" i="39" s="1"/>
  <c r="B33" i="32"/>
  <c r="K33" i="39" s="1"/>
  <c r="G32" i="32"/>
  <c r="P32" i="39" s="1"/>
  <c r="F32" i="32"/>
  <c r="O32" i="39" s="1"/>
  <c r="D32" i="32"/>
  <c r="M32" i="39" s="1"/>
  <c r="C32" i="32"/>
  <c r="L32" i="39" s="1"/>
  <c r="B32" i="32"/>
  <c r="K32" i="39" s="1"/>
  <c r="G31" i="32"/>
  <c r="P31" i="39" s="1"/>
  <c r="F31" i="32"/>
  <c r="O31" i="39" s="1"/>
  <c r="D31" i="32"/>
  <c r="M31" i="39" s="1"/>
  <c r="C31" i="32"/>
  <c r="L31" i="39" s="1"/>
  <c r="B31" i="32"/>
  <c r="K31" i="39" s="1"/>
  <c r="G30" i="32"/>
  <c r="P30" i="39" s="1"/>
  <c r="F30" i="32"/>
  <c r="O30" i="39" s="1"/>
  <c r="D30" i="32"/>
  <c r="M30" i="39" s="1"/>
  <c r="C30" i="32"/>
  <c r="L30" i="39" s="1"/>
  <c r="B30" i="32"/>
  <c r="K30" i="39" s="1"/>
  <c r="G29" i="32"/>
  <c r="P29" i="39" s="1"/>
  <c r="F29" i="32"/>
  <c r="O29" i="39" s="1"/>
  <c r="D29" i="32"/>
  <c r="M29" i="39" s="1"/>
  <c r="C29" i="32"/>
  <c r="L29" i="39" s="1"/>
  <c r="B29" i="32"/>
  <c r="K29" i="39" s="1"/>
  <c r="G28" i="32"/>
  <c r="P28" i="39" s="1"/>
  <c r="F28" i="32"/>
  <c r="O28" i="39" s="1"/>
  <c r="D28" i="32"/>
  <c r="M28" i="39" s="1"/>
  <c r="C28" i="32"/>
  <c r="L28" i="39" s="1"/>
  <c r="B28" i="32"/>
  <c r="K28" i="39" s="1"/>
  <c r="G27" i="32"/>
  <c r="P27" i="39" s="1"/>
  <c r="F27" i="32"/>
  <c r="O27" i="39" s="1"/>
  <c r="D27" i="32"/>
  <c r="M27" i="39" s="1"/>
  <c r="C27" i="32"/>
  <c r="L27" i="39" s="1"/>
  <c r="B27" i="32"/>
  <c r="G26" i="32"/>
  <c r="P26" i="39" s="1"/>
  <c r="F26" i="32"/>
  <c r="O26" i="39" s="1"/>
  <c r="D26" i="32"/>
  <c r="M26" i="39" s="1"/>
  <c r="C26" i="32"/>
  <c r="L26" i="39" s="1"/>
  <c r="B26" i="32"/>
  <c r="K26" i="39" s="1"/>
  <c r="G25" i="32"/>
  <c r="P25" i="39" s="1"/>
  <c r="F25" i="32"/>
  <c r="O25" i="39" s="1"/>
  <c r="D25" i="32"/>
  <c r="M25" i="39" s="1"/>
  <c r="C25" i="32"/>
  <c r="L25" i="39" s="1"/>
  <c r="B25" i="32"/>
  <c r="K25" i="39" s="1"/>
  <c r="G24" i="32"/>
  <c r="P24" i="39" s="1"/>
  <c r="F24" i="32"/>
  <c r="O24" i="39" s="1"/>
  <c r="D24" i="32"/>
  <c r="M24" i="39" s="1"/>
  <c r="C24" i="32"/>
  <c r="L24" i="39" s="1"/>
  <c r="B24" i="32"/>
  <c r="K24" i="39" s="1"/>
  <c r="G23" i="32"/>
  <c r="P23" i="39" s="1"/>
  <c r="F23" i="32"/>
  <c r="O23" i="39" s="1"/>
  <c r="D23" i="32"/>
  <c r="M23" i="39" s="1"/>
  <c r="C23" i="32"/>
  <c r="L23" i="39" s="1"/>
  <c r="B23" i="32"/>
  <c r="K23" i="39" s="1"/>
  <c r="G22" i="32"/>
  <c r="P22" i="39" s="1"/>
  <c r="F22" i="32"/>
  <c r="O22" i="39" s="1"/>
  <c r="D22" i="32"/>
  <c r="M22" i="39" s="1"/>
  <c r="C22" i="32"/>
  <c r="L22" i="39" s="1"/>
  <c r="B22" i="32"/>
  <c r="K22" i="39" s="1"/>
  <c r="G21" i="32"/>
  <c r="P21" i="39" s="1"/>
  <c r="F21" i="32"/>
  <c r="O21" i="39" s="1"/>
  <c r="D21" i="32"/>
  <c r="M21" i="39" s="1"/>
  <c r="C21" i="32"/>
  <c r="L21" i="39" s="1"/>
  <c r="B21" i="32"/>
  <c r="K21" i="39" s="1"/>
  <c r="G20" i="32"/>
  <c r="P20" i="39" s="1"/>
  <c r="F20" i="32"/>
  <c r="O20" i="39" s="1"/>
  <c r="D20" i="32"/>
  <c r="M20" i="39" s="1"/>
  <c r="C20" i="32"/>
  <c r="L20" i="39" s="1"/>
  <c r="B20" i="32"/>
  <c r="K20" i="39" s="1"/>
  <c r="G19" i="32"/>
  <c r="P19" i="39" s="1"/>
  <c r="F19" i="32"/>
  <c r="O19" i="39" s="1"/>
  <c r="D19" i="32"/>
  <c r="M19" i="39" s="1"/>
  <c r="C19" i="32"/>
  <c r="L19" i="39" s="1"/>
  <c r="B19" i="32"/>
  <c r="K19" i="39" s="1"/>
  <c r="G18" i="32"/>
  <c r="P18" i="39" s="1"/>
  <c r="F18" i="32"/>
  <c r="O18" i="39" s="1"/>
  <c r="D18" i="32"/>
  <c r="M18" i="39" s="1"/>
  <c r="C18" i="32"/>
  <c r="L18" i="39" s="1"/>
  <c r="B18" i="32"/>
  <c r="K18" i="39" s="1"/>
  <c r="G17" i="32"/>
  <c r="P17" i="39" s="1"/>
  <c r="F17" i="32"/>
  <c r="O17" i="39" s="1"/>
  <c r="D17" i="32"/>
  <c r="M17" i="39" s="1"/>
  <c r="C17" i="32"/>
  <c r="L17" i="39" s="1"/>
  <c r="B17" i="32"/>
  <c r="K17" i="39" s="1"/>
  <c r="G16" i="32"/>
  <c r="P16" i="39" s="1"/>
  <c r="F16" i="32"/>
  <c r="O16" i="39" s="1"/>
  <c r="D16" i="32"/>
  <c r="M16" i="39" s="1"/>
  <c r="C16" i="32"/>
  <c r="L16" i="39" s="1"/>
  <c r="B16" i="32"/>
  <c r="K16" i="39" s="1"/>
  <c r="G15" i="32"/>
  <c r="P15" i="39" s="1"/>
  <c r="F15" i="32"/>
  <c r="O15" i="39" s="1"/>
  <c r="D15" i="32"/>
  <c r="M15" i="39" s="1"/>
  <c r="C15" i="32"/>
  <c r="L15" i="39" s="1"/>
  <c r="B15" i="32"/>
  <c r="G14" i="32"/>
  <c r="P14" i="39" s="1"/>
  <c r="F14" i="32"/>
  <c r="O14" i="39" s="1"/>
  <c r="D14" i="32"/>
  <c r="M14" i="39" s="1"/>
  <c r="C14" i="32"/>
  <c r="L14" i="39" s="1"/>
  <c r="B14" i="32"/>
  <c r="K14" i="39" s="1"/>
  <c r="G13" i="32"/>
  <c r="P13" i="39" s="1"/>
  <c r="F13" i="32"/>
  <c r="O13" i="39" s="1"/>
  <c r="D13" i="32"/>
  <c r="M13" i="39" s="1"/>
  <c r="C13" i="32"/>
  <c r="L13" i="39" s="1"/>
  <c r="B13" i="32"/>
  <c r="K13" i="39" s="1"/>
  <c r="G12" i="32"/>
  <c r="P12" i="39" s="1"/>
  <c r="F12" i="32"/>
  <c r="O12" i="39" s="1"/>
  <c r="D12" i="32"/>
  <c r="M12" i="39" s="1"/>
  <c r="C12" i="32"/>
  <c r="L12" i="39" s="1"/>
  <c r="B12" i="32"/>
  <c r="K12" i="39" s="1"/>
  <c r="G11" i="32"/>
  <c r="P11" i="39" s="1"/>
  <c r="F11" i="32"/>
  <c r="O11" i="39" s="1"/>
  <c r="D11" i="32"/>
  <c r="M11" i="39" s="1"/>
  <c r="C11" i="32"/>
  <c r="L11" i="39" s="1"/>
  <c r="B11" i="32"/>
  <c r="K11" i="39" s="1"/>
  <c r="G10" i="32"/>
  <c r="P10" i="39" s="1"/>
  <c r="F10" i="32"/>
  <c r="O10" i="39" s="1"/>
  <c r="D10" i="32"/>
  <c r="M10" i="39" s="1"/>
  <c r="C10" i="32"/>
  <c r="L10" i="39" s="1"/>
  <c r="B10" i="32"/>
  <c r="K10" i="39" s="1"/>
  <c r="G9" i="32"/>
  <c r="P9" i="39" s="1"/>
  <c r="F9" i="32"/>
  <c r="O9" i="39" s="1"/>
  <c r="D9" i="32"/>
  <c r="M9" i="39" s="1"/>
  <c r="C9" i="32"/>
  <c r="L9" i="39" s="1"/>
  <c r="B9" i="32"/>
  <c r="K9" i="39" s="1"/>
  <c r="G8" i="32"/>
  <c r="P8" i="39" s="1"/>
  <c r="F8" i="32"/>
  <c r="O8" i="39" s="1"/>
  <c r="D8" i="32"/>
  <c r="M8" i="39" s="1"/>
  <c r="C8" i="32"/>
  <c r="L8" i="39" s="1"/>
  <c r="B8" i="32"/>
  <c r="K8" i="39" s="1"/>
  <c r="G7" i="32"/>
  <c r="P7" i="39" s="1"/>
  <c r="F7" i="32"/>
  <c r="O7" i="39" s="1"/>
  <c r="D7" i="32"/>
  <c r="M7" i="39" s="1"/>
  <c r="C7" i="32"/>
  <c r="L7" i="39" s="1"/>
  <c r="B7" i="32"/>
  <c r="K7" i="39" s="1"/>
  <c r="G6" i="32"/>
  <c r="P6" i="39" s="1"/>
  <c r="F6" i="32"/>
  <c r="O6" i="39" s="1"/>
  <c r="D6" i="32"/>
  <c r="M6" i="39" s="1"/>
  <c r="C6" i="32"/>
  <c r="L6" i="39" s="1"/>
  <c r="B6" i="32"/>
  <c r="G5" i="32"/>
  <c r="P5" i="39" s="1"/>
  <c r="F5" i="32"/>
  <c r="O5" i="39" s="1"/>
  <c r="D5" i="32"/>
  <c r="M5" i="39" s="1"/>
  <c r="C5" i="32"/>
  <c r="L5" i="39" s="1"/>
  <c r="B5" i="32"/>
  <c r="K5" i="39" s="1"/>
  <c r="G4" i="32"/>
  <c r="P4" i="39" s="1"/>
  <c r="F4" i="32"/>
  <c r="O4" i="39" s="1"/>
  <c r="D4" i="32"/>
  <c r="M4" i="39" s="1"/>
  <c r="C4" i="32"/>
  <c r="L4" i="39" s="1"/>
  <c r="B4" i="32"/>
  <c r="K4" i="39" s="1"/>
  <c r="G3" i="32"/>
  <c r="P3" i="39" s="1"/>
  <c r="F3" i="32"/>
  <c r="O3" i="39" s="1"/>
  <c r="D3" i="32"/>
  <c r="M3" i="39" s="1"/>
  <c r="C3" i="32"/>
  <c r="L3" i="39" s="1"/>
  <c r="B3" i="32"/>
  <c r="K3" i="39" s="1"/>
  <c r="E142" i="33" l="1"/>
  <c r="E142" i="32"/>
  <c r="N142" i="39" s="1"/>
  <c r="I182" i="37"/>
  <c r="I191" i="37" s="1"/>
  <c r="P47" i="38"/>
  <c r="AE47" i="37"/>
  <c r="K62" i="11"/>
  <c r="J62" i="11"/>
  <c r="J62" i="38"/>
  <c r="K62" i="38"/>
  <c r="I71" i="44"/>
  <c r="T48" i="37" s="1"/>
  <c r="I48" i="37" s="1"/>
  <c r="I72" i="44"/>
  <c r="T49" i="37" s="1"/>
  <c r="I49" i="37" s="1"/>
  <c r="B215" i="32"/>
  <c r="K63" i="39"/>
  <c r="B217" i="32"/>
  <c r="K87" i="39"/>
  <c r="B219" i="32"/>
  <c r="K111" i="39"/>
  <c r="K123" i="39"/>
  <c r="B220" i="32"/>
  <c r="B211" i="32"/>
  <c r="K15" i="39"/>
  <c r="B212" i="32"/>
  <c r="K27" i="39"/>
  <c r="B214" i="32"/>
  <c r="K51" i="39"/>
  <c r="B216" i="32"/>
  <c r="K75" i="39"/>
  <c r="B218" i="32"/>
  <c r="K99" i="39"/>
  <c r="B210" i="32"/>
  <c r="E216" i="32" s="1"/>
  <c r="K6" i="39"/>
  <c r="B213" i="32"/>
  <c r="K42" i="39"/>
  <c r="B213" i="33"/>
  <c r="T39" i="39"/>
  <c r="T123" i="39"/>
  <c r="B220" i="33"/>
  <c r="E143" i="19"/>
  <c r="E142" i="39"/>
  <c r="E142" i="28"/>
  <c r="E142" i="23"/>
  <c r="E142" i="27"/>
  <c r="E142" i="26"/>
  <c r="E142" i="22"/>
  <c r="O89" i="38"/>
  <c r="R27" i="11"/>
  <c r="C215" i="32"/>
  <c r="D215" i="32" s="1"/>
  <c r="B217" i="33"/>
  <c r="B212" i="33"/>
  <c r="B211" i="33"/>
  <c r="B214" i="33"/>
  <c r="B210" i="33"/>
  <c r="B218" i="33"/>
  <c r="B216" i="33"/>
  <c r="B215" i="33"/>
  <c r="B219" i="33"/>
  <c r="E143" i="33" l="1"/>
  <c r="E143" i="32"/>
  <c r="N143" i="39" s="1"/>
  <c r="AE48" i="37"/>
  <c r="I183" i="37"/>
  <c r="I192" i="37" s="1"/>
  <c r="Q47" i="38"/>
  <c r="R47" i="38"/>
  <c r="AE49" i="37"/>
  <c r="I184" i="37"/>
  <c r="I193" i="37" s="1"/>
  <c r="C214" i="32"/>
  <c r="D214" i="32" s="1"/>
  <c r="C216" i="32"/>
  <c r="D216" i="32" s="1"/>
  <c r="C212" i="32"/>
  <c r="D212" i="32" s="1"/>
  <c r="E212" i="32"/>
  <c r="C219" i="33"/>
  <c r="D219" i="33" s="1"/>
  <c r="C213" i="33"/>
  <c r="D213" i="33" s="1"/>
  <c r="C217" i="32"/>
  <c r="D217" i="32" s="1"/>
  <c r="E215" i="32"/>
  <c r="E211" i="32"/>
  <c r="E217" i="32"/>
  <c r="C217" i="33"/>
  <c r="D217" i="33" s="1"/>
  <c r="E214" i="32"/>
  <c r="C218" i="32"/>
  <c r="D218" i="32" s="1"/>
  <c r="E219" i="32"/>
  <c r="E213" i="32"/>
  <c r="C214" i="33"/>
  <c r="D214" i="33" s="1"/>
  <c r="C211" i="32"/>
  <c r="D211" i="32" s="1"/>
  <c r="E218" i="32"/>
  <c r="C213" i="32"/>
  <c r="D213" i="32" s="1"/>
  <c r="C219" i="32"/>
  <c r="D219" i="32" s="1"/>
  <c r="E143" i="39"/>
  <c r="E143" i="28"/>
  <c r="E143" i="23"/>
  <c r="E143" i="27"/>
  <c r="E143" i="26"/>
  <c r="E143" i="22"/>
  <c r="C211" i="33"/>
  <c r="D211" i="33" s="1"/>
  <c r="C215" i="33"/>
  <c r="D215" i="33" s="1"/>
  <c r="C212" i="33"/>
  <c r="D212" i="33" s="1"/>
  <c r="C216" i="33"/>
  <c r="D216" i="33" s="1"/>
  <c r="C218" i="33"/>
  <c r="D218" i="33" s="1"/>
  <c r="E218" i="33"/>
  <c r="E214" i="33"/>
  <c r="E211" i="33"/>
  <c r="E219" i="33"/>
  <c r="E217" i="33"/>
  <c r="E215" i="33"/>
  <c r="E213" i="33"/>
  <c r="E216" i="33"/>
  <c r="E212" i="33"/>
  <c r="E144" i="32" l="1"/>
  <c r="E144" i="33"/>
  <c r="E145" i="19"/>
  <c r="E144" i="39"/>
  <c r="E144" i="27"/>
  <c r="E144" i="28"/>
  <c r="E144" i="23"/>
  <c r="E144" i="26"/>
  <c r="E144" i="22"/>
  <c r="N144" i="39"/>
  <c r="C219" i="21"/>
  <c r="D219" i="21" s="1"/>
  <c r="B219" i="21"/>
  <c r="C218" i="21"/>
  <c r="D218" i="21" s="1"/>
  <c r="B218" i="21"/>
  <c r="C217" i="21"/>
  <c r="D217" i="21" s="1"/>
  <c r="B217" i="21"/>
  <c r="C216" i="21"/>
  <c r="D216" i="21" s="1"/>
  <c r="B216" i="21"/>
  <c r="C215" i="21"/>
  <c r="D215" i="21" s="1"/>
  <c r="B215" i="21"/>
  <c r="C214" i="21"/>
  <c r="D214" i="21" s="1"/>
  <c r="B214" i="21"/>
  <c r="C213" i="21"/>
  <c r="D213" i="21" s="1"/>
  <c r="B213" i="21"/>
  <c r="C212" i="21"/>
  <c r="D212" i="21" s="1"/>
  <c r="B212" i="21"/>
  <c r="C211" i="21"/>
  <c r="D211" i="21" s="1"/>
  <c r="B211" i="21"/>
  <c r="B210" i="21"/>
  <c r="C219" i="22"/>
  <c r="D219" i="22" s="1"/>
  <c r="B219" i="22"/>
  <c r="C218" i="22"/>
  <c r="D218" i="22" s="1"/>
  <c r="B218" i="22"/>
  <c r="C217" i="22"/>
  <c r="D217" i="22" s="1"/>
  <c r="B217" i="22"/>
  <c r="C216" i="22"/>
  <c r="D216" i="22" s="1"/>
  <c r="B216" i="22"/>
  <c r="C215" i="22"/>
  <c r="D215" i="22" s="1"/>
  <c r="B215" i="22"/>
  <c r="C214" i="22"/>
  <c r="D214" i="22" s="1"/>
  <c r="B214" i="22"/>
  <c r="C213" i="22"/>
  <c r="D213" i="22" s="1"/>
  <c r="B213" i="22"/>
  <c r="C212" i="22"/>
  <c r="D212" i="22" s="1"/>
  <c r="B212" i="22"/>
  <c r="B211" i="22"/>
  <c r="B210" i="22"/>
  <c r="E216" i="22" s="1"/>
  <c r="C219" i="26"/>
  <c r="D219" i="26" s="1"/>
  <c r="B219" i="26"/>
  <c r="C218" i="26"/>
  <c r="D218" i="26" s="1"/>
  <c r="B218" i="26"/>
  <c r="E217" i="26"/>
  <c r="C217" i="26"/>
  <c r="D217" i="26" s="1"/>
  <c r="B217" i="26"/>
  <c r="E216" i="26"/>
  <c r="C216" i="26"/>
  <c r="D216" i="26" s="1"/>
  <c r="B216" i="26"/>
  <c r="C215" i="26"/>
  <c r="D215" i="26" s="1"/>
  <c r="B215" i="26"/>
  <c r="C214" i="26"/>
  <c r="D214" i="26" s="1"/>
  <c r="B214" i="26"/>
  <c r="E213" i="26"/>
  <c r="C213" i="26"/>
  <c r="D213" i="26" s="1"/>
  <c r="B213" i="26"/>
  <c r="E212" i="26"/>
  <c r="C212" i="26"/>
  <c r="D212" i="26" s="1"/>
  <c r="B212" i="26"/>
  <c r="C211" i="26"/>
  <c r="D211" i="26" s="1"/>
  <c r="B211" i="26"/>
  <c r="B210" i="26"/>
  <c r="E219" i="23"/>
  <c r="C219" i="23"/>
  <c r="D219" i="23" s="1"/>
  <c r="B219" i="23"/>
  <c r="C218" i="23"/>
  <c r="D218" i="23" s="1"/>
  <c r="B218" i="23"/>
  <c r="E217" i="23"/>
  <c r="C217" i="23"/>
  <c r="D217" i="23" s="1"/>
  <c r="B217" i="23"/>
  <c r="E216" i="23"/>
  <c r="C216" i="23"/>
  <c r="D216" i="23" s="1"/>
  <c r="B216" i="23"/>
  <c r="E215" i="23"/>
  <c r="C215" i="23"/>
  <c r="D215" i="23" s="1"/>
  <c r="B215" i="23"/>
  <c r="C214" i="23"/>
  <c r="D214" i="23" s="1"/>
  <c r="B214" i="23"/>
  <c r="E213" i="23"/>
  <c r="C213" i="23"/>
  <c r="D213" i="23" s="1"/>
  <c r="B213" i="23"/>
  <c r="E212" i="23"/>
  <c r="C212" i="23"/>
  <c r="D212" i="23" s="1"/>
  <c r="B212" i="23"/>
  <c r="E211" i="23"/>
  <c r="C211" i="23"/>
  <c r="D211" i="23" s="1"/>
  <c r="B211" i="23"/>
  <c r="B210" i="23"/>
  <c r="E219" i="27"/>
  <c r="C219" i="27"/>
  <c r="D219" i="27" s="1"/>
  <c r="B219" i="27"/>
  <c r="C218" i="27"/>
  <c r="D218" i="27" s="1"/>
  <c r="B218" i="27"/>
  <c r="C217" i="27"/>
  <c r="D217" i="27" s="1"/>
  <c r="B217" i="27"/>
  <c r="C216" i="27"/>
  <c r="D216" i="27" s="1"/>
  <c r="B216" i="27"/>
  <c r="E215" i="27"/>
  <c r="C215" i="27"/>
  <c r="D215" i="27" s="1"/>
  <c r="B215" i="27"/>
  <c r="C214" i="27"/>
  <c r="D214" i="27" s="1"/>
  <c r="B214" i="27"/>
  <c r="C213" i="27"/>
  <c r="D213" i="27" s="1"/>
  <c r="B213" i="27"/>
  <c r="C212" i="27"/>
  <c r="D212" i="27" s="1"/>
  <c r="B212" i="27"/>
  <c r="E211" i="27"/>
  <c r="B211" i="27"/>
  <c r="B210" i="27"/>
  <c r="C219" i="28"/>
  <c r="D219" i="28" s="1"/>
  <c r="B219" i="28"/>
  <c r="C218" i="28"/>
  <c r="D218" i="28" s="1"/>
  <c r="B218" i="28"/>
  <c r="C217" i="28"/>
  <c r="D217" i="28" s="1"/>
  <c r="B217" i="28"/>
  <c r="C216" i="28"/>
  <c r="D216" i="28" s="1"/>
  <c r="B216" i="28"/>
  <c r="C215" i="28"/>
  <c r="D215" i="28" s="1"/>
  <c r="B215" i="28"/>
  <c r="C214" i="28"/>
  <c r="D214" i="28" s="1"/>
  <c r="B214" i="28"/>
  <c r="B213" i="28"/>
  <c r="C212" i="28"/>
  <c r="D212" i="28" s="1"/>
  <c r="B212" i="28"/>
  <c r="B211" i="28"/>
  <c r="B210" i="28"/>
  <c r="C219" i="20"/>
  <c r="D219" i="20" s="1"/>
  <c r="B219" i="20"/>
  <c r="C218" i="20"/>
  <c r="D218" i="20" s="1"/>
  <c r="B218" i="20"/>
  <c r="E217" i="20"/>
  <c r="C217" i="20"/>
  <c r="D217" i="20" s="1"/>
  <c r="B217" i="20"/>
  <c r="E216" i="20"/>
  <c r="C216" i="20"/>
  <c r="D216" i="20" s="1"/>
  <c r="B216" i="20"/>
  <c r="C215" i="20"/>
  <c r="D215" i="20" s="1"/>
  <c r="B215" i="20"/>
  <c r="C214" i="20"/>
  <c r="D214" i="20" s="1"/>
  <c r="B214" i="20"/>
  <c r="E213" i="20"/>
  <c r="C213" i="20"/>
  <c r="D213" i="20" s="1"/>
  <c r="B213" i="20"/>
  <c r="E212" i="20"/>
  <c r="C212" i="20"/>
  <c r="D212" i="20" s="1"/>
  <c r="B212" i="20"/>
  <c r="C211" i="20"/>
  <c r="D211" i="20" s="1"/>
  <c r="B211" i="20"/>
  <c r="B210" i="20"/>
  <c r="F123" i="28"/>
  <c r="G123" i="28"/>
  <c r="F123" i="27"/>
  <c r="G123" i="27"/>
  <c r="F123" i="21"/>
  <c r="G123" i="21"/>
  <c r="G206" i="21"/>
  <c r="F206" i="21"/>
  <c r="G205" i="21"/>
  <c r="F205" i="21"/>
  <c r="G204" i="21"/>
  <c r="F204" i="21"/>
  <c r="G203" i="21"/>
  <c r="F203" i="21"/>
  <c r="G202" i="21"/>
  <c r="F202" i="21"/>
  <c r="G201" i="21"/>
  <c r="F201" i="21"/>
  <c r="G200" i="21"/>
  <c r="F200" i="21"/>
  <c r="G199" i="21"/>
  <c r="F199" i="21"/>
  <c r="G198" i="21"/>
  <c r="F198" i="21"/>
  <c r="G197" i="21"/>
  <c r="F197" i="21"/>
  <c r="G196" i="21"/>
  <c r="F196" i="21"/>
  <c r="G195" i="21"/>
  <c r="F195" i="21"/>
  <c r="G194" i="21"/>
  <c r="F194" i="21"/>
  <c r="G193" i="21"/>
  <c r="F193" i="21"/>
  <c r="G192" i="21"/>
  <c r="F192" i="21"/>
  <c r="G191" i="21"/>
  <c r="F191" i="21"/>
  <c r="G190" i="21"/>
  <c r="F190" i="21"/>
  <c r="G189" i="21"/>
  <c r="F189" i="21"/>
  <c r="G188" i="21"/>
  <c r="F188" i="21"/>
  <c r="G187" i="21"/>
  <c r="F187" i="21"/>
  <c r="G186" i="21"/>
  <c r="F186" i="21"/>
  <c r="G185" i="21"/>
  <c r="F185" i="21"/>
  <c r="G184" i="21"/>
  <c r="F184" i="21"/>
  <c r="G183" i="21"/>
  <c r="F183" i="21"/>
  <c r="G182" i="21"/>
  <c r="F182" i="21"/>
  <c r="G181" i="21"/>
  <c r="F181" i="21"/>
  <c r="G180" i="21"/>
  <c r="F180" i="21"/>
  <c r="G179" i="21"/>
  <c r="F179" i="21"/>
  <c r="G178" i="21"/>
  <c r="F178" i="21"/>
  <c r="G177" i="21"/>
  <c r="F177" i="21"/>
  <c r="G176" i="21"/>
  <c r="F176" i="21"/>
  <c r="G175" i="21"/>
  <c r="F175" i="21"/>
  <c r="G174" i="21"/>
  <c r="F174" i="21"/>
  <c r="G173" i="21"/>
  <c r="F173" i="21"/>
  <c r="G172" i="21"/>
  <c r="F172" i="21"/>
  <c r="G171" i="21"/>
  <c r="F171" i="21"/>
  <c r="G170" i="21"/>
  <c r="F170" i="21"/>
  <c r="G169" i="21"/>
  <c r="F169" i="21"/>
  <c r="G168" i="21"/>
  <c r="F168" i="21"/>
  <c r="G167" i="21"/>
  <c r="F167" i="21"/>
  <c r="G166" i="21"/>
  <c r="F166" i="21"/>
  <c r="G165" i="21"/>
  <c r="F165" i="21"/>
  <c r="G164" i="21"/>
  <c r="F164" i="21"/>
  <c r="G163" i="21"/>
  <c r="F163" i="21"/>
  <c r="G162" i="21"/>
  <c r="F162" i="21"/>
  <c r="G161" i="21"/>
  <c r="F161" i="21"/>
  <c r="G160" i="21"/>
  <c r="F160" i="21"/>
  <c r="G159" i="21"/>
  <c r="F159" i="21"/>
  <c r="G158" i="21"/>
  <c r="F158" i="21"/>
  <c r="G157" i="21"/>
  <c r="F157" i="21"/>
  <c r="G156" i="21"/>
  <c r="F156" i="21"/>
  <c r="G155" i="21"/>
  <c r="F155" i="21"/>
  <c r="G154" i="21"/>
  <c r="F154" i="21"/>
  <c r="G153" i="21"/>
  <c r="F153" i="21"/>
  <c r="G152" i="21"/>
  <c r="F152" i="21"/>
  <c r="G151" i="21"/>
  <c r="F151" i="21"/>
  <c r="G150" i="21"/>
  <c r="F150" i="21"/>
  <c r="G149" i="21"/>
  <c r="F149" i="21"/>
  <c r="G148" i="21"/>
  <c r="F148" i="21"/>
  <c r="G147" i="21"/>
  <c r="F147" i="21"/>
  <c r="G146" i="21"/>
  <c r="F146" i="21"/>
  <c r="G145" i="21"/>
  <c r="F145" i="21"/>
  <c r="G144" i="21"/>
  <c r="F144" i="21"/>
  <c r="G143" i="21"/>
  <c r="F143" i="21"/>
  <c r="G142" i="21"/>
  <c r="F142" i="21"/>
  <c r="G141" i="21"/>
  <c r="F141" i="21"/>
  <c r="G140" i="21"/>
  <c r="F140" i="21"/>
  <c r="G139" i="21"/>
  <c r="F139" i="21"/>
  <c r="G138" i="21"/>
  <c r="F138" i="21"/>
  <c r="G137" i="21"/>
  <c r="F137" i="21"/>
  <c r="G136" i="21"/>
  <c r="F136" i="21"/>
  <c r="G135" i="21"/>
  <c r="F135" i="21"/>
  <c r="G133" i="21"/>
  <c r="F133" i="21"/>
  <c r="G132" i="21"/>
  <c r="F132" i="21"/>
  <c r="G131" i="21"/>
  <c r="F131" i="21"/>
  <c r="G130" i="21"/>
  <c r="F130" i="21"/>
  <c r="G129" i="21"/>
  <c r="F129" i="21"/>
  <c r="G128" i="21"/>
  <c r="F128" i="21"/>
  <c r="G127" i="21"/>
  <c r="F127" i="21"/>
  <c r="G126" i="21"/>
  <c r="F126" i="21"/>
  <c r="G125" i="21"/>
  <c r="F125" i="21"/>
  <c r="G124" i="21"/>
  <c r="F124" i="21"/>
  <c r="G122" i="21"/>
  <c r="F122" i="21"/>
  <c r="G121" i="21"/>
  <c r="F121" i="21"/>
  <c r="G120" i="21"/>
  <c r="F120" i="21"/>
  <c r="G119" i="21"/>
  <c r="F119" i="21"/>
  <c r="G118" i="21"/>
  <c r="F118" i="21"/>
  <c r="G117" i="21"/>
  <c r="F117" i="21"/>
  <c r="G116" i="21"/>
  <c r="F116" i="21"/>
  <c r="G115" i="21"/>
  <c r="F115" i="21"/>
  <c r="G114" i="21"/>
  <c r="F114" i="21"/>
  <c r="G113" i="21"/>
  <c r="F113" i="21"/>
  <c r="G112" i="21"/>
  <c r="F112" i="21"/>
  <c r="G111" i="21"/>
  <c r="F111" i="21"/>
  <c r="G110" i="21"/>
  <c r="F110" i="21"/>
  <c r="G109" i="21"/>
  <c r="F109" i="21"/>
  <c r="G108" i="21"/>
  <c r="F108" i="21"/>
  <c r="G107" i="21"/>
  <c r="F107" i="21"/>
  <c r="G106" i="21"/>
  <c r="F106" i="21"/>
  <c r="G105" i="21"/>
  <c r="F105" i="21"/>
  <c r="G104" i="21"/>
  <c r="F104" i="21"/>
  <c r="G103" i="21"/>
  <c r="F103" i="21"/>
  <c r="G102" i="21"/>
  <c r="F102" i="21"/>
  <c r="G101" i="21"/>
  <c r="F101" i="21"/>
  <c r="G100" i="21"/>
  <c r="F100" i="21"/>
  <c r="G99" i="21"/>
  <c r="F99" i="21"/>
  <c r="G98" i="21"/>
  <c r="F98" i="21"/>
  <c r="G97" i="21"/>
  <c r="F97" i="21"/>
  <c r="G96" i="21"/>
  <c r="F96" i="21"/>
  <c r="G95" i="21"/>
  <c r="F95" i="21"/>
  <c r="G94" i="21"/>
  <c r="F94" i="21"/>
  <c r="G93" i="21"/>
  <c r="F93" i="21"/>
  <c r="G92" i="21"/>
  <c r="F92" i="21"/>
  <c r="G91" i="21"/>
  <c r="F91" i="21"/>
  <c r="G90" i="21"/>
  <c r="F90" i="21"/>
  <c r="G89" i="21"/>
  <c r="F89" i="21"/>
  <c r="G88" i="21"/>
  <c r="F88" i="21"/>
  <c r="G87" i="21"/>
  <c r="F87" i="21"/>
  <c r="G86" i="21"/>
  <c r="F86" i="21"/>
  <c r="G85" i="21"/>
  <c r="F85" i="21"/>
  <c r="G84" i="21"/>
  <c r="F84" i="21"/>
  <c r="G83" i="21"/>
  <c r="F83" i="21"/>
  <c r="G82" i="21"/>
  <c r="F82" i="21"/>
  <c r="G81" i="21"/>
  <c r="F81" i="21"/>
  <c r="G80" i="21"/>
  <c r="F80" i="21"/>
  <c r="G79" i="21"/>
  <c r="F79" i="21"/>
  <c r="G78" i="21"/>
  <c r="F78" i="21"/>
  <c r="G77" i="21"/>
  <c r="F77" i="21"/>
  <c r="G76" i="21"/>
  <c r="F76" i="21"/>
  <c r="G75" i="21"/>
  <c r="F75" i="21"/>
  <c r="G74" i="21"/>
  <c r="F74" i="21"/>
  <c r="G73" i="21"/>
  <c r="F73" i="21"/>
  <c r="G72" i="21"/>
  <c r="F72" i="21"/>
  <c r="G71" i="21"/>
  <c r="F71" i="21"/>
  <c r="G70" i="21"/>
  <c r="F70" i="21"/>
  <c r="G69" i="21"/>
  <c r="F69" i="21"/>
  <c r="G68" i="21"/>
  <c r="F68" i="21"/>
  <c r="G67" i="21"/>
  <c r="F67" i="21"/>
  <c r="G66" i="21"/>
  <c r="F66" i="21"/>
  <c r="G65" i="21"/>
  <c r="F65" i="21"/>
  <c r="G64" i="21"/>
  <c r="F64" i="21"/>
  <c r="G63" i="21"/>
  <c r="F63" i="21"/>
  <c r="G62" i="21"/>
  <c r="F62" i="21"/>
  <c r="G61" i="21"/>
  <c r="F61" i="21"/>
  <c r="G60" i="21"/>
  <c r="F60" i="21"/>
  <c r="G59" i="21"/>
  <c r="F59" i="21"/>
  <c r="G58" i="21"/>
  <c r="F58" i="21"/>
  <c r="G57" i="21"/>
  <c r="F57" i="21"/>
  <c r="G56" i="21"/>
  <c r="F56" i="21"/>
  <c r="G55" i="21"/>
  <c r="F55" i="21"/>
  <c r="G54" i="21"/>
  <c r="F54" i="21"/>
  <c r="G53" i="21"/>
  <c r="F53" i="21"/>
  <c r="G52" i="21"/>
  <c r="F52" i="21"/>
  <c r="G51" i="21"/>
  <c r="F51" i="21"/>
  <c r="G50" i="21"/>
  <c r="F50" i="21"/>
  <c r="G49" i="21"/>
  <c r="F49" i="21"/>
  <c r="G48" i="21"/>
  <c r="F48" i="21"/>
  <c r="G47" i="21"/>
  <c r="F47" i="21"/>
  <c r="G46" i="21"/>
  <c r="F46" i="21"/>
  <c r="G45" i="21"/>
  <c r="F45" i="21"/>
  <c r="G44" i="21"/>
  <c r="F44" i="21"/>
  <c r="G43" i="21"/>
  <c r="F43" i="21"/>
  <c r="G42" i="21"/>
  <c r="F42" i="21"/>
  <c r="G41" i="21"/>
  <c r="F41" i="21"/>
  <c r="G40" i="21"/>
  <c r="F40" i="21"/>
  <c r="G39" i="21"/>
  <c r="F39" i="21"/>
  <c r="G38" i="21"/>
  <c r="F38" i="21"/>
  <c r="G37" i="21"/>
  <c r="F37" i="21"/>
  <c r="G36" i="21"/>
  <c r="F36" i="21"/>
  <c r="G35" i="21"/>
  <c r="F35" i="21"/>
  <c r="G34" i="21"/>
  <c r="F34" i="21"/>
  <c r="G33" i="21"/>
  <c r="F33" i="21"/>
  <c r="G32" i="21"/>
  <c r="F32" i="21"/>
  <c r="G31" i="21"/>
  <c r="F31" i="21"/>
  <c r="G30" i="21"/>
  <c r="F30" i="21"/>
  <c r="G29" i="21"/>
  <c r="F29" i="21"/>
  <c r="G28" i="21"/>
  <c r="F28" i="21"/>
  <c r="G27" i="21"/>
  <c r="F27" i="21"/>
  <c r="G26" i="21"/>
  <c r="F26" i="21"/>
  <c r="G25" i="21"/>
  <c r="F25" i="21"/>
  <c r="G24" i="21"/>
  <c r="F24" i="21"/>
  <c r="G23" i="21"/>
  <c r="F23" i="21"/>
  <c r="G22" i="21"/>
  <c r="F22" i="21"/>
  <c r="G21" i="21"/>
  <c r="F21" i="21"/>
  <c r="G20" i="21"/>
  <c r="F20" i="21"/>
  <c r="G19" i="21"/>
  <c r="F19" i="21"/>
  <c r="G18" i="21"/>
  <c r="F18" i="21"/>
  <c r="G17" i="21"/>
  <c r="F17" i="21"/>
  <c r="G16" i="21"/>
  <c r="F16" i="21"/>
  <c r="G15" i="21"/>
  <c r="F15" i="21"/>
  <c r="G14" i="21"/>
  <c r="F14" i="21"/>
  <c r="G13" i="21"/>
  <c r="F13" i="21"/>
  <c r="G12" i="21"/>
  <c r="F12" i="21"/>
  <c r="G11" i="21"/>
  <c r="F11" i="21"/>
  <c r="G10" i="21"/>
  <c r="F10" i="21"/>
  <c r="G9" i="21"/>
  <c r="F9" i="21"/>
  <c r="G8" i="21"/>
  <c r="F8" i="21"/>
  <c r="G7" i="21"/>
  <c r="F7" i="21"/>
  <c r="G6" i="21"/>
  <c r="F6" i="21"/>
  <c r="G5" i="21"/>
  <c r="F5" i="21"/>
  <c r="G4" i="21"/>
  <c r="F4" i="21"/>
  <c r="G206" i="22"/>
  <c r="F206" i="22"/>
  <c r="G205" i="22"/>
  <c r="F205" i="22"/>
  <c r="G204" i="22"/>
  <c r="F204" i="22"/>
  <c r="G203" i="22"/>
  <c r="F203" i="22"/>
  <c r="G202" i="22"/>
  <c r="F202" i="22"/>
  <c r="G201" i="22"/>
  <c r="F201" i="22"/>
  <c r="G200" i="22"/>
  <c r="F200" i="22"/>
  <c r="G199" i="22"/>
  <c r="F199" i="22"/>
  <c r="G198" i="22"/>
  <c r="F198" i="22"/>
  <c r="G197" i="22"/>
  <c r="F197" i="22"/>
  <c r="G196" i="22"/>
  <c r="F196" i="22"/>
  <c r="G195" i="22"/>
  <c r="F195" i="22"/>
  <c r="G194" i="22"/>
  <c r="F194" i="22"/>
  <c r="G193" i="22"/>
  <c r="F193" i="22"/>
  <c r="G192" i="22"/>
  <c r="F192" i="22"/>
  <c r="G191" i="22"/>
  <c r="F191" i="22"/>
  <c r="G190" i="22"/>
  <c r="F190" i="22"/>
  <c r="G189" i="22"/>
  <c r="F189" i="22"/>
  <c r="G188" i="22"/>
  <c r="F188" i="22"/>
  <c r="G187" i="22"/>
  <c r="F187" i="22"/>
  <c r="G186" i="22"/>
  <c r="F186" i="22"/>
  <c r="G185" i="22"/>
  <c r="F185" i="22"/>
  <c r="G184" i="22"/>
  <c r="F184" i="22"/>
  <c r="G183" i="22"/>
  <c r="F183" i="22"/>
  <c r="G182" i="22"/>
  <c r="F182" i="22"/>
  <c r="G181" i="22"/>
  <c r="F181" i="22"/>
  <c r="G180" i="22"/>
  <c r="F180" i="22"/>
  <c r="G179" i="22"/>
  <c r="F179" i="22"/>
  <c r="G178" i="22"/>
  <c r="F178" i="22"/>
  <c r="G177" i="22"/>
  <c r="F177" i="22"/>
  <c r="G176" i="22"/>
  <c r="F176" i="22"/>
  <c r="G175" i="22"/>
  <c r="F175" i="22"/>
  <c r="G174" i="22"/>
  <c r="F174" i="22"/>
  <c r="G173" i="22"/>
  <c r="F173" i="22"/>
  <c r="G172" i="22"/>
  <c r="F172" i="22"/>
  <c r="G171" i="22"/>
  <c r="F171" i="22"/>
  <c r="G170" i="22"/>
  <c r="F170" i="22"/>
  <c r="G169" i="22"/>
  <c r="F169" i="22"/>
  <c r="G168" i="22"/>
  <c r="F168" i="22"/>
  <c r="G167" i="22"/>
  <c r="F167" i="22"/>
  <c r="G166" i="22"/>
  <c r="F166" i="22"/>
  <c r="G165" i="22"/>
  <c r="F165" i="22"/>
  <c r="G164" i="22"/>
  <c r="F164" i="22"/>
  <c r="G163" i="22"/>
  <c r="F163" i="22"/>
  <c r="G162" i="22"/>
  <c r="F162" i="22"/>
  <c r="G161" i="22"/>
  <c r="F161" i="22"/>
  <c r="G160" i="22"/>
  <c r="F160" i="22"/>
  <c r="G159" i="22"/>
  <c r="F159" i="22"/>
  <c r="G158" i="22"/>
  <c r="F158" i="22"/>
  <c r="G157" i="22"/>
  <c r="F157" i="22"/>
  <c r="G156" i="22"/>
  <c r="F156" i="22"/>
  <c r="G155" i="22"/>
  <c r="F155" i="22"/>
  <c r="G154" i="22"/>
  <c r="F154" i="22"/>
  <c r="G153" i="22"/>
  <c r="F153" i="22"/>
  <c r="G152" i="22"/>
  <c r="F152" i="22"/>
  <c r="G151" i="22"/>
  <c r="F151" i="22"/>
  <c r="G150" i="22"/>
  <c r="F150" i="22"/>
  <c r="G149" i="22"/>
  <c r="F149" i="22"/>
  <c r="G148" i="22"/>
  <c r="F148" i="22"/>
  <c r="G147" i="22"/>
  <c r="F147" i="22"/>
  <c r="G146" i="22"/>
  <c r="F146" i="22"/>
  <c r="G145" i="22"/>
  <c r="F145" i="22"/>
  <c r="G144" i="22"/>
  <c r="F144" i="22"/>
  <c r="G143" i="22"/>
  <c r="F143" i="22"/>
  <c r="G142" i="22"/>
  <c r="F142" i="22"/>
  <c r="G141" i="22"/>
  <c r="F141" i="22"/>
  <c r="G140" i="22"/>
  <c r="F140" i="22"/>
  <c r="G139" i="22"/>
  <c r="F139" i="22"/>
  <c r="G138" i="22"/>
  <c r="F138" i="22"/>
  <c r="G137" i="22"/>
  <c r="F137" i="22"/>
  <c r="G136" i="22"/>
  <c r="F136" i="22"/>
  <c r="G135" i="22"/>
  <c r="F135" i="22"/>
  <c r="G133" i="22"/>
  <c r="F133" i="22"/>
  <c r="G132" i="22"/>
  <c r="F132" i="22"/>
  <c r="G131" i="22"/>
  <c r="F131" i="22"/>
  <c r="G130" i="22"/>
  <c r="F130" i="22"/>
  <c r="G129" i="22"/>
  <c r="F129" i="22"/>
  <c r="G128" i="22"/>
  <c r="F128" i="22"/>
  <c r="G127" i="22"/>
  <c r="F127" i="22"/>
  <c r="G126" i="22"/>
  <c r="F126" i="22"/>
  <c r="G125" i="22"/>
  <c r="F125" i="22"/>
  <c r="G124" i="22"/>
  <c r="F124" i="22"/>
  <c r="G123" i="22"/>
  <c r="F123" i="22"/>
  <c r="G122" i="22"/>
  <c r="F122" i="22"/>
  <c r="G121" i="22"/>
  <c r="F121" i="22"/>
  <c r="G120" i="22"/>
  <c r="F120" i="22"/>
  <c r="G119" i="22"/>
  <c r="F119" i="22"/>
  <c r="G118" i="22"/>
  <c r="F118" i="22"/>
  <c r="G117" i="22"/>
  <c r="F117" i="22"/>
  <c r="G116" i="22"/>
  <c r="F116" i="22"/>
  <c r="G115" i="22"/>
  <c r="F115" i="22"/>
  <c r="G114" i="22"/>
  <c r="F114" i="22"/>
  <c r="G113" i="22"/>
  <c r="F113" i="22"/>
  <c r="G112" i="22"/>
  <c r="F112" i="22"/>
  <c r="G111" i="22"/>
  <c r="F111" i="22"/>
  <c r="G110" i="22"/>
  <c r="F110" i="22"/>
  <c r="G109" i="22"/>
  <c r="F109" i="22"/>
  <c r="G108" i="22"/>
  <c r="F108" i="22"/>
  <c r="G107" i="22"/>
  <c r="F107" i="22"/>
  <c r="G106" i="22"/>
  <c r="F106" i="22"/>
  <c r="G105" i="22"/>
  <c r="F105" i="22"/>
  <c r="G104" i="22"/>
  <c r="F104" i="22"/>
  <c r="G103" i="22"/>
  <c r="F103" i="22"/>
  <c r="G102" i="22"/>
  <c r="F102" i="22"/>
  <c r="G101" i="22"/>
  <c r="F101" i="22"/>
  <c r="G100" i="22"/>
  <c r="F100" i="22"/>
  <c r="G99" i="22"/>
  <c r="F99" i="22"/>
  <c r="G98" i="22"/>
  <c r="F98" i="22"/>
  <c r="G97" i="22"/>
  <c r="F97" i="22"/>
  <c r="G96" i="22"/>
  <c r="F96" i="22"/>
  <c r="G95" i="22"/>
  <c r="F95" i="22"/>
  <c r="G94" i="22"/>
  <c r="F94" i="22"/>
  <c r="G93" i="22"/>
  <c r="F93" i="22"/>
  <c r="G92" i="22"/>
  <c r="F92" i="22"/>
  <c r="G91" i="22"/>
  <c r="F91" i="22"/>
  <c r="G90" i="22"/>
  <c r="F90" i="22"/>
  <c r="G89" i="22"/>
  <c r="F89" i="22"/>
  <c r="G88" i="22"/>
  <c r="F88" i="22"/>
  <c r="G87" i="22"/>
  <c r="F87" i="22"/>
  <c r="G86" i="22"/>
  <c r="F86" i="22"/>
  <c r="G85" i="22"/>
  <c r="F85" i="22"/>
  <c r="G84" i="22"/>
  <c r="F84" i="22"/>
  <c r="G83" i="22"/>
  <c r="F83" i="22"/>
  <c r="G82" i="22"/>
  <c r="F82" i="22"/>
  <c r="G81" i="22"/>
  <c r="F81" i="22"/>
  <c r="G80" i="22"/>
  <c r="F80" i="22"/>
  <c r="G79" i="22"/>
  <c r="F79" i="22"/>
  <c r="G78" i="22"/>
  <c r="F78" i="22"/>
  <c r="G77" i="22"/>
  <c r="F77" i="22"/>
  <c r="G76" i="22"/>
  <c r="F76" i="22"/>
  <c r="G75" i="22"/>
  <c r="F75" i="22"/>
  <c r="G74" i="22"/>
  <c r="F74" i="22"/>
  <c r="G73" i="22"/>
  <c r="F73" i="22"/>
  <c r="G72" i="22"/>
  <c r="F72" i="22"/>
  <c r="G71" i="22"/>
  <c r="F71" i="22"/>
  <c r="G70" i="22"/>
  <c r="F70" i="22"/>
  <c r="G69" i="22"/>
  <c r="F69" i="22"/>
  <c r="G68" i="22"/>
  <c r="F68" i="22"/>
  <c r="G67" i="22"/>
  <c r="F67" i="22"/>
  <c r="G66" i="22"/>
  <c r="F66" i="22"/>
  <c r="G65" i="22"/>
  <c r="F65" i="22"/>
  <c r="G64" i="22"/>
  <c r="F64" i="22"/>
  <c r="G63" i="22"/>
  <c r="F63" i="22"/>
  <c r="G62" i="22"/>
  <c r="F62" i="22"/>
  <c r="G61" i="22"/>
  <c r="F61" i="22"/>
  <c r="G60" i="22"/>
  <c r="F60" i="22"/>
  <c r="G59" i="22"/>
  <c r="F59" i="22"/>
  <c r="G58" i="22"/>
  <c r="F58" i="22"/>
  <c r="G57" i="22"/>
  <c r="F57" i="22"/>
  <c r="G56" i="22"/>
  <c r="F56" i="22"/>
  <c r="G55" i="22"/>
  <c r="F55" i="22"/>
  <c r="G54" i="22"/>
  <c r="F54" i="22"/>
  <c r="G53" i="22"/>
  <c r="F53" i="22"/>
  <c r="G52" i="22"/>
  <c r="F52" i="22"/>
  <c r="G51" i="22"/>
  <c r="F51" i="22"/>
  <c r="G50" i="22"/>
  <c r="F50" i="22"/>
  <c r="G49" i="22"/>
  <c r="F49" i="22"/>
  <c r="G48" i="22"/>
  <c r="F48" i="22"/>
  <c r="G47" i="22"/>
  <c r="F47" i="22"/>
  <c r="G46" i="22"/>
  <c r="F46" i="22"/>
  <c r="G45" i="22"/>
  <c r="F45" i="22"/>
  <c r="G44" i="22"/>
  <c r="F44" i="22"/>
  <c r="G43" i="22"/>
  <c r="F43" i="22"/>
  <c r="G42" i="22"/>
  <c r="F42" i="22"/>
  <c r="G41" i="22"/>
  <c r="F41" i="22"/>
  <c r="G40" i="22"/>
  <c r="F40" i="22"/>
  <c r="G39" i="22"/>
  <c r="F39" i="22"/>
  <c r="G38" i="22"/>
  <c r="F38" i="22"/>
  <c r="G37" i="22"/>
  <c r="F37" i="22"/>
  <c r="G36" i="22"/>
  <c r="F36" i="22"/>
  <c r="G35" i="22"/>
  <c r="F35" i="22"/>
  <c r="G34" i="22"/>
  <c r="F34" i="22"/>
  <c r="G33" i="22"/>
  <c r="F33" i="22"/>
  <c r="G32" i="22"/>
  <c r="F32" i="22"/>
  <c r="G31" i="22"/>
  <c r="F31" i="22"/>
  <c r="G30" i="22"/>
  <c r="F30" i="22"/>
  <c r="G29" i="22"/>
  <c r="F29" i="22"/>
  <c r="G28" i="22"/>
  <c r="F28" i="22"/>
  <c r="G27" i="22"/>
  <c r="F27" i="22"/>
  <c r="G26" i="22"/>
  <c r="F26" i="22"/>
  <c r="G25" i="22"/>
  <c r="F25" i="22"/>
  <c r="G24" i="22"/>
  <c r="F24" i="22"/>
  <c r="G23" i="22"/>
  <c r="F23" i="22"/>
  <c r="G22" i="22"/>
  <c r="F22" i="22"/>
  <c r="G21" i="22"/>
  <c r="F21" i="22"/>
  <c r="G20" i="22"/>
  <c r="F20" i="22"/>
  <c r="G19" i="22"/>
  <c r="F19" i="22"/>
  <c r="G18" i="22"/>
  <c r="F18" i="22"/>
  <c r="G17" i="22"/>
  <c r="F17" i="22"/>
  <c r="G16" i="22"/>
  <c r="F16" i="22"/>
  <c r="G15" i="22"/>
  <c r="F15" i="22"/>
  <c r="G14" i="22"/>
  <c r="F14" i="22"/>
  <c r="G13" i="22"/>
  <c r="F13" i="22"/>
  <c r="G12" i="22"/>
  <c r="F12" i="22"/>
  <c r="G11" i="22"/>
  <c r="F11" i="22"/>
  <c r="G10" i="22"/>
  <c r="F10" i="22"/>
  <c r="G9" i="22"/>
  <c r="F9" i="22"/>
  <c r="G8" i="22"/>
  <c r="F8" i="22"/>
  <c r="G7" i="22"/>
  <c r="F7" i="22"/>
  <c r="G6" i="22"/>
  <c r="F6" i="22"/>
  <c r="G5" i="22"/>
  <c r="F5" i="22"/>
  <c r="G4" i="22"/>
  <c r="F4" i="22"/>
  <c r="G206" i="26"/>
  <c r="F206" i="26"/>
  <c r="G205" i="26"/>
  <c r="F205" i="26"/>
  <c r="G204" i="26"/>
  <c r="F204" i="26"/>
  <c r="G203" i="26"/>
  <c r="F203" i="26"/>
  <c r="G202" i="26"/>
  <c r="F202" i="26"/>
  <c r="G201" i="26"/>
  <c r="F201" i="26"/>
  <c r="G200" i="26"/>
  <c r="F200" i="26"/>
  <c r="G199" i="26"/>
  <c r="F199" i="26"/>
  <c r="G198" i="26"/>
  <c r="F198" i="26"/>
  <c r="G197" i="26"/>
  <c r="F197" i="26"/>
  <c r="G196" i="26"/>
  <c r="F196" i="26"/>
  <c r="G195" i="26"/>
  <c r="F195" i="26"/>
  <c r="G194" i="26"/>
  <c r="F194" i="26"/>
  <c r="G193" i="26"/>
  <c r="F193" i="26"/>
  <c r="G192" i="26"/>
  <c r="F192" i="26"/>
  <c r="G191" i="26"/>
  <c r="F191" i="26"/>
  <c r="G190" i="26"/>
  <c r="F190" i="26"/>
  <c r="G189" i="26"/>
  <c r="F189" i="26"/>
  <c r="G188" i="26"/>
  <c r="F188" i="26"/>
  <c r="G187" i="26"/>
  <c r="F187" i="26"/>
  <c r="G186" i="26"/>
  <c r="F186" i="26"/>
  <c r="G185" i="26"/>
  <c r="F185" i="26"/>
  <c r="G184" i="26"/>
  <c r="F184" i="26"/>
  <c r="G183" i="26"/>
  <c r="F183" i="26"/>
  <c r="G182" i="26"/>
  <c r="F182" i="26"/>
  <c r="G181" i="26"/>
  <c r="F181" i="26"/>
  <c r="G180" i="26"/>
  <c r="F180" i="26"/>
  <c r="G179" i="26"/>
  <c r="F179" i="26"/>
  <c r="G178" i="26"/>
  <c r="F178" i="26"/>
  <c r="G177" i="26"/>
  <c r="F177" i="26"/>
  <c r="G176" i="26"/>
  <c r="F176" i="26"/>
  <c r="G175" i="26"/>
  <c r="F175" i="26"/>
  <c r="G174" i="26"/>
  <c r="F174" i="26"/>
  <c r="G173" i="26"/>
  <c r="F173" i="26"/>
  <c r="G172" i="26"/>
  <c r="F172" i="26"/>
  <c r="G171" i="26"/>
  <c r="F171" i="26"/>
  <c r="G170" i="26"/>
  <c r="F170" i="26"/>
  <c r="G169" i="26"/>
  <c r="F169" i="26"/>
  <c r="G168" i="26"/>
  <c r="F168" i="26"/>
  <c r="G167" i="26"/>
  <c r="F167" i="26"/>
  <c r="G166" i="26"/>
  <c r="F166" i="26"/>
  <c r="G165" i="26"/>
  <c r="F165" i="26"/>
  <c r="G164" i="26"/>
  <c r="F164" i="26"/>
  <c r="G163" i="26"/>
  <c r="F163" i="26"/>
  <c r="G162" i="26"/>
  <c r="F162" i="26"/>
  <c r="G161" i="26"/>
  <c r="F161" i="26"/>
  <c r="G160" i="26"/>
  <c r="F160" i="26"/>
  <c r="G159" i="26"/>
  <c r="F159" i="26"/>
  <c r="G158" i="26"/>
  <c r="F158" i="26"/>
  <c r="G157" i="26"/>
  <c r="F157" i="26"/>
  <c r="G156" i="26"/>
  <c r="F156" i="26"/>
  <c r="G155" i="26"/>
  <c r="F155" i="26"/>
  <c r="G154" i="26"/>
  <c r="F154" i="26"/>
  <c r="G153" i="26"/>
  <c r="F153" i="26"/>
  <c r="G152" i="26"/>
  <c r="F152" i="26"/>
  <c r="G151" i="26"/>
  <c r="F151" i="26"/>
  <c r="G150" i="26"/>
  <c r="F150" i="26"/>
  <c r="G149" i="26"/>
  <c r="F149" i="26"/>
  <c r="G148" i="26"/>
  <c r="F148" i="26"/>
  <c r="G147" i="26"/>
  <c r="F147" i="26"/>
  <c r="G146" i="26"/>
  <c r="F146" i="26"/>
  <c r="G145" i="26"/>
  <c r="F145" i="26"/>
  <c r="G144" i="26"/>
  <c r="F144" i="26"/>
  <c r="G143" i="26"/>
  <c r="F143" i="26"/>
  <c r="G142" i="26"/>
  <c r="F142" i="26"/>
  <c r="G141" i="26"/>
  <c r="F141" i="26"/>
  <c r="G140" i="26"/>
  <c r="F140" i="26"/>
  <c r="G139" i="26"/>
  <c r="F139" i="26"/>
  <c r="G138" i="26"/>
  <c r="F138" i="26"/>
  <c r="G137" i="26"/>
  <c r="F137" i="26"/>
  <c r="G136" i="26"/>
  <c r="F136" i="26"/>
  <c r="G135" i="26"/>
  <c r="F135" i="26"/>
  <c r="G133" i="26"/>
  <c r="F133" i="26"/>
  <c r="G132" i="26"/>
  <c r="F132" i="26"/>
  <c r="G131" i="26"/>
  <c r="F131" i="26"/>
  <c r="G130" i="26"/>
  <c r="F130" i="26"/>
  <c r="G129" i="26"/>
  <c r="F129" i="26"/>
  <c r="G128" i="26"/>
  <c r="F128" i="26"/>
  <c r="G127" i="26"/>
  <c r="F127" i="26"/>
  <c r="G126" i="26"/>
  <c r="F126" i="26"/>
  <c r="G125" i="26"/>
  <c r="F125" i="26"/>
  <c r="G124" i="26"/>
  <c r="F124" i="26"/>
  <c r="G123" i="26"/>
  <c r="F123" i="26"/>
  <c r="G122" i="26"/>
  <c r="F122" i="26"/>
  <c r="G121" i="26"/>
  <c r="F121" i="26"/>
  <c r="G120" i="26"/>
  <c r="F120" i="26"/>
  <c r="G119" i="26"/>
  <c r="F119" i="26"/>
  <c r="G118" i="26"/>
  <c r="F118" i="26"/>
  <c r="G117" i="26"/>
  <c r="F117" i="26"/>
  <c r="G116" i="26"/>
  <c r="F116" i="26"/>
  <c r="G115" i="26"/>
  <c r="F115" i="26"/>
  <c r="G114" i="26"/>
  <c r="F114" i="26"/>
  <c r="G113" i="26"/>
  <c r="F113" i="26"/>
  <c r="G112" i="26"/>
  <c r="F112" i="26"/>
  <c r="G111" i="26"/>
  <c r="F111" i="26"/>
  <c r="G110" i="26"/>
  <c r="F110" i="26"/>
  <c r="G109" i="26"/>
  <c r="F109" i="26"/>
  <c r="G108" i="26"/>
  <c r="F108" i="26"/>
  <c r="G107" i="26"/>
  <c r="F107" i="26"/>
  <c r="G106" i="26"/>
  <c r="F106" i="26"/>
  <c r="G105" i="26"/>
  <c r="F105" i="26"/>
  <c r="G104" i="26"/>
  <c r="F104" i="26"/>
  <c r="G103" i="26"/>
  <c r="F103" i="26"/>
  <c r="G102" i="26"/>
  <c r="F102" i="26"/>
  <c r="G101" i="26"/>
  <c r="F101" i="26"/>
  <c r="G100" i="26"/>
  <c r="F100" i="26"/>
  <c r="G99" i="26"/>
  <c r="F99" i="26"/>
  <c r="G98" i="26"/>
  <c r="F98" i="26"/>
  <c r="G97" i="26"/>
  <c r="F97" i="26"/>
  <c r="G96" i="26"/>
  <c r="F96" i="26"/>
  <c r="G95" i="26"/>
  <c r="F95" i="26"/>
  <c r="G94" i="26"/>
  <c r="F94" i="26"/>
  <c r="G93" i="26"/>
  <c r="F93" i="26"/>
  <c r="G92" i="26"/>
  <c r="F92" i="26"/>
  <c r="G91" i="26"/>
  <c r="F91" i="26"/>
  <c r="G90" i="26"/>
  <c r="F90" i="26"/>
  <c r="G89" i="26"/>
  <c r="F89" i="26"/>
  <c r="G88" i="26"/>
  <c r="F88" i="26"/>
  <c r="G87" i="26"/>
  <c r="F87" i="26"/>
  <c r="G86" i="26"/>
  <c r="F86" i="26"/>
  <c r="G85" i="26"/>
  <c r="F85" i="26"/>
  <c r="G84" i="26"/>
  <c r="F84" i="26"/>
  <c r="G83" i="26"/>
  <c r="F83" i="26"/>
  <c r="G82" i="26"/>
  <c r="F82" i="26"/>
  <c r="G81" i="26"/>
  <c r="F81" i="26"/>
  <c r="G80" i="26"/>
  <c r="F80" i="26"/>
  <c r="G79" i="26"/>
  <c r="F79" i="26"/>
  <c r="G78" i="26"/>
  <c r="F78" i="26"/>
  <c r="G77" i="26"/>
  <c r="F77" i="26"/>
  <c r="G76" i="26"/>
  <c r="F76" i="26"/>
  <c r="G75" i="26"/>
  <c r="F75" i="26"/>
  <c r="G74" i="26"/>
  <c r="F74" i="26"/>
  <c r="G73" i="26"/>
  <c r="F73" i="26"/>
  <c r="G72" i="26"/>
  <c r="F72" i="26"/>
  <c r="G71" i="26"/>
  <c r="F71" i="26"/>
  <c r="G70" i="26"/>
  <c r="F70" i="26"/>
  <c r="G69" i="26"/>
  <c r="F69" i="26"/>
  <c r="G68" i="26"/>
  <c r="F68" i="26"/>
  <c r="G67" i="26"/>
  <c r="F67" i="26"/>
  <c r="G66" i="26"/>
  <c r="F66" i="26"/>
  <c r="G65" i="26"/>
  <c r="F65" i="26"/>
  <c r="G64" i="26"/>
  <c r="F64" i="26"/>
  <c r="G63" i="26"/>
  <c r="F63" i="26"/>
  <c r="G62" i="26"/>
  <c r="F62" i="26"/>
  <c r="G61" i="26"/>
  <c r="F61" i="26"/>
  <c r="G60" i="26"/>
  <c r="F60" i="26"/>
  <c r="G59" i="26"/>
  <c r="F59" i="26"/>
  <c r="G58" i="26"/>
  <c r="F58" i="26"/>
  <c r="G57" i="26"/>
  <c r="F57" i="26"/>
  <c r="G56" i="26"/>
  <c r="F56" i="26"/>
  <c r="G55" i="26"/>
  <c r="F55" i="26"/>
  <c r="G54" i="26"/>
  <c r="F54" i="26"/>
  <c r="G53" i="26"/>
  <c r="F53" i="26"/>
  <c r="G52" i="26"/>
  <c r="F52" i="26"/>
  <c r="G51" i="26"/>
  <c r="F51" i="26"/>
  <c r="G50" i="26"/>
  <c r="F50" i="26"/>
  <c r="G49" i="26"/>
  <c r="F49" i="26"/>
  <c r="G48" i="26"/>
  <c r="F48" i="26"/>
  <c r="G47" i="26"/>
  <c r="F47" i="26"/>
  <c r="G46" i="26"/>
  <c r="F46" i="26"/>
  <c r="G45" i="26"/>
  <c r="F45" i="26"/>
  <c r="G44" i="26"/>
  <c r="F44" i="26"/>
  <c r="G43" i="26"/>
  <c r="F43" i="26"/>
  <c r="G42" i="26"/>
  <c r="F42" i="26"/>
  <c r="G41" i="26"/>
  <c r="F41" i="26"/>
  <c r="G40" i="26"/>
  <c r="F40" i="26"/>
  <c r="G39" i="26"/>
  <c r="F39" i="26"/>
  <c r="G38" i="26"/>
  <c r="F38" i="26"/>
  <c r="G37" i="26"/>
  <c r="F37" i="26"/>
  <c r="G36" i="26"/>
  <c r="F36" i="26"/>
  <c r="G35" i="26"/>
  <c r="F35" i="26"/>
  <c r="G34" i="26"/>
  <c r="F34" i="26"/>
  <c r="G33" i="26"/>
  <c r="F33" i="26"/>
  <c r="G32" i="26"/>
  <c r="F32" i="26"/>
  <c r="G31" i="26"/>
  <c r="F31" i="26"/>
  <c r="G30" i="26"/>
  <c r="F30" i="26"/>
  <c r="G29" i="26"/>
  <c r="F29" i="26"/>
  <c r="G28" i="26"/>
  <c r="F28" i="26"/>
  <c r="G27" i="26"/>
  <c r="F27" i="26"/>
  <c r="G26" i="26"/>
  <c r="F26" i="26"/>
  <c r="G25" i="26"/>
  <c r="F25" i="26"/>
  <c r="G24" i="26"/>
  <c r="F24" i="26"/>
  <c r="G23" i="26"/>
  <c r="F23" i="26"/>
  <c r="G22" i="26"/>
  <c r="F22" i="26"/>
  <c r="G21" i="26"/>
  <c r="F21" i="26"/>
  <c r="G20" i="26"/>
  <c r="F20" i="26"/>
  <c r="G19" i="26"/>
  <c r="F19" i="26"/>
  <c r="G18" i="26"/>
  <c r="F18" i="26"/>
  <c r="G17" i="26"/>
  <c r="F17" i="26"/>
  <c r="G16" i="26"/>
  <c r="F16" i="26"/>
  <c r="G15" i="26"/>
  <c r="F15" i="26"/>
  <c r="G14" i="26"/>
  <c r="F14" i="26"/>
  <c r="G13" i="26"/>
  <c r="F13" i="26"/>
  <c r="G12" i="26"/>
  <c r="F12" i="26"/>
  <c r="G11" i="26"/>
  <c r="F11" i="26"/>
  <c r="G10" i="26"/>
  <c r="F10" i="26"/>
  <c r="G9" i="26"/>
  <c r="F9" i="26"/>
  <c r="G8" i="26"/>
  <c r="F8" i="26"/>
  <c r="G7" i="26"/>
  <c r="F7" i="26"/>
  <c r="G6" i="26"/>
  <c r="F6" i="26"/>
  <c r="G5" i="26"/>
  <c r="F5" i="26"/>
  <c r="G4" i="26"/>
  <c r="F4" i="26"/>
  <c r="G206" i="23"/>
  <c r="F206" i="23"/>
  <c r="G205" i="23"/>
  <c r="F205" i="23"/>
  <c r="G204" i="23"/>
  <c r="F204" i="23"/>
  <c r="G203" i="23"/>
  <c r="F203" i="23"/>
  <c r="G202" i="23"/>
  <c r="F202" i="23"/>
  <c r="G201" i="23"/>
  <c r="F201" i="23"/>
  <c r="G200" i="23"/>
  <c r="F200" i="23"/>
  <c r="G199" i="23"/>
  <c r="F199" i="23"/>
  <c r="G198" i="23"/>
  <c r="F198" i="23"/>
  <c r="G197" i="23"/>
  <c r="F197" i="23"/>
  <c r="G196" i="23"/>
  <c r="F196" i="23"/>
  <c r="G195" i="23"/>
  <c r="F195" i="23"/>
  <c r="G194" i="23"/>
  <c r="F194" i="23"/>
  <c r="G193" i="23"/>
  <c r="F193" i="23"/>
  <c r="G192" i="23"/>
  <c r="F192" i="23"/>
  <c r="G191" i="23"/>
  <c r="F191" i="23"/>
  <c r="G190" i="23"/>
  <c r="F190" i="23"/>
  <c r="G189" i="23"/>
  <c r="F189" i="23"/>
  <c r="G188" i="23"/>
  <c r="F188" i="23"/>
  <c r="G187" i="23"/>
  <c r="F187" i="23"/>
  <c r="G186" i="23"/>
  <c r="F186" i="23"/>
  <c r="G185" i="23"/>
  <c r="F185" i="23"/>
  <c r="G184" i="23"/>
  <c r="F184" i="23"/>
  <c r="G183" i="23"/>
  <c r="F183" i="23"/>
  <c r="G182" i="23"/>
  <c r="F182" i="23"/>
  <c r="G181" i="23"/>
  <c r="F181" i="23"/>
  <c r="G180" i="23"/>
  <c r="F180" i="23"/>
  <c r="G179" i="23"/>
  <c r="F179" i="23"/>
  <c r="G178" i="23"/>
  <c r="F178" i="23"/>
  <c r="G177" i="23"/>
  <c r="F177" i="23"/>
  <c r="G176" i="23"/>
  <c r="F176" i="23"/>
  <c r="G175" i="23"/>
  <c r="F175" i="23"/>
  <c r="G174" i="23"/>
  <c r="F174" i="23"/>
  <c r="G173" i="23"/>
  <c r="F173" i="23"/>
  <c r="G172" i="23"/>
  <c r="F172" i="23"/>
  <c r="G171" i="23"/>
  <c r="F171" i="23"/>
  <c r="G170" i="23"/>
  <c r="F170" i="23"/>
  <c r="G169" i="23"/>
  <c r="F169" i="23"/>
  <c r="G168" i="23"/>
  <c r="F168" i="23"/>
  <c r="G167" i="23"/>
  <c r="F167" i="23"/>
  <c r="G166" i="23"/>
  <c r="F166" i="23"/>
  <c r="G165" i="23"/>
  <c r="F165" i="23"/>
  <c r="G164" i="23"/>
  <c r="F164" i="23"/>
  <c r="G163" i="23"/>
  <c r="F163" i="23"/>
  <c r="G162" i="23"/>
  <c r="F162" i="23"/>
  <c r="G161" i="23"/>
  <c r="F161" i="23"/>
  <c r="G160" i="23"/>
  <c r="F160" i="23"/>
  <c r="G159" i="23"/>
  <c r="F159" i="23"/>
  <c r="G158" i="23"/>
  <c r="F158" i="23"/>
  <c r="G157" i="23"/>
  <c r="F157" i="23"/>
  <c r="G156" i="23"/>
  <c r="F156" i="23"/>
  <c r="G155" i="23"/>
  <c r="F155" i="23"/>
  <c r="G154" i="23"/>
  <c r="F154" i="23"/>
  <c r="G153" i="23"/>
  <c r="F153" i="23"/>
  <c r="G152" i="23"/>
  <c r="F152" i="23"/>
  <c r="G151" i="23"/>
  <c r="F151" i="23"/>
  <c r="G150" i="23"/>
  <c r="F150" i="23"/>
  <c r="G149" i="23"/>
  <c r="F149" i="23"/>
  <c r="G148" i="23"/>
  <c r="F148" i="23"/>
  <c r="G147" i="23"/>
  <c r="F147" i="23"/>
  <c r="G146" i="23"/>
  <c r="F146" i="23"/>
  <c r="G145" i="23"/>
  <c r="F145" i="23"/>
  <c r="G144" i="23"/>
  <c r="F144" i="23"/>
  <c r="G143" i="23"/>
  <c r="F143" i="23"/>
  <c r="G142" i="23"/>
  <c r="F142" i="23"/>
  <c r="G141" i="23"/>
  <c r="F141" i="23"/>
  <c r="G140" i="23"/>
  <c r="F140" i="23"/>
  <c r="G139" i="23"/>
  <c r="F139" i="23"/>
  <c r="G138" i="23"/>
  <c r="F138" i="23"/>
  <c r="G137" i="23"/>
  <c r="F137" i="23"/>
  <c r="G136" i="23"/>
  <c r="F136" i="23"/>
  <c r="G135" i="23"/>
  <c r="F135" i="23"/>
  <c r="G133" i="23"/>
  <c r="F133" i="23"/>
  <c r="G132" i="23"/>
  <c r="F132" i="23"/>
  <c r="G131" i="23"/>
  <c r="F131" i="23"/>
  <c r="G130" i="23"/>
  <c r="F130" i="23"/>
  <c r="G129" i="23"/>
  <c r="F129" i="23"/>
  <c r="G128" i="23"/>
  <c r="F128" i="23"/>
  <c r="G127" i="23"/>
  <c r="F127" i="23"/>
  <c r="G126" i="23"/>
  <c r="F126" i="23"/>
  <c r="G125" i="23"/>
  <c r="F125" i="23"/>
  <c r="G124" i="23"/>
  <c r="F124" i="23"/>
  <c r="G123" i="23"/>
  <c r="F123" i="23"/>
  <c r="G122" i="23"/>
  <c r="F122" i="23"/>
  <c r="G121" i="23"/>
  <c r="F121" i="23"/>
  <c r="G120" i="23"/>
  <c r="F120" i="23"/>
  <c r="G119" i="23"/>
  <c r="F119" i="23"/>
  <c r="G118" i="23"/>
  <c r="F118" i="23"/>
  <c r="G117" i="23"/>
  <c r="F117" i="23"/>
  <c r="G116" i="23"/>
  <c r="F116" i="23"/>
  <c r="G115" i="23"/>
  <c r="F115" i="23"/>
  <c r="G114" i="23"/>
  <c r="F114" i="23"/>
  <c r="G113" i="23"/>
  <c r="F113" i="23"/>
  <c r="G112" i="23"/>
  <c r="F112" i="23"/>
  <c r="G111" i="23"/>
  <c r="F111" i="23"/>
  <c r="G110" i="23"/>
  <c r="F110" i="23"/>
  <c r="G109" i="23"/>
  <c r="F109" i="23"/>
  <c r="G108" i="23"/>
  <c r="F108" i="23"/>
  <c r="G107" i="23"/>
  <c r="F107" i="23"/>
  <c r="G106" i="23"/>
  <c r="F106" i="23"/>
  <c r="G105" i="23"/>
  <c r="F105" i="23"/>
  <c r="G104" i="23"/>
  <c r="F104" i="23"/>
  <c r="G103" i="23"/>
  <c r="F103" i="23"/>
  <c r="G102" i="23"/>
  <c r="F102" i="23"/>
  <c r="G101" i="23"/>
  <c r="F101" i="23"/>
  <c r="G100" i="23"/>
  <c r="F100" i="23"/>
  <c r="G99" i="23"/>
  <c r="F99" i="23"/>
  <c r="G98" i="23"/>
  <c r="F98" i="23"/>
  <c r="G97" i="23"/>
  <c r="F97" i="23"/>
  <c r="G96" i="23"/>
  <c r="F96" i="23"/>
  <c r="G95" i="23"/>
  <c r="F95" i="23"/>
  <c r="G94" i="23"/>
  <c r="F94" i="23"/>
  <c r="G93" i="23"/>
  <c r="F93" i="23"/>
  <c r="G92" i="23"/>
  <c r="F92" i="23"/>
  <c r="G91" i="23"/>
  <c r="F91" i="23"/>
  <c r="G90" i="23"/>
  <c r="F90" i="23"/>
  <c r="G89" i="23"/>
  <c r="F89" i="23"/>
  <c r="G88" i="23"/>
  <c r="F88" i="23"/>
  <c r="G87" i="23"/>
  <c r="F87" i="23"/>
  <c r="G86" i="23"/>
  <c r="F86" i="23"/>
  <c r="G85" i="23"/>
  <c r="F85" i="23"/>
  <c r="G84" i="23"/>
  <c r="F84" i="23"/>
  <c r="G83" i="23"/>
  <c r="F83" i="23"/>
  <c r="G82" i="23"/>
  <c r="F82" i="23"/>
  <c r="G81" i="23"/>
  <c r="F81" i="23"/>
  <c r="G80" i="23"/>
  <c r="F80" i="23"/>
  <c r="G79" i="23"/>
  <c r="F79" i="23"/>
  <c r="G78" i="23"/>
  <c r="F78" i="23"/>
  <c r="G77" i="23"/>
  <c r="F77" i="23"/>
  <c r="G76" i="23"/>
  <c r="F76" i="23"/>
  <c r="G75" i="23"/>
  <c r="F75" i="23"/>
  <c r="G74" i="23"/>
  <c r="F74" i="23"/>
  <c r="G73" i="23"/>
  <c r="F73" i="23"/>
  <c r="G72" i="23"/>
  <c r="F72" i="23"/>
  <c r="G71" i="23"/>
  <c r="F71" i="23"/>
  <c r="G70" i="23"/>
  <c r="F70" i="23"/>
  <c r="G69" i="23"/>
  <c r="F69" i="23"/>
  <c r="G68" i="23"/>
  <c r="F68" i="23"/>
  <c r="G67" i="23"/>
  <c r="F67" i="23"/>
  <c r="G66" i="23"/>
  <c r="F66" i="23"/>
  <c r="G65" i="23"/>
  <c r="F65" i="23"/>
  <c r="G64" i="23"/>
  <c r="F64" i="23"/>
  <c r="G63" i="23"/>
  <c r="F63" i="23"/>
  <c r="G62" i="23"/>
  <c r="F62" i="23"/>
  <c r="G61" i="23"/>
  <c r="F61" i="23"/>
  <c r="G60" i="23"/>
  <c r="F60" i="23"/>
  <c r="G59" i="23"/>
  <c r="F59" i="23"/>
  <c r="G58" i="23"/>
  <c r="F58" i="23"/>
  <c r="G57" i="23"/>
  <c r="F57" i="23"/>
  <c r="G56" i="23"/>
  <c r="F56" i="23"/>
  <c r="G55" i="23"/>
  <c r="F55" i="23"/>
  <c r="G54" i="23"/>
  <c r="F54" i="23"/>
  <c r="G53" i="23"/>
  <c r="F53" i="23"/>
  <c r="G52" i="23"/>
  <c r="F52" i="23"/>
  <c r="G51" i="23"/>
  <c r="F51" i="23"/>
  <c r="G50" i="23"/>
  <c r="F50" i="23"/>
  <c r="G49" i="23"/>
  <c r="F49" i="23"/>
  <c r="G48" i="23"/>
  <c r="F48" i="23"/>
  <c r="G47" i="23"/>
  <c r="F47" i="23"/>
  <c r="G46" i="23"/>
  <c r="F46" i="23"/>
  <c r="G45" i="23"/>
  <c r="F45" i="23"/>
  <c r="G44" i="23"/>
  <c r="F44" i="23"/>
  <c r="G43" i="23"/>
  <c r="F43" i="23"/>
  <c r="G42" i="23"/>
  <c r="F42" i="23"/>
  <c r="G41" i="23"/>
  <c r="F41" i="23"/>
  <c r="G40" i="23"/>
  <c r="F40" i="23"/>
  <c r="G39" i="23"/>
  <c r="F39" i="23"/>
  <c r="G38" i="23"/>
  <c r="F38" i="23"/>
  <c r="G37" i="23"/>
  <c r="F37" i="23"/>
  <c r="G36" i="23"/>
  <c r="F36" i="23"/>
  <c r="G35" i="23"/>
  <c r="F35" i="23"/>
  <c r="G34" i="23"/>
  <c r="F34" i="23"/>
  <c r="G33" i="23"/>
  <c r="F33" i="23"/>
  <c r="G32" i="23"/>
  <c r="F32" i="23"/>
  <c r="G31" i="23"/>
  <c r="F31" i="23"/>
  <c r="G30" i="23"/>
  <c r="F30" i="23"/>
  <c r="G29" i="23"/>
  <c r="F29" i="23"/>
  <c r="G28" i="23"/>
  <c r="F28" i="23"/>
  <c r="G27" i="23"/>
  <c r="F27" i="23"/>
  <c r="G26" i="23"/>
  <c r="F26" i="23"/>
  <c r="G25" i="23"/>
  <c r="F25" i="23"/>
  <c r="G24" i="23"/>
  <c r="F24" i="23"/>
  <c r="G23" i="23"/>
  <c r="F23" i="23"/>
  <c r="G22" i="23"/>
  <c r="F22" i="23"/>
  <c r="G21" i="23"/>
  <c r="F21" i="23"/>
  <c r="G20" i="23"/>
  <c r="F20" i="23"/>
  <c r="G19" i="23"/>
  <c r="F19" i="23"/>
  <c r="G18" i="23"/>
  <c r="F18" i="23"/>
  <c r="G17" i="23"/>
  <c r="F17" i="23"/>
  <c r="G16" i="23"/>
  <c r="F16" i="23"/>
  <c r="G15" i="23"/>
  <c r="F15" i="23"/>
  <c r="G14" i="23"/>
  <c r="F14" i="23"/>
  <c r="G13" i="23"/>
  <c r="F13" i="23"/>
  <c r="G12" i="23"/>
  <c r="F12" i="23"/>
  <c r="G11" i="23"/>
  <c r="F11" i="23"/>
  <c r="G10" i="23"/>
  <c r="F10" i="23"/>
  <c r="G9" i="23"/>
  <c r="F9" i="23"/>
  <c r="G8" i="23"/>
  <c r="F8" i="23"/>
  <c r="G7" i="23"/>
  <c r="F7" i="23"/>
  <c r="G6" i="23"/>
  <c r="F6" i="23"/>
  <c r="G5" i="23"/>
  <c r="F5" i="23"/>
  <c r="G4" i="23"/>
  <c r="F4" i="23"/>
  <c r="G206" i="27"/>
  <c r="F206" i="27"/>
  <c r="G205" i="27"/>
  <c r="F205" i="27"/>
  <c r="G204" i="27"/>
  <c r="F204" i="27"/>
  <c r="G203" i="27"/>
  <c r="F203" i="27"/>
  <c r="G202" i="27"/>
  <c r="F202" i="27"/>
  <c r="G201" i="27"/>
  <c r="F201" i="27"/>
  <c r="G200" i="27"/>
  <c r="F200" i="27"/>
  <c r="G199" i="27"/>
  <c r="F199" i="27"/>
  <c r="G198" i="27"/>
  <c r="F198" i="27"/>
  <c r="G197" i="27"/>
  <c r="F197" i="27"/>
  <c r="G196" i="27"/>
  <c r="F196" i="27"/>
  <c r="G195" i="27"/>
  <c r="F195" i="27"/>
  <c r="G194" i="27"/>
  <c r="F194" i="27"/>
  <c r="G193" i="27"/>
  <c r="F193" i="27"/>
  <c r="G192" i="27"/>
  <c r="F192" i="27"/>
  <c r="G191" i="27"/>
  <c r="F191" i="27"/>
  <c r="G190" i="27"/>
  <c r="F190" i="27"/>
  <c r="G189" i="27"/>
  <c r="F189" i="27"/>
  <c r="G188" i="27"/>
  <c r="F188" i="27"/>
  <c r="G187" i="27"/>
  <c r="F187" i="27"/>
  <c r="G186" i="27"/>
  <c r="F186" i="27"/>
  <c r="G185" i="27"/>
  <c r="F185" i="27"/>
  <c r="G184" i="27"/>
  <c r="F184" i="27"/>
  <c r="G183" i="27"/>
  <c r="F183" i="27"/>
  <c r="G182" i="27"/>
  <c r="F182" i="27"/>
  <c r="G181" i="27"/>
  <c r="F181" i="27"/>
  <c r="G180" i="27"/>
  <c r="F180" i="27"/>
  <c r="G179" i="27"/>
  <c r="F179" i="27"/>
  <c r="G178" i="27"/>
  <c r="F178" i="27"/>
  <c r="G177" i="27"/>
  <c r="F177" i="27"/>
  <c r="G176" i="27"/>
  <c r="F176" i="27"/>
  <c r="G175" i="27"/>
  <c r="F175" i="27"/>
  <c r="G174" i="27"/>
  <c r="F174" i="27"/>
  <c r="G173" i="27"/>
  <c r="F173" i="27"/>
  <c r="G172" i="27"/>
  <c r="F172" i="27"/>
  <c r="G171" i="27"/>
  <c r="F171" i="27"/>
  <c r="G170" i="27"/>
  <c r="F170" i="27"/>
  <c r="G169" i="27"/>
  <c r="F169" i="27"/>
  <c r="G168" i="27"/>
  <c r="F168" i="27"/>
  <c r="G167" i="27"/>
  <c r="F167" i="27"/>
  <c r="G166" i="27"/>
  <c r="F166" i="27"/>
  <c r="G165" i="27"/>
  <c r="F165" i="27"/>
  <c r="G164" i="27"/>
  <c r="F164" i="27"/>
  <c r="G163" i="27"/>
  <c r="F163" i="27"/>
  <c r="G162" i="27"/>
  <c r="F162" i="27"/>
  <c r="G161" i="27"/>
  <c r="F161" i="27"/>
  <c r="G160" i="27"/>
  <c r="F160" i="27"/>
  <c r="G159" i="27"/>
  <c r="F159" i="27"/>
  <c r="G158" i="27"/>
  <c r="F158" i="27"/>
  <c r="G157" i="27"/>
  <c r="F157" i="27"/>
  <c r="G156" i="27"/>
  <c r="F156" i="27"/>
  <c r="G155" i="27"/>
  <c r="F155" i="27"/>
  <c r="G154" i="27"/>
  <c r="F154" i="27"/>
  <c r="G153" i="27"/>
  <c r="F153" i="27"/>
  <c r="G152" i="27"/>
  <c r="F152" i="27"/>
  <c r="G151" i="27"/>
  <c r="F151" i="27"/>
  <c r="G150" i="27"/>
  <c r="F150" i="27"/>
  <c r="G149" i="27"/>
  <c r="F149" i="27"/>
  <c r="G148" i="27"/>
  <c r="F148" i="27"/>
  <c r="G147" i="27"/>
  <c r="F147" i="27"/>
  <c r="G146" i="27"/>
  <c r="F146" i="27"/>
  <c r="G145" i="27"/>
  <c r="F145" i="27"/>
  <c r="G144" i="27"/>
  <c r="F144" i="27"/>
  <c r="G143" i="27"/>
  <c r="F143" i="27"/>
  <c r="G142" i="27"/>
  <c r="F142" i="27"/>
  <c r="G141" i="27"/>
  <c r="F141" i="27"/>
  <c r="G140" i="27"/>
  <c r="F140" i="27"/>
  <c r="G139" i="27"/>
  <c r="F139" i="27"/>
  <c r="G138" i="27"/>
  <c r="F138" i="27"/>
  <c r="G137" i="27"/>
  <c r="F137" i="27"/>
  <c r="G136" i="27"/>
  <c r="F136" i="27"/>
  <c r="G133" i="27"/>
  <c r="F133" i="27"/>
  <c r="G132" i="27"/>
  <c r="F132" i="27"/>
  <c r="G131" i="27"/>
  <c r="F131" i="27"/>
  <c r="G130" i="27"/>
  <c r="F130" i="27"/>
  <c r="G129" i="27"/>
  <c r="F129" i="27"/>
  <c r="G128" i="27"/>
  <c r="F128" i="27"/>
  <c r="G127" i="27"/>
  <c r="F127" i="27"/>
  <c r="G126" i="27"/>
  <c r="F126" i="27"/>
  <c r="G125" i="27"/>
  <c r="F125" i="27"/>
  <c r="G124" i="27"/>
  <c r="F124" i="27"/>
  <c r="G122" i="27"/>
  <c r="F122" i="27"/>
  <c r="G121" i="27"/>
  <c r="F121" i="27"/>
  <c r="G120" i="27"/>
  <c r="F120" i="27"/>
  <c r="G119" i="27"/>
  <c r="F119" i="27"/>
  <c r="G118" i="27"/>
  <c r="F118" i="27"/>
  <c r="G117" i="27"/>
  <c r="F117" i="27"/>
  <c r="G116" i="27"/>
  <c r="F116" i="27"/>
  <c r="G115" i="27"/>
  <c r="F115" i="27"/>
  <c r="G114" i="27"/>
  <c r="F114" i="27"/>
  <c r="G113" i="27"/>
  <c r="F113" i="27"/>
  <c r="G112" i="27"/>
  <c r="F112" i="27"/>
  <c r="G111" i="27"/>
  <c r="F111" i="27"/>
  <c r="G110" i="27"/>
  <c r="F110" i="27"/>
  <c r="G109" i="27"/>
  <c r="F109" i="27"/>
  <c r="G108" i="27"/>
  <c r="F108" i="27"/>
  <c r="G107" i="27"/>
  <c r="F107" i="27"/>
  <c r="G106" i="27"/>
  <c r="F106" i="27"/>
  <c r="G105" i="27"/>
  <c r="F105" i="27"/>
  <c r="G104" i="27"/>
  <c r="F104" i="27"/>
  <c r="G103" i="27"/>
  <c r="F103" i="27"/>
  <c r="G102" i="27"/>
  <c r="F102" i="27"/>
  <c r="G101" i="27"/>
  <c r="F101" i="27"/>
  <c r="G100" i="27"/>
  <c r="F100" i="27"/>
  <c r="G99" i="27"/>
  <c r="F99" i="27"/>
  <c r="G98" i="27"/>
  <c r="F98" i="27"/>
  <c r="G97" i="27"/>
  <c r="F97" i="27"/>
  <c r="G96" i="27"/>
  <c r="F96" i="27"/>
  <c r="G95" i="27"/>
  <c r="F95" i="27"/>
  <c r="G94" i="27"/>
  <c r="F94" i="27"/>
  <c r="G93" i="27"/>
  <c r="F93" i="27"/>
  <c r="G92" i="27"/>
  <c r="F92" i="27"/>
  <c r="G91" i="27"/>
  <c r="F91" i="27"/>
  <c r="G90" i="27"/>
  <c r="F90" i="27"/>
  <c r="G89" i="27"/>
  <c r="F89" i="27"/>
  <c r="G88" i="27"/>
  <c r="F88" i="27"/>
  <c r="G87" i="27"/>
  <c r="F87" i="27"/>
  <c r="G86" i="27"/>
  <c r="F86" i="27"/>
  <c r="G85" i="27"/>
  <c r="F85" i="27"/>
  <c r="G84" i="27"/>
  <c r="F84" i="27"/>
  <c r="G83" i="27"/>
  <c r="F83" i="27"/>
  <c r="G82" i="27"/>
  <c r="F82" i="27"/>
  <c r="G81" i="27"/>
  <c r="F81" i="27"/>
  <c r="G80" i="27"/>
  <c r="F80" i="27"/>
  <c r="G79" i="27"/>
  <c r="F79" i="27"/>
  <c r="G78" i="27"/>
  <c r="F78" i="27"/>
  <c r="G77" i="27"/>
  <c r="F77" i="27"/>
  <c r="G76" i="27"/>
  <c r="F76" i="27"/>
  <c r="G75" i="27"/>
  <c r="F75" i="27"/>
  <c r="G74" i="27"/>
  <c r="F74" i="27"/>
  <c r="G73" i="27"/>
  <c r="F73" i="27"/>
  <c r="G72" i="27"/>
  <c r="F72" i="27"/>
  <c r="G71" i="27"/>
  <c r="F71" i="27"/>
  <c r="G70" i="27"/>
  <c r="F70" i="27"/>
  <c r="G69" i="27"/>
  <c r="F69" i="27"/>
  <c r="G68" i="27"/>
  <c r="F68" i="27"/>
  <c r="G67" i="27"/>
  <c r="F67" i="27"/>
  <c r="G66" i="27"/>
  <c r="F66" i="27"/>
  <c r="G65" i="27"/>
  <c r="F65" i="27"/>
  <c r="G64" i="27"/>
  <c r="F64" i="27"/>
  <c r="G63" i="27"/>
  <c r="F63" i="27"/>
  <c r="G62" i="27"/>
  <c r="F62" i="27"/>
  <c r="G61" i="27"/>
  <c r="F61" i="27"/>
  <c r="G60" i="27"/>
  <c r="F60" i="27"/>
  <c r="G59" i="27"/>
  <c r="F59" i="27"/>
  <c r="G58" i="27"/>
  <c r="F58" i="27"/>
  <c r="G57" i="27"/>
  <c r="F57" i="27"/>
  <c r="G56" i="27"/>
  <c r="F56" i="27"/>
  <c r="G55" i="27"/>
  <c r="F55" i="27"/>
  <c r="G54" i="27"/>
  <c r="F54" i="27"/>
  <c r="G53" i="27"/>
  <c r="F53" i="27"/>
  <c r="G52" i="27"/>
  <c r="F52" i="27"/>
  <c r="G51" i="27"/>
  <c r="F51" i="27"/>
  <c r="G50" i="27"/>
  <c r="F50" i="27"/>
  <c r="G49" i="27"/>
  <c r="F49" i="27"/>
  <c r="G48" i="27"/>
  <c r="F48" i="27"/>
  <c r="G47" i="27"/>
  <c r="F47" i="27"/>
  <c r="G46" i="27"/>
  <c r="F46" i="27"/>
  <c r="G45" i="27"/>
  <c r="F45" i="27"/>
  <c r="G44" i="27"/>
  <c r="F44" i="27"/>
  <c r="G43" i="27"/>
  <c r="F43" i="27"/>
  <c r="G42" i="27"/>
  <c r="F42" i="27"/>
  <c r="G41" i="27"/>
  <c r="F41" i="27"/>
  <c r="G40" i="27"/>
  <c r="F40" i="27"/>
  <c r="G39" i="27"/>
  <c r="F39" i="27"/>
  <c r="G38" i="27"/>
  <c r="F38" i="27"/>
  <c r="G37" i="27"/>
  <c r="F37" i="27"/>
  <c r="G36" i="27"/>
  <c r="F36" i="27"/>
  <c r="G35" i="27"/>
  <c r="F35" i="27"/>
  <c r="G34" i="27"/>
  <c r="F34" i="27"/>
  <c r="G33" i="27"/>
  <c r="F33" i="27"/>
  <c r="G32" i="27"/>
  <c r="F32" i="27"/>
  <c r="G31" i="27"/>
  <c r="F31" i="27"/>
  <c r="G30" i="27"/>
  <c r="F30" i="27"/>
  <c r="G29" i="27"/>
  <c r="F29" i="27"/>
  <c r="G28" i="27"/>
  <c r="F28" i="27"/>
  <c r="G27" i="27"/>
  <c r="F27" i="27"/>
  <c r="G26" i="27"/>
  <c r="F26" i="27"/>
  <c r="G25" i="27"/>
  <c r="F25" i="27"/>
  <c r="G24" i="27"/>
  <c r="F24" i="27"/>
  <c r="G23" i="27"/>
  <c r="F23" i="27"/>
  <c r="G22" i="27"/>
  <c r="F22" i="27"/>
  <c r="G21" i="27"/>
  <c r="F21" i="27"/>
  <c r="G20" i="27"/>
  <c r="F20" i="27"/>
  <c r="G19" i="27"/>
  <c r="F19" i="27"/>
  <c r="G18" i="27"/>
  <c r="F18" i="27"/>
  <c r="G17" i="27"/>
  <c r="F17" i="27"/>
  <c r="G16" i="27"/>
  <c r="F16" i="27"/>
  <c r="G15" i="27"/>
  <c r="F15" i="27"/>
  <c r="G14" i="27"/>
  <c r="F14" i="27"/>
  <c r="G13" i="27"/>
  <c r="F13" i="27"/>
  <c r="G12" i="27"/>
  <c r="F12" i="27"/>
  <c r="G11" i="27"/>
  <c r="F11" i="27"/>
  <c r="G10" i="27"/>
  <c r="F10" i="27"/>
  <c r="G9" i="27"/>
  <c r="F9" i="27"/>
  <c r="G8" i="27"/>
  <c r="F8" i="27"/>
  <c r="G7" i="27"/>
  <c r="F7" i="27"/>
  <c r="G6" i="27"/>
  <c r="F6" i="27"/>
  <c r="G5" i="27"/>
  <c r="F5" i="27"/>
  <c r="G4" i="27"/>
  <c r="F4" i="27"/>
  <c r="G206" i="28"/>
  <c r="F206" i="28"/>
  <c r="G205" i="28"/>
  <c r="F205" i="28"/>
  <c r="G204" i="28"/>
  <c r="F204" i="28"/>
  <c r="G203" i="28"/>
  <c r="F203" i="28"/>
  <c r="G202" i="28"/>
  <c r="F202" i="28"/>
  <c r="G201" i="28"/>
  <c r="F201" i="28"/>
  <c r="G200" i="28"/>
  <c r="F200" i="28"/>
  <c r="G199" i="28"/>
  <c r="F199" i="28"/>
  <c r="G198" i="28"/>
  <c r="F198" i="28"/>
  <c r="G197" i="28"/>
  <c r="F197" i="28"/>
  <c r="G196" i="28"/>
  <c r="F196" i="28"/>
  <c r="G195" i="28"/>
  <c r="F195" i="28"/>
  <c r="G194" i="28"/>
  <c r="F194" i="28"/>
  <c r="G193" i="28"/>
  <c r="F193" i="28"/>
  <c r="G192" i="28"/>
  <c r="F192" i="28"/>
  <c r="G191" i="28"/>
  <c r="F191" i="28"/>
  <c r="G190" i="28"/>
  <c r="F190" i="28"/>
  <c r="G189" i="28"/>
  <c r="F189" i="28"/>
  <c r="G188" i="28"/>
  <c r="F188" i="28"/>
  <c r="G187" i="28"/>
  <c r="F187" i="28"/>
  <c r="G186" i="28"/>
  <c r="F186" i="28"/>
  <c r="G185" i="28"/>
  <c r="F185" i="28"/>
  <c r="G184" i="28"/>
  <c r="F184" i="28"/>
  <c r="G183" i="28"/>
  <c r="F183" i="28"/>
  <c r="G182" i="28"/>
  <c r="F182" i="28"/>
  <c r="G181" i="28"/>
  <c r="F181" i="28"/>
  <c r="G180" i="28"/>
  <c r="F180" i="28"/>
  <c r="G179" i="28"/>
  <c r="F179" i="28"/>
  <c r="G178" i="28"/>
  <c r="F178" i="28"/>
  <c r="G177" i="28"/>
  <c r="F177" i="28"/>
  <c r="G176" i="28"/>
  <c r="F176" i="28"/>
  <c r="G175" i="28"/>
  <c r="F175" i="28"/>
  <c r="G174" i="28"/>
  <c r="F174" i="28"/>
  <c r="G173" i="28"/>
  <c r="F173" i="28"/>
  <c r="G172" i="28"/>
  <c r="F172" i="28"/>
  <c r="G171" i="28"/>
  <c r="F171" i="28"/>
  <c r="G170" i="28"/>
  <c r="F170" i="28"/>
  <c r="G169" i="28"/>
  <c r="F169" i="28"/>
  <c r="G168" i="28"/>
  <c r="F168" i="28"/>
  <c r="G167" i="28"/>
  <c r="F167" i="28"/>
  <c r="G166" i="28"/>
  <c r="F166" i="28"/>
  <c r="G165" i="28"/>
  <c r="F165" i="28"/>
  <c r="G164" i="28"/>
  <c r="F164" i="28"/>
  <c r="G163" i="28"/>
  <c r="F163" i="28"/>
  <c r="G162" i="28"/>
  <c r="F162" i="28"/>
  <c r="G161" i="28"/>
  <c r="F161" i="28"/>
  <c r="G160" i="28"/>
  <c r="F160" i="28"/>
  <c r="G159" i="28"/>
  <c r="F159" i="28"/>
  <c r="G158" i="28"/>
  <c r="F158" i="28"/>
  <c r="G157" i="28"/>
  <c r="F157" i="28"/>
  <c r="G156" i="28"/>
  <c r="F156" i="28"/>
  <c r="G155" i="28"/>
  <c r="F155" i="28"/>
  <c r="G154" i="28"/>
  <c r="F154" i="28"/>
  <c r="G153" i="28"/>
  <c r="F153" i="28"/>
  <c r="G152" i="28"/>
  <c r="F152" i="28"/>
  <c r="G151" i="28"/>
  <c r="F151" i="28"/>
  <c r="G150" i="28"/>
  <c r="F150" i="28"/>
  <c r="G149" i="28"/>
  <c r="F149" i="28"/>
  <c r="G148" i="28"/>
  <c r="F148" i="28"/>
  <c r="G147" i="28"/>
  <c r="F147" i="28"/>
  <c r="G146" i="28"/>
  <c r="F146" i="28"/>
  <c r="G145" i="28"/>
  <c r="F145" i="28"/>
  <c r="G144" i="28"/>
  <c r="F144" i="28"/>
  <c r="G143" i="28"/>
  <c r="F143" i="28"/>
  <c r="G142" i="28"/>
  <c r="F142" i="28"/>
  <c r="G141" i="28"/>
  <c r="F141" i="28"/>
  <c r="G140" i="28"/>
  <c r="F140" i="28"/>
  <c r="G139" i="28"/>
  <c r="F139" i="28"/>
  <c r="G138" i="28"/>
  <c r="F138" i="28"/>
  <c r="G137" i="28"/>
  <c r="F137" i="28"/>
  <c r="G136" i="28"/>
  <c r="F136" i="28"/>
  <c r="G135" i="28"/>
  <c r="F135" i="28"/>
  <c r="G133" i="28"/>
  <c r="F133" i="28"/>
  <c r="G132" i="28"/>
  <c r="F132" i="28"/>
  <c r="G131" i="28"/>
  <c r="F131" i="28"/>
  <c r="G130" i="28"/>
  <c r="F130" i="28"/>
  <c r="G129" i="28"/>
  <c r="F129" i="28"/>
  <c r="G128" i="28"/>
  <c r="F128" i="28"/>
  <c r="G127" i="28"/>
  <c r="F127" i="28"/>
  <c r="G126" i="28"/>
  <c r="F126" i="28"/>
  <c r="G125" i="28"/>
  <c r="F125" i="28"/>
  <c r="G124" i="28"/>
  <c r="F124" i="28"/>
  <c r="G122" i="28"/>
  <c r="F122" i="28"/>
  <c r="G121" i="28"/>
  <c r="F121" i="28"/>
  <c r="G120" i="28"/>
  <c r="F120" i="28"/>
  <c r="G119" i="28"/>
  <c r="F119" i="28"/>
  <c r="G118" i="28"/>
  <c r="F118" i="28"/>
  <c r="G117" i="28"/>
  <c r="F117" i="28"/>
  <c r="G116" i="28"/>
  <c r="F116" i="28"/>
  <c r="G115" i="28"/>
  <c r="F115" i="28"/>
  <c r="G114" i="28"/>
  <c r="F114" i="28"/>
  <c r="G113" i="28"/>
  <c r="F113" i="28"/>
  <c r="G112" i="28"/>
  <c r="F112" i="28"/>
  <c r="G111" i="28"/>
  <c r="F111" i="28"/>
  <c r="G110" i="28"/>
  <c r="F110" i="28"/>
  <c r="G109" i="28"/>
  <c r="F109" i="28"/>
  <c r="G108" i="28"/>
  <c r="F108" i="28"/>
  <c r="G107" i="28"/>
  <c r="F107" i="28"/>
  <c r="G106" i="28"/>
  <c r="F106" i="28"/>
  <c r="G105" i="28"/>
  <c r="F105" i="28"/>
  <c r="G104" i="28"/>
  <c r="F104" i="28"/>
  <c r="G103" i="28"/>
  <c r="F103" i="28"/>
  <c r="G102" i="28"/>
  <c r="F102" i="28"/>
  <c r="G101" i="28"/>
  <c r="F101" i="28"/>
  <c r="G100" i="28"/>
  <c r="F100" i="28"/>
  <c r="G99" i="28"/>
  <c r="F99" i="28"/>
  <c r="G98" i="28"/>
  <c r="F98" i="28"/>
  <c r="G97" i="28"/>
  <c r="F97" i="28"/>
  <c r="G96" i="28"/>
  <c r="F96" i="28"/>
  <c r="G95" i="28"/>
  <c r="F95" i="28"/>
  <c r="G94" i="28"/>
  <c r="F94" i="28"/>
  <c r="G93" i="28"/>
  <c r="F93" i="28"/>
  <c r="G92" i="28"/>
  <c r="F92" i="28"/>
  <c r="G91" i="28"/>
  <c r="F91" i="28"/>
  <c r="G90" i="28"/>
  <c r="F90" i="28"/>
  <c r="G89" i="28"/>
  <c r="F89" i="28"/>
  <c r="G88" i="28"/>
  <c r="F88" i="28"/>
  <c r="G87" i="28"/>
  <c r="F87" i="28"/>
  <c r="G86" i="28"/>
  <c r="F86" i="28"/>
  <c r="G85" i="28"/>
  <c r="F85" i="28"/>
  <c r="G84" i="28"/>
  <c r="F84" i="28"/>
  <c r="G83" i="28"/>
  <c r="F83" i="28"/>
  <c r="G82" i="28"/>
  <c r="F82" i="28"/>
  <c r="G81" i="28"/>
  <c r="F81" i="28"/>
  <c r="G80" i="28"/>
  <c r="F80" i="28"/>
  <c r="G79" i="28"/>
  <c r="F79" i="28"/>
  <c r="G78" i="28"/>
  <c r="F78" i="28"/>
  <c r="G77" i="28"/>
  <c r="F77" i="28"/>
  <c r="G76" i="28"/>
  <c r="F76" i="28"/>
  <c r="G75" i="28"/>
  <c r="F75" i="28"/>
  <c r="G74" i="28"/>
  <c r="F74" i="28"/>
  <c r="G73" i="28"/>
  <c r="F73" i="28"/>
  <c r="G72" i="28"/>
  <c r="F72" i="28"/>
  <c r="G71" i="28"/>
  <c r="F71" i="28"/>
  <c r="G70" i="28"/>
  <c r="F70" i="28"/>
  <c r="G69" i="28"/>
  <c r="F69" i="28"/>
  <c r="G68" i="28"/>
  <c r="F68" i="28"/>
  <c r="G67" i="28"/>
  <c r="F67" i="28"/>
  <c r="G66" i="28"/>
  <c r="F66" i="28"/>
  <c r="G65" i="28"/>
  <c r="F65" i="28"/>
  <c r="G64" i="28"/>
  <c r="F64" i="28"/>
  <c r="G63" i="28"/>
  <c r="F63" i="28"/>
  <c r="G62" i="28"/>
  <c r="F62" i="28"/>
  <c r="G61" i="28"/>
  <c r="F61" i="28"/>
  <c r="G60" i="28"/>
  <c r="F60" i="28"/>
  <c r="G59" i="28"/>
  <c r="F59" i="28"/>
  <c r="G58" i="28"/>
  <c r="F58" i="28"/>
  <c r="G57" i="28"/>
  <c r="F57" i="28"/>
  <c r="G56" i="28"/>
  <c r="F56" i="28"/>
  <c r="G55" i="28"/>
  <c r="F55" i="28"/>
  <c r="G54" i="28"/>
  <c r="F54" i="28"/>
  <c r="G53" i="28"/>
  <c r="F53" i="28"/>
  <c r="G52" i="28"/>
  <c r="F52" i="28"/>
  <c r="G51" i="28"/>
  <c r="F51" i="28"/>
  <c r="G50" i="28"/>
  <c r="F50" i="28"/>
  <c r="G49" i="28"/>
  <c r="F49" i="28"/>
  <c r="G48" i="28"/>
  <c r="F48" i="28"/>
  <c r="G47" i="28"/>
  <c r="F47" i="28"/>
  <c r="G46" i="28"/>
  <c r="F46" i="28"/>
  <c r="G45" i="28"/>
  <c r="F45" i="28"/>
  <c r="G44" i="28"/>
  <c r="F44" i="28"/>
  <c r="G43" i="28"/>
  <c r="F43" i="28"/>
  <c r="G42" i="28"/>
  <c r="F42" i="28"/>
  <c r="G41" i="28"/>
  <c r="F41" i="28"/>
  <c r="G40" i="28"/>
  <c r="F40" i="28"/>
  <c r="G39" i="28"/>
  <c r="F39" i="28"/>
  <c r="G38" i="28"/>
  <c r="F38" i="28"/>
  <c r="G37" i="28"/>
  <c r="F37" i="28"/>
  <c r="G36" i="28"/>
  <c r="F36" i="28"/>
  <c r="G35" i="28"/>
  <c r="F35" i="28"/>
  <c r="G34" i="28"/>
  <c r="F34" i="28"/>
  <c r="G33" i="28"/>
  <c r="F33" i="28"/>
  <c r="G32" i="28"/>
  <c r="F32" i="28"/>
  <c r="G31" i="28"/>
  <c r="F31" i="28"/>
  <c r="G30" i="28"/>
  <c r="F30" i="28"/>
  <c r="G29" i="28"/>
  <c r="F29" i="28"/>
  <c r="G28" i="28"/>
  <c r="F28" i="28"/>
  <c r="G27" i="28"/>
  <c r="F27" i="28"/>
  <c r="G26" i="28"/>
  <c r="F26" i="28"/>
  <c r="G25" i="28"/>
  <c r="F25" i="28"/>
  <c r="G24" i="28"/>
  <c r="F24" i="28"/>
  <c r="G23" i="28"/>
  <c r="F23" i="28"/>
  <c r="G22" i="28"/>
  <c r="F22" i="28"/>
  <c r="G21" i="28"/>
  <c r="F21" i="28"/>
  <c r="G20" i="28"/>
  <c r="F20" i="28"/>
  <c r="G19" i="28"/>
  <c r="F19" i="28"/>
  <c r="G18" i="28"/>
  <c r="F18" i="28"/>
  <c r="G17" i="28"/>
  <c r="F17" i="28"/>
  <c r="G16" i="28"/>
  <c r="F16" i="28"/>
  <c r="G15" i="28"/>
  <c r="F15" i="28"/>
  <c r="G14" i="28"/>
  <c r="F14" i="28"/>
  <c r="G13" i="28"/>
  <c r="F13" i="28"/>
  <c r="G12" i="28"/>
  <c r="F12" i="28"/>
  <c r="G11" i="28"/>
  <c r="F11" i="28"/>
  <c r="G10" i="28"/>
  <c r="F10" i="28"/>
  <c r="G9" i="28"/>
  <c r="F9" i="28"/>
  <c r="G8" i="28"/>
  <c r="F8" i="28"/>
  <c r="G7" i="28"/>
  <c r="F7" i="28"/>
  <c r="G6" i="28"/>
  <c r="F6" i="28"/>
  <c r="G5" i="28"/>
  <c r="F5" i="28"/>
  <c r="G4" i="28"/>
  <c r="F4" i="28"/>
  <c r="G206" i="20"/>
  <c r="F206" i="20"/>
  <c r="G205" i="20"/>
  <c r="F205" i="20"/>
  <c r="G204" i="20"/>
  <c r="F204" i="20"/>
  <c r="G203" i="20"/>
  <c r="F203" i="20"/>
  <c r="G202" i="20"/>
  <c r="F202" i="20"/>
  <c r="G201" i="20"/>
  <c r="F201" i="20"/>
  <c r="G200" i="20"/>
  <c r="F200" i="20"/>
  <c r="G199" i="20"/>
  <c r="F199" i="20"/>
  <c r="G198" i="20"/>
  <c r="F198" i="20"/>
  <c r="G197" i="20"/>
  <c r="F197" i="20"/>
  <c r="G196" i="20"/>
  <c r="F196" i="20"/>
  <c r="G195" i="20"/>
  <c r="F195" i="20"/>
  <c r="G194" i="20"/>
  <c r="F194" i="20"/>
  <c r="G193" i="20"/>
  <c r="F193" i="20"/>
  <c r="G192" i="20"/>
  <c r="F192" i="20"/>
  <c r="G191" i="20"/>
  <c r="F191" i="20"/>
  <c r="G190" i="20"/>
  <c r="F190" i="20"/>
  <c r="G189" i="20"/>
  <c r="F189" i="20"/>
  <c r="G188" i="20"/>
  <c r="F188" i="20"/>
  <c r="G187" i="20"/>
  <c r="F187" i="20"/>
  <c r="G186" i="20"/>
  <c r="F186" i="20"/>
  <c r="G185" i="20"/>
  <c r="F185" i="20"/>
  <c r="G184" i="20"/>
  <c r="F184" i="20"/>
  <c r="G183" i="20"/>
  <c r="F183" i="20"/>
  <c r="G182" i="20"/>
  <c r="F182" i="20"/>
  <c r="G181" i="20"/>
  <c r="F181" i="20"/>
  <c r="G180" i="20"/>
  <c r="F180" i="20"/>
  <c r="G179" i="20"/>
  <c r="F179" i="20"/>
  <c r="G178" i="20"/>
  <c r="F178" i="20"/>
  <c r="G177" i="20"/>
  <c r="F177" i="20"/>
  <c r="G176" i="20"/>
  <c r="F176" i="20"/>
  <c r="G175" i="20"/>
  <c r="F175" i="20"/>
  <c r="G174" i="20"/>
  <c r="F174" i="20"/>
  <c r="G173" i="20"/>
  <c r="F173" i="20"/>
  <c r="G172" i="20"/>
  <c r="F172" i="20"/>
  <c r="G171" i="20"/>
  <c r="F171" i="20"/>
  <c r="G170" i="20"/>
  <c r="F170" i="20"/>
  <c r="G169" i="20"/>
  <c r="F169" i="20"/>
  <c r="G168" i="20"/>
  <c r="F168" i="20"/>
  <c r="G167" i="20"/>
  <c r="F167" i="20"/>
  <c r="G166" i="20"/>
  <c r="F166" i="20"/>
  <c r="G165" i="20"/>
  <c r="F165" i="20"/>
  <c r="G164" i="20"/>
  <c r="F164" i="20"/>
  <c r="G163" i="20"/>
  <c r="F163" i="20"/>
  <c r="G162" i="20"/>
  <c r="F162" i="20"/>
  <c r="G161" i="20"/>
  <c r="F161" i="20"/>
  <c r="G160" i="20"/>
  <c r="F160" i="20"/>
  <c r="G159" i="20"/>
  <c r="F159" i="20"/>
  <c r="G158" i="20"/>
  <c r="F158" i="20"/>
  <c r="G157" i="20"/>
  <c r="F157" i="20"/>
  <c r="G156" i="20"/>
  <c r="F156" i="20"/>
  <c r="G155" i="20"/>
  <c r="F155" i="20"/>
  <c r="G154" i="20"/>
  <c r="F154" i="20"/>
  <c r="G153" i="20"/>
  <c r="F153" i="20"/>
  <c r="G152" i="20"/>
  <c r="F152" i="20"/>
  <c r="G151" i="20"/>
  <c r="F151" i="20"/>
  <c r="G150" i="20"/>
  <c r="F150" i="20"/>
  <c r="G149" i="20"/>
  <c r="F149" i="20"/>
  <c r="G148" i="20"/>
  <c r="F148" i="20"/>
  <c r="G147" i="20"/>
  <c r="F147" i="20"/>
  <c r="G146" i="20"/>
  <c r="F146" i="20"/>
  <c r="G145" i="20"/>
  <c r="F145" i="20"/>
  <c r="G144" i="20"/>
  <c r="F144" i="20"/>
  <c r="G143" i="20"/>
  <c r="F143" i="20"/>
  <c r="G142" i="20"/>
  <c r="F142" i="20"/>
  <c r="G141" i="20"/>
  <c r="F141" i="20"/>
  <c r="G140" i="20"/>
  <c r="F140" i="20"/>
  <c r="G139" i="20"/>
  <c r="F139" i="20"/>
  <c r="G138" i="20"/>
  <c r="F138" i="20"/>
  <c r="G137" i="20"/>
  <c r="F137" i="20"/>
  <c r="G136" i="20"/>
  <c r="F136" i="20"/>
  <c r="G135" i="20"/>
  <c r="F135" i="20"/>
  <c r="G134" i="20"/>
  <c r="F134" i="20"/>
  <c r="G133" i="20"/>
  <c r="F133" i="20"/>
  <c r="G132" i="20"/>
  <c r="F132" i="20"/>
  <c r="G131" i="20"/>
  <c r="F131" i="20"/>
  <c r="G130" i="20"/>
  <c r="F130" i="20"/>
  <c r="G129" i="20"/>
  <c r="F129" i="20"/>
  <c r="G128" i="20"/>
  <c r="F128" i="20"/>
  <c r="G127" i="20"/>
  <c r="F127" i="20"/>
  <c r="G126" i="20"/>
  <c r="F126" i="20"/>
  <c r="G125" i="20"/>
  <c r="F125" i="20"/>
  <c r="G124" i="20"/>
  <c r="F124" i="20"/>
  <c r="G123" i="20"/>
  <c r="F123" i="20"/>
  <c r="G122" i="20"/>
  <c r="F122" i="20"/>
  <c r="G121" i="20"/>
  <c r="F121" i="20"/>
  <c r="G120" i="20"/>
  <c r="F120" i="20"/>
  <c r="G119" i="20"/>
  <c r="F119" i="20"/>
  <c r="G118" i="20"/>
  <c r="F118" i="20"/>
  <c r="G117" i="20"/>
  <c r="F117" i="20"/>
  <c r="G116" i="20"/>
  <c r="F116" i="20"/>
  <c r="G115" i="20"/>
  <c r="F115" i="20"/>
  <c r="G114" i="20"/>
  <c r="F114" i="20"/>
  <c r="G113" i="20"/>
  <c r="F113" i="20"/>
  <c r="G112" i="20"/>
  <c r="F112" i="20"/>
  <c r="G111" i="20"/>
  <c r="F111" i="20"/>
  <c r="G110" i="20"/>
  <c r="F110" i="20"/>
  <c r="G109" i="20"/>
  <c r="F109" i="20"/>
  <c r="G108" i="20"/>
  <c r="F108" i="20"/>
  <c r="G107" i="20"/>
  <c r="F107" i="20"/>
  <c r="G106" i="20"/>
  <c r="F106" i="20"/>
  <c r="G105" i="20"/>
  <c r="F105" i="20"/>
  <c r="G104" i="20"/>
  <c r="F104" i="20"/>
  <c r="G103" i="20"/>
  <c r="F103" i="20"/>
  <c r="G102" i="20"/>
  <c r="F102" i="20"/>
  <c r="G101" i="20"/>
  <c r="F101" i="20"/>
  <c r="G100" i="20"/>
  <c r="F100" i="20"/>
  <c r="G99" i="20"/>
  <c r="F99" i="20"/>
  <c r="G98" i="20"/>
  <c r="F98" i="20"/>
  <c r="G97" i="20"/>
  <c r="F97" i="20"/>
  <c r="G96" i="20"/>
  <c r="F96" i="20"/>
  <c r="G95" i="20"/>
  <c r="F95" i="20"/>
  <c r="G94" i="20"/>
  <c r="F94" i="20"/>
  <c r="G93" i="20"/>
  <c r="F93" i="20"/>
  <c r="G92" i="20"/>
  <c r="F92" i="20"/>
  <c r="G91" i="20"/>
  <c r="F91" i="20"/>
  <c r="G90" i="20"/>
  <c r="F90" i="20"/>
  <c r="G89" i="20"/>
  <c r="F89" i="20"/>
  <c r="G88" i="20"/>
  <c r="F88" i="20"/>
  <c r="G87" i="20"/>
  <c r="F87" i="20"/>
  <c r="G86" i="20"/>
  <c r="F86" i="20"/>
  <c r="G85" i="20"/>
  <c r="F85" i="20"/>
  <c r="G84" i="20"/>
  <c r="F84" i="20"/>
  <c r="G83" i="20"/>
  <c r="F83" i="20"/>
  <c r="G82" i="20"/>
  <c r="F82" i="20"/>
  <c r="G81" i="20"/>
  <c r="F81" i="20"/>
  <c r="G80" i="20"/>
  <c r="F80" i="20"/>
  <c r="G79" i="20"/>
  <c r="F79" i="20"/>
  <c r="G78" i="20"/>
  <c r="F78" i="20"/>
  <c r="G77" i="20"/>
  <c r="F77" i="20"/>
  <c r="G76" i="20"/>
  <c r="F76" i="20"/>
  <c r="G75" i="20"/>
  <c r="F75" i="20"/>
  <c r="G74" i="20"/>
  <c r="F74" i="20"/>
  <c r="G73" i="20"/>
  <c r="F73" i="20"/>
  <c r="G72" i="20"/>
  <c r="F72" i="20"/>
  <c r="G71" i="20"/>
  <c r="F71" i="20"/>
  <c r="G70" i="20"/>
  <c r="F70" i="20"/>
  <c r="G69" i="20"/>
  <c r="F69" i="20"/>
  <c r="G68" i="20"/>
  <c r="F68" i="20"/>
  <c r="G67" i="20"/>
  <c r="F67" i="20"/>
  <c r="G66" i="20"/>
  <c r="F66" i="20"/>
  <c r="G65" i="20"/>
  <c r="F65" i="20"/>
  <c r="G64" i="20"/>
  <c r="F64" i="20"/>
  <c r="G63" i="20"/>
  <c r="F63" i="20"/>
  <c r="G62" i="20"/>
  <c r="F62" i="20"/>
  <c r="G61" i="20"/>
  <c r="F61" i="20"/>
  <c r="G60" i="20"/>
  <c r="F60" i="20"/>
  <c r="G59" i="20"/>
  <c r="F59" i="20"/>
  <c r="G58" i="20"/>
  <c r="F58" i="20"/>
  <c r="G57" i="20"/>
  <c r="F57" i="20"/>
  <c r="G56" i="20"/>
  <c r="F56" i="20"/>
  <c r="G55" i="20"/>
  <c r="F55" i="20"/>
  <c r="G54" i="20"/>
  <c r="F54" i="20"/>
  <c r="G53" i="20"/>
  <c r="F53" i="20"/>
  <c r="G52" i="20"/>
  <c r="F52" i="20"/>
  <c r="G51" i="20"/>
  <c r="F51" i="20"/>
  <c r="G50" i="20"/>
  <c r="F50" i="20"/>
  <c r="G49" i="20"/>
  <c r="F49" i="20"/>
  <c r="G48" i="20"/>
  <c r="F48" i="20"/>
  <c r="G47" i="20"/>
  <c r="F47" i="20"/>
  <c r="G46" i="20"/>
  <c r="F46" i="20"/>
  <c r="G45" i="20"/>
  <c r="F45" i="20"/>
  <c r="G44" i="20"/>
  <c r="F44" i="20"/>
  <c r="G43" i="20"/>
  <c r="F43" i="20"/>
  <c r="G42" i="20"/>
  <c r="F42" i="20"/>
  <c r="G41" i="20"/>
  <c r="F41" i="20"/>
  <c r="G40" i="20"/>
  <c r="F40" i="20"/>
  <c r="G39" i="20"/>
  <c r="F39" i="20"/>
  <c r="G38" i="20"/>
  <c r="F38" i="20"/>
  <c r="G37" i="20"/>
  <c r="F37" i="20"/>
  <c r="G36" i="20"/>
  <c r="F36" i="20"/>
  <c r="G35" i="20"/>
  <c r="F35" i="20"/>
  <c r="G34" i="20"/>
  <c r="F34" i="20"/>
  <c r="G33" i="20"/>
  <c r="F33" i="20"/>
  <c r="G32" i="20"/>
  <c r="F32" i="20"/>
  <c r="G31" i="20"/>
  <c r="F31" i="20"/>
  <c r="G30" i="20"/>
  <c r="F30" i="20"/>
  <c r="G29" i="20"/>
  <c r="F29" i="20"/>
  <c r="G28" i="20"/>
  <c r="F28" i="20"/>
  <c r="G27" i="20"/>
  <c r="F27" i="20"/>
  <c r="G26" i="20"/>
  <c r="F26" i="20"/>
  <c r="G25" i="20"/>
  <c r="F25" i="20"/>
  <c r="G24" i="20"/>
  <c r="F24" i="20"/>
  <c r="G23" i="20"/>
  <c r="F23" i="20"/>
  <c r="G22" i="20"/>
  <c r="F22" i="20"/>
  <c r="G21" i="20"/>
  <c r="F21" i="20"/>
  <c r="G20" i="20"/>
  <c r="F20" i="20"/>
  <c r="G19" i="20"/>
  <c r="F19" i="20"/>
  <c r="G18" i="20"/>
  <c r="F18" i="20"/>
  <c r="G17" i="20"/>
  <c r="F17" i="20"/>
  <c r="G16" i="20"/>
  <c r="F16" i="20"/>
  <c r="G15" i="20"/>
  <c r="F15" i="20"/>
  <c r="G14" i="20"/>
  <c r="F14" i="20"/>
  <c r="G13" i="20"/>
  <c r="F13" i="20"/>
  <c r="G12" i="20"/>
  <c r="F12" i="20"/>
  <c r="G11" i="20"/>
  <c r="F11" i="20"/>
  <c r="G10" i="20"/>
  <c r="F10" i="20"/>
  <c r="G9" i="20"/>
  <c r="F9" i="20"/>
  <c r="G8" i="20"/>
  <c r="F8" i="20"/>
  <c r="G7" i="20"/>
  <c r="F7" i="20"/>
  <c r="G6" i="20"/>
  <c r="F6" i="20"/>
  <c r="G5" i="20"/>
  <c r="F5" i="20"/>
  <c r="G4" i="20"/>
  <c r="F4" i="20"/>
  <c r="G3" i="21"/>
  <c r="G3" i="22"/>
  <c r="G3" i="26"/>
  <c r="G3" i="23"/>
  <c r="G3" i="27"/>
  <c r="G3" i="28"/>
  <c r="G3" i="20"/>
  <c r="F3" i="21"/>
  <c r="F3" i="22"/>
  <c r="F3" i="26"/>
  <c r="F3" i="23"/>
  <c r="F3" i="27"/>
  <c r="F3" i="28"/>
  <c r="F3" i="20"/>
  <c r="D98" i="20"/>
  <c r="C98" i="20"/>
  <c r="D97" i="20"/>
  <c r="C97" i="20"/>
  <c r="D96" i="20"/>
  <c r="C96" i="20"/>
  <c r="D95" i="20"/>
  <c r="C95" i="20"/>
  <c r="D94" i="20"/>
  <c r="C94" i="20"/>
  <c r="D93" i="20"/>
  <c r="C93" i="20"/>
  <c r="D92" i="20"/>
  <c r="C92" i="20"/>
  <c r="D91" i="20"/>
  <c r="C91" i="20"/>
  <c r="D90" i="20"/>
  <c r="C90" i="20"/>
  <c r="D89" i="20"/>
  <c r="C89" i="20"/>
  <c r="D88" i="20"/>
  <c r="C88" i="20"/>
  <c r="D87" i="20"/>
  <c r="C87" i="20"/>
  <c r="D86" i="20"/>
  <c r="C86" i="20"/>
  <c r="D85" i="20"/>
  <c r="C85" i="20"/>
  <c r="D84" i="20"/>
  <c r="C84" i="20"/>
  <c r="D83" i="20"/>
  <c r="C83" i="20"/>
  <c r="D82" i="20"/>
  <c r="C82" i="20"/>
  <c r="D81" i="20"/>
  <c r="C81" i="20"/>
  <c r="D80" i="20"/>
  <c r="C80" i="20"/>
  <c r="D79" i="20"/>
  <c r="C79" i="20"/>
  <c r="D78" i="20"/>
  <c r="C78" i="20"/>
  <c r="D77" i="20"/>
  <c r="C77" i="20"/>
  <c r="D76" i="20"/>
  <c r="C76" i="20"/>
  <c r="D75" i="20"/>
  <c r="C75" i="20"/>
  <c r="D74" i="20"/>
  <c r="C74" i="20"/>
  <c r="D73" i="20"/>
  <c r="C73" i="20"/>
  <c r="D72" i="20"/>
  <c r="C72" i="20"/>
  <c r="D71" i="20"/>
  <c r="C71" i="20"/>
  <c r="D70" i="20"/>
  <c r="C70" i="20"/>
  <c r="D69" i="20"/>
  <c r="C69" i="20"/>
  <c r="D68" i="20"/>
  <c r="C68" i="20"/>
  <c r="D67" i="20"/>
  <c r="C67" i="20"/>
  <c r="D66" i="20"/>
  <c r="C66" i="20"/>
  <c r="D65" i="20"/>
  <c r="C65" i="20"/>
  <c r="D64" i="20"/>
  <c r="C64" i="20"/>
  <c r="D63" i="20"/>
  <c r="C63" i="20"/>
  <c r="D62" i="20"/>
  <c r="C62" i="20"/>
  <c r="D61" i="20"/>
  <c r="C61" i="20"/>
  <c r="D60" i="20"/>
  <c r="C60" i="20"/>
  <c r="D59" i="20"/>
  <c r="C59" i="20"/>
  <c r="D58" i="20"/>
  <c r="C58" i="20"/>
  <c r="D57" i="20"/>
  <c r="C57" i="20"/>
  <c r="D56" i="20"/>
  <c r="C56" i="20"/>
  <c r="D55" i="20"/>
  <c r="C55" i="20"/>
  <c r="D54" i="20"/>
  <c r="C54" i="20"/>
  <c r="D53" i="20"/>
  <c r="C53" i="20"/>
  <c r="D52" i="20"/>
  <c r="C52" i="20"/>
  <c r="D51" i="20"/>
  <c r="C51" i="20"/>
  <c r="D50" i="20"/>
  <c r="C50" i="20"/>
  <c r="D49" i="20"/>
  <c r="C49" i="20"/>
  <c r="D48" i="20"/>
  <c r="C48" i="20"/>
  <c r="D47" i="20"/>
  <c r="C47" i="20"/>
  <c r="D46" i="20"/>
  <c r="C46" i="20"/>
  <c r="D45" i="20"/>
  <c r="C45" i="20"/>
  <c r="D44" i="20"/>
  <c r="C44" i="20"/>
  <c r="D43" i="20"/>
  <c r="C43" i="20"/>
  <c r="D42" i="20"/>
  <c r="C42" i="20"/>
  <c r="D41" i="20"/>
  <c r="C41" i="20"/>
  <c r="D40" i="20"/>
  <c r="C40" i="20"/>
  <c r="D39" i="20"/>
  <c r="C39" i="20"/>
  <c r="D38" i="20"/>
  <c r="C38" i="20"/>
  <c r="D37" i="20"/>
  <c r="C37" i="20"/>
  <c r="D36" i="20"/>
  <c r="C36" i="20"/>
  <c r="D35" i="20"/>
  <c r="C35" i="20"/>
  <c r="D34" i="20"/>
  <c r="C34" i="20"/>
  <c r="D33" i="20"/>
  <c r="C33" i="20"/>
  <c r="D32" i="20"/>
  <c r="C32" i="20"/>
  <c r="D31" i="20"/>
  <c r="C31" i="20"/>
  <c r="D30" i="20"/>
  <c r="C30" i="20"/>
  <c r="D29" i="20"/>
  <c r="C29" i="20"/>
  <c r="D28" i="20"/>
  <c r="C28" i="20"/>
  <c r="D27" i="20"/>
  <c r="C27" i="20"/>
  <c r="D26" i="20"/>
  <c r="C26" i="20"/>
  <c r="D25" i="20"/>
  <c r="C25" i="20"/>
  <c r="D24" i="20"/>
  <c r="C24" i="20"/>
  <c r="D23" i="20"/>
  <c r="C23" i="20"/>
  <c r="D22" i="20"/>
  <c r="C22" i="20"/>
  <c r="D21" i="20"/>
  <c r="C21" i="20"/>
  <c r="D20" i="20"/>
  <c r="C20" i="20"/>
  <c r="D19" i="20"/>
  <c r="C19" i="20"/>
  <c r="D18" i="20"/>
  <c r="C18" i="20"/>
  <c r="D17" i="20"/>
  <c r="C17" i="20"/>
  <c r="D16" i="20"/>
  <c r="C16" i="20"/>
  <c r="D15" i="20"/>
  <c r="C15" i="20"/>
  <c r="D14" i="20"/>
  <c r="C14" i="20"/>
  <c r="D13" i="20"/>
  <c r="C13" i="20"/>
  <c r="D12" i="20"/>
  <c r="C12" i="20"/>
  <c r="D11" i="20"/>
  <c r="C11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D3" i="20"/>
  <c r="C3" i="20"/>
  <c r="D98" i="21"/>
  <c r="C98" i="21"/>
  <c r="D97" i="21"/>
  <c r="C97" i="21"/>
  <c r="D96" i="21"/>
  <c r="C96" i="21"/>
  <c r="D95" i="21"/>
  <c r="C95" i="21"/>
  <c r="D94" i="21"/>
  <c r="C94" i="21"/>
  <c r="D93" i="21"/>
  <c r="C93" i="21"/>
  <c r="D92" i="21"/>
  <c r="C92" i="21"/>
  <c r="D91" i="21"/>
  <c r="C91" i="21"/>
  <c r="D90" i="21"/>
  <c r="C90" i="21"/>
  <c r="D89" i="21"/>
  <c r="C89" i="21"/>
  <c r="D88" i="21"/>
  <c r="C88" i="21"/>
  <c r="D87" i="21"/>
  <c r="C87" i="21"/>
  <c r="D86" i="21"/>
  <c r="C86" i="21"/>
  <c r="D85" i="21"/>
  <c r="C85" i="21"/>
  <c r="D84" i="21"/>
  <c r="C84" i="21"/>
  <c r="D83" i="21"/>
  <c r="C83" i="21"/>
  <c r="D82" i="21"/>
  <c r="C82" i="21"/>
  <c r="D81" i="21"/>
  <c r="C81" i="21"/>
  <c r="D80" i="21"/>
  <c r="C80" i="21"/>
  <c r="D79" i="21"/>
  <c r="C79" i="21"/>
  <c r="D78" i="21"/>
  <c r="C78" i="21"/>
  <c r="D77" i="21"/>
  <c r="C77" i="21"/>
  <c r="D76" i="21"/>
  <c r="C76" i="21"/>
  <c r="D75" i="21"/>
  <c r="C75" i="21"/>
  <c r="D74" i="21"/>
  <c r="C74" i="21"/>
  <c r="D73" i="21"/>
  <c r="C73" i="21"/>
  <c r="D72" i="21"/>
  <c r="C72" i="21"/>
  <c r="D71" i="21"/>
  <c r="C71" i="21"/>
  <c r="D70" i="21"/>
  <c r="C70" i="21"/>
  <c r="D69" i="21"/>
  <c r="C69" i="21"/>
  <c r="D68" i="21"/>
  <c r="C68" i="21"/>
  <c r="D67" i="21"/>
  <c r="C67" i="21"/>
  <c r="D66" i="21"/>
  <c r="C66" i="21"/>
  <c r="D65" i="21"/>
  <c r="C65" i="21"/>
  <c r="D64" i="21"/>
  <c r="C64" i="21"/>
  <c r="D63" i="21"/>
  <c r="C63" i="21"/>
  <c r="D62" i="21"/>
  <c r="C62" i="21"/>
  <c r="D61" i="21"/>
  <c r="C61" i="21"/>
  <c r="D60" i="21"/>
  <c r="C60" i="21"/>
  <c r="D59" i="21"/>
  <c r="C59" i="21"/>
  <c r="D58" i="21"/>
  <c r="C58" i="21"/>
  <c r="D57" i="21"/>
  <c r="C57" i="21"/>
  <c r="D56" i="21"/>
  <c r="C56" i="21"/>
  <c r="D55" i="21"/>
  <c r="C55" i="21"/>
  <c r="D54" i="21"/>
  <c r="C54" i="21"/>
  <c r="D53" i="21"/>
  <c r="C53" i="21"/>
  <c r="D52" i="21"/>
  <c r="C52" i="21"/>
  <c r="D51" i="21"/>
  <c r="C51" i="21"/>
  <c r="D50" i="21"/>
  <c r="C50" i="21"/>
  <c r="D49" i="21"/>
  <c r="C49" i="21"/>
  <c r="D48" i="21"/>
  <c r="C48" i="21"/>
  <c r="D47" i="21"/>
  <c r="C47" i="21"/>
  <c r="D46" i="21"/>
  <c r="C46" i="21"/>
  <c r="D45" i="21"/>
  <c r="C45" i="21"/>
  <c r="D44" i="21"/>
  <c r="C44" i="21"/>
  <c r="D43" i="21"/>
  <c r="C43" i="21"/>
  <c r="D42" i="21"/>
  <c r="C42" i="21"/>
  <c r="D41" i="21"/>
  <c r="C41" i="21"/>
  <c r="D40" i="21"/>
  <c r="C40" i="21"/>
  <c r="D39" i="21"/>
  <c r="C39" i="21"/>
  <c r="D38" i="21"/>
  <c r="C38" i="21"/>
  <c r="D37" i="21"/>
  <c r="C37" i="21"/>
  <c r="D36" i="21"/>
  <c r="C36" i="21"/>
  <c r="D35" i="21"/>
  <c r="C35" i="21"/>
  <c r="D34" i="21"/>
  <c r="C34" i="21"/>
  <c r="D33" i="21"/>
  <c r="C33" i="21"/>
  <c r="D32" i="21"/>
  <c r="C32" i="21"/>
  <c r="D31" i="21"/>
  <c r="C31" i="21"/>
  <c r="D30" i="21"/>
  <c r="C30" i="21"/>
  <c r="D29" i="21"/>
  <c r="C29" i="21"/>
  <c r="D28" i="21"/>
  <c r="C28" i="21"/>
  <c r="D27" i="21"/>
  <c r="C27" i="21"/>
  <c r="D26" i="21"/>
  <c r="C26" i="21"/>
  <c r="D25" i="21"/>
  <c r="C25" i="21"/>
  <c r="D24" i="21"/>
  <c r="C24" i="21"/>
  <c r="D23" i="21"/>
  <c r="C23" i="21"/>
  <c r="D22" i="21"/>
  <c r="C22" i="21"/>
  <c r="D21" i="21"/>
  <c r="C21" i="21"/>
  <c r="D20" i="21"/>
  <c r="C20" i="21"/>
  <c r="D19" i="21"/>
  <c r="C19" i="21"/>
  <c r="D18" i="21"/>
  <c r="C18" i="21"/>
  <c r="D17" i="21"/>
  <c r="C17" i="21"/>
  <c r="D16" i="21"/>
  <c r="C16" i="21"/>
  <c r="D15" i="21"/>
  <c r="C15" i="21"/>
  <c r="D14" i="21"/>
  <c r="C14" i="21"/>
  <c r="D13" i="21"/>
  <c r="C13" i="21"/>
  <c r="D12" i="21"/>
  <c r="C12" i="21"/>
  <c r="D11" i="21"/>
  <c r="C11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D3" i="21"/>
  <c r="C3" i="21"/>
  <c r="D98" i="22"/>
  <c r="C98" i="22"/>
  <c r="D97" i="22"/>
  <c r="C97" i="22"/>
  <c r="D96" i="22"/>
  <c r="C96" i="22"/>
  <c r="D95" i="22"/>
  <c r="C95" i="22"/>
  <c r="D94" i="22"/>
  <c r="C94" i="22"/>
  <c r="D93" i="22"/>
  <c r="C93" i="22"/>
  <c r="D92" i="22"/>
  <c r="C92" i="22"/>
  <c r="D91" i="22"/>
  <c r="C91" i="22"/>
  <c r="D90" i="22"/>
  <c r="C90" i="22"/>
  <c r="D89" i="22"/>
  <c r="C89" i="22"/>
  <c r="D88" i="22"/>
  <c r="C88" i="22"/>
  <c r="D87" i="22"/>
  <c r="C87" i="22"/>
  <c r="D86" i="22"/>
  <c r="C86" i="22"/>
  <c r="D85" i="22"/>
  <c r="C85" i="22"/>
  <c r="D84" i="22"/>
  <c r="C84" i="22"/>
  <c r="D83" i="22"/>
  <c r="C83" i="22"/>
  <c r="D82" i="22"/>
  <c r="C82" i="22"/>
  <c r="D81" i="22"/>
  <c r="C81" i="22"/>
  <c r="D80" i="22"/>
  <c r="C80" i="22"/>
  <c r="D79" i="22"/>
  <c r="C79" i="22"/>
  <c r="D78" i="22"/>
  <c r="C78" i="22"/>
  <c r="D77" i="22"/>
  <c r="C77" i="22"/>
  <c r="D76" i="22"/>
  <c r="C76" i="22"/>
  <c r="D75" i="22"/>
  <c r="C75" i="22"/>
  <c r="D74" i="22"/>
  <c r="C74" i="22"/>
  <c r="D73" i="22"/>
  <c r="C73" i="22"/>
  <c r="D72" i="22"/>
  <c r="C72" i="22"/>
  <c r="D71" i="22"/>
  <c r="C71" i="22"/>
  <c r="D70" i="22"/>
  <c r="C70" i="22"/>
  <c r="D69" i="22"/>
  <c r="C69" i="22"/>
  <c r="D68" i="22"/>
  <c r="C68" i="22"/>
  <c r="D67" i="22"/>
  <c r="C67" i="22"/>
  <c r="D66" i="22"/>
  <c r="C66" i="22"/>
  <c r="D65" i="22"/>
  <c r="C65" i="22"/>
  <c r="D64" i="22"/>
  <c r="C64" i="22"/>
  <c r="D63" i="22"/>
  <c r="C63" i="22"/>
  <c r="D62" i="22"/>
  <c r="C62" i="22"/>
  <c r="D61" i="22"/>
  <c r="C61" i="22"/>
  <c r="D60" i="22"/>
  <c r="C60" i="22"/>
  <c r="D59" i="22"/>
  <c r="C59" i="22"/>
  <c r="D58" i="22"/>
  <c r="C58" i="22"/>
  <c r="D57" i="22"/>
  <c r="C57" i="22"/>
  <c r="D56" i="22"/>
  <c r="C56" i="22"/>
  <c r="D55" i="22"/>
  <c r="C55" i="22"/>
  <c r="D54" i="22"/>
  <c r="C54" i="22"/>
  <c r="D53" i="22"/>
  <c r="C53" i="22"/>
  <c r="D52" i="22"/>
  <c r="C52" i="22"/>
  <c r="D51" i="22"/>
  <c r="C51" i="22"/>
  <c r="D50" i="22"/>
  <c r="C50" i="22"/>
  <c r="D49" i="22"/>
  <c r="C49" i="22"/>
  <c r="D48" i="22"/>
  <c r="C48" i="22"/>
  <c r="D47" i="22"/>
  <c r="C47" i="22"/>
  <c r="D46" i="22"/>
  <c r="C46" i="22"/>
  <c r="D45" i="22"/>
  <c r="C45" i="22"/>
  <c r="D44" i="22"/>
  <c r="C44" i="22"/>
  <c r="D43" i="22"/>
  <c r="C43" i="22"/>
  <c r="D42" i="22"/>
  <c r="C42" i="22"/>
  <c r="D41" i="22"/>
  <c r="C41" i="22"/>
  <c r="D40" i="22"/>
  <c r="C40" i="22"/>
  <c r="D39" i="22"/>
  <c r="C39" i="22"/>
  <c r="D38" i="22"/>
  <c r="C38" i="22"/>
  <c r="D37" i="22"/>
  <c r="C37" i="22"/>
  <c r="D36" i="22"/>
  <c r="C36" i="22"/>
  <c r="D35" i="22"/>
  <c r="C35" i="22"/>
  <c r="D34" i="22"/>
  <c r="C34" i="22"/>
  <c r="D33" i="22"/>
  <c r="C33" i="22"/>
  <c r="D32" i="22"/>
  <c r="C32" i="22"/>
  <c r="D31" i="22"/>
  <c r="C31" i="22"/>
  <c r="D30" i="22"/>
  <c r="C30" i="22"/>
  <c r="D29" i="22"/>
  <c r="C29" i="22"/>
  <c r="D28" i="22"/>
  <c r="C28" i="22"/>
  <c r="D27" i="22"/>
  <c r="C27" i="22"/>
  <c r="D26" i="22"/>
  <c r="C26" i="22"/>
  <c r="D25" i="22"/>
  <c r="C25" i="22"/>
  <c r="D24" i="22"/>
  <c r="C24" i="22"/>
  <c r="D23" i="22"/>
  <c r="C23" i="22"/>
  <c r="D22" i="22"/>
  <c r="C22" i="22"/>
  <c r="D21" i="22"/>
  <c r="C21" i="22"/>
  <c r="D20" i="22"/>
  <c r="C20" i="22"/>
  <c r="D19" i="22"/>
  <c r="C19" i="22"/>
  <c r="D18" i="22"/>
  <c r="C18" i="22"/>
  <c r="D17" i="22"/>
  <c r="C17" i="22"/>
  <c r="D16" i="22"/>
  <c r="C16" i="22"/>
  <c r="D15" i="22"/>
  <c r="C15" i="22"/>
  <c r="D14" i="22"/>
  <c r="C14" i="22"/>
  <c r="D13" i="22"/>
  <c r="C13" i="22"/>
  <c r="D12" i="22"/>
  <c r="C12" i="22"/>
  <c r="D11" i="22"/>
  <c r="C11" i="22"/>
  <c r="D10" i="22"/>
  <c r="C10" i="22"/>
  <c r="D9" i="22"/>
  <c r="C9" i="22"/>
  <c r="D8" i="22"/>
  <c r="C8" i="22"/>
  <c r="D7" i="22"/>
  <c r="C7" i="22"/>
  <c r="D6" i="22"/>
  <c r="C6" i="22"/>
  <c r="D5" i="22"/>
  <c r="C5" i="22"/>
  <c r="D4" i="22"/>
  <c r="C4" i="22"/>
  <c r="D3" i="22"/>
  <c r="C3" i="22"/>
  <c r="D98" i="26"/>
  <c r="C98" i="26"/>
  <c r="D97" i="26"/>
  <c r="C97" i="26"/>
  <c r="D96" i="26"/>
  <c r="C96" i="26"/>
  <c r="D95" i="26"/>
  <c r="C95" i="26"/>
  <c r="D94" i="26"/>
  <c r="C94" i="26"/>
  <c r="D93" i="26"/>
  <c r="C93" i="26"/>
  <c r="D92" i="26"/>
  <c r="C92" i="26"/>
  <c r="D91" i="26"/>
  <c r="C91" i="26"/>
  <c r="D90" i="26"/>
  <c r="C90" i="26"/>
  <c r="D89" i="26"/>
  <c r="C89" i="26"/>
  <c r="D88" i="26"/>
  <c r="C88" i="26"/>
  <c r="D87" i="26"/>
  <c r="C87" i="26"/>
  <c r="D86" i="26"/>
  <c r="C86" i="26"/>
  <c r="D85" i="26"/>
  <c r="C85" i="26"/>
  <c r="D84" i="26"/>
  <c r="C84" i="26"/>
  <c r="D83" i="26"/>
  <c r="C83" i="26"/>
  <c r="D82" i="26"/>
  <c r="C82" i="26"/>
  <c r="D81" i="26"/>
  <c r="C81" i="26"/>
  <c r="D80" i="26"/>
  <c r="C80" i="26"/>
  <c r="D79" i="26"/>
  <c r="C79" i="26"/>
  <c r="D78" i="26"/>
  <c r="C78" i="26"/>
  <c r="D77" i="26"/>
  <c r="C77" i="26"/>
  <c r="D76" i="26"/>
  <c r="C76" i="26"/>
  <c r="D75" i="26"/>
  <c r="C75" i="26"/>
  <c r="D74" i="26"/>
  <c r="C74" i="26"/>
  <c r="D73" i="26"/>
  <c r="C73" i="26"/>
  <c r="D72" i="26"/>
  <c r="C72" i="26"/>
  <c r="D71" i="26"/>
  <c r="C71" i="26"/>
  <c r="D70" i="26"/>
  <c r="C70" i="26"/>
  <c r="D69" i="26"/>
  <c r="C69" i="26"/>
  <c r="D68" i="26"/>
  <c r="C68" i="26"/>
  <c r="D67" i="26"/>
  <c r="C67" i="26"/>
  <c r="D66" i="26"/>
  <c r="C66" i="26"/>
  <c r="D65" i="26"/>
  <c r="C65" i="26"/>
  <c r="D64" i="26"/>
  <c r="C64" i="26"/>
  <c r="D63" i="26"/>
  <c r="C63" i="26"/>
  <c r="D62" i="26"/>
  <c r="C62" i="26"/>
  <c r="D61" i="26"/>
  <c r="C61" i="26"/>
  <c r="D60" i="26"/>
  <c r="C60" i="26"/>
  <c r="D59" i="26"/>
  <c r="C59" i="26"/>
  <c r="D58" i="26"/>
  <c r="C58" i="26"/>
  <c r="D57" i="26"/>
  <c r="C57" i="26"/>
  <c r="D56" i="26"/>
  <c r="C56" i="26"/>
  <c r="D55" i="26"/>
  <c r="C55" i="26"/>
  <c r="D54" i="26"/>
  <c r="C54" i="26"/>
  <c r="D53" i="26"/>
  <c r="C53" i="26"/>
  <c r="D52" i="26"/>
  <c r="C52" i="26"/>
  <c r="D51" i="26"/>
  <c r="C51" i="26"/>
  <c r="D50" i="26"/>
  <c r="C50" i="26"/>
  <c r="D49" i="26"/>
  <c r="C49" i="26"/>
  <c r="D48" i="26"/>
  <c r="C48" i="26"/>
  <c r="D47" i="26"/>
  <c r="C47" i="26"/>
  <c r="D46" i="26"/>
  <c r="C46" i="26"/>
  <c r="D45" i="26"/>
  <c r="C45" i="26"/>
  <c r="D44" i="26"/>
  <c r="C44" i="26"/>
  <c r="D43" i="26"/>
  <c r="C43" i="26"/>
  <c r="D42" i="26"/>
  <c r="C42" i="26"/>
  <c r="D41" i="26"/>
  <c r="C41" i="26"/>
  <c r="D40" i="26"/>
  <c r="C40" i="26"/>
  <c r="D39" i="26"/>
  <c r="C39" i="26"/>
  <c r="D38" i="26"/>
  <c r="C38" i="26"/>
  <c r="D37" i="26"/>
  <c r="C37" i="26"/>
  <c r="D36" i="26"/>
  <c r="C36" i="26"/>
  <c r="D35" i="26"/>
  <c r="C35" i="26"/>
  <c r="D34" i="26"/>
  <c r="C34" i="26"/>
  <c r="D33" i="26"/>
  <c r="C33" i="26"/>
  <c r="D32" i="26"/>
  <c r="C32" i="26"/>
  <c r="D31" i="26"/>
  <c r="C31" i="26"/>
  <c r="D30" i="26"/>
  <c r="C30" i="26"/>
  <c r="D29" i="26"/>
  <c r="C29" i="26"/>
  <c r="D28" i="26"/>
  <c r="C28" i="26"/>
  <c r="D27" i="26"/>
  <c r="C27" i="26"/>
  <c r="D26" i="26"/>
  <c r="C26" i="26"/>
  <c r="D25" i="26"/>
  <c r="C25" i="26"/>
  <c r="D24" i="26"/>
  <c r="C24" i="26"/>
  <c r="D23" i="26"/>
  <c r="C23" i="26"/>
  <c r="D22" i="26"/>
  <c r="C22" i="26"/>
  <c r="D21" i="26"/>
  <c r="C21" i="26"/>
  <c r="D20" i="26"/>
  <c r="C20" i="26"/>
  <c r="D19" i="26"/>
  <c r="C19" i="26"/>
  <c r="D18" i="26"/>
  <c r="C18" i="26"/>
  <c r="D17" i="26"/>
  <c r="C17" i="26"/>
  <c r="D16" i="26"/>
  <c r="C16" i="26"/>
  <c r="D15" i="26"/>
  <c r="C15" i="26"/>
  <c r="D14" i="26"/>
  <c r="C14" i="26"/>
  <c r="D13" i="26"/>
  <c r="C13" i="26"/>
  <c r="D12" i="26"/>
  <c r="C12" i="26"/>
  <c r="D11" i="26"/>
  <c r="C11" i="26"/>
  <c r="D10" i="26"/>
  <c r="C10" i="26"/>
  <c r="D9" i="26"/>
  <c r="C9" i="26"/>
  <c r="D8" i="26"/>
  <c r="C8" i="26"/>
  <c r="D7" i="26"/>
  <c r="C7" i="26"/>
  <c r="D6" i="26"/>
  <c r="C6" i="26"/>
  <c r="D5" i="26"/>
  <c r="C5" i="26"/>
  <c r="D4" i="26"/>
  <c r="C4" i="26"/>
  <c r="D3" i="26"/>
  <c r="C3" i="26"/>
  <c r="D98" i="23"/>
  <c r="C98" i="23"/>
  <c r="D97" i="23"/>
  <c r="C97" i="23"/>
  <c r="D96" i="23"/>
  <c r="C96" i="23"/>
  <c r="D95" i="23"/>
  <c r="C95" i="23"/>
  <c r="D94" i="23"/>
  <c r="C94" i="23"/>
  <c r="D93" i="23"/>
  <c r="C93" i="23"/>
  <c r="D92" i="23"/>
  <c r="C92" i="23"/>
  <c r="D91" i="23"/>
  <c r="C91" i="23"/>
  <c r="D90" i="23"/>
  <c r="C90" i="23"/>
  <c r="D89" i="23"/>
  <c r="C89" i="23"/>
  <c r="D88" i="23"/>
  <c r="C88" i="23"/>
  <c r="D87" i="23"/>
  <c r="C87" i="23"/>
  <c r="D86" i="23"/>
  <c r="C86" i="23"/>
  <c r="D85" i="23"/>
  <c r="C85" i="23"/>
  <c r="D84" i="23"/>
  <c r="C84" i="23"/>
  <c r="D83" i="23"/>
  <c r="C83" i="23"/>
  <c r="D82" i="23"/>
  <c r="C82" i="23"/>
  <c r="D81" i="23"/>
  <c r="C81" i="23"/>
  <c r="D80" i="23"/>
  <c r="C80" i="23"/>
  <c r="D79" i="23"/>
  <c r="C79" i="23"/>
  <c r="D78" i="23"/>
  <c r="C78" i="23"/>
  <c r="D77" i="23"/>
  <c r="C77" i="23"/>
  <c r="D76" i="23"/>
  <c r="C76" i="23"/>
  <c r="D75" i="23"/>
  <c r="C75" i="23"/>
  <c r="D74" i="23"/>
  <c r="C74" i="23"/>
  <c r="D73" i="23"/>
  <c r="C73" i="23"/>
  <c r="D72" i="23"/>
  <c r="C72" i="23"/>
  <c r="D71" i="23"/>
  <c r="C71" i="23"/>
  <c r="D70" i="23"/>
  <c r="C70" i="23"/>
  <c r="D69" i="23"/>
  <c r="C69" i="23"/>
  <c r="D68" i="23"/>
  <c r="C68" i="23"/>
  <c r="D67" i="23"/>
  <c r="C67" i="23"/>
  <c r="D66" i="23"/>
  <c r="C66" i="23"/>
  <c r="D65" i="23"/>
  <c r="C65" i="23"/>
  <c r="D64" i="23"/>
  <c r="C64" i="23"/>
  <c r="D63" i="23"/>
  <c r="C63" i="23"/>
  <c r="D62" i="23"/>
  <c r="C62" i="23"/>
  <c r="D61" i="23"/>
  <c r="C61" i="23"/>
  <c r="D60" i="23"/>
  <c r="C60" i="23"/>
  <c r="D59" i="23"/>
  <c r="C59" i="23"/>
  <c r="D58" i="23"/>
  <c r="C58" i="23"/>
  <c r="D57" i="23"/>
  <c r="C57" i="23"/>
  <c r="D56" i="23"/>
  <c r="C56" i="23"/>
  <c r="D55" i="23"/>
  <c r="C55" i="23"/>
  <c r="D54" i="23"/>
  <c r="C54" i="23"/>
  <c r="D53" i="23"/>
  <c r="C53" i="23"/>
  <c r="D52" i="23"/>
  <c r="C52" i="23"/>
  <c r="D51" i="23"/>
  <c r="C51" i="23"/>
  <c r="D50" i="23"/>
  <c r="C50" i="23"/>
  <c r="D49" i="23"/>
  <c r="C49" i="23"/>
  <c r="D48" i="23"/>
  <c r="C48" i="23"/>
  <c r="D47" i="23"/>
  <c r="C47" i="23"/>
  <c r="D46" i="23"/>
  <c r="C46" i="23"/>
  <c r="D45" i="23"/>
  <c r="C45" i="23"/>
  <c r="D44" i="23"/>
  <c r="C44" i="23"/>
  <c r="D43" i="23"/>
  <c r="C43" i="23"/>
  <c r="D42" i="23"/>
  <c r="C42" i="23"/>
  <c r="D41" i="23"/>
  <c r="C41" i="23"/>
  <c r="D40" i="23"/>
  <c r="C40" i="23"/>
  <c r="D39" i="23"/>
  <c r="C39" i="23"/>
  <c r="D38" i="23"/>
  <c r="C38" i="23"/>
  <c r="D37" i="23"/>
  <c r="C37" i="23"/>
  <c r="D36" i="23"/>
  <c r="C36" i="23"/>
  <c r="D35" i="23"/>
  <c r="C35" i="23"/>
  <c r="D34" i="23"/>
  <c r="C34" i="23"/>
  <c r="D33" i="23"/>
  <c r="C33" i="23"/>
  <c r="D32" i="23"/>
  <c r="C32" i="23"/>
  <c r="D31" i="23"/>
  <c r="C31" i="23"/>
  <c r="D30" i="23"/>
  <c r="C30" i="23"/>
  <c r="D29" i="23"/>
  <c r="C29" i="23"/>
  <c r="D28" i="23"/>
  <c r="C28" i="23"/>
  <c r="D27" i="23"/>
  <c r="C27" i="23"/>
  <c r="D26" i="23"/>
  <c r="C26" i="23"/>
  <c r="D25" i="23"/>
  <c r="C25" i="23"/>
  <c r="D24" i="23"/>
  <c r="C24" i="23"/>
  <c r="D23" i="23"/>
  <c r="C23" i="23"/>
  <c r="D22" i="23"/>
  <c r="C22" i="23"/>
  <c r="D21" i="23"/>
  <c r="C21" i="23"/>
  <c r="D20" i="23"/>
  <c r="C20" i="23"/>
  <c r="D19" i="23"/>
  <c r="C19" i="23"/>
  <c r="D18" i="23"/>
  <c r="C18" i="23"/>
  <c r="D17" i="23"/>
  <c r="C17" i="23"/>
  <c r="D16" i="23"/>
  <c r="C16" i="23"/>
  <c r="D15" i="23"/>
  <c r="C15" i="23"/>
  <c r="D14" i="23"/>
  <c r="C14" i="23"/>
  <c r="D13" i="23"/>
  <c r="C13" i="23"/>
  <c r="D12" i="23"/>
  <c r="C12" i="23"/>
  <c r="D11" i="23"/>
  <c r="C11" i="23"/>
  <c r="D10" i="23"/>
  <c r="C10" i="23"/>
  <c r="D9" i="23"/>
  <c r="C9" i="23"/>
  <c r="D8" i="23"/>
  <c r="C8" i="23"/>
  <c r="D7" i="23"/>
  <c r="C7" i="23"/>
  <c r="D6" i="23"/>
  <c r="C6" i="23"/>
  <c r="D5" i="23"/>
  <c r="C5" i="23"/>
  <c r="D4" i="23"/>
  <c r="C4" i="23"/>
  <c r="D3" i="23"/>
  <c r="C3" i="23"/>
  <c r="D98" i="27"/>
  <c r="C98" i="27"/>
  <c r="D97" i="27"/>
  <c r="C97" i="27"/>
  <c r="D96" i="27"/>
  <c r="C96" i="27"/>
  <c r="D95" i="27"/>
  <c r="C95" i="27"/>
  <c r="D94" i="27"/>
  <c r="C94" i="27"/>
  <c r="D93" i="27"/>
  <c r="C93" i="27"/>
  <c r="D92" i="27"/>
  <c r="C92" i="27"/>
  <c r="D91" i="27"/>
  <c r="C91" i="27"/>
  <c r="D90" i="27"/>
  <c r="C90" i="27"/>
  <c r="D89" i="27"/>
  <c r="C89" i="27"/>
  <c r="D88" i="27"/>
  <c r="C88" i="27"/>
  <c r="D87" i="27"/>
  <c r="C87" i="27"/>
  <c r="D86" i="27"/>
  <c r="C86" i="27"/>
  <c r="D85" i="27"/>
  <c r="C85" i="27"/>
  <c r="D84" i="27"/>
  <c r="C84" i="27"/>
  <c r="D83" i="27"/>
  <c r="C83" i="27"/>
  <c r="D82" i="27"/>
  <c r="C82" i="27"/>
  <c r="D81" i="27"/>
  <c r="C81" i="27"/>
  <c r="D80" i="27"/>
  <c r="C80" i="27"/>
  <c r="D79" i="27"/>
  <c r="C79" i="27"/>
  <c r="D78" i="27"/>
  <c r="C78" i="27"/>
  <c r="D77" i="27"/>
  <c r="C77" i="27"/>
  <c r="D76" i="27"/>
  <c r="C76" i="27"/>
  <c r="D75" i="27"/>
  <c r="C75" i="27"/>
  <c r="D74" i="27"/>
  <c r="C74" i="27"/>
  <c r="D73" i="27"/>
  <c r="C73" i="27"/>
  <c r="D72" i="27"/>
  <c r="C72" i="27"/>
  <c r="D71" i="27"/>
  <c r="C71" i="27"/>
  <c r="D70" i="27"/>
  <c r="C70" i="27"/>
  <c r="D69" i="27"/>
  <c r="C69" i="27"/>
  <c r="D68" i="27"/>
  <c r="C68" i="27"/>
  <c r="D67" i="27"/>
  <c r="C67" i="27"/>
  <c r="D66" i="27"/>
  <c r="C66" i="27"/>
  <c r="D65" i="27"/>
  <c r="C65" i="27"/>
  <c r="D64" i="27"/>
  <c r="C64" i="27"/>
  <c r="D63" i="27"/>
  <c r="C63" i="27"/>
  <c r="D62" i="27"/>
  <c r="C62" i="27"/>
  <c r="D61" i="27"/>
  <c r="C61" i="27"/>
  <c r="D60" i="27"/>
  <c r="C60" i="27"/>
  <c r="D59" i="27"/>
  <c r="C59" i="27"/>
  <c r="D58" i="27"/>
  <c r="C58" i="27"/>
  <c r="D57" i="27"/>
  <c r="C57" i="27"/>
  <c r="D56" i="27"/>
  <c r="C56" i="27"/>
  <c r="D55" i="27"/>
  <c r="C55" i="27"/>
  <c r="D54" i="27"/>
  <c r="C54" i="27"/>
  <c r="D53" i="27"/>
  <c r="C53" i="27"/>
  <c r="D52" i="27"/>
  <c r="C52" i="27"/>
  <c r="D51" i="27"/>
  <c r="C51" i="27"/>
  <c r="D50" i="27"/>
  <c r="C50" i="27"/>
  <c r="D49" i="27"/>
  <c r="C49" i="27"/>
  <c r="D48" i="27"/>
  <c r="C48" i="27"/>
  <c r="D47" i="27"/>
  <c r="C47" i="27"/>
  <c r="D46" i="27"/>
  <c r="C46" i="27"/>
  <c r="D45" i="27"/>
  <c r="C45" i="27"/>
  <c r="D44" i="27"/>
  <c r="C44" i="27"/>
  <c r="D43" i="27"/>
  <c r="C43" i="27"/>
  <c r="D42" i="27"/>
  <c r="C42" i="27"/>
  <c r="D41" i="27"/>
  <c r="C41" i="27"/>
  <c r="D40" i="27"/>
  <c r="C40" i="27"/>
  <c r="D39" i="27"/>
  <c r="C39" i="27"/>
  <c r="D38" i="27"/>
  <c r="C38" i="27"/>
  <c r="D37" i="27"/>
  <c r="C37" i="27"/>
  <c r="D36" i="27"/>
  <c r="C36" i="27"/>
  <c r="D35" i="27"/>
  <c r="C35" i="27"/>
  <c r="D34" i="27"/>
  <c r="C34" i="27"/>
  <c r="D33" i="27"/>
  <c r="C33" i="27"/>
  <c r="D32" i="27"/>
  <c r="C32" i="27"/>
  <c r="D31" i="27"/>
  <c r="C31" i="27"/>
  <c r="D30" i="27"/>
  <c r="C30" i="27"/>
  <c r="D29" i="27"/>
  <c r="C29" i="27"/>
  <c r="D28" i="27"/>
  <c r="C28" i="27"/>
  <c r="D27" i="27"/>
  <c r="C27" i="27"/>
  <c r="D26" i="27"/>
  <c r="C26" i="27"/>
  <c r="D25" i="27"/>
  <c r="C25" i="27"/>
  <c r="D24" i="27"/>
  <c r="C24" i="27"/>
  <c r="D23" i="27"/>
  <c r="C23" i="27"/>
  <c r="D22" i="27"/>
  <c r="C22" i="27"/>
  <c r="D21" i="27"/>
  <c r="C21" i="27"/>
  <c r="D20" i="27"/>
  <c r="C20" i="27"/>
  <c r="D19" i="27"/>
  <c r="C19" i="27"/>
  <c r="D18" i="27"/>
  <c r="C18" i="27"/>
  <c r="D17" i="27"/>
  <c r="C17" i="27"/>
  <c r="D16" i="27"/>
  <c r="C16" i="27"/>
  <c r="D15" i="27"/>
  <c r="C15" i="27"/>
  <c r="D14" i="27"/>
  <c r="C14" i="27"/>
  <c r="D13" i="27"/>
  <c r="C13" i="27"/>
  <c r="D12" i="27"/>
  <c r="C12" i="27"/>
  <c r="D11" i="27"/>
  <c r="C11" i="27"/>
  <c r="D10" i="27"/>
  <c r="C10" i="27"/>
  <c r="D9" i="27"/>
  <c r="C9" i="27"/>
  <c r="D8" i="27"/>
  <c r="C8" i="27"/>
  <c r="D7" i="27"/>
  <c r="C7" i="27"/>
  <c r="D6" i="27"/>
  <c r="C6" i="27"/>
  <c r="D5" i="27"/>
  <c r="C5" i="27"/>
  <c r="D4" i="27"/>
  <c r="C4" i="27"/>
  <c r="D3" i="27"/>
  <c r="C3" i="27"/>
  <c r="D98" i="28"/>
  <c r="C98" i="28"/>
  <c r="D97" i="28"/>
  <c r="C97" i="28"/>
  <c r="D96" i="28"/>
  <c r="C96" i="28"/>
  <c r="D95" i="28"/>
  <c r="C95" i="28"/>
  <c r="D94" i="28"/>
  <c r="C94" i="28"/>
  <c r="D93" i="28"/>
  <c r="C93" i="28"/>
  <c r="D92" i="28"/>
  <c r="C92" i="28"/>
  <c r="D91" i="28"/>
  <c r="C91" i="28"/>
  <c r="D90" i="28"/>
  <c r="C90" i="28"/>
  <c r="D89" i="28"/>
  <c r="C89" i="28"/>
  <c r="D88" i="28"/>
  <c r="C88" i="28"/>
  <c r="D87" i="28"/>
  <c r="C87" i="28"/>
  <c r="D86" i="28"/>
  <c r="C86" i="28"/>
  <c r="D85" i="28"/>
  <c r="C85" i="28"/>
  <c r="D84" i="28"/>
  <c r="C84" i="28"/>
  <c r="D83" i="28"/>
  <c r="C83" i="28"/>
  <c r="D82" i="28"/>
  <c r="C82" i="28"/>
  <c r="D81" i="28"/>
  <c r="C81" i="28"/>
  <c r="D80" i="28"/>
  <c r="C80" i="28"/>
  <c r="D79" i="28"/>
  <c r="C79" i="28"/>
  <c r="D78" i="28"/>
  <c r="C78" i="28"/>
  <c r="D77" i="28"/>
  <c r="C77" i="28"/>
  <c r="D76" i="28"/>
  <c r="C76" i="28"/>
  <c r="D75" i="28"/>
  <c r="C75" i="28"/>
  <c r="D74" i="28"/>
  <c r="C74" i="28"/>
  <c r="D73" i="28"/>
  <c r="C73" i="28"/>
  <c r="D72" i="28"/>
  <c r="C72" i="28"/>
  <c r="D71" i="28"/>
  <c r="C71" i="28"/>
  <c r="D70" i="28"/>
  <c r="C70" i="28"/>
  <c r="D69" i="28"/>
  <c r="C69" i="28"/>
  <c r="D68" i="28"/>
  <c r="C68" i="28"/>
  <c r="D67" i="28"/>
  <c r="C67" i="28"/>
  <c r="D66" i="28"/>
  <c r="C66" i="28"/>
  <c r="D65" i="28"/>
  <c r="C65" i="28"/>
  <c r="D64" i="28"/>
  <c r="C64" i="28"/>
  <c r="D63" i="28"/>
  <c r="C63" i="28"/>
  <c r="D62" i="28"/>
  <c r="C62" i="28"/>
  <c r="D61" i="28"/>
  <c r="C61" i="28"/>
  <c r="D60" i="28"/>
  <c r="C60" i="28"/>
  <c r="D59" i="28"/>
  <c r="C59" i="28"/>
  <c r="D58" i="28"/>
  <c r="C58" i="28"/>
  <c r="D57" i="28"/>
  <c r="C57" i="28"/>
  <c r="D56" i="28"/>
  <c r="C56" i="28"/>
  <c r="D55" i="28"/>
  <c r="C55" i="28"/>
  <c r="D54" i="28"/>
  <c r="C54" i="28"/>
  <c r="D53" i="28"/>
  <c r="C53" i="28"/>
  <c r="D52" i="28"/>
  <c r="C52" i="28"/>
  <c r="D51" i="28"/>
  <c r="C51" i="28"/>
  <c r="D50" i="28"/>
  <c r="C50" i="28"/>
  <c r="D49" i="28"/>
  <c r="C49" i="28"/>
  <c r="D48" i="28"/>
  <c r="C48" i="28"/>
  <c r="D47" i="28"/>
  <c r="C47" i="28"/>
  <c r="D46" i="28"/>
  <c r="C46" i="28"/>
  <c r="D45" i="28"/>
  <c r="C45" i="28"/>
  <c r="D44" i="28"/>
  <c r="C44" i="28"/>
  <c r="D43" i="28"/>
  <c r="C43" i="28"/>
  <c r="D42" i="28"/>
  <c r="C42" i="28"/>
  <c r="D41" i="28"/>
  <c r="C41" i="28"/>
  <c r="D40" i="28"/>
  <c r="C40" i="28"/>
  <c r="D39" i="28"/>
  <c r="C39" i="28"/>
  <c r="D38" i="28"/>
  <c r="C38" i="28"/>
  <c r="D37" i="28"/>
  <c r="C37" i="28"/>
  <c r="D36" i="28"/>
  <c r="C36" i="28"/>
  <c r="D35" i="28"/>
  <c r="C35" i="28"/>
  <c r="D34" i="28"/>
  <c r="C34" i="28"/>
  <c r="D33" i="28"/>
  <c r="C33" i="28"/>
  <c r="D32" i="28"/>
  <c r="C32" i="28"/>
  <c r="D31" i="28"/>
  <c r="C31" i="28"/>
  <c r="D30" i="28"/>
  <c r="C30" i="28"/>
  <c r="D29" i="28"/>
  <c r="C29" i="28"/>
  <c r="D28" i="28"/>
  <c r="C28" i="28"/>
  <c r="D27" i="28"/>
  <c r="C27" i="28"/>
  <c r="D26" i="28"/>
  <c r="C26" i="28"/>
  <c r="D25" i="28"/>
  <c r="C25" i="28"/>
  <c r="D24" i="28"/>
  <c r="C24" i="28"/>
  <c r="D23" i="28"/>
  <c r="C23" i="28"/>
  <c r="D22" i="28"/>
  <c r="C22" i="28"/>
  <c r="D21" i="28"/>
  <c r="C21" i="28"/>
  <c r="D20" i="28"/>
  <c r="C20" i="28"/>
  <c r="D19" i="28"/>
  <c r="C19" i="28"/>
  <c r="D18" i="28"/>
  <c r="C18" i="28"/>
  <c r="D17" i="28"/>
  <c r="C17" i="28"/>
  <c r="D16" i="28"/>
  <c r="C16" i="28"/>
  <c r="D15" i="28"/>
  <c r="C15" i="28"/>
  <c r="D14" i="28"/>
  <c r="C14" i="28"/>
  <c r="D13" i="28"/>
  <c r="C13" i="28"/>
  <c r="D12" i="28"/>
  <c r="C12" i="28"/>
  <c r="D11" i="28"/>
  <c r="C11" i="28"/>
  <c r="D10" i="28"/>
  <c r="C10" i="28"/>
  <c r="D9" i="28"/>
  <c r="C9" i="28"/>
  <c r="D8" i="28"/>
  <c r="C8" i="28"/>
  <c r="D7" i="28"/>
  <c r="C7" i="28"/>
  <c r="D6" i="28"/>
  <c r="C6" i="28"/>
  <c r="D5" i="28"/>
  <c r="C5" i="28"/>
  <c r="D4" i="28"/>
  <c r="C4" i="28"/>
  <c r="D3" i="28"/>
  <c r="C3" i="28"/>
  <c r="E221" i="28" l="1"/>
  <c r="E217" i="28"/>
  <c r="E215" i="28"/>
  <c r="E218" i="28"/>
  <c r="E220" i="28"/>
  <c r="E216" i="28"/>
  <c r="E219" i="28"/>
  <c r="E214" i="28"/>
  <c r="C213" i="28"/>
  <c r="D213" i="28" s="1"/>
  <c r="E145" i="33"/>
  <c r="E145" i="32"/>
  <c r="E146" i="19"/>
  <c r="E145" i="39"/>
  <c r="E145" i="27"/>
  <c r="E145" i="26"/>
  <c r="E145" i="28"/>
  <c r="E145" i="23"/>
  <c r="E145" i="22"/>
  <c r="N145" i="39"/>
  <c r="E213" i="28"/>
  <c r="E214" i="27"/>
  <c r="E218" i="27"/>
  <c r="E213" i="22"/>
  <c r="E211" i="20"/>
  <c r="E215" i="20"/>
  <c r="E219" i="20"/>
  <c r="C211" i="28"/>
  <c r="D211" i="28" s="1"/>
  <c r="E212" i="28"/>
  <c r="E213" i="27"/>
  <c r="E217" i="27"/>
  <c r="E214" i="23"/>
  <c r="E218" i="23"/>
  <c r="E211" i="26"/>
  <c r="E215" i="26"/>
  <c r="E219" i="26"/>
  <c r="C211" i="22"/>
  <c r="D211" i="22" s="1"/>
  <c r="E212" i="22"/>
  <c r="E219" i="22"/>
  <c r="E218" i="22"/>
  <c r="E217" i="22"/>
  <c r="E214" i="22"/>
  <c r="E214" i="20"/>
  <c r="E218" i="20"/>
  <c r="E211" i="28"/>
  <c r="C211" i="27"/>
  <c r="D211" i="27" s="1"/>
  <c r="E212" i="27"/>
  <c r="E216" i="27"/>
  <c r="E214" i="26"/>
  <c r="E218" i="26"/>
  <c r="E211" i="22"/>
  <c r="E215" i="22"/>
  <c r="E211" i="21"/>
  <c r="E212" i="21"/>
  <c r="E213" i="21"/>
  <c r="E214" i="21"/>
  <c r="E215" i="21"/>
  <c r="E216" i="21"/>
  <c r="E217" i="21"/>
  <c r="E218" i="21"/>
  <c r="E219" i="21"/>
  <c r="E146" i="33" l="1"/>
  <c r="E146" i="32"/>
  <c r="E147" i="19"/>
  <c r="E146" i="39"/>
  <c r="E146" i="28"/>
  <c r="E146" i="23"/>
  <c r="E146" i="27"/>
  <c r="E146" i="26"/>
  <c r="E146" i="22"/>
  <c r="N146" i="39"/>
  <c r="E78" i="36"/>
  <c r="E77" i="36"/>
  <c r="E76" i="36"/>
  <c r="E75" i="36"/>
  <c r="E74" i="36"/>
  <c r="E73" i="36"/>
  <c r="E72" i="36"/>
  <c r="E71" i="36"/>
  <c r="E70" i="36"/>
  <c r="E69" i="36"/>
  <c r="E68" i="36"/>
  <c r="E67" i="36"/>
  <c r="E66" i="36"/>
  <c r="E65" i="36"/>
  <c r="E64" i="36"/>
  <c r="E63" i="36"/>
  <c r="E62" i="36"/>
  <c r="E61" i="36"/>
  <c r="E60" i="36"/>
  <c r="E59" i="36"/>
  <c r="E58" i="36"/>
  <c r="E57" i="36"/>
  <c r="E56" i="36"/>
  <c r="E55" i="36"/>
  <c r="E54" i="36"/>
  <c r="E53" i="36"/>
  <c r="E52" i="36"/>
  <c r="E51" i="36"/>
  <c r="E50" i="36"/>
  <c r="E49" i="36"/>
  <c r="E48" i="36"/>
  <c r="E47" i="36"/>
  <c r="E46" i="36"/>
  <c r="E45" i="36"/>
  <c r="E44" i="36"/>
  <c r="E43" i="36"/>
  <c r="E42" i="36"/>
  <c r="E41" i="36"/>
  <c r="E40" i="36"/>
  <c r="E39" i="36"/>
  <c r="E38" i="36"/>
  <c r="E37" i="36"/>
  <c r="E36" i="36"/>
  <c r="E35" i="36"/>
  <c r="E34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7" i="36"/>
  <c r="E6" i="36"/>
  <c r="E5" i="36"/>
  <c r="E4" i="36"/>
  <c r="E3" i="36"/>
  <c r="E148" i="19" l="1"/>
  <c r="E148" i="21" s="1"/>
  <c r="E147" i="39"/>
  <c r="E147" i="28"/>
  <c r="E147" i="23"/>
  <c r="E147" i="27"/>
  <c r="E147" i="26"/>
  <c r="E147" i="22"/>
  <c r="E147" i="32"/>
  <c r="N147" i="39" s="1"/>
  <c r="E7" i="33"/>
  <c r="H7" i="32"/>
  <c r="E31" i="33"/>
  <c r="H31" i="32"/>
  <c r="E43" i="33"/>
  <c r="H43" i="32"/>
  <c r="E67" i="33"/>
  <c r="H67" i="32"/>
  <c r="E103" i="33"/>
  <c r="W103" i="39" s="1"/>
  <c r="E115" i="33"/>
  <c r="W115" i="39" s="1"/>
  <c r="W139" i="39"/>
  <c r="E11" i="33"/>
  <c r="H11" i="32"/>
  <c r="H23" i="32"/>
  <c r="E23" i="33"/>
  <c r="E35" i="33"/>
  <c r="H35" i="32"/>
  <c r="H47" i="32"/>
  <c r="E47" i="33"/>
  <c r="E59" i="33"/>
  <c r="H59" i="32"/>
  <c r="E83" i="33"/>
  <c r="H83" i="32"/>
  <c r="H95" i="32"/>
  <c r="E95" i="33"/>
  <c r="E107" i="33"/>
  <c r="W107" i="39" s="1"/>
  <c r="E119" i="33"/>
  <c r="W119" i="39" s="1"/>
  <c r="E131" i="33"/>
  <c r="W131" i="39" s="1"/>
  <c r="W143" i="39"/>
  <c r="E14" i="33"/>
  <c r="H14" i="32"/>
  <c r="E26" i="33"/>
  <c r="H26" i="32"/>
  <c r="E38" i="33"/>
  <c r="H38" i="32"/>
  <c r="E50" i="33"/>
  <c r="H50" i="32"/>
  <c r="E62" i="33"/>
  <c r="H62" i="32"/>
  <c r="E74" i="33"/>
  <c r="H74" i="32"/>
  <c r="E86" i="33"/>
  <c r="H86" i="32"/>
  <c r="E98" i="33"/>
  <c r="H98" i="32"/>
  <c r="E110" i="33"/>
  <c r="W110" i="39" s="1"/>
  <c r="E122" i="33"/>
  <c r="W122" i="39" s="1"/>
  <c r="E134" i="33"/>
  <c r="W134" i="39" s="1"/>
  <c r="W146" i="39"/>
  <c r="E3" i="33"/>
  <c r="H15" i="32"/>
  <c r="Q15" i="39" s="1"/>
  <c r="E15" i="33"/>
  <c r="H27" i="32"/>
  <c r="Q27" i="39" s="1"/>
  <c r="E27" i="33"/>
  <c r="E39" i="33"/>
  <c r="H39" i="32"/>
  <c r="Q39" i="39" s="1"/>
  <c r="E51" i="33"/>
  <c r="H51" i="32"/>
  <c r="Q51" i="39" s="1"/>
  <c r="H63" i="32"/>
  <c r="Q63" i="39" s="1"/>
  <c r="E63" i="33"/>
  <c r="E75" i="33"/>
  <c r="H75" i="32"/>
  <c r="Q75" i="39" s="1"/>
  <c r="H87" i="32"/>
  <c r="Q87" i="39" s="1"/>
  <c r="E87" i="33"/>
  <c r="E99" i="33"/>
  <c r="W99" i="39" s="1"/>
  <c r="E111" i="33"/>
  <c r="W111" i="39" s="1"/>
  <c r="E123" i="33"/>
  <c r="W123" i="39" s="1"/>
  <c r="E123" i="21"/>
  <c r="W135" i="39"/>
  <c r="E147" i="33"/>
  <c r="W147" i="39" s="1"/>
  <c r="H19" i="32"/>
  <c r="E19" i="33"/>
  <c r="H55" i="32"/>
  <c r="E55" i="33"/>
  <c r="H79" i="32"/>
  <c r="E79" i="33"/>
  <c r="E91" i="33"/>
  <c r="H91" i="32"/>
  <c r="E127" i="33"/>
  <c r="W127" i="39" s="1"/>
  <c r="H71" i="32"/>
  <c r="E71" i="33"/>
  <c r="E4" i="33"/>
  <c r="H4" i="32"/>
  <c r="E12" i="33"/>
  <c r="H12" i="32"/>
  <c r="E16" i="33"/>
  <c r="H16" i="32"/>
  <c r="J20" i="26"/>
  <c r="K20" i="26" s="1"/>
  <c r="E24" i="33"/>
  <c r="H24" i="32"/>
  <c r="E28" i="33"/>
  <c r="H28" i="32"/>
  <c r="H36" i="32"/>
  <c r="E36" i="33"/>
  <c r="E40" i="33"/>
  <c r="H40" i="32"/>
  <c r="E48" i="33"/>
  <c r="H48" i="32"/>
  <c r="E52" i="33"/>
  <c r="H52" i="32"/>
  <c r="E60" i="33"/>
  <c r="H60" i="32"/>
  <c r="E64" i="33"/>
  <c r="H64" i="32"/>
  <c r="E72" i="33"/>
  <c r="H72" i="32"/>
  <c r="E76" i="33"/>
  <c r="H76" i="32"/>
  <c r="E84" i="33"/>
  <c r="H84" i="32"/>
  <c r="E88" i="33"/>
  <c r="H88" i="32"/>
  <c r="E96" i="33"/>
  <c r="H96" i="32"/>
  <c r="E100" i="33"/>
  <c r="W100" i="39" s="1"/>
  <c r="E108" i="33"/>
  <c r="W108" i="39" s="1"/>
  <c r="E112" i="33"/>
  <c r="W112" i="39" s="1"/>
  <c r="E120" i="33"/>
  <c r="W120" i="39" s="1"/>
  <c r="E124" i="33"/>
  <c r="W124" i="39" s="1"/>
  <c r="E132" i="33"/>
  <c r="W132" i="39" s="1"/>
  <c r="W136" i="39"/>
  <c r="W144" i="39"/>
  <c r="E5" i="33"/>
  <c r="H5" i="32"/>
  <c r="E9" i="21"/>
  <c r="H13" i="32"/>
  <c r="E13" i="33"/>
  <c r="H17" i="32"/>
  <c r="E17" i="33"/>
  <c r="H25" i="32"/>
  <c r="E25" i="33"/>
  <c r="H29" i="32"/>
  <c r="E29" i="33"/>
  <c r="E37" i="33"/>
  <c r="H37" i="32"/>
  <c r="E41" i="33"/>
  <c r="H41" i="32"/>
  <c r="H49" i="32"/>
  <c r="E49" i="33"/>
  <c r="E53" i="33"/>
  <c r="H53" i="32"/>
  <c r="E61" i="33"/>
  <c r="H61" i="32"/>
  <c r="H65" i="32"/>
  <c r="E65" i="33"/>
  <c r="H73" i="32"/>
  <c r="E73" i="33"/>
  <c r="E77" i="33"/>
  <c r="H77" i="32"/>
  <c r="E85" i="33"/>
  <c r="H85" i="32"/>
  <c r="H89" i="32"/>
  <c r="E89" i="33"/>
  <c r="H97" i="32"/>
  <c r="E97" i="33"/>
  <c r="E101" i="33"/>
  <c r="W101" i="39" s="1"/>
  <c r="E109" i="33"/>
  <c r="W109" i="39" s="1"/>
  <c r="E113" i="33"/>
  <c r="W113" i="39" s="1"/>
  <c r="E121" i="33"/>
  <c r="W121" i="39" s="1"/>
  <c r="E125" i="33"/>
  <c r="W125" i="39" s="1"/>
  <c r="E133" i="33"/>
  <c r="W133" i="39" s="1"/>
  <c r="W137" i="39"/>
  <c r="W145" i="39"/>
  <c r="J10" i="27"/>
  <c r="K10" i="27" s="1"/>
  <c r="J42" i="23"/>
  <c r="K42" i="23" s="1"/>
  <c r="J58" i="23"/>
  <c r="K58" i="23" s="1"/>
  <c r="J90" i="27"/>
  <c r="K90" i="27" s="1"/>
  <c r="E130" i="21"/>
  <c r="E138" i="21"/>
  <c r="H11" i="19"/>
  <c r="H11" i="39" s="1"/>
  <c r="E11" i="21"/>
  <c r="J11" i="22"/>
  <c r="K11" i="22" s="1"/>
  <c r="J11" i="23"/>
  <c r="K11" i="23" s="1"/>
  <c r="J11" i="27"/>
  <c r="K11" i="27" s="1"/>
  <c r="E11" i="20"/>
  <c r="J11" i="26"/>
  <c r="K11" i="26" s="1"/>
  <c r="J11" i="28"/>
  <c r="K11" i="28" s="1"/>
  <c r="H15" i="19"/>
  <c r="H15" i="39" s="1"/>
  <c r="E15" i="21"/>
  <c r="E15" i="20"/>
  <c r="H27" i="19"/>
  <c r="H27" i="39" s="1"/>
  <c r="E27" i="21"/>
  <c r="E27" i="20"/>
  <c r="H43" i="19"/>
  <c r="H43" i="39" s="1"/>
  <c r="E43" i="21"/>
  <c r="J43" i="23"/>
  <c r="K43" i="23" s="1"/>
  <c r="J43" i="22"/>
  <c r="K43" i="22" s="1"/>
  <c r="J43" i="27"/>
  <c r="K43" i="27" s="1"/>
  <c r="E43" i="20"/>
  <c r="J43" i="26"/>
  <c r="K43" i="26" s="1"/>
  <c r="J43" i="28"/>
  <c r="K43" i="28" s="1"/>
  <c r="H55" i="19"/>
  <c r="H55" i="39" s="1"/>
  <c r="E55" i="21"/>
  <c r="J55" i="23"/>
  <c r="K55" i="23" s="1"/>
  <c r="J55" i="27"/>
  <c r="K55" i="27" s="1"/>
  <c r="J55" i="26"/>
  <c r="K55" i="26" s="1"/>
  <c r="J55" i="22"/>
  <c r="K55" i="22" s="1"/>
  <c r="J55" i="28"/>
  <c r="K55" i="28" s="1"/>
  <c r="E55" i="20"/>
  <c r="H67" i="19"/>
  <c r="H67" i="39" s="1"/>
  <c r="E67" i="21"/>
  <c r="J67" i="23"/>
  <c r="K67" i="23" s="1"/>
  <c r="J67" i="22"/>
  <c r="K67" i="22" s="1"/>
  <c r="J67" i="27"/>
  <c r="K67" i="27" s="1"/>
  <c r="J67" i="28"/>
  <c r="K67" i="28" s="1"/>
  <c r="E67" i="20"/>
  <c r="J67" i="26"/>
  <c r="K67" i="26" s="1"/>
  <c r="H79" i="19"/>
  <c r="H79" i="39" s="1"/>
  <c r="J79" i="22"/>
  <c r="K79" i="22" s="1"/>
  <c r="J79" i="23"/>
  <c r="K79" i="23" s="1"/>
  <c r="J79" i="27"/>
  <c r="K79" i="27" s="1"/>
  <c r="J79" i="26"/>
  <c r="K79" i="26" s="1"/>
  <c r="E79" i="21"/>
  <c r="E79" i="20"/>
  <c r="J79" i="28"/>
  <c r="K79" i="28" s="1"/>
  <c r="H95" i="19"/>
  <c r="H95" i="39" s="1"/>
  <c r="J95" i="22"/>
  <c r="K95" i="22" s="1"/>
  <c r="E95" i="21"/>
  <c r="J95" i="23"/>
  <c r="K95" i="23" s="1"/>
  <c r="J95" i="27"/>
  <c r="K95" i="27" s="1"/>
  <c r="J95" i="26"/>
  <c r="K95" i="26" s="1"/>
  <c r="E95" i="20"/>
  <c r="J95" i="28"/>
  <c r="K95" i="28" s="1"/>
  <c r="E107" i="21"/>
  <c r="E107" i="20"/>
  <c r="E115" i="21"/>
  <c r="E115" i="20"/>
  <c r="E123" i="20"/>
  <c r="E135" i="21"/>
  <c r="E135" i="20"/>
  <c r="E143" i="20"/>
  <c r="E143" i="21"/>
  <c r="H4" i="19"/>
  <c r="H4" i="39" s="1"/>
  <c r="E4" i="21"/>
  <c r="J4" i="26"/>
  <c r="K4" i="26" s="1"/>
  <c r="J4" i="23"/>
  <c r="K4" i="23" s="1"/>
  <c r="J4" i="22"/>
  <c r="K4" i="22" s="1"/>
  <c r="J4" i="28"/>
  <c r="K4" i="28" s="1"/>
  <c r="J4" i="27"/>
  <c r="K4" i="27" s="1"/>
  <c r="E4" i="20"/>
  <c r="H8" i="19"/>
  <c r="H8" i="39" s="1"/>
  <c r="E8" i="21"/>
  <c r="J8" i="23"/>
  <c r="K8" i="23" s="1"/>
  <c r="J8" i="27"/>
  <c r="K8" i="27" s="1"/>
  <c r="H12" i="19"/>
  <c r="H12" i="39" s="1"/>
  <c r="E12" i="21"/>
  <c r="J12" i="26"/>
  <c r="K12" i="26" s="1"/>
  <c r="J12" i="22"/>
  <c r="K12" i="22" s="1"/>
  <c r="J12" i="23"/>
  <c r="K12" i="23" s="1"/>
  <c r="J12" i="27"/>
  <c r="K12" i="27" s="1"/>
  <c r="J12" i="28"/>
  <c r="K12" i="28" s="1"/>
  <c r="E12" i="20"/>
  <c r="H16" i="19"/>
  <c r="H16" i="39" s="1"/>
  <c r="E16" i="21"/>
  <c r="J16" i="26"/>
  <c r="K16" i="26" s="1"/>
  <c r="J16" i="23"/>
  <c r="K16" i="23" s="1"/>
  <c r="J16" i="22"/>
  <c r="K16" i="22" s="1"/>
  <c r="J16" i="28"/>
  <c r="K16" i="28" s="1"/>
  <c r="J16" i="27"/>
  <c r="K16" i="27" s="1"/>
  <c r="E16" i="20"/>
  <c r="E20" i="21"/>
  <c r="E20" i="20"/>
  <c r="H24" i="19"/>
  <c r="H24" i="39" s="1"/>
  <c r="E24" i="21"/>
  <c r="J24" i="22"/>
  <c r="K24" i="22" s="1"/>
  <c r="J24" i="26"/>
  <c r="K24" i="26" s="1"/>
  <c r="J24" i="23"/>
  <c r="K24" i="23" s="1"/>
  <c r="J24" i="27"/>
  <c r="K24" i="27" s="1"/>
  <c r="J24" i="28"/>
  <c r="K24" i="28" s="1"/>
  <c r="E24" i="20"/>
  <c r="H28" i="19"/>
  <c r="H28" i="39" s="1"/>
  <c r="E28" i="21"/>
  <c r="J28" i="26"/>
  <c r="K28" i="26" s="1"/>
  <c r="J28" i="23"/>
  <c r="K28" i="23" s="1"/>
  <c r="J28" i="22"/>
  <c r="K28" i="22" s="1"/>
  <c r="J28" i="27"/>
  <c r="K28" i="27" s="1"/>
  <c r="E28" i="20"/>
  <c r="J28" i="28"/>
  <c r="K28" i="28" s="1"/>
  <c r="H32" i="19"/>
  <c r="H32" i="39" s="1"/>
  <c r="E32" i="21"/>
  <c r="J32" i="22"/>
  <c r="K32" i="22" s="1"/>
  <c r="J32" i="26"/>
  <c r="K32" i="26" s="1"/>
  <c r="J32" i="23"/>
  <c r="K32" i="23" s="1"/>
  <c r="J32" i="27"/>
  <c r="K32" i="27" s="1"/>
  <c r="J32" i="28"/>
  <c r="K32" i="28" s="1"/>
  <c r="E32" i="20"/>
  <c r="H36" i="19"/>
  <c r="H36" i="39" s="1"/>
  <c r="E36" i="21"/>
  <c r="J36" i="26"/>
  <c r="K36" i="26" s="1"/>
  <c r="J36" i="23"/>
  <c r="K36" i="23" s="1"/>
  <c r="J36" i="22"/>
  <c r="K36" i="22" s="1"/>
  <c r="J36" i="28"/>
  <c r="K36" i="28" s="1"/>
  <c r="E36" i="20"/>
  <c r="J36" i="27"/>
  <c r="K36" i="27" s="1"/>
  <c r="H40" i="19"/>
  <c r="H40" i="39" s="1"/>
  <c r="E40" i="21"/>
  <c r="J40" i="22"/>
  <c r="K40" i="22" s="1"/>
  <c r="J40" i="26"/>
  <c r="K40" i="26" s="1"/>
  <c r="J40" i="23"/>
  <c r="K40" i="23" s="1"/>
  <c r="J40" i="28"/>
  <c r="K40" i="28" s="1"/>
  <c r="E40" i="20"/>
  <c r="J40" i="27"/>
  <c r="K40" i="27" s="1"/>
  <c r="H44" i="19"/>
  <c r="H44" i="39" s="1"/>
  <c r="E44" i="21"/>
  <c r="J44" i="26"/>
  <c r="K44" i="26" s="1"/>
  <c r="J44" i="23"/>
  <c r="K44" i="23" s="1"/>
  <c r="J44" i="22"/>
  <c r="K44" i="22" s="1"/>
  <c r="J44" i="27"/>
  <c r="K44" i="27" s="1"/>
  <c r="J44" i="28"/>
  <c r="K44" i="28" s="1"/>
  <c r="E44" i="20"/>
  <c r="H48" i="19"/>
  <c r="H48" i="39" s="1"/>
  <c r="E48" i="21"/>
  <c r="J48" i="22"/>
  <c r="K48" i="22" s="1"/>
  <c r="J48" i="26"/>
  <c r="K48" i="26" s="1"/>
  <c r="J48" i="23"/>
  <c r="K48" i="23" s="1"/>
  <c r="J48" i="27"/>
  <c r="K48" i="27" s="1"/>
  <c r="J48" i="28"/>
  <c r="K48" i="28" s="1"/>
  <c r="E48" i="20"/>
  <c r="H52" i="19"/>
  <c r="H52" i="39" s="1"/>
  <c r="E52" i="21"/>
  <c r="J52" i="26"/>
  <c r="K52" i="26" s="1"/>
  <c r="J52" i="23"/>
  <c r="K52" i="23" s="1"/>
  <c r="J52" i="22"/>
  <c r="K52" i="22" s="1"/>
  <c r="J52" i="27"/>
  <c r="K52" i="27" s="1"/>
  <c r="J52" i="28"/>
  <c r="K52" i="28" s="1"/>
  <c r="E52" i="20"/>
  <c r="H56" i="19"/>
  <c r="H56" i="39" s="1"/>
  <c r="E56" i="21"/>
  <c r="J56" i="23"/>
  <c r="K56" i="23" s="1"/>
  <c r="J56" i="28"/>
  <c r="K56" i="28" s="1"/>
  <c r="H60" i="19"/>
  <c r="H60" i="39" s="1"/>
  <c r="E60" i="21"/>
  <c r="J60" i="26"/>
  <c r="K60" i="26" s="1"/>
  <c r="J60" i="23"/>
  <c r="K60" i="23" s="1"/>
  <c r="J60" i="22"/>
  <c r="K60" i="22" s="1"/>
  <c r="J60" i="27"/>
  <c r="K60" i="27" s="1"/>
  <c r="E60" i="20"/>
  <c r="J60" i="28"/>
  <c r="K60" i="28" s="1"/>
  <c r="H64" i="19"/>
  <c r="H64" i="39" s="1"/>
  <c r="E64" i="21"/>
  <c r="J64" i="22"/>
  <c r="K64" i="22" s="1"/>
  <c r="J64" i="26"/>
  <c r="K64" i="26" s="1"/>
  <c r="J64" i="23"/>
  <c r="K64" i="23" s="1"/>
  <c r="J64" i="27"/>
  <c r="K64" i="27" s="1"/>
  <c r="J64" i="28"/>
  <c r="K64" i="28" s="1"/>
  <c r="E64" i="20"/>
  <c r="E68" i="21"/>
  <c r="J68" i="27"/>
  <c r="K68" i="27" s="1"/>
  <c r="H72" i="19"/>
  <c r="H72" i="39" s="1"/>
  <c r="E72" i="21"/>
  <c r="J72" i="22"/>
  <c r="K72" i="22" s="1"/>
  <c r="J72" i="26"/>
  <c r="K72" i="26" s="1"/>
  <c r="J72" i="23"/>
  <c r="K72" i="23" s="1"/>
  <c r="J72" i="27"/>
  <c r="K72" i="27" s="1"/>
  <c r="J72" i="28"/>
  <c r="K72" i="28" s="1"/>
  <c r="E72" i="20"/>
  <c r="H76" i="19"/>
  <c r="H76" i="39" s="1"/>
  <c r="E76" i="21"/>
  <c r="J76" i="22"/>
  <c r="K76" i="22" s="1"/>
  <c r="J76" i="26"/>
  <c r="K76" i="26" s="1"/>
  <c r="J76" i="23"/>
  <c r="K76" i="23" s="1"/>
  <c r="J76" i="28"/>
  <c r="K76" i="28" s="1"/>
  <c r="E76" i="20"/>
  <c r="J76" i="27"/>
  <c r="K76" i="27" s="1"/>
  <c r="H80" i="19"/>
  <c r="H80" i="39" s="1"/>
  <c r="E80" i="21"/>
  <c r="J80" i="22"/>
  <c r="K80" i="22" s="1"/>
  <c r="J80" i="26"/>
  <c r="K80" i="26" s="1"/>
  <c r="J80" i="23"/>
  <c r="K80" i="23" s="1"/>
  <c r="J80" i="27"/>
  <c r="K80" i="27" s="1"/>
  <c r="J80" i="28"/>
  <c r="K80" i="28" s="1"/>
  <c r="E80" i="20"/>
  <c r="H84" i="19"/>
  <c r="H84" i="39" s="1"/>
  <c r="E84" i="21"/>
  <c r="J84" i="22"/>
  <c r="K84" i="22" s="1"/>
  <c r="J84" i="26"/>
  <c r="K84" i="26" s="1"/>
  <c r="J84" i="23"/>
  <c r="K84" i="23" s="1"/>
  <c r="J84" i="28"/>
  <c r="K84" i="28" s="1"/>
  <c r="E84" i="20"/>
  <c r="J84" i="27"/>
  <c r="K84" i="27" s="1"/>
  <c r="H88" i="19"/>
  <c r="H88" i="39" s="1"/>
  <c r="E88" i="21"/>
  <c r="J88" i="22"/>
  <c r="K88" i="22" s="1"/>
  <c r="J88" i="26"/>
  <c r="K88" i="26" s="1"/>
  <c r="J88" i="23"/>
  <c r="K88" i="23" s="1"/>
  <c r="J88" i="27"/>
  <c r="K88" i="27" s="1"/>
  <c r="J88" i="28"/>
  <c r="K88" i="28" s="1"/>
  <c r="E88" i="20"/>
  <c r="H92" i="19"/>
  <c r="H92" i="39" s="1"/>
  <c r="E92" i="21"/>
  <c r="J92" i="22"/>
  <c r="K92" i="22" s="1"/>
  <c r="J92" i="26"/>
  <c r="K92" i="26" s="1"/>
  <c r="J92" i="23"/>
  <c r="K92" i="23" s="1"/>
  <c r="E92" i="20"/>
  <c r="J92" i="27"/>
  <c r="K92" i="27" s="1"/>
  <c r="J92" i="28"/>
  <c r="K92" i="28" s="1"/>
  <c r="H96" i="19"/>
  <c r="H96" i="39" s="1"/>
  <c r="E96" i="21"/>
  <c r="J96" i="26"/>
  <c r="K96" i="26" s="1"/>
  <c r="J96" i="22"/>
  <c r="K96" i="22" s="1"/>
  <c r="J96" i="23"/>
  <c r="K96" i="23" s="1"/>
  <c r="J96" i="27"/>
  <c r="K96" i="27" s="1"/>
  <c r="E96" i="20"/>
  <c r="J96" i="28"/>
  <c r="K96" i="28" s="1"/>
  <c r="E100" i="21"/>
  <c r="E100" i="20"/>
  <c r="E108" i="21"/>
  <c r="E108" i="20"/>
  <c r="E112" i="21"/>
  <c r="E112" i="20"/>
  <c r="E120" i="21"/>
  <c r="E120" i="20"/>
  <c r="E124" i="21"/>
  <c r="E124" i="20"/>
  <c r="E128" i="21"/>
  <c r="E128" i="20"/>
  <c r="E132" i="21"/>
  <c r="E132" i="20"/>
  <c r="E136" i="21"/>
  <c r="E136" i="20"/>
  <c r="E140" i="21"/>
  <c r="E140" i="20"/>
  <c r="E144" i="21"/>
  <c r="E144" i="20"/>
  <c r="H3" i="19"/>
  <c r="H3" i="39" s="1"/>
  <c r="E3" i="21"/>
  <c r="E3" i="20"/>
  <c r="H23" i="19"/>
  <c r="H23" i="39" s="1"/>
  <c r="E23" i="21"/>
  <c r="J23" i="23"/>
  <c r="K23" i="23" s="1"/>
  <c r="J23" i="26"/>
  <c r="K23" i="26" s="1"/>
  <c r="J23" i="28"/>
  <c r="K23" i="28" s="1"/>
  <c r="E23" i="20"/>
  <c r="J23" i="27"/>
  <c r="K23" i="27" s="1"/>
  <c r="J23" i="22"/>
  <c r="K23" i="22" s="1"/>
  <c r="H35" i="19"/>
  <c r="H35" i="39" s="1"/>
  <c r="E35" i="21"/>
  <c r="J35" i="23"/>
  <c r="K35" i="23" s="1"/>
  <c r="J35" i="22"/>
  <c r="K35" i="22" s="1"/>
  <c r="J35" i="27"/>
  <c r="K35" i="27" s="1"/>
  <c r="J35" i="28"/>
  <c r="K35" i="28" s="1"/>
  <c r="E35" i="20"/>
  <c r="J35" i="26"/>
  <c r="K35" i="26" s="1"/>
  <c r="H47" i="19"/>
  <c r="H47" i="39" s="1"/>
  <c r="J47" i="23"/>
  <c r="K47" i="23" s="1"/>
  <c r="E47" i="21"/>
  <c r="J47" i="27"/>
  <c r="K47" i="27" s="1"/>
  <c r="J47" i="22"/>
  <c r="K47" i="22" s="1"/>
  <c r="J47" i="26"/>
  <c r="K47" i="26" s="1"/>
  <c r="E47" i="20"/>
  <c r="J47" i="28"/>
  <c r="K47" i="28" s="1"/>
  <c r="H59" i="19"/>
  <c r="H59" i="39" s="1"/>
  <c r="E59" i="21"/>
  <c r="J59" i="23"/>
  <c r="K59" i="23" s="1"/>
  <c r="J59" i="22"/>
  <c r="K59" i="22" s="1"/>
  <c r="J59" i="27"/>
  <c r="K59" i="27" s="1"/>
  <c r="J59" i="26"/>
  <c r="K59" i="26" s="1"/>
  <c r="E59" i="20"/>
  <c r="J59" i="28"/>
  <c r="K59" i="28" s="1"/>
  <c r="H75" i="19"/>
  <c r="H75" i="39" s="1"/>
  <c r="E75" i="21"/>
  <c r="E75" i="20"/>
  <c r="H87" i="19"/>
  <c r="H87" i="39" s="1"/>
  <c r="E87" i="21"/>
  <c r="E87" i="20"/>
  <c r="E103" i="21"/>
  <c r="E103" i="20"/>
  <c r="E119" i="21"/>
  <c r="E119" i="20"/>
  <c r="E127" i="21"/>
  <c r="E127" i="20"/>
  <c r="E139" i="21"/>
  <c r="E139" i="20"/>
  <c r="E147" i="21"/>
  <c r="E147" i="20"/>
  <c r="H5" i="19"/>
  <c r="H5" i="39" s="1"/>
  <c r="J5" i="22"/>
  <c r="K5" i="22" s="1"/>
  <c r="E5" i="21"/>
  <c r="J5" i="26"/>
  <c r="K5" i="26" s="1"/>
  <c r="J5" i="28"/>
  <c r="K5" i="28" s="1"/>
  <c r="J5" i="23"/>
  <c r="K5" i="23" s="1"/>
  <c r="J5" i="27"/>
  <c r="K5" i="27" s="1"/>
  <c r="E5" i="20"/>
  <c r="H9" i="19"/>
  <c r="H9" i="39" s="1"/>
  <c r="J9" i="26"/>
  <c r="K9" i="26" s="1"/>
  <c r="J9" i="28"/>
  <c r="K9" i="28" s="1"/>
  <c r="E9" i="20"/>
  <c r="H13" i="19"/>
  <c r="H13" i="39" s="1"/>
  <c r="E13" i="21"/>
  <c r="J13" i="22"/>
  <c r="K13" i="22" s="1"/>
  <c r="J13" i="26"/>
  <c r="K13" i="26" s="1"/>
  <c r="J13" i="28"/>
  <c r="K13" i="28" s="1"/>
  <c r="J13" i="23"/>
  <c r="K13" i="23" s="1"/>
  <c r="J13" i="27"/>
  <c r="K13" i="27" s="1"/>
  <c r="E13" i="20"/>
  <c r="H17" i="19"/>
  <c r="H17" i="39" s="1"/>
  <c r="J17" i="22"/>
  <c r="K17" i="22" s="1"/>
  <c r="E17" i="21"/>
  <c r="J17" i="26"/>
  <c r="K17" i="26" s="1"/>
  <c r="J17" i="28"/>
  <c r="K17" i="28" s="1"/>
  <c r="J17" i="23"/>
  <c r="K17" i="23" s="1"/>
  <c r="J17" i="27"/>
  <c r="K17" i="27" s="1"/>
  <c r="E17" i="20"/>
  <c r="H21" i="19"/>
  <c r="H21" i="39" s="1"/>
  <c r="J21" i="28"/>
  <c r="K21" i="28" s="1"/>
  <c r="H25" i="19"/>
  <c r="H25" i="39" s="1"/>
  <c r="E25" i="21"/>
  <c r="J25" i="22"/>
  <c r="K25" i="22" s="1"/>
  <c r="J25" i="26"/>
  <c r="K25" i="26" s="1"/>
  <c r="J25" i="28"/>
  <c r="K25" i="28" s="1"/>
  <c r="J25" i="23"/>
  <c r="K25" i="23" s="1"/>
  <c r="J25" i="27"/>
  <c r="K25" i="27" s="1"/>
  <c r="E25" i="20"/>
  <c r="H29" i="19"/>
  <c r="H29" i="39" s="1"/>
  <c r="E29" i="21"/>
  <c r="J29" i="22"/>
  <c r="K29" i="22" s="1"/>
  <c r="J29" i="26"/>
  <c r="K29" i="26" s="1"/>
  <c r="J29" i="27"/>
  <c r="K29" i="27" s="1"/>
  <c r="J29" i="28"/>
  <c r="K29" i="28" s="1"/>
  <c r="E29" i="20"/>
  <c r="J29" i="23"/>
  <c r="K29" i="23" s="1"/>
  <c r="H33" i="19"/>
  <c r="H33" i="39" s="1"/>
  <c r="J33" i="22"/>
  <c r="K33" i="22" s="1"/>
  <c r="E33" i="21"/>
  <c r="J33" i="26"/>
  <c r="K33" i="26" s="1"/>
  <c r="J33" i="28"/>
  <c r="K33" i="28" s="1"/>
  <c r="J33" i="23"/>
  <c r="K33" i="23" s="1"/>
  <c r="J33" i="27"/>
  <c r="K33" i="27" s="1"/>
  <c r="E33" i="20"/>
  <c r="H37" i="19"/>
  <c r="H37" i="39" s="1"/>
  <c r="J37" i="22"/>
  <c r="K37" i="22" s="1"/>
  <c r="J37" i="26"/>
  <c r="K37" i="26" s="1"/>
  <c r="E37" i="21"/>
  <c r="J37" i="28"/>
  <c r="K37" i="28" s="1"/>
  <c r="J37" i="23"/>
  <c r="K37" i="23" s="1"/>
  <c r="E37" i="20"/>
  <c r="J37" i="27"/>
  <c r="K37" i="27" s="1"/>
  <c r="H41" i="19"/>
  <c r="H41" i="39" s="1"/>
  <c r="E41" i="21"/>
  <c r="J41" i="22"/>
  <c r="K41" i="22" s="1"/>
  <c r="J41" i="26"/>
  <c r="K41" i="26" s="1"/>
  <c r="J41" i="28"/>
  <c r="K41" i="28" s="1"/>
  <c r="J41" i="27"/>
  <c r="K41" i="27" s="1"/>
  <c r="J41" i="23"/>
  <c r="K41" i="23" s="1"/>
  <c r="E41" i="20"/>
  <c r="H45" i="19"/>
  <c r="H45" i="39" s="1"/>
  <c r="E45" i="21"/>
  <c r="J45" i="22"/>
  <c r="K45" i="22" s="1"/>
  <c r="J45" i="26"/>
  <c r="K45" i="26" s="1"/>
  <c r="J45" i="27"/>
  <c r="K45" i="27" s="1"/>
  <c r="J45" i="28"/>
  <c r="K45" i="28" s="1"/>
  <c r="J45" i="23"/>
  <c r="K45" i="23" s="1"/>
  <c r="E45" i="20"/>
  <c r="H49" i="19"/>
  <c r="H49" i="39" s="1"/>
  <c r="J49" i="22"/>
  <c r="K49" i="22" s="1"/>
  <c r="E49" i="21"/>
  <c r="J49" i="26"/>
  <c r="K49" i="26" s="1"/>
  <c r="J49" i="28"/>
  <c r="K49" i="28" s="1"/>
  <c r="J49" i="27"/>
  <c r="K49" i="27" s="1"/>
  <c r="J49" i="23"/>
  <c r="K49" i="23" s="1"/>
  <c r="E49" i="20"/>
  <c r="H53" i="19"/>
  <c r="H53" i="39" s="1"/>
  <c r="J53" i="22"/>
  <c r="K53" i="22" s="1"/>
  <c r="J53" i="26"/>
  <c r="K53" i="26" s="1"/>
  <c r="J53" i="28"/>
  <c r="K53" i="28" s="1"/>
  <c r="E53" i="21"/>
  <c r="E53" i="20"/>
  <c r="J53" i="27"/>
  <c r="K53" i="27" s="1"/>
  <c r="J53" i="23"/>
  <c r="K53" i="23" s="1"/>
  <c r="H57" i="19"/>
  <c r="H57" i="39" s="1"/>
  <c r="J57" i="26"/>
  <c r="K57" i="26" s="1"/>
  <c r="J57" i="28"/>
  <c r="K57" i="28" s="1"/>
  <c r="E57" i="20"/>
  <c r="H61" i="19"/>
  <c r="H61" i="39" s="1"/>
  <c r="E61" i="21"/>
  <c r="J61" i="22"/>
  <c r="K61" i="22" s="1"/>
  <c r="J61" i="26"/>
  <c r="K61" i="26" s="1"/>
  <c r="J61" i="27"/>
  <c r="K61" i="27" s="1"/>
  <c r="J61" i="28"/>
  <c r="K61" i="28" s="1"/>
  <c r="J61" i="23"/>
  <c r="K61" i="23" s="1"/>
  <c r="E61" i="20"/>
  <c r="H65" i="19"/>
  <c r="H65" i="39" s="1"/>
  <c r="J65" i="22"/>
  <c r="K65" i="22" s="1"/>
  <c r="E65" i="21"/>
  <c r="J65" i="26"/>
  <c r="K65" i="26" s="1"/>
  <c r="J65" i="28"/>
  <c r="K65" i="28" s="1"/>
  <c r="J65" i="27"/>
  <c r="K65" i="27" s="1"/>
  <c r="J65" i="23"/>
  <c r="K65" i="23" s="1"/>
  <c r="E65" i="20"/>
  <c r="H69" i="19"/>
  <c r="H69" i="39" s="1"/>
  <c r="J69" i="28"/>
  <c r="K69" i="28" s="1"/>
  <c r="H73" i="19"/>
  <c r="H73" i="39" s="1"/>
  <c r="E73" i="21"/>
  <c r="J73" i="22"/>
  <c r="K73" i="22" s="1"/>
  <c r="J73" i="26"/>
  <c r="K73" i="26" s="1"/>
  <c r="J73" i="28"/>
  <c r="K73" i="28" s="1"/>
  <c r="J73" i="23"/>
  <c r="K73" i="23" s="1"/>
  <c r="J73" i="27"/>
  <c r="K73" i="27" s="1"/>
  <c r="E73" i="20"/>
  <c r="H77" i="19"/>
  <c r="H77" i="39" s="1"/>
  <c r="E77" i="21"/>
  <c r="J77" i="26"/>
  <c r="K77" i="26" s="1"/>
  <c r="J77" i="27"/>
  <c r="K77" i="27" s="1"/>
  <c r="J77" i="28"/>
  <c r="K77" i="28" s="1"/>
  <c r="J77" i="23"/>
  <c r="K77" i="23" s="1"/>
  <c r="J77" i="22"/>
  <c r="K77" i="22" s="1"/>
  <c r="E77" i="20"/>
  <c r="H81" i="19"/>
  <c r="H81" i="39" s="1"/>
  <c r="J81" i="22"/>
  <c r="K81" i="22" s="1"/>
  <c r="E81" i="21"/>
  <c r="J81" i="26"/>
  <c r="K81" i="26" s="1"/>
  <c r="J81" i="28"/>
  <c r="K81" i="28" s="1"/>
  <c r="J81" i="23"/>
  <c r="K81" i="23" s="1"/>
  <c r="J81" i="27"/>
  <c r="K81" i="27" s="1"/>
  <c r="E81" i="20"/>
  <c r="H85" i="19"/>
  <c r="H85" i="39" s="1"/>
  <c r="J85" i="22"/>
  <c r="K85" i="22" s="1"/>
  <c r="E85" i="21"/>
  <c r="J85" i="26"/>
  <c r="K85" i="26" s="1"/>
  <c r="J85" i="28"/>
  <c r="K85" i="28" s="1"/>
  <c r="J85" i="27"/>
  <c r="K85" i="27" s="1"/>
  <c r="J85" i="23"/>
  <c r="K85" i="23" s="1"/>
  <c r="E85" i="20"/>
  <c r="H89" i="19"/>
  <c r="H89" i="39" s="1"/>
  <c r="E89" i="21"/>
  <c r="J89" i="22"/>
  <c r="K89" i="22" s="1"/>
  <c r="J89" i="26"/>
  <c r="K89" i="26" s="1"/>
  <c r="J89" i="28"/>
  <c r="K89" i="28" s="1"/>
  <c r="J89" i="23"/>
  <c r="K89" i="23" s="1"/>
  <c r="J89" i="27"/>
  <c r="K89" i="27" s="1"/>
  <c r="E89" i="20"/>
  <c r="H93" i="19"/>
  <c r="H93" i="39" s="1"/>
  <c r="E93" i="21"/>
  <c r="J93" i="22"/>
  <c r="K93" i="22" s="1"/>
  <c r="J93" i="26"/>
  <c r="K93" i="26" s="1"/>
  <c r="J93" i="27"/>
  <c r="K93" i="27" s="1"/>
  <c r="J93" i="28"/>
  <c r="K93" i="28" s="1"/>
  <c r="E93" i="20"/>
  <c r="J93" i="23"/>
  <c r="K93" i="23" s="1"/>
  <c r="H97" i="19"/>
  <c r="H97" i="39" s="1"/>
  <c r="J97" i="22"/>
  <c r="K97" i="22" s="1"/>
  <c r="E97" i="21"/>
  <c r="J97" i="26"/>
  <c r="K97" i="26" s="1"/>
  <c r="J97" i="28"/>
  <c r="K97" i="28" s="1"/>
  <c r="E97" i="20"/>
  <c r="J97" i="23"/>
  <c r="K97" i="23" s="1"/>
  <c r="J97" i="27"/>
  <c r="K97" i="27" s="1"/>
  <c r="E101" i="21"/>
  <c r="E101" i="20"/>
  <c r="E105" i="21"/>
  <c r="E105" i="20"/>
  <c r="E109" i="21"/>
  <c r="E109" i="20"/>
  <c r="E113" i="21"/>
  <c r="E113" i="20"/>
  <c r="E117" i="20"/>
  <c r="E121" i="21"/>
  <c r="E121" i="20"/>
  <c r="E125" i="21"/>
  <c r="E125" i="20"/>
  <c r="E129" i="21"/>
  <c r="E129" i="20"/>
  <c r="E133" i="21"/>
  <c r="E133" i="20"/>
  <c r="E137" i="21"/>
  <c r="E137" i="20"/>
  <c r="E141" i="21"/>
  <c r="E141" i="20"/>
  <c r="E145" i="21"/>
  <c r="E145" i="20"/>
  <c r="H7" i="19"/>
  <c r="H7" i="39" s="1"/>
  <c r="E7" i="21"/>
  <c r="J7" i="23"/>
  <c r="K7" i="23" s="1"/>
  <c r="J7" i="26"/>
  <c r="K7" i="26" s="1"/>
  <c r="J7" i="28"/>
  <c r="K7" i="28" s="1"/>
  <c r="E7" i="20"/>
  <c r="J7" i="27"/>
  <c r="K7" i="27" s="1"/>
  <c r="J7" i="22"/>
  <c r="K7" i="22" s="1"/>
  <c r="H19" i="19"/>
  <c r="H19" i="39" s="1"/>
  <c r="E19" i="21"/>
  <c r="J19" i="23"/>
  <c r="K19" i="23" s="1"/>
  <c r="J19" i="22"/>
  <c r="K19" i="22" s="1"/>
  <c r="J19" i="26"/>
  <c r="K19" i="26" s="1"/>
  <c r="J19" i="28"/>
  <c r="K19" i="28" s="1"/>
  <c r="E19" i="20"/>
  <c r="J19" i="27"/>
  <c r="K19" i="27" s="1"/>
  <c r="H31" i="19"/>
  <c r="H31" i="39" s="1"/>
  <c r="E31" i="21"/>
  <c r="J31" i="23"/>
  <c r="K31" i="23" s="1"/>
  <c r="J31" i="27"/>
  <c r="K31" i="27" s="1"/>
  <c r="J31" i="26"/>
  <c r="K31" i="26" s="1"/>
  <c r="E31" i="20"/>
  <c r="J31" i="22"/>
  <c r="K31" i="22" s="1"/>
  <c r="J31" i="28"/>
  <c r="K31" i="28" s="1"/>
  <c r="H39" i="19"/>
  <c r="H39" i="39" s="1"/>
  <c r="E39" i="21"/>
  <c r="E39" i="20"/>
  <c r="H51" i="19"/>
  <c r="H51" i="39" s="1"/>
  <c r="E51" i="21"/>
  <c r="E51" i="20"/>
  <c r="H63" i="19"/>
  <c r="H63" i="39" s="1"/>
  <c r="E63" i="21"/>
  <c r="E63" i="20"/>
  <c r="H71" i="19"/>
  <c r="H71" i="39" s="1"/>
  <c r="J71" i="22"/>
  <c r="K71" i="22" s="1"/>
  <c r="E71" i="21"/>
  <c r="J71" i="23"/>
  <c r="K71" i="23" s="1"/>
  <c r="J71" i="27"/>
  <c r="K71" i="27" s="1"/>
  <c r="J71" i="26"/>
  <c r="K71" i="26" s="1"/>
  <c r="J71" i="28"/>
  <c r="K71" i="28" s="1"/>
  <c r="E71" i="20"/>
  <c r="H83" i="19"/>
  <c r="H83" i="39" s="1"/>
  <c r="J83" i="22"/>
  <c r="K83" i="22" s="1"/>
  <c r="E83" i="21"/>
  <c r="J83" i="23"/>
  <c r="K83" i="23" s="1"/>
  <c r="J83" i="27"/>
  <c r="K83" i="27" s="1"/>
  <c r="J83" i="26"/>
  <c r="K83" i="26" s="1"/>
  <c r="J83" i="28"/>
  <c r="K83" i="28" s="1"/>
  <c r="E83" i="20"/>
  <c r="H91" i="19"/>
  <c r="H91" i="39" s="1"/>
  <c r="J91" i="22"/>
  <c r="K91" i="22" s="1"/>
  <c r="E91" i="21"/>
  <c r="J91" i="23"/>
  <c r="K91" i="23" s="1"/>
  <c r="J91" i="27"/>
  <c r="K91" i="27" s="1"/>
  <c r="J91" i="26"/>
  <c r="K91" i="26" s="1"/>
  <c r="E91" i="20"/>
  <c r="J91" i="28"/>
  <c r="K91" i="28" s="1"/>
  <c r="E99" i="21"/>
  <c r="E99" i="20"/>
  <c r="E111" i="21"/>
  <c r="E111" i="20"/>
  <c r="E131" i="21"/>
  <c r="E131" i="20"/>
  <c r="H6" i="19"/>
  <c r="H6" i="39" s="1"/>
  <c r="E6" i="21"/>
  <c r="J6" i="22"/>
  <c r="K6" i="22" s="1"/>
  <c r="J6" i="27"/>
  <c r="K6" i="27" s="1"/>
  <c r="J6" i="28"/>
  <c r="K6" i="28" s="1"/>
  <c r="E6" i="20"/>
  <c r="J6" i="23"/>
  <c r="K6" i="23" s="1"/>
  <c r="J6" i="26"/>
  <c r="K6" i="26" s="1"/>
  <c r="E10" i="21"/>
  <c r="J10" i="23"/>
  <c r="K10" i="23" s="1"/>
  <c r="J10" i="28"/>
  <c r="K10" i="28" s="1"/>
  <c r="J10" i="26"/>
  <c r="K10" i="26" s="1"/>
  <c r="H14" i="19"/>
  <c r="H14" i="39" s="1"/>
  <c r="E14" i="21"/>
  <c r="J14" i="22"/>
  <c r="K14" i="22" s="1"/>
  <c r="J14" i="27"/>
  <c r="K14" i="27" s="1"/>
  <c r="J14" i="26"/>
  <c r="K14" i="26" s="1"/>
  <c r="E14" i="20"/>
  <c r="J14" i="23"/>
  <c r="K14" i="23" s="1"/>
  <c r="J14" i="28"/>
  <c r="K14" i="28" s="1"/>
  <c r="J18" i="22"/>
  <c r="K18" i="22" s="1"/>
  <c r="J18" i="28"/>
  <c r="K18" i="28" s="1"/>
  <c r="H22" i="19"/>
  <c r="H22" i="39" s="1"/>
  <c r="E22" i="21"/>
  <c r="J22" i="22"/>
  <c r="K22" i="22" s="1"/>
  <c r="J22" i="27"/>
  <c r="K22" i="27" s="1"/>
  <c r="J22" i="28"/>
  <c r="K22" i="28" s="1"/>
  <c r="E22" i="20"/>
  <c r="J22" i="26"/>
  <c r="K22" i="26" s="1"/>
  <c r="J22" i="23"/>
  <c r="K22" i="23" s="1"/>
  <c r="H26" i="19"/>
  <c r="H26" i="39" s="1"/>
  <c r="E26" i="21"/>
  <c r="J26" i="22"/>
  <c r="K26" i="22" s="1"/>
  <c r="J26" i="23"/>
  <c r="K26" i="23" s="1"/>
  <c r="J26" i="27"/>
  <c r="K26" i="27" s="1"/>
  <c r="J26" i="26"/>
  <c r="K26" i="26" s="1"/>
  <c r="E26" i="20"/>
  <c r="J26" i="28"/>
  <c r="K26" i="28" s="1"/>
  <c r="H30" i="19"/>
  <c r="H30" i="39" s="1"/>
  <c r="E30" i="21"/>
  <c r="J30" i="22"/>
  <c r="K30" i="22" s="1"/>
  <c r="J30" i="23"/>
  <c r="K30" i="23" s="1"/>
  <c r="E30" i="20"/>
  <c r="J30" i="27"/>
  <c r="K30" i="27" s="1"/>
  <c r="J30" i="28"/>
  <c r="K30" i="28" s="1"/>
  <c r="J30" i="26"/>
  <c r="K30" i="26" s="1"/>
  <c r="J34" i="22"/>
  <c r="K34" i="22" s="1"/>
  <c r="E34" i="21"/>
  <c r="J34" i="26"/>
  <c r="K34" i="26" s="1"/>
  <c r="J34" i="27"/>
  <c r="K34" i="27" s="1"/>
  <c r="H38" i="19"/>
  <c r="H38" i="39" s="1"/>
  <c r="E38" i="21"/>
  <c r="J38" i="22"/>
  <c r="K38" i="22" s="1"/>
  <c r="J38" i="27"/>
  <c r="K38" i="27" s="1"/>
  <c r="J38" i="28"/>
  <c r="K38" i="28" s="1"/>
  <c r="E38" i="20"/>
  <c r="J38" i="23"/>
  <c r="K38" i="23" s="1"/>
  <c r="J38" i="26"/>
  <c r="K38" i="26" s="1"/>
  <c r="J42" i="22"/>
  <c r="K42" i="22" s="1"/>
  <c r="J42" i="28"/>
  <c r="K42" i="28" s="1"/>
  <c r="H46" i="19"/>
  <c r="H46" i="39" s="1"/>
  <c r="E46" i="21"/>
  <c r="J46" i="22"/>
  <c r="K46" i="22" s="1"/>
  <c r="J46" i="26"/>
  <c r="K46" i="26" s="1"/>
  <c r="J46" i="27"/>
  <c r="K46" i="27" s="1"/>
  <c r="E46" i="20"/>
  <c r="J46" i="28"/>
  <c r="K46" i="28" s="1"/>
  <c r="J46" i="23"/>
  <c r="K46" i="23" s="1"/>
  <c r="H50" i="19"/>
  <c r="H50" i="39" s="1"/>
  <c r="J50" i="22"/>
  <c r="K50" i="22" s="1"/>
  <c r="E50" i="21"/>
  <c r="J50" i="23"/>
  <c r="K50" i="23" s="1"/>
  <c r="E50" i="20"/>
  <c r="J50" i="26"/>
  <c r="K50" i="26" s="1"/>
  <c r="J50" i="28"/>
  <c r="K50" i="28" s="1"/>
  <c r="J50" i="27"/>
  <c r="K50" i="27" s="1"/>
  <c r="H54" i="19"/>
  <c r="H54" i="39" s="1"/>
  <c r="E54" i="21"/>
  <c r="J54" i="22"/>
  <c r="K54" i="22" s="1"/>
  <c r="J54" i="28"/>
  <c r="K54" i="28" s="1"/>
  <c r="E54" i="20"/>
  <c r="J54" i="26"/>
  <c r="K54" i="26" s="1"/>
  <c r="J54" i="23"/>
  <c r="K54" i="23" s="1"/>
  <c r="J54" i="27"/>
  <c r="K54" i="27" s="1"/>
  <c r="E58" i="21"/>
  <c r="J58" i="22"/>
  <c r="K58" i="22" s="1"/>
  <c r="J58" i="26"/>
  <c r="K58" i="26" s="1"/>
  <c r="E58" i="20"/>
  <c r="H62" i="19"/>
  <c r="H62" i="39" s="1"/>
  <c r="E62" i="21"/>
  <c r="J62" i="22"/>
  <c r="K62" i="22" s="1"/>
  <c r="J62" i="23"/>
  <c r="K62" i="23" s="1"/>
  <c r="E62" i="20"/>
  <c r="J62" i="26"/>
  <c r="K62" i="26" s="1"/>
  <c r="J62" i="27"/>
  <c r="K62" i="27" s="1"/>
  <c r="J62" i="28"/>
  <c r="K62" i="28" s="1"/>
  <c r="E66" i="21"/>
  <c r="J66" i="27"/>
  <c r="K66" i="27" s="1"/>
  <c r="H70" i="19"/>
  <c r="H70" i="39" s="1"/>
  <c r="E70" i="21"/>
  <c r="J70" i="22"/>
  <c r="K70" i="22" s="1"/>
  <c r="J70" i="28"/>
  <c r="K70" i="28" s="1"/>
  <c r="E70" i="20"/>
  <c r="J70" i="23"/>
  <c r="K70" i="23" s="1"/>
  <c r="J70" i="27"/>
  <c r="K70" i="27" s="1"/>
  <c r="J70" i="26"/>
  <c r="K70" i="26" s="1"/>
  <c r="H74" i="19"/>
  <c r="H74" i="39" s="1"/>
  <c r="E74" i="21"/>
  <c r="J74" i="22"/>
  <c r="K74" i="22" s="1"/>
  <c r="J74" i="23"/>
  <c r="K74" i="23" s="1"/>
  <c r="J74" i="27"/>
  <c r="K74" i="27" s="1"/>
  <c r="E74" i="20"/>
  <c r="J74" i="28"/>
  <c r="K74" i="28" s="1"/>
  <c r="J74" i="26"/>
  <c r="K74" i="26" s="1"/>
  <c r="H78" i="19"/>
  <c r="H78" i="39" s="1"/>
  <c r="J78" i="22"/>
  <c r="K78" i="22" s="1"/>
  <c r="E78" i="21"/>
  <c r="J78" i="26"/>
  <c r="K78" i="26" s="1"/>
  <c r="E78" i="20"/>
  <c r="J78" i="23"/>
  <c r="K78" i="23" s="1"/>
  <c r="J78" i="27"/>
  <c r="K78" i="27" s="1"/>
  <c r="J78" i="28"/>
  <c r="K78" i="28" s="1"/>
  <c r="J82" i="22"/>
  <c r="K82" i="22" s="1"/>
  <c r="E82" i="21"/>
  <c r="E82" i="20"/>
  <c r="J82" i="28"/>
  <c r="K82" i="28" s="1"/>
  <c r="H86" i="19"/>
  <c r="H86" i="39" s="1"/>
  <c r="E86" i="21"/>
  <c r="J86" i="22"/>
  <c r="K86" i="22" s="1"/>
  <c r="J86" i="28"/>
  <c r="K86" i="28" s="1"/>
  <c r="E86" i="20"/>
  <c r="J86" i="26"/>
  <c r="K86" i="26" s="1"/>
  <c r="J86" i="27"/>
  <c r="K86" i="27" s="1"/>
  <c r="J86" i="23"/>
  <c r="K86" i="23" s="1"/>
  <c r="J90" i="23"/>
  <c r="K90" i="23" s="1"/>
  <c r="J90" i="28"/>
  <c r="K90" i="28" s="1"/>
  <c r="H94" i="19"/>
  <c r="H94" i="39" s="1"/>
  <c r="J94" i="22"/>
  <c r="K94" i="22" s="1"/>
  <c r="E94" i="21"/>
  <c r="J94" i="23"/>
  <c r="K94" i="23" s="1"/>
  <c r="E94" i="20"/>
  <c r="J94" i="27"/>
  <c r="K94" i="27" s="1"/>
  <c r="J94" i="28"/>
  <c r="K94" i="28" s="1"/>
  <c r="J94" i="26"/>
  <c r="K94" i="26" s="1"/>
  <c r="H98" i="19"/>
  <c r="H98" i="39" s="1"/>
  <c r="J98" i="22"/>
  <c r="K98" i="22" s="1"/>
  <c r="E98" i="21"/>
  <c r="J98" i="23"/>
  <c r="K98" i="23" s="1"/>
  <c r="J98" i="26"/>
  <c r="K98" i="26" s="1"/>
  <c r="E98" i="20"/>
  <c r="J98" i="27"/>
  <c r="K98" i="27" s="1"/>
  <c r="J98" i="28"/>
  <c r="K98" i="28" s="1"/>
  <c r="E102" i="21"/>
  <c r="E102" i="20"/>
  <c r="E110" i="21"/>
  <c r="E110" i="20"/>
  <c r="E114" i="21"/>
  <c r="E118" i="21"/>
  <c r="E118" i="20"/>
  <c r="E122" i="21"/>
  <c r="E122" i="20"/>
  <c r="E126" i="21"/>
  <c r="E126" i="20"/>
  <c r="E130" i="20"/>
  <c r="E134" i="20"/>
  <c r="E142" i="21"/>
  <c r="E142" i="20"/>
  <c r="E146" i="21"/>
  <c r="E146" i="20"/>
  <c r="B219" i="19"/>
  <c r="B218" i="19"/>
  <c r="E148" i="20" l="1"/>
  <c r="E148" i="33"/>
  <c r="W148" i="39" s="1"/>
  <c r="C57" i="34"/>
  <c r="C76" i="34" s="1"/>
  <c r="C58" i="34"/>
  <c r="C77" i="34" s="1"/>
  <c r="C15" i="34"/>
  <c r="B15" i="9"/>
  <c r="F15" i="9" s="1"/>
  <c r="C16" i="34"/>
  <c r="B16" i="9"/>
  <c r="F16" i="9" s="1"/>
  <c r="J98" i="21"/>
  <c r="K98" i="21" s="1"/>
  <c r="J86" i="20"/>
  <c r="K86" i="20" s="1"/>
  <c r="J30" i="20"/>
  <c r="K30" i="20" s="1"/>
  <c r="J91" i="21"/>
  <c r="K91" i="21" s="1"/>
  <c r="J89" i="20"/>
  <c r="K89" i="20" s="1"/>
  <c r="J85" i="20"/>
  <c r="K85" i="20" s="1"/>
  <c r="J81" i="20"/>
  <c r="K81" i="20" s="1"/>
  <c r="J77" i="20"/>
  <c r="K77" i="20" s="1"/>
  <c r="J73" i="20"/>
  <c r="K73" i="20" s="1"/>
  <c r="J61" i="21"/>
  <c r="K61" i="21" s="1"/>
  <c r="J53" i="20"/>
  <c r="K53" i="20" s="1"/>
  <c r="J45" i="21"/>
  <c r="K45" i="21" s="1"/>
  <c r="J41" i="21"/>
  <c r="K41" i="21" s="1"/>
  <c r="J29" i="21"/>
  <c r="K29" i="21" s="1"/>
  <c r="J25" i="21"/>
  <c r="K25" i="21" s="1"/>
  <c r="J17" i="20"/>
  <c r="K17" i="20" s="1"/>
  <c r="J13" i="20"/>
  <c r="K13" i="20" s="1"/>
  <c r="J9" i="20"/>
  <c r="K9" i="20" s="1"/>
  <c r="J5" i="20"/>
  <c r="K5" i="20" s="1"/>
  <c r="J59" i="21"/>
  <c r="K59" i="21" s="1"/>
  <c r="J35" i="21"/>
  <c r="K35" i="21" s="1"/>
  <c r="J23" i="20"/>
  <c r="K23" i="20" s="1"/>
  <c r="J23" i="21"/>
  <c r="K23" i="21" s="1"/>
  <c r="J60" i="20"/>
  <c r="K60" i="20" s="1"/>
  <c r="J40" i="20"/>
  <c r="K40" i="20" s="1"/>
  <c r="J36" i="20"/>
  <c r="K36" i="20" s="1"/>
  <c r="J28" i="20"/>
  <c r="K28" i="20" s="1"/>
  <c r="J20" i="21"/>
  <c r="K20" i="21" s="1"/>
  <c r="J55" i="20"/>
  <c r="K55" i="20" s="1"/>
  <c r="J11" i="20"/>
  <c r="K11" i="20" s="1"/>
  <c r="J11" i="21"/>
  <c r="K11" i="21" s="1"/>
  <c r="H89" i="33"/>
  <c r="W89" i="39"/>
  <c r="I77" i="32"/>
  <c r="J77" i="32" s="1"/>
  <c r="Q77" i="39"/>
  <c r="H65" i="33"/>
  <c r="W65" i="39"/>
  <c r="I53" i="32"/>
  <c r="J53" i="32" s="1"/>
  <c r="Q53" i="39"/>
  <c r="I41" i="32"/>
  <c r="J41" i="32" s="1"/>
  <c r="Q41" i="39"/>
  <c r="H29" i="33"/>
  <c r="W29" i="39"/>
  <c r="H17" i="33"/>
  <c r="W17" i="39"/>
  <c r="J9" i="21"/>
  <c r="K9" i="21" s="1"/>
  <c r="H96" i="33"/>
  <c r="W96" i="39"/>
  <c r="H84" i="33"/>
  <c r="W84" i="39"/>
  <c r="H72" i="33"/>
  <c r="W72" i="39"/>
  <c r="H60" i="33"/>
  <c r="W60" i="39"/>
  <c r="H48" i="33"/>
  <c r="W48" i="39"/>
  <c r="I36" i="32"/>
  <c r="J36" i="32" s="1"/>
  <c r="Q36" i="39"/>
  <c r="H24" i="33"/>
  <c r="W24" i="39"/>
  <c r="I12" i="32"/>
  <c r="J12" i="32" s="1"/>
  <c r="Q12" i="39"/>
  <c r="H71" i="33"/>
  <c r="W71" i="39"/>
  <c r="H91" i="33"/>
  <c r="W91" i="39"/>
  <c r="I55" i="32"/>
  <c r="J55" i="32" s="1"/>
  <c r="Q55" i="39"/>
  <c r="H87" i="33"/>
  <c r="Z87" i="39" s="1"/>
  <c r="W87" i="39"/>
  <c r="H63" i="33"/>
  <c r="Z63" i="39" s="1"/>
  <c r="W63" i="39"/>
  <c r="H15" i="33"/>
  <c r="Z15" i="39" s="1"/>
  <c r="W15" i="39"/>
  <c r="H98" i="33"/>
  <c r="W98" i="39"/>
  <c r="H74" i="33"/>
  <c r="W74" i="39"/>
  <c r="H50" i="33"/>
  <c r="W50" i="39"/>
  <c r="H26" i="33"/>
  <c r="W26" i="39"/>
  <c r="I95" i="32"/>
  <c r="J95" i="32" s="1"/>
  <c r="Q95" i="39"/>
  <c r="H59" i="33"/>
  <c r="W59" i="39"/>
  <c r="H35" i="33"/>
  <c r="W35" i="39"/>
  <c r="H11" i="33"/>
  <c r="W11" i="39"/>
  <c r="I67" i="32"/>
  <c r="J67" i="32" s="1"/>
  <c r="Q67" i="39"/>
  <c r="I31" i="32"/>
  <c r="J31" i="32" s="1"/>
  <c r="Q31" i="39"/>
  <c r="J98" i="20"/>
  <c r="K98" i="20" s="1"/>
  <c r="J62" i="21"/>
  <c r="K62" i="21" s="1"/>
  <c r="J54" i="21"/>
  <c r="K54" i="21" s="1"/>
  <c r="J46" i="20"/>
  <c r="K46" i="20" s="1"/>
  <c r="J46" i="21"/>
  <c r="K46" i="21" s="1"/>
  <c r="J14" i="20"/>
  <c r="K14" i="20" s="1"/>
  <c r="J14" i="21"/>
  <c r="K14" i="21" s="1"/>
  <c r="J6" i="20"/>
  <c r="K6" i="20" s="1"/>
  <c r="J6" i="21"/>
  <c r="K6" i="21" s="1"/>
  <c r="J19" i="20"/>
  <c r="K19" i="20" s="1"/>
  <c r="J97" i="21"/>
  <c r="K97" i="21" s="1"/>
  <c r="J93" i="20"/>
  <c r="K93" i="20" s="1"/>
  <c r="J85" i="21"/>
  <c r="K85" i="21" s="1"/>
  <c r="J81" i="21"/>
  <c r="K81" i="21" s="1"/>
  <c r="J53" i="21"/>
  <c r="K53" i="21" s="1"/>
  <c r="J17" i="21"/>
  <c r="K17" i="21" s="1"/>
  <c r="J5" i="21"/>
  <c r="K5" i="21" s="1"/>
  <c r="J88" i="20"/>
  <c r="K88" i="20" s="1"/>
  <c r="J80" i="20"/>
  <c r="K80" i="20" s="1"/>
  <c r="J72" i="20"/>
  <c r="K72" i="20" s="1"/>
  <c r="J64" i="21"/>
  <c r="K64" i="21" s="1"/>
  <c r="J60" i="21"/>
  <c r="K60" i="21" s="1"/>
  <c r="J56" i="21"/>
  <c r="K56" i="21" s="1"/>
  <c r="J52" i="21"/>
  <c r="K52" i="21" s="1"/>
  <c r="J48" i="21"/>
  <c r="K48" i="21" s="1"/>
  <c r="J44" i="21"/>
  <c r="K44" i="21" s="1"/>
  <c r="J40" i="21"/>
  <c r="K40" i="21" s="1"/>
  <c r="J36" i="21"/>
  <c r="K36" i="21" s="1"/>
  <c r="J32" i="21"/>
  <c r="K32" i="21" s="1"/>
  <c r="J28" i="21"/>
  <c r="K28" i="21" s="1"/>
  <c r="J24" i="21"/>
  <c r="K24" i="21" s="1"/>
  <c r="J16" i="20"/>
  <c r="K16" i="20" s="1"/>
  <c r="J12" i="20"/>
  <c r="K12" i="20" s="1"/>
  <c r="J4" i="20"/>
  <c r="K4" i="20" s="1"/>
  <c r="J95" i="20"/>
  <c r="K95" i="20" s="1"/>
  <c r="J95" i="21"/>
  <c r="K95" i="21" s="1"/>
  <c r="J79" i="20"/>
  <c r="K79" i="20" s="1"/>
  <c r="J67" i="20"/>
  <c r="K67" i="20" s="1"/>
  <c r="I89" i="32"/>
  <c r="J89" i="32" s="1"/>
  <c r="Q89" i="39"/>
  <c r="H77" i="33"/>
  <c r="W77" i="39"/>
  <c r="I65" i="32"/>
  <c r="J65" i="32" s="1"/>
  <c r="Q65" i="39"/>
  <c r="H53" i="33"/>
  <c r="W53" i="39"/>
  <c r="H41" i="33"/>
  <c r="W41" i="39"/>
  <c r="I29" i="32"/>
  <c r="J29" i="32" s="1"/>
  <c r="Q29" i="39"/>
  <c r="I17" i="32"/>
  <c r="J17" i="32" s="1"/>
  <c r="Q17" i="39"/>
  <c r="I5" i="32"/>
  <c r="J5" i="32" s="1"/>
  <c r="Q5" i="39"/>
  <c r="I88" i="32"/>
  <c r="J88" i="32" s="1"/>
  <c r="Q88" i="39"/>
  <c r="I76" i="32"/>
  <c r="J76" i="32" s="1"/>
  <c r="Q76" i="39"/>
  <c r="I64" i="32"/>
  <c r="J64" i="32" s="1"/>
  <c r="Q64" i="39"/>
  <c r="I52" i="32"/>
  <c r="J52" i="32" s="1"/>
  <c r="Q52" i="39"/>
  <c r="I40" i="32"/>
  <c r="J40" i="32" s="1"/>
  <c r="Q40" i="39"/>
  <c r="I28" i="32"/>
  <c r="J28" i="32" s="1"/>
  <c r="Q28" i="39"/>
  <c r="H12" i="33"/>
  <c r="W12" i="39"/>
  <c r="I71" i="32"/>
  <c r="J71" i="32" s="1"/>
  <c r="Q71" i="39"/>
  <c r="H79" i="33"/>
  <c r="W79" i="39"/>
  <c r="H19" i="33"/>
  <c r="W19" i="39"/>
  <c r="H39" i="33"/>
  <c r="Z39" i="39" s="1"/>
  <c r="W39" i="39"/>
  <c r="I86" i="32"/>
  <c r="J86" i="32" s="1"/>
  <c r="Q86" i="39"/>
  <c r="I62" i="32"/>
  <c r="J62" i="32" s="1"/>
  <c r="Q62" i="39"/>
  <c r="I38" i="32"/>
  <c r="J38" i="32" s="1"/>
  <c r="Q38" i="39"/>
  <c r="I14" i="32"/>
  <c r="J14" i="32" s="1"/>
  <c r="Q14" i="39"/>
  <c r="I83" i="32"/>
  <c r="J83" i="32" s="1"/>
  <c r="Q83" i="39"/>
  <c r="H47" i="33"/>
  <c r="W47" i="39"/>
  <c r="H23" i="33"/>
  <c r="W23" i="39"/>
  <c r="H67" i="33"/>
  <c r="W67" i="39"/>
  <c r="H31" i="33"/>
  <c r="W31" i="39"/>
  <c r="J94" i="21"/>
  <c r="K94" i="21" s="1"/>
  <c r="J78" i="20"/>
  <c r="K78" i="20" s="1"/>
  <c r="J70" i="20"/>
  <c r="K70" i="20" s="1"/>
  <c r="J50" i="21"/>
  <c r="K50" i="21" s="1"/>
  <c r="J91" i="20"/>
  <c r="K91" i="20" s="1"/>
  <c r="J83" i="21"/>
  <c r="K83" i="21" s="1"/>
  <c r="J71" i="21"/>
  <c r="K71" i="21" s="1"/>
  <c r="J94" i="20"/>
  <c r="K94" i="20" s="1"/>
  <c r="J82" i="20"/>
  <c r="K82" i="20" s="1"/>
  <c r="J78" i="21"/>
  <c r="K78" i="21" s="1"/>
  <c r="J66" i="21"/>
  <c r="K66" i="21" s="1"/>
  <c r="J62" i="20"/>
  <c r="K62" i="20" s="1"/>
  <c r="J58" i="21"/>
  <c r="K58" i="21" s="1"/>
  <c r="J54" i="20"/>
  <c r="K54" i="20" s="1"/>
  <c r="J50" i="20"/>
  <c r="K50" i="20" s="1"/>
  <c r="J26" i="20"/>
  <c r="K26" i="20" s="1"/>
  <c r="J10" i="21"/>
  <c r="K10" i="21" s="1"/>
  <c r="J31" i="20"/>
  <c r="K31" i="20" s="1"/>
  <c r="J31" i="21"/>
  <c r="K31" i="21" s="1"/>
  <c r="J19" i="21"/>
  <c r="K19" i="21" s="1"/>
  <c r="J7" i="20"/>
  <c r="K7" i="20" s="1"/>
  <c r="J7" i="21"/>
  <c r="K7" i="21" s="1"/>
  <c r="J97" i="20"/>
  <c r="K97" i="20" s="1"/>
  <c r="J93" i="21"/>
  <c r="K93" i="21" s="1"/>
  <c r="J89" i="21"/>
  <c r="K89" i="21" s="1"/>
  <c r="J77" i="21"/>
  <c r="K77" i="21" s="1"/>
  <c r="J73" i="21"/>
  <c r="K73" i="21" s="1"/>
  <c r="J65" i="20"/>
  <c r="K65" i="20" s="1"/>
  <c r="J61" i="20"/>
  <c r="K61" i="20" s="1"/>
  <c r="J57" i="20"/>
  <c r="K57" i="20" s="1"/>
  <c r="J49" i="20"/>
  <c r="K49" i="20" s="1"/>
  <c r="J45" i="20"/>
  <c r="K45" i="20" s="1"/>
  <c r="J41" i="20"/>
  <c r="K41" i="20" s="1"/>
  <c r="J37" i="21"/>
  <c r="K37" i="21" s="1"/>
  <c r="J33" i="20"/>
  <c r="K33" i="20" s="1"/>
  <c r="J25" i="20"/>
  <c r="K25" i="20" s="1"/>
  <c r="J13" i="21"/>
  <c r="K13" i="21" s="1"/>
  <c r="J96" i="20"/>
  <c r="K96" i="20" s="1"/>
  <c r="J84" i="20"/>
  <c r="K84" i="20" s="1"/>
  <c r="J76" i="20"/>
  <c r="K76" i="20" s="1"/>
  <c r="J68" i="21"/>
  <c r="K68" i="21" s="1"/>
  <c r="J79" i="21"/>
  <c r="K79" i="21" s="1"/>
  <c r="J67" i="21"/>
  <c r="K67" i="21" s="1"/>
  <c r="J55" i="21"/>
  <c r="K55" i="21" s="1"/>
  <c r="J43" i="20"/>
  <c r="K43" i="20" s="1"/>
  <c r="J43" i="21"/>
  <c r="K43" i="21" s="1"/>
  <c r="H97" i="33"/>
  <c r="W97" i="39"/>
  <c r="I85" i="32"/>
  <c r="J85" i="32" s="1"/>
  <c r="Q85" i="39"/>
  <c r="H73" i="33"/>
  <c r="W73" i="39"/>
  <c r="I61" i="32"/>
  <c r="J61" i="32" s="1"/>
  <c r="Q61" i="39"/>
  <c r="H49" i="33"/>
  <c r="W49" i="39"/>
  <c r="I37" i="32"/>
  <c r="J37" i="32" s="1"/>
  <c r="Q37" i="39"/>
  <c r="H25" i="33"/>
  <c r="W25" i="39"/>
  <c r="H13" i="33"/>
  <c r="W13" i="39"/>
  <c r="H5" i="33"/>
  <c r="W5" i="39"/>
  <c r="H88" i="33"/>
  <c r="W88" i="39"/>
  <c r="H76" i="33"/>
  <c r="W76" i="39"/>
  <c r="H64" i="33"/>
  <c r="W64" i="39"/>
  <c r="H52" i="33"/>
  <c r="W52" i="39"/>
  <c r="H40" i="33"/>
  <c r="W40" i="39"/>
  <c r="H28" i="33"/>
  <c r="W28" i="39"/>
  <c r="I16" i="32"/>
  <c r="J16" i="32" s="1"/>
  <c r="Q16" i="39"/>
  <c r="I4" i="32"/>
  <c r="J4" i="32" s="1"/>
  <c r="Q4" i="39"/>
  <c r="I79" i="32"/>
  <c r="J79" i="32" s="1"/>
  <c r="Q79" i="39"/>
  <c r="I19" i="32"/>
  <c r="J19" i="32" s="1"/>
  <c r="Q19" i="39"/>
  <c r="H27" i="33"/>
  <c r="Z27" i="39" s="1"/>
  <c r="W27" i="39"/>
  <c r="H3" i="33"/>
  <c r="Z3" i="39" s="1"/>
  <c r="W3" i="39"/>
  <c r="H86" i="33"/>
  <c r="W86" i="39"/>
  <c r="H62" i="33"/>
  <c r="W62" i="39"/>
  <c r="H38" i="33"/>
  <c r="W38" i="39"/>
  <c r="H14" i="33"/>
  <c r="W14" i="39"/>
  <c r="H83" i="33"/>
  <c r="W83" i="39"/>
  <c r="I47" i="32"/>
  <c r="J47" i="32" s="1"/>
  <c r="Q47" i="39"/>
  <c r="I23" i="32"/>
  <c r="J23" i="32" s="1"/>
  <c r="Q23" i="39"/>
  <c r="I43" i="32"/>
  <c r="J43" i="32" s="1"/>
  <c r="Q43" i="39"/>
  <c r="I7" i="32"/>
  <c r="J7" i="32" s="1"/>
  <c r="Q7" i="39"/>
  <c r="J86" i="21"/>
  <c r="K86" i="21" s="1"/>
  <c r="J82" i="21"/>
  <c r="K82" i="21" s="1"/>
  <c r="J74" i="20"/>
  <c r="K74" i="20" s="1"/>
  <c r="J74" i="21"/>
  <c r="K74" i="21" s="1"/>
  <c r="J70" i="21"/>
  <c r="K70" i="21" s="1"/>
  <c r="J58" i="20"/>
  <c r="K58" i="20" s="1"/>
  <c r="J38" i="20"/>
  <c r="K38" i="20" s="1"/>
  <c r="J38" i="21"/>
  <c r="K38" i="21" s="1"/>
  <c r="J34" i="21"/>
  <c r="K34" i="21" s="1"/>
  <c r="J30" i="21"/>
  <c r="K30" i="21" s="1"/>
  <c r="J26" i="21"/>
  <c r="K26" i="21" s="1"/>
  <c r="J22" i="20"/>
  <c r="K22" i="20" s="1"/>
  <c r="J22" i="21"/>
  <c r="K22" i="21" s="1"/>
  <c r="J83" i="20"/>
  <c r="K83" i="20" s="1"/>
  <c r="J71" i="20"/>
  <c r="K71" i="20" s="1"/>
  <c r="J65" i="21"/>
  <c r="K65" i="21" s="1"/>
  <c r="J49" i="21"/>
  <c r="K49" i="21" s="1"/>
  <c r="J37" i="20"/>
  <c r="K37" i="20" s="1"/>
  <c r="J33" i="21"/>
  <c r="K33" i="21" s="1"/>
  <c r="J29" i="20"/>
  <c r="K29" i="20" s="1"/>
  <c r="J59" i="20"/>
  <c r="K59" i="20" s="1"/>
  <c r="J47" i="20"/>
  <c r="K47" i="20" s="1"/>
  <c r="J47" i="21"/>
  <c r="K47" i="21" s="1"/>
  <c r="J35" i="20"/>
  <c r="K35" i="20" s="1"/>
  <c r="J96" i="21"/>
  <c r="K96" i="21" s="1"/>
  <c r="J92" i="20"/>
  <c r="K92" i="20" s="1"/>
  <c r="J92" i="21"/>
  <c r="K92" i="21" s="1"/>
  <c r="J88" i="21"/>
  <c r="K88" i="21" s="1"/>
  <c r="J84" i="21"/>
  <c r="K84" i="21" s="1"/>
  <c r="J80" i="21"/>
  <c r="K80" i="21" s="1"/>
  <c r="J72" i="21"/>
  <c r="K72" i="21" s="1"/>
  <c r="J64" i="20"/>
  <c r="K64" i="20" s="1"/>
  <c r="J52" i="20"/>
  <c r="K52" i="20" s="1"/>
  <c r="J48" i="20"/>
  <c r="K48" i="20" s="1"/>
  <c r="J44" i="20"/>
  <c r="K44" i="20" s="1"/>
  <c r="J32" i="20"/>
  <c r="K32" i="20" s="1"/>
  <c r="J24" i="20"/>
  <c r="K24" i="20" s="1"/>
  <c r="J20" i="20"/>
  <c r="K20" i="20" s="1"/>
  <c r="J16" i="21"/>
  <c r="K16" i="21" s="1"/>
  <c r="J12" i="21"/>
  <c r="K12" i="21" s="1"/>
  <c r="J8" i="21"/>
  <c r="K8" i="21" s="1"/>
  <c r="J4" i="21"/>
  <c r="K4" i="21" s="1"/>
  <c r="I97" i="32"/>
  <c r="J97" i="32" s="1"/>
  <c r="Q97" i="39"/>
  <c r="H85" i="33"/>
  <c r="W85" i="39"/>
  <c r="I73" i="32"/>
  <c r="J73" i="32" s="1"/>
  <c r="Q73" i="39"/>
  <c r="H61" i="33"/>
  <c r="W61" i="39"/>
  <c r="I49" i="32"/>
  <c r="J49" i="32" s="1"/>
  <c r="Q49" i="39"/>
  <c r="H37" i="33"/>
  <c r="W37" i="39"/>
  <c r="I25" i="32"/>
  <c r="J25" i="32" s="1"/>
  <c r="Q25" i="39"/>
  <c r="I13" i="32"/>
  <c r="J13" i="32" s="1"/>
  <c r="Q13" i="39"/>
  <c r="I96" i="32"/>
  <c r="J96" i="32" s="1"/>
  <c r="Q96" i="39"/>
  <c r="I84" i="32"/>
  <c r="J84" i="32" s="1"/>
  <c r="Q84" i="39"/>
  <c r="I72" i="32"/>
  <c r="J72" i="32" s="1"/>
  <c r="Q72" i="39"/>
  <c r="I60" i="32"/>
  <c r="J60" i="32" s="1"/>
  <c r="Q60" i="39"/>
  <c r="I48" i="32"/>
  <c r="J48" i="32" s="1"/>
  <c r="Q48" i="39"/>
  <c r="H36" i="33"/>
  <c r="W36" i="39"/>
  <c r="I24" i="32"/>
  <c r="J24" i="32" s="1"/>
  <c r="Q24" i="39"/>
  <c r="H16" i="33"/>
  <c r="W16" i="39"/>
  <c r="H4" i="33"/>
  <c r="W4" i="39"/>
  <c r="I91" i="32"/>
  <c r="J91" i="32" s="1"/>
  <c r="Q91" i="39"/>
  <c r="H55" i="33"/>
  <c r="W55" i="39"/>
  <c r="H75" i="33"/>
  <c r="Z75" i="39" s="1"/>
  <c r="W75" i="39"/>
  <c r="H51" i="33"/>
  <c r="Z51" i="39" s="1"/>
  <c r="W51" i="39"/>
  <c r="I98" i="32"/>
  <c r="J98" i="32" s="1"/>
  <c r="Q98" i="39"/>
  <c r="I74" i="32"/>
  <c r="J74" i="32" s="1"/>
  <c r="Q74" i="39"/>
  <c r="I50" i="32"/>
  <c r="J50" i="32" s="1"/>
  <c r="Q50" i="39"/>
  <c r="I26" i="32"/>
  <c r="J26" i="32" s="1"/>
  <c r="Q26" i="39"/>
  <c r="H95" i="33"/>
  <c r="W95" i="39"/>
  <c r="I59" i="32"/>
  <c r="J59" i="32" s="1"/>
  <c r="Q59" i="39"/>
  <c r="I35" i="32"/>
  <c r="J35" i="32" s="1"/>
  <c r="Q35" i="39"/>
  <c r="I11" i="32"/>
  <c r="J11" i="32" s="1"/>
  <c r="Q11" i="39"/>
  <c r="H43" i="33"/>
  <c r="W43" i="39"/>
  <c r="H7" i="33"/>
  <c r="W7" i="39"/>
  <c r="E149" i="19"/>
  <c r="E148" i="39"/>
  <c r="E148" i="27"/>
  <c r="E148" i="22"/>
  <c r="E148" i="28"/>
  <c r="E148" i="26"/>
  <c r="E148" i="23"/>
  <c r="E148" i="32"/>
  <c r="N148" i="39" s="1"/>
  <c r="J63" i="23"/>
  <c r="K63" i="23" s="1"/>
  <c r="J51" i="21"/>
  <c r="K51" i="21" s="1"/>
  <c r="J39" i="21"/>
  <c r="K39" i="21" s="1"/>
  <c r="J87" i="28"/>
  <c r="K87" i="28" s="1"/>
  <c r="I217" i="28"/>
  <c r="J217" i="28" s="1"/>
  <c r="K217" i="28" s="1"/>
  <c r="J75" i="26"/>
  <c r="K75" i="26" s="1"/>
  <c r="J3" i="20"/>
  <c r="K3" i="20" s="1"/>
  <c r="J27" i="21"/>
  <c r="K27" i="21" s="1"/>
  <c r="J15" i="23"/>
  <c r="K15" i="23" s="1"/>
  <c r="E114" i="33"/>
  <c r="W114" i="39" s="1"/>
  <c r="E66" i="33"/>
  <c r="H66" i="32"/>
  <c r="E18" i="33"/>
  <c r="H18" i="32"/>
  <c r="E69" i="33"/>
  <c r="H69" i="32"/>
  <c r="H21" i="32"/>
  <c r="E21" i="33"/>
  <c r="E116" i="33"/>
  <c r="W116" i="39" s="1"/>
  <c r="E68" i="33"/>
  <c r="H68" i="32"/>
  <c r="I63" i="32"/>
  <c r="J63" i="32" s="1"/>
  <c r="I15" i="32"/>
  <c r="J15" i="32" s="1"/>
  <c r="E138" i="20"/>
  <c r="E90" i="21"/>
  <c r="J66" i="22"/>
  <c r="K66" i="22" s="1"/>
  <c r="E42" i="21"/>
  <c r="E18" i="20"/>
  <c r="E18" i="21"/>
  <c r="J39" i="26"/>
  <c r="K39" i="26" s="1"/>
  <c r="E21" i="20"/>
  <c r="J87" i="22"/>
  <c r="K87" i="22" s="1"/>
  <c r="J75" i="22"/>
  <c r="K75" i="22" s="1"/>
  <c r="I216" i="22"/>
  <c r="J216" i="22" s="1"/>
  <c r="K216" i="22" s="1"/>
  <c r="J3" i="23"/>
  <c r="K3" i="23" s="1"/>
  <c r="E116" i="20"/>
  <c r="J20" i="28"/>
  <c r="K20" i="28" s="1"/>
  <c r="H20" i="19"/>
  <c r="H20" i="39" s="1"/>
  <c r="J27" i="27"/>
  <c r="K27" i="27" s="1"/>
  <c r="I212" i="27"/>
  <c r="J212" i="27" s="1"/>
  <c r="K212" i="27" s="1"/>
  <c r="E106" i="33"/>
  <c r="W106" i="39" s="1"/>
  <c r="E82" i="33"/>
  <c r="H82" i="32"/>
  <c r="E34" i="33"/>
  <c r="H34" i="32"/>
  <c r="E105" i="33"/>
  <c r="W105" i="39" s="1"/>
  <c r="H57" i="32"/>
  <c r="E57" i="33"/>
  <c r="E104" i="33"/>
  <c r="W104" i="39" s="1"/>
  <c r="E56" i="33"/>
  <c r="H56" i="32"/>
  <c r="E8" i="33"/>
  <c r="H8" i="32"/>
  <c r="I75" i="32"/>
  <c r="J75" i="32" s="1"/>
  <c r="E106" i="21"/>
  <c r="J90" i="22"/>
  <c r="K90" i="22" s="1"/>
  <c r="J82" i="26"/>
  <c r="K82" i="26" s="1"/>
  <c r="J82" i="23"/>
  <c r="K82" i="23" s="1"/>
  <c r="J66" i="28"/>
  <c r="K66" i="28" s="1"/>
  <c r="J66" i="23"/>
  <c r="K66" i="23" s="1"/>
  <c r="J58" i="28"/>
  <c r="K58" i="28" s="1"/>
  <c r="J42" i="26"/>
  <c r="K42" i="26" s="1"/>
  <c r="J34" i="28"/>
  <c r="K34" i="28" s="1"/>
  <c r="J34" i="23"/>
  <c r="K34" i="23" s="1"/>
  <c r="J18" i="26"/>
  <c r="K18" i="26" s="1"/>
  <c r="J18" i="23"/>
  <c r="K18" i="23" s="1"/>
  <c r="J10" i="22"/>
  <c r="K10" i="22" s="1"/>
  <c r="J63" i="22"/>
  <c r="K63" i="22" s="1"/>
  <c r="J63" i="27"/>
  <c r="K63" i="27" s="1"/>
  <c r="J51" i="28"/>
  <c r="K51" i="28" s="1"/>
  <c r="J51" i="23"/>
  <c r="K51" i="23" s="1"/>
  <c r="J39" i="28"/>
  <c r="K39" i="28" s="1"/>
  <c r="I213" i="28"/>
  <c r="J213" i="28" s="1"/>
  <c r="K213" i="28" s="1"/>
  <c r="J39" i="23"/>
  <c r="K39" i="23" s="1"/>
  <c r="I213" i="23"/>
  <c r="J213" i="23" s="1"/>
  <c r="K213" i="23" s="1"/>
  <c r="J69" i="23"/>
  <c r="K69" i="23" s="1"/>
  <c r="J69" i="22"/>
  <c r="K69" i="22" s="1"/>
  <c r="J57" i="23"/>
  <c r="K57" i="23" s="1"/>
  <c r="E57" i="21"/>
  <c r="J21" i="27"/>
  <c r="K21" i="27" s="1"/>
  <c r="J21" i="22"/>
  <c r="K21" i="22" s="1"/>
  <c r="J9" i="27"/>
  <c r="K9" i="27" s="1"/>
  <c r="J87" i="20"/>
  <c r="K87" i="20" s="1"/>
  <c r="J87" i="23"/>
  <c r="K87" i="23" s="1"/>
  <c r="I217" i="23"/>
  <c r="J217" i="23" s="1"/>
  <c r="K217" i="23" s="1"/>
  <c r="J75" i="28"/>
  <c r="K75" i="28" s="1"/>
  <c r="I216" i="28"/>
  <c r="J216" i="28" s="1"/>
  <c r="K216" i="28" s="1"/>
  <c r="J75" i="23"/>
  <c r="K75" i="23" s="1"/>
  <c r="J3" i="22"/>
  <c r="K3" i="22" s="1"/>
  <c r="J3" i="27"/>
  <c r="K3" i="27" s="1"/>
  <c r="J68" i="28"/>
  <c r="K68" i="28" s="1"/>
  <c r="J68" i="22"/>
  <c r="K68" i="22" s="1"/>
  <c r="E56" i="20"/>
  <c r="J56" i="22"/>
  <c r="K56" i="22" s="1"/>
  <c r="J20" i="22"/>
  <c r="K20" i="22" s="1"/>
  <c r="J8" i="28"/>
  <c r="K8" i="28" s="1"/>
  <c r="J8" i="22"/>
  <c r="K8" i="22" s="1"/>
  <c r="J27" i="20"/>
  <c r="K27" i="20" s="1"/>
  <c r="J27" i="23"/>
  <c r="K27" i="23" s="1"/>
  <c r="J15" i="20"/>
  <c r="K15" i="20" s="1"/>
  <c r="J15" i="22"/>
  <c r="K15" i="22" s="1"/>
  <c r="W142" i="39"/>
  <c r="E118" i="33"/>
  <c r="W118" i="39" s="1"/>
  <c r="E94" i="33"/>
  <c r="H94" i="32"/>
  <c r="E70" i="33"/>
  <c r="H70" i="32"/>
  <c r="E46" i="33"/>
  <c r="H46" i="32"/>
  <c r="E22" i="33"/>
  <c r="H22" i="32"/>
  <c r="E129" i="33"/>
  <c r="W129" i="39" s="1"/>
  <c r="H81" i="32"/>
  <c r="E81" i="33"/>
  <c r="E33" i="33"/>
  <c r="H33" i="32"/>
  <c r="E128" i="33"/>
  <c r="W128" i="39" s="1"/>
  <c r="E80" i="33"/>
  <c r="H80" i="32"/>
  <c r="E32" i="33"/>
  <c r="H32" i="32"/>
  <c r="I39" i="32"/>
  <c r="J39" i="32" s="1"/>
  <c r="I15" i="33"/>
  <c r="J15" i="33" s="1"/>
  <c r="J63" i="20"/>
  <c r="K63" i="20" s="1"/>
  <c r="J51" i="26"/>
  <c r="K51" i="26" s="1"/>
  <c r="J39" i="22"/>
  <c r="K39" i="22" s="1"/>
  <c r="I213" i="22"/>
  <c r="J213" i="22" s="1"/>
  <c r="K213" i="22" s="1"/>
  <c r="J87" i="21"/>
  <c r="K87" i="21" s="1"/>
  <c r="J75" i="21"/>
  <c r="K75" i="21" s="1"/>
  <c r="J3" i="21"/>
  <c r="K3" i="21" s="1"/>
  <c r="J27" i="26"/>
  <c r="K27" i="26" s="1"/>
  <c r="I212" i="26"/>
  <c r="J212" i="26" s="1"/>
  <c r="K212" i="26" s="1"/>
  <c r="J15" i="27"/>
  <c r="K15" i="27" s="1"/>
  <c r="W138" i="39"/>
  <c r="E90" i="33"/>
  <c r="H90" i="32"/>
  <c r="E42" i="33"/>
  <c r="H42" i="32"/>
  <c r="E117" i="33"/>
  <c r="W117" i="39" s="1"/>
  <c r="E20" i="33"/>
  <c r="H20" i="32"/>
  <c r="I87" i="32"/>
  <c r="J87" i="32" s="1"/>
  <c r="E90" i="20"/>
  <c r="J66" i="26"/>
  <c r="K66" i="26" s="1"/>
  <c r="E42" i="20"/>
  <c r="J63" i="26"/>
  <c r="K63" i="26" s="1"/>
  <c r="J51" i="27"/>
  <c r="K51" i="27" s="1"/>
  <c r="E69" i="20"/>
  <c r="J69" i="26"/>
  <c r="K69" i="26" s="1"/>
  <c r="J21" i="26"/>
  <c r="K21" i="26" s="1"/>
  <c r="J87" i="26"/>
  <c r="K87" i="26" s="1"/>
  <c r="J75" i="20"/>
  <c r="K75" i="20" s="1"/>
  <c r="J3" i="28"/>
  <c r="K3" i="28" s="1"/>
  <c r="E116" i="21"/>
  <c r="J68" i="23"/>
  <c r="K68" i="23" s="1"/>
  <c r="H68" i="19"/>
  <c r="H68" i="39" s="1"/>
  <c r="J15" i="26"/>
  <c r="K15" i="26" s="1"/>
  <c r="E130" i="33"/>
  <c r="W130" i="39" s="1"/>
  <c r="E58" i="33"/>
  <c r="H58" i="32"/>
  <c r="E10" i="33"/>
  <c r="H10" i="32"/>
  <c r="E9" i="33"/>
  <c r="H9" i="32"/>
  <c r="I51" i="32"/>
  <c r="J51" i="32" s="1"/>
  <c r="E114" i="20"/>
  <c r="E106" i="20"/>
  <c r="J90" i="26"/>
  <c r="K90" i="26" s="1"/>
  <c r="H90" i="19"/>
  <c r="H90" i="39" s="1"/>
  <c r="J82" i="27"/>
  <c r="K82" i="27" s="1"/>
  <c r="H82" i="19"/>
  <c r="H82" i="39" s="1"/>
  <c r="E66" i="20"/>
  <c r="H66" i="19"/>
  <c r="H66" i="39" s="1"/>
  <c r="J58" i="27"/>
  <c r="K58" i="27" s="1"/>
  <c r="H58" i="19"/>
  <c r="H58" i="39" s="1"/>
  <c r="J42" i="27"/>
  <c r="K42" i="27" s="1"/>
  <c r="H42" i="19"/>
  <c r="H42" i="39" s="1"/>
  <c r="E34" i="20"/>
  <c r="H34" i="19"/>
  <c r="H34" i="39" s="1"/>
  <c r="J18" i="27"/>
  <c r="K18" i="27" s="1"/>
  <c r="H18" i="19"/>
  <c r="H18" i="39" s="1"/>
  <c r="E10" i="20"/>
  <c r="H10" i="19"/>
  <c r="H10" i="39" s="1"/>
  <c r="J63" i="28"/>
  <c r="K63" i="28" s="1"/>
  <c r="J63" i="21"/>
  <c r="K63" i="21" s="1"/>
  <c r="J51" i="20"/>
  <c r="K51" i="20" s="1"/>
  <c r="J51" i="22"/>
  <c r="K51" i="22" s="1"/>
  <c r="J39" i="20"/>
  <c r="K39" i="20" s="1"/>
  <c r="J39" i="27"/>
  <c r="K39" i="27" s="1"/>
  <c r="E117" i="21"/>
  <c r="J69" i="27"/>
  <c r="K69" i="27" s="1"/>
  <c r="E69" i="21"/>
  <c r="J57" i="27"/>
  <c r="K57" i="27" s="1"/>
  <c r="J57" i="22"/>
  <c r="K57" i="22" s="1"/>
  <c r="J21" i="23"/>
  <c r="K21" i="23" s="1"/>
  <c r="E21" i="21"/>
  <c r="J9" i="23"/>
  <c r="K9" i="23" s="1"/>
  <c r="J9" i="22"/>
  <c r="K9" i="22" s="1"/>
  <c r="J87" i="27"/>
  <c r="K87" i="27" s="1"/>
  <c r="I217" i="27"/>
  <c r="J217" i="27" s="1"/>
  <c r="K217" i="27" s="1"/>
  <c r="J75" i="27"/>
  <c r="K75" i="27" s="1"/>
  <c r="J3" i="26"/>
  <c r="K3" i="26" s="1"/>
  <c r="E104" i="20"/>
  <c r="E104" i="21"/>
  <c r="E68" i="20"/>
  <c r="J68" i="26"/>
  <c r="K68" i="26" s="1"/>
  <c r="J56" i="27"/>
  <c r="K56" i="27" s="1"/>
  <c r="J56" i="26"/>
  <c r="K56" i="26" s="1"/>
  <c r="J20" i="27"/>
  <c r="K20" i="27" s="1"/>
  <c r="J20" i="23"/>
  <c r="K20" i="23" s="1"/>
  <c r="E8" i="20"/>
  <c r="J8" i="26"/>
  <c r="K8" i="26" s="1"/>
  <c r="J27" i="28"/>
  <c r="K27" i="28" s="1"/>
  <c r="J27" i="22"/>
  <c r="K27" i="22" s="1"/>
  <c r="I212" i="22"/>
  <c r="J212" i="22" s="1"/>
  <c r="K212" i="22" s="1"/>
  <c r="J15" i="28"/>
  <c r="K15" i="28" s="1"/>
  <c r="J15" i="21"/>
  <c r="K15" i="21" s="1"/>
  <c r="E126" i="33"/>
  <c r="W126" i="39" s="1"/>
  <c r="E102" i="33"/>
  <c r="W102" i="39" s="1"/>
  <c r="E78" i="33"/>
  <c r="H78" i="32"/>
  <c r="E54" i="33"/>
  <c r="H54" i="32"/>
  <c r="E30" i="33"/>
  <c r="H30" i="32"/>
  <c r="E6" i="33"/>
  <c r="H6" i="32"/>
  <c r="W141" i="39"/>
  <c r="E93" i="33"/>
  <c r="H93" i="32"/>
  <c r="E45" i="33"/>
  <c r="H45" i="32"/>
  <c r="W140" i="39"/>
  <c r="E92" i="33"/>
  <c r="H92" i="32"/>
  <c r="H44" i="32"/>
  <c r="E44" i="33"/>
  <c r="I27" i="32"/>
  <c r="J27" i="32" s="1"/>
  <c r="J12" i="17"/>
  <c r="D12" i="30" s="1"/>
  <c r="J11" i="17"/>
  <c r="B17" i="37" l="1"/>
  <c r="K5" i="38"/>
  <c r="C35" i="34"/>
  <c r="I75" i="33"/>
  <c r="J75" i="33" s="1"/>
  <c r="I210" i="21"/>
  <c r="J210" i="21" s="1"/>
  <c r="K210" i="21" s="1"/>
  <c r="C34" i="34"/>
  <c r="J5" i="38"/>
  <c r="B16" i="37"/>
  <c r="I3" i="33"/>
  <c r="J3" i="33" s="1"/>
  <c r="I216" i="20"/>
  <c r="J216" i="20" s="1"/>
  <c r="K216" i="20" s="1"/>
  <c r="I63" i="33"/>
  <c r="J63" i="33" s="1"/>
  <c r="I212" i="21"/>
  <c r="J212" i="21" s="1"/>
  <c r="K212" i="21" s="1"/>
  <c r="I51" i="33"/>
  <c r="J51" i="33" s="1"/>
  <c r="I216" i="21"/>
  <c r="J216" i="21" s="1"/>
  <c r="K216" i="21" s="1"/>
  <c r="I39" i="33"/>
  <c r="J39" i="33" s="1"/>
  <c r="I87" i="33"/>
  <c r="J87" i="33" s="1"/>
  <c r="I27" i="33"/>
  <c r="J27" i="33" s="1"/>
  <c r="I58" i="32"/>
  <c r="J58" i="32" s="1"/>
  <c r="Q58" i="39"/>
  <c r="H20" i="33"/>
  <c r="W20" i="39"/>
  <c r="H42" i="33"/>
  <c r="W42" i="39"/>
  <c r="I81" i="32"/>
  <c r="J81" i="32" s="1"/>
  <c r="Q81" i="39"/>
  <c r="I70" i="32"/>
  <c r="J70" i="32" s="1"/>
  <c r="Q70" i="39"/>
  <c r="J56" i="20"/>
  <c r="K56" i="20" s="1"/>
  <c r="I82" i="32"/>
  <c r="J82" i="32" s="1"/>
  <c r="Q82" i="39"/>
  <c r="H21" i="33"/>
  <c r="W21" i="39"/>
  <c r="H66" i="33"/>
  <c r="W66" i="39"/>
  <c r="H44" i="33"/>
  <c r="W44" i="39"/>
  <c r="I93" i="32"/>
  <c r="J93" i="32" s="1"/>
  <c r="Q93" i="39"/>
  <c r="I6" i="32"/>
  <c r="J6" i="32" s="1"/>
  <c r="Q6" i="39"/>
  <c r="I54" i="32"/>
  <c r="J54" i="32" s="1"/>
  <c r="Q54" i="39"/>
  <c r="J8" i="20"/>
  <c r="K8" i="20" s="1"/>
  <c r="J10" i="20"/>
  <c r="K10" i="20" s="1"/>
  <c r="I212" i="20"/>
  <c r="J212" i="20" s="1"/>
  <c r="K212" i="20" s="1"/>
  <c r="H58" i="33"/>
  <c r="W58" i="39"/>
  <c r="I90" i="32"/>
  <c r="J90" i="32" s="1"/>
  <c r="Q90" i="39"/>
  <c r="I80" i="32"/>
  <c r="J80" i="32" s="1"/>
  <c r="Q80" i="39"/>
  <c r="I33" i="32"/>
  <c r="J33" i="32" s="1"/>
  <c r="Q33" i="39"/>
  <c r="H22" i="33"/>
  <c r="W22" i="39"/>
  <c r="H70" i="33"/>
  <c r="W70" i="39"/>
  <c r="I8" i="32"/>
  <c r="J8" i="32" s="1"/>
  <c r="Q8" i="39"/>
  <c r="H82" i="33"/>
  <c r="W82" i="39"/>
  <c r="J42" i="21"/>
  <c r="K42" i="21" s="1"/>
  <c r="I68" i="32"/>
  <c r="J68" i="32" s="1"/>
  <c r="Q68" i="39"/>
  <c r="I21" i="32"/>
  <c r="J21" i="32" s="1"/>
  <c r="Q21" i="39"/>
  <c r="I18" i="32"/>
  <c r="J18" i="32" s="1"/>
  <c r="Q18" i="39"/>
  <c r="E150" i="19"/>
  <c r="E149" i="39"/>
  <c r="E149" i="27"/>
  <c r="E149" i="26"/>
  <c r="E149" i="28"/>
  <c r="E149" i="23"/>
  <c r="E149" i="22"/>
  <c r="E149" i="32"/>
  <c r="N149" i="39" s="1"/>
  <c r="E149" i="20"/>
  <c r="E149" i="33"/>
  <c r="W149" i="39" s="1"/>
  <c r="E149" i="21"/>
  <c r="I43" i="33"/>
  <c r="J43" i="33" s="1"/>
  <c r="Z43" i="39"/>
  <c r="I95" i="33"/>
  <c r="J95" i="33" s="1"/>
  <c r="Z95" i="39"/>
  <c r="I16" i="33"/>
  <c r="J16" i="33" s="1"/>
  <c r="Z16" i="39"/>
  <c r="I36" i="33"/>
  <c r="J36" i="33" s="1"/>
  <c r="Z36" i="39"/>
  <c r="I37" i="33"/>
  <c r="J37" i="33" s="1"/>
  <c r="Z37" i="39"/>
  <c r="I61" i="33"/>
  <c r="J61" i="33" s="1"/>
  <c r="Z61" i="39"/>
  <c r="I85" i="33"/>
  <c r="J85" i="33" s="1"/>
  <c r="Z85" i="39"/>
  <c r="J76" i="21"/>
  <c r="K76" i="21" s="1"/>
  <c r="I14" i="33"/>
  <c r="J14" i="33" s="1"/>
  <c r="Z14" i="39"/>
  <c r="I62" i="33"/>
  <c r="J62" i="33" s="1"/>
  <c r="Z62" i="39"/>
  <c r="I28" i="33"/>
  <c r="J28" i="33" s="1"/>
  <c r="Z28" i="39"/>
  <c r="I52" i="33"/>
  <c r="J52" i="33" s="1"/>
  <c r="Z52" i="39"/>
  <c r="I76" i="33"/>
  <c r="J76" i="33" s="1"/>
  <c r="Z76" i="39"/>
  <c r="I5" i="33"/>
  <c r="J5" i="33" s="1"/>
  <c r="Z5" i="39"/>
  <c r="I25" i="33"/>
  <c r="J25" i="33" s="1"/>
  <c r="Z25" i="39"/>
  <c r="I49" i="33"/>
  <c r="J49" i="33" s="1"/>
  <c r="Z49" i="39"/>
  <c r="I73" i="33"/>
  <c r="J73" i="33" s="1"/>
  <c r="Z73" i="39"/>
  <c r="I97" i="33"/>
  <c r="J97" i="33" s="1"/>
  <c r="Z97" i="39"/>
  <c r="I67" i="33"/>
  <c r="J67" i="33" s="1"/>
  <c r="Z67" i="39"/>
  <c r="I47" i="33"/>
  <c r="J47" i="33" s="1"/>
  <c r="Z47" i="39"/>
  <c r="I79" i="33"/>
  <c r="J79" i="33" s="1"/>
  <c r="Z79" i="39"/>
  <c r="I12" i="33"/>
  <c r="J12" i="33" s="1"/>
  <c r="Z12" i="39"/>
  <c r="I41" i="33"/>
  <c r="J41" i="33" s="1"/>
  <c r="Z41" i="39"/>
  <c r="I35" i="33"/>
  <c r="J35" i="33" s="1"/>
  <c r="Z35" i="39"/>
  <c r="I50" i="33"/>
  <c r="J50" i="33" s="1"/>
  <c r="Z50" i="39"/>
  <c r="I98" i="33"/>
  <c r="J98" i="33" s="1"/>
  <c r="Z98" i="39"/>
  <c r="I71" i="33"/>
  <c r="J71" i="33" s="1"/>
  <c r="Z71" i="39"/>
  <c r="I24" i="33"/>
  <c r="J24" i="33" s="1"/>
  <c r="Z24" i="39"/>
  <c r="I48" i="33"/>
  <c r="J48" i="33" s="1"/>
  <c r="Z48" i="39"/>
  <c r="I72" i="33"/>
  <c r="J72" i="33" s="1"/>
  <c r="Z72" i="39"/>
  <c r="I96" i="33"/>
  <c r="J96" i="33" s="1"/>
  <c r="Z96" i="39"/>
  <c r="I17" i="33"/>
  <c r="J17" i="33" s="1"/>
  <c r="Z17" i="39"/>
  <c r="I65" i="33"/>
  <c r="J65" i="33" s="1"/>
  <c r="Z65" i="39"/>
  <c r="I89" i="33"/>
  <c r="J89" i="33" s="1"/>
  <c r="Z89" i="39"/>
  <c r="H92" i="33"/>
  <c r="W92" i="39"/>
  <c r="H45" i="33"/>
  <c r="W45" i="39"/>
  <c r="H30" i="33"/>
  <c r="W30" i="39"/>
  <c r="H78" i="33"/>
  <c r="W78" i="39"/>
  <c r="H9" i="33"/>
  <c r="W9" i="39"/>
  <c r="J90" i="20"/>
  <c r="K90" i="20" s="1"/>
  <c r="H32" i="33"/>
  <c r="W32" i="39"/>
  <c r="I22" i="32"/>
  <c r="J22" i="32" s="1"/>
  <c r="Q22" i="39"/>
  <c r="H56" i="33"/>
  <c r="W56" i="39"/>
  <c r="I57" i="32"/>
  <c r="J57" i="32" s="1"/>
  <c r="Q57" i="39"/>
  <c r="J18" i="20"/>
  <c r="K18" i="20" s="1"/>
  <c r="I44" i="32"/>
  <c r="J44" i="32" s="1"/>
  <c r="Q44" i="39"/>
  <c r="H93" i="33"/>
  <c r="W93" i="39"/>
  <c r="H6" i="33"/>
  <c r="W6" i="39"/>
  <c r="H54" i="33"/>
  <c r="W54" i="39"/>
  <c r="J21" i="21"/>
  <c r="K21" i="21" s="1"/>
  <c r="I215" i="21"/>
  <c r="J215" i="21" s="1"/>
  <c r="K215" i="21" s="1"/>
  <c r="I10" i="32"/>
  <c r="J10" i="32" s="1"/>
  <c r="Q10" i="39"/>
  <c r="I213" i="20"/>
  <c r="J213" i="20" s="1"/>
  <c r="K213" i="20" s="1"/>
  <c r="H90" i="33"/>
  <c r="W90" i="39"/>
  <c r="H80" i="33"/>
  <c r="W80" i="39"/>
  <c r="H33" i="33"/>
  <c r="W33" i="39"/>
  <c r="I46" i="32"/>
  <c r="J46" i="32" s="1"/>
  <c r="Q46" i="39"/>
  <c r="I94" i="32"/>
  <c r="J94" i="32" s="1"/>
  <c r="Q94" i="39"/>
  <c r="H8" i="33"/>
  <c r="W8" i="39"/>
  <c r="I34" i="32"/>
  <c r="J34" i="32" s="1"/>
  <c r="Q34" i="39"/>
  <c r="J21" i="20"/>
  <c r="K21" i="20" s="1"/>
  <c r="H68" i="33"/>
  <c r="W68" i="39"/>
  <c r="I69" i="32"/>
  <c r="J69" i="32" s="1"/>
  <c r="Q69" i="39"/>
  <c r="H18" i="33"/>
  <c r="W18" i="39"/>
  <c r="I92" i="32"/>
  <c r="J92" i="32" s="1"/>
  <c r="Q92" i="39"/>
  <c r="I45" i="32"/>
  <c r="J45" i="32" s="1"/>
  <c r="Q45" i="39"/>
  <c r="I30" i="32"/>
  <c r="J30" i="32" s="1"/>
  <c r="Q30" i="39"/>
  <c r="I78" i="32"/>
  <c r="J78" i="32" s="1"/>
  <c r="Q78" i="39"/>
  <c r="J68" i="20"/>
  <c r="K68" i="20" s="1"/>
  <c r="J66" i="20"/>
  <c r="K66" i="20" s="1"/>
  <c r="I9" i="32"/>
  <c r="J9" i="32" s="1"/>
  <c r="Q9" i="39"/>
  <c r="H10" i="33"/>
  <c r="W10" i="39"/>
  <c r="J69" i="20"/>
  <c r="K69" i="20" s="1"/>
  <c r="I20" i="32"/>
  <c r="J20" i="32" s="1"/>
  <c r="Q20" i="39"/>
  <c r="I42" i="32"/>
  <c r="J42" i="32" s="1"/>
  <c r="Q42" i="39"/>
  <c r="I32" i="32"/>
  <c r="J32" i="32" s="1"/>
  <c r="Q32" i="39"/>
  <c r="H81" i="33"/>
  <c r="W81" i="39"/>
  <c r="H46" i="33"/>
  <c r="W46" i="39"/>
  <c r="H94" i="33"/>
  <c r="W94" i="39"/>
  <c r="J57" i="21"/>
  <c r="K57" i="21" s="1"/>
  <c r="I56" i="32"/>
  <c r="J56" i="32" s="1"/>
  <c r="Q56" i="39"/>
  <c r="H57" i="33"/>
  <c r="H214" i="33" s="1"/>
  <c r="M214" i="33" s="1"/>
  <c r="O214" i="33" s="1"/>
  <c r="W57" i="39"/>
  <c r="H34" i="33"/>
  <c r="W34" i="39"/>
  <c r="J18" i="21"/>
  <c r="K18" i="21" s="1"/>
  <c r="I217" i="21"/>
  <c r="J217" i="21" s="1"/>
  <c r="K217" i="21" s="1"/>
  <c r="H69" i="33"/>
  <c r="W69" i="39"/>
  <c r="I66" i="32"/>
  <c r="J66" i="32" s="1"/>
  <c r="Q66" i="39"/>
  <c r="I7" i="33"/>
  <c r="J7" i="33" s="1"/>
  <c r="Z7" i="39"/>
  <c r="I55" i="33"/>
  <c r="J55" i="33" s="1"/>
  <c r="Z55" i="39"/>
  <c r="I4" i="33"/>
  <c r="J4" i="33" s="1"/>
  <c r="Z4" i="39"/>
  <c r="I83" i="33"/>
  <c r="J83" i="33" s="1"/>
  <c r="Z83" i="39"/>
  <c r="I38" i="33"/>
  <c r="J38" i="33" s="1"/>
  <c r="Z38" i="39"/>
  <c r="I86" i="33"/>
  <c r="J86" i="33" s="1"/>
  <c r="Z86" i="39"/>
  <c r="I40" i="33"/>
  <c r="J40" i="33" s="1"/>
  <c r="Z40" i="39"/>
  <c r="I64" i="33"/>
  <c r="J64" i="33" s="1"/>
  <c r="Z64" i="39"/>
  <c r="I88" i="33"/>
  <c r="J88" i="33" s="1"/>
  <c r="Z88" i="39"/>
  <c r="I13" i="33"/>
  <c r="J13" i="33" s="1"/>
  <c r="Z13" i="39"/>
  <c r="I31" i="33"/>
  <c r="J31" i="33" s="1"/>
  <c r="Z31" i="39"/>
  <c r="I23" i="33"/>
  <c r="J23" i="33" s="1"/>
  <c r="Z23" i="39"/>
  <c r="I19" i="33"/>
  <c r="J19" i="33" s="1"/>
  <c r="Z19" i="39"/>
  <c r="I53" i="33"/>
  <c r="J53" i="33" s="1"/>
  <c r="Z53" i="39"/>
  <c r="I77" i="33"/>
  <c r="J77" i="33" s="1"/>
  <c r="Z77" i="39"/>
  <c r="I11" i="33"/>
  <c r="J11" i="33" s="1"/>
  <c r="Z11" i="39"/>
  <c r="I59" i="33"/>
  <c r="J59" i="33" s="1"/>
  <c r="Z59" i="39"/>
  <c r="I26" i="33"/>
  <c r="J26" i="33" s="1"/>
  <c r="Z26" i="39"/>
  <c r="I74" i="33"/>
  <c r="J74" i="33" s="1"/>
  <c r="Z74" i="39"/>
  <c r="I91" i="33"/>
  <c r="J91" i="33" s="1"/>
  <c r="Z91" i="39"/>
  <c r="I60" i="33"/>
  <c r="J60" i="33" s="1"/>
  <c r="Z60" i="39"/>
  <c r="I84" i="33"/>
  <c r="J84" i="33" s="1"/>
  <c r="Z84" i="39"/>
  <c r="I29" i="33"/>
  <c r="J29" i="33" s="1"/>
  <c r="Z29" i="39"/>
  <c r="G39" i="9"/>
  <c r="G57" i="9" s="1"/>
  <c r="J31" i="17"/>
  <c r="J32" i="17"/>
  <c r="G38" i="9"/>
  <c r="I210" i="27"/>
  <c r="J210" i="27" s="1"/>
  <c r="K210" i="27" s="1"/>
  <c r="I216" i="23"/>
  <c r="J216" i="23" s="1"/>
  <c r="K216" i="23" s="1"/>
  <c r="I211" i="22"/>
  <c r="J211" i="22" s="1"/>
  <c r="K211" i="22" s="1"/>
  <c r="I212" i="23"/>
  <c r="J212" i="23" s="1"/>
  <c r="K212" i="23" s="1"/>
  <c r="I212" i="28"/>
  <c r="J212" i="28" s="1"/>
  <c r="K212" i="28" s="1"/>
  <c r="I215" i="28"/>
  <c r="J215" i="28" s="1"/>
  <c r="K215" i="28" s="1"/>
  <c r="H212" i="32"/>
  <c r="M212" i="32" s="1"/>
  <c r="O212" i="32" s="1"/>
  <c r="H217" i="32"/>
  <c r="M217" i="32" s="1"/>
  <c r="O217" i="32" s="1"/>
  <c r="H213" i="32"/>
  <c r="M213" i="32" s="1"/>
  <c r="O213" i="32" s="1"/>
  <c r="I211" i="28"/>
  <c r="J211" i="28" s="1"/>
  <c r="K211" i="28" s="1"/>
  <c r="I211" i="26"/>
  <c r="J211" i="26" s="1"/>
  <c r="K211" i="26" s="1"/>
  <c r="I214" i="28"/>
  <c r="J214" i="28" s="1"/>
  <c r="K214" i="28" s="1"/>
  <c r="I210" i="23"/>
  <c r="J210" i="23" s="1"/>
  <c r="K210" i="23" s="1"/>
  <c r="I217" i="22"/>
  <c r="J217" i="22" s="1"/>
  <c r="K217" i="22" s="1"/>
  <c r="D11" i="30"/>
  <c r="H215" i="32"/>
  <c r="M215" i="32" s="1"/>
  <c r="O215" i="32" s="1"/>
  <c r="I211" i="23"/>
  <c r="J211" i="23" s="1"/>
  <c r="K211" i="23" s="1"/>
  <c r="I210" i="26"/>
  <c r="J210" i="26" s="1"/>
  <c r="K210" i="26" s="1"/>
  <c r="I213" i="27"/>
  <c r="J213" i="27" s="1"/>
  <c r="K213" i="27" s="1"/>
  <c r="I214" i="22"/>
  <c r="J214" i="22" s="1"/>
  <c r="K214" i="22" s="1"/>
  <c r="H214" i="32"/>
  <c r="M214" i="32" s="1"/>
  <c r="O214" i="32" s="1"/>
  <c r="I210" i="28"/>
  <c r="J210" i="28" s="1"/>
  <c r="K210" i="28" s="1"/>
  <c r="I217" i="26"/>
  <c r="J217" i="26" s="1"/>
  <c r="K217" i="26" s="1"/>
  <c r="I214" i="23"/>
  <c r="J214" i="23" s="1"/>
  <c r="K214" i="23" s="1"/>
  <c r="I215" i="27"/>
  <c r="J215" i="27" s="1"/>
  <c r="K215" i="27" s="1"/>
  <c r="H211" i="32"/>
  <c r="M211" i="32" s="1"/>
  <c r="O211" i="32" s="1"/>
  <c r="I216" i="26"/>
  <c r="J216" i="26" s="1"/>
  <c r="K216" i="26" s="1"/>
  <c r="I215" i="23"/>
  <c r="J215" i="23" s="1"/>
  <c r="K215" i="23" s="1"/>
  <c r="I214" i="27"/>
  <c r="J214" i="27" s="1"/>
  <c r="K214" i="27" s="1"/>
  <c r="I213" i="26"/>
  <c r="J213" i="26" s="1"/>
  <c r="K213" i="26" s="1"/>
  <c r="I216" i="27"/>
  <c r="J216" i="27" s="1"/>
  <c r="K216" i="27" s="1"/>
  <c r="I215" i="22"/>
  <c r="J215" i="22" s="1"/>
  <c r="K215" i="22" s="1"/>
  <c r="H216" i="32"/>
  <c r="M216" i="32" s="1"/>
  <c r="O216" i="32" s="1"/>
  <c r="I215" i="26"/>
  <c r="J215" i="26" s="1"/>
  <c r="K215" i="26" s="1"/>
  <c r="I211" i="27"/>
  <c r="J211" i="27" s="1"/>
  <c r="K211" i="27" s="1"/>
  <c r="I214" i="26"/>
  <c r="J214" i="26" s="1"/>
  <c r="K214" i="26" s="1"/>
  <c r="I210" i="22"/>
  <c r="J210" i="22" s="1"/>
  <c r="K210" i="22" s="1"/>
  <c r="C133" i="39"/>
  <c r="C125" i="39"/>
  <c r="D133" i="39"/>
  <c r="D132" i="39"/>
  <c r="D131" i="39"/>
  <c r="D130" i="39"/>
  <c r="D129" i="39"/>
  <c r="D128" i="39"/>
  <c r="D127" i="39"/>
  <c r="D126" i="39"/>
  <c r="D125" i="39"/>
  <c r="D124" i="39"/>
  <c r="D123" i="39"/>
  <c r="C132" i="39"/>
  <c r="C131" i="39"/>
  <c r="C130" i="39"/>
  <c r="C129" i="39"/>
  <c r="C128" i="39"/>
  <c r="C127" i="39"/>
  <c r="C126" i="39"/>
  <c r="C124" i="39"/>
  <c r="C123" i="39"/>
  <c r="D122" i="39"/>
  <c r="D121" i="39"/>
  <c r="D120" i="39"/>
  <c r="D119" i="39"/>
  <c r="D118" i="39"/>
  <c r="D117" i="39"/>
  <c r="D116" i="39"/>
  <c r="D115" i="39"/>
  <c r="D114" i="39"/>
  <c r="D113" i="39"/>
  <c r="D112" i="39"/>
  <c r="D111" i="39"/>
  <c r="C114" i="39"/>
  <c r="C122" i="39"/>
  <c r="C121" i="39"/>
  <c r="C120" i="39"/>
  <c r="C119" i="39"/>
  <c r="C118" i="39"/>
  <c r="C117" i="39"/>
  <c r="C116" i="39"/>
  <c r="C115" i="39"/>
  <c r="C113" i="39"/>
  <c r="C112" i="39"/>
  <c r="C111" i="39"/>
  <c r="D110" i="39"/>
  <c r="D109" i="39"/>
  <c r="D108" i="39"/>
  <c r="D107" i="39"/>
  <c r="D106" i="39"/>
  <c r="D105" i="39"/>
  <c r="D104" i="39"/>
  <c r="D103" i="39"/>
  <c r="D102" i="39"/>
  <c r="D101" i="39"/>
  <c r="D100" i="39"/>
  <c r="D99" i="39"/>
  <c r="C99" i="39"/>
  <c r="C100" i="39"/>
  <c r="C101" i="39"/>
  <c r="C102" i="39"/>
  <c r="C103" i="39"/>
  <c r="C104" i="39"/>
  <c r="C105" i="39"/>
  <c r="C106" i="39"/>
  <c r="C107" i="39"/>
  <c r="C108" i="39"/>
  <c r="C109" i="39"/>
  <c r="C110" i="39"/>
  <c r="Q214" i="33" l="1"/>
  <c r="F30" i="34" s="1"/>
  <c r="F72" i="34"/>
  <c r="I213" i="21"/>
  <c r="J213" i="21" s="1"/>
  <c r="K213" i="21" s="1"/>
  <c r="Q215" i="32"/>
  <c r="E31" i="34" s="1"/>
  <c r="E73" i="34"/>
  <c r="Q217" i="32"/>
  <c r="E33" i="34" s="1"/>
  <c r="E75" i="34"/>
  <c r="Q212" i="32"/>
  <c r="E28" i="34" s="1"/>
  <c r="E70" i="34"/>
  <c r="Q216" i="32"/>
  <c r="E32" i="34" s="1"/>
  <c r="E74" i="34"/>
  <c r="Q211" i="32"/>
  <c r="E27" i="34" s="1"/>
  <c r="E69" i="34"/>
  <c r="Q214" i="32"/>
  <c r="E30" i="34" s="1"/>
  <c r="E72" i="34"/>
  <c r="Q213" i="32"/>
  <c r="E29" i="34" s="1"/>
  <c r="E71" i="34"/>
  <c r="I214" i="21"/>
  <c r="J214" i="21" s="1"/>
  <c r="K214" i="21" s="1"/>
  <c r="H211" i="33"/>
  <c r="M211" i="33" s="1"/>
  <c r="O211" i="33" s="1"/>
  <c r="H215" i="33"/>
  <c r="M215" i="33" s="1"/>
  <c r="O215" i="33" s="1"/>
  <c r="H210" i="33"/>
  <c r="M210" i="33" s="1"/>
  <c r="O210" i="33" s="1"/>
  <c r="H212" i="33"/>
  <c r="M212" i="33" s="1"/>
  <c r="O212" i="33" s="1"/>
  <c r="H217" i="33"/>
  <c r="M217" i="33" s="1"/>
  <c r="O217" i="33" s="1"/>
  <c r="J5" i="11"/>
  <c r="G68" i="38"/>
  <c r="H68" i="38"/>
  <c r="K5" i="11"/>
  <c r="I214" i="20"/>
  <c r="J214" i="20" s="1"/>
  <c r="K214" i="20" s="1"/>
  <c r="C6" i="37"/>
  <c r="D6" i="37" s="1"/>
  <c r="C17" i="37"/>
  <c r="D17" i="37" s="1"/>
  <c r="H213" i="33"/>
  <c r="M213" i="33" s="1"/>
  <c r="O213" i="33" s="1"/>
  <c r="H216" i="33"/>
  <c r="M216" i="33" s="1"/>
  <c r="O216" i="33" s="1"/>
  <c r="I217" i="20"/>
  <c r="J217" i="20" s="1"/>
  <c r="K217" i="20" s="1"/>
  <c r="I210" i="20"/>
  <c r="J210" i="20" s="1"/>
  <c r="K210" i="20" s="1"/>
  <c r="I211" i="20"/>
  <c r="J211" i="20" s="1"/>
  <c r="K211" i="20" s="1"/>
  <c r="J90" i="21"/>
  <c r="K90" i="21" s="1"/>
  <c r="I34" i="33"/>
  <c r="J34" i="33" s="1"/>
  <c r="Z34" i="39"/>
  <c r="I94" i="33"/>
  <c r="J94" i="33" s="1"/>
  <c r="Z94" i="39"/>
  <c r="I81" i="33"/>
  <c r="J81" i="33" s="1"/>
  <c r="Z81" i="39"/>
  <c r="I8" i="33"/>
  <c r="J8" i="33" s="1"/>
  <c r="Z8" i="39"/>
  <c r="I80" i="33"/>
  <c r="J80" i="33" s="1"/>
  <c r="Z80" i="39"/>
  <c r="J42" i="20"/>
  <c r="K42" i="20" s="1"/>
  <c r="J69" i="21"/>
  <c r="K69" i="21" s="1"/>
  <c r="I54" i="33"/>
  <c r="J54" i="33" s="1"/>
  <c r="Z54" i="39"/>
  <c r="I93" i="33"/>
  <c r="J93" i="33" s="1"/>
  <c r="Z93" i="39"/>
  <c r="I56" i="33"/>
  <c r="J56" i="33" s="1"/>
  <c r="Z56" i="39"/>
  <c r="I32" i="33"/>
  <c r="J32" i="33" s="1"/>
  <c r="Z32" i="39"/>
  <c r="I9" i="33"/>
  <c r="J9" i="33" s="1"/>
  <c r="Z9" i="39"/>
  <c r="I30" i="33"/>
  <c r="J30" i="33" s="1"/>
  <c r="Z30" i="39"/>
  <c r="I92" i="33"/>
  <c r="J92" i="33" s="1"/>
  <c r="Z92" i="39"/>
  <c r="I82" i="33"/>
  <c r="J82" i="33" s="1"/>
  <c r="Z82" i="39"/>
  <c r="I70" i="33"/>
  <c r="J70" i="33" s="1"/>
  <c r="Z70" i="39"/>
  <c r="J34" i="20"/>
  <c r="K34" i="20" s="1"/>
  <c r="I44" i="33"/>
  <c r="J44" i="33" s="1"/>
  <c r="Z44" i="39"/>
  <c r="I21" i="33"/>
  <c r="J21" i="33" s="1"/>
  <c r="Z21" i="39"/>
  <c r="I20" i="33"/>
  <c r="J20" i="33" s="1"/>
  <c r="Z20" i="39"/>
  <c r="I215" i="20"/>
  <c r="J215" i="20" s="1"/>
  <c r="K215" i="20" s="1"/>
  <c r="I211" i="21"/>
  <c r="J211" i="21" s="1"/>
  <c r="K211" i="21" s="1"/>
  <c r="I69" i="33"/>
  <c r="J69" i="33" s="1"/>
  <c r="Z69" i="39"/>
  <c r="I57" i="33"/>
  <c r="J57" i="33" s="1"/>
  <c r="Z57" i="39"/>
  <c r="I46" i="33"/>
  <c r="J46" i="33" s="1"/>
  <c r="Z46" i="39"/>
  <c r="I10" i="33"/>
  <c r="J10" i="33" s="1"/>
  <c r="Z10" i="39"/>
  <c r="I18" i="33"/>
  <c r="J18" i="33" s="1"/>
  <c r="Z18" i="39"/>
  <c r="I68" i="33"/>
  <c r="J68" i="33" s="1"/>
  <c r="Z68" i="39"/>
  <c r="I33" i="33"/>
  <c r="J33" i="33" s="1"/>
  <c r="Z33" i="39"/>
  <c r="I90" i="33"/>
  <c r="J90" i="33" s="1"/>
  <c r="Z90" i="39"/>
  <c r="I6" i="33"/>
  <c r="J6" i="33" s="1"/>
  <c r="Z6" i="39"/>
  <c r="I78" i="33"/>
  <c r="J78" i="33" s="1"/>
  <c r="Z78" i="39"/>
  <c r="I45" i="33"/>
  <c r="J45" i="33" s="1"/>
  <c r="Z45" i="39"/>
  <c r="E151" i="19"/>
  <c r="E150" i="39"/>
  <c r="E150" i="28"/>
  <c r="E150" i="23"/>
  <c r="E150" i="27"/>
  <c r="E150" i="26"/>
  <c r="E150" i="22"/>
  <c r="E150" i="32"/>
  <c r="N150" i="39" s="1"/>
  <c r="E150" i="21"/>
  <c r="E150" i="20"/>
  <c r="E150" i="33"/>
  <c r="W150" i="39" s="1"/>
  <c r="I22" i="33"/>
  <c r="J22" i="33" s="1"/>
  <c r="Z22" i="39"/>
  <c r="I58" i="33"/>
  <c r="J58" i="33" s="1"/>
  <c r="Z58" i="39"/>
  <c r="I66" i="33"/>
  <c r="J66" i="33" s="1"/>
  <c r="Z66" i="39"/>
  <c r="I42" i="33"/>
  <c r="J42" i="33" s="1"/>
  <c r="Z42" i="39"/>
  <c r="I214" i="33"/>
  <c r="J214" i="33" s="1"/>
  <c r="J56" i="11"/>
  <c r="K56" i="11"/>
  <c r="G6" i="37"/>
  <c r="H6" i="37" s="1"/>
  <c r="G17" i="37"/>
  <c r="H17" i="37" s="1"/>
  <c r="G18" i="37"/>
  <c r="H18" i="37" s="1"/>
  <c r="I211" i="32"/>
  <c r="J211" i="32" s="1"/>
  <c r="I217" i="32"/>
  <c r="J217" i="32" s="1"/>
  <c r="I212" i="33"/>
  <c r="J212" i="33" s="1"/>
  <c r="I213" i="32"/>
  <c r="J213" i="32" s="1"/>
  <c r="I214" i="32"/>
  <c r="J214" i="32" s="1"/>
  <c r="I215" i="32"/>
  <c r="J215" i="32" s="1"/>
  <c r="I212" i="32"/>
  <c r="J212" i="32" s="1"/>
  <c r="I216" i="32"/>
  <c r="J216" i="32" s="1"/>
  <c r="C103" i="33"/>
  <c r="U103" i="39" s="1"/>
  <c r="C103" i="32"/>
  <c r="L103" i="39" s="1"/>
  <c r="D106" i="33"/>
  <c r="V106" i="39" s="1"/>
  <c r="D106" i="32"/>
  <c r="M106" i="39" s="1"/>
  <c r="C115" i="33"/>
  <c r="U115" i="39" s="1"/>
  <c r="C115" i="32"/>
  <c r="L115" i="39" s="1"/>
  <c r="C114" i="33"/>
  <c r="U114" i="39" s="1"/>
  <c r="C114" i="32"/>
  <c r="L114" i="39" s="1"/>
  <c r="D118" i="33"/>
  <c r="V118" i="39" s="1"/>
  <c r="D118" i="32"/>
  <c r="M118" i="39" s="1"/>
  <c r="C127" i="33"/>
  <c r="U127" i="39" s="1"/>
  <c r="C127" i="32"/>
  <c r="D125" i="33"/>
  <c r="V125" i="39" s="1"/>
  <c r="D125" i="32"/>
  <c r="M125" i="39" s="1"/>
  <c r="D133" i="33"/>
  <c r="V133" i="39" s="1"/>
  <c r="D133" i="32"/>
  <c r="M133" i="39" s="1"/>
  <c r="C110" i="33"/>
  <c r="U110" i="39" s="1"/>
  <c r="C110" i="32"/>
  <c r="L110" i="39" s="1"/>
  <c r="C102" i="33"/>
  <c r="U102" i="39" s="1"/>
  <c r="C102" i="32"/>
  <c r="L102" i="39" s="1"/>
  <c r="D103" i="32"/>
  <c r="M103" i="39" s="1"/>
  <c r="D103" i="33"/>
  <c r="V103" i="39" s="1"/>
  <c r="C111" i="33"/>
  <c r="U111" i="39" s="1"/>
  <c r="C111" i="32"/>
  <c r="L111" i="39" s="1"/>
  <c r="C120" i="33"/>
  <c r="U120" i="39" s="1"/>
  <c r="C120" i="32"/>
  <c r="L120" i="39" s="1"/>
  <c r="D115" i="32"/>
  <c r="M115" i="39" s="1"/>
  <c r="D115" i="33"/>
  <c r="V115" i="39" s="1"/>
  <c r="C123" i="33"/>
  <c r="U123" i="39" s="1"/>
  <c r="C123" i="32"/>
  <c r="C123" i="21"/>
  <c r="C123" i="27"/>
  <c r="C123" i="28"/>
  <c r="C132" i="33"/>
  <c r="U132" i="39" s="1"/>
  <c r="C132" i="32"/>
  <c r="D130" i="33"/>
  <c r="V130" i="39" s="1"/>
  <c r="D130" i="32"/>
  <c r="M130" i="39" s="1"/>
  <c r="C108" i="33"/>
  <c r="U108" i="39" s="1"/>
  <c r="C108" i="32"/>
  <c r="L108" i="39" s="1"/>
  <c r="C104" i="33"/>
  <c r="U104" i="39" s="1"/>
  <c r="C104" i="32"/>
  <c r="L104" i="39" s="1"/>
  <c r="C100" i="33"/>
  <c r="U100" i="39" s="1"/>
  <c r="C100" i="32"/>
  <c r="L100" i="39" s="1"/>
  <c r="D101" i="32"/>
  <c r="M101" i="39" s="1"/>
  <c r="D101" i="33"/>
  <c r="V101" i="39" s="1"/>
  <c r="D105" i="33"/>
  <c r="V105" i="39" s="1"/>
  <c r="D105" i="32"/>
  <c r="M105" i="39" s="1"/>
  <c r="D109" i="33"/>
  <c r="V109" i="39" s="1"/>
  <c r="D109" i="32"/>
  <c r="M109" i="39" s="1"/>
  <c r="C113" i="33"/>
  <c r="U113" i="39" s="1"/>
  <c r="C113" i="32"/>
  <c r="L113" i="39" s="1"/>
  <c r="C118" i="33"/>
  <c r="U118" i="39" s="1"/>
  <c r="C118" i="32"/>
  <c r="L118" i="39" s="1"/>
  <c r="C122" i="33"/>
  <c r="U122" i="39" s="1"/>
  <c r="C122" i="32"/>
  <c r="L122" i="39" s="1"/>
  <c r="D113" i="32"/>
  <c r="M113" i="39" s="1"/>
  <c r="D113" i="33"/>
  <c r="V113" i="39" s="1"/>
  <c r="D117" i="33"/>
  <c r="V117" i="39" s="1"/>
  <c r="D117" i="32"/>
  <c r="M117" i="39" s="1"/>
  <c r="D121" i="33"/>
  <c r="V121" i="39" s="1"/>
  <c r="D121" i="32"/>
  <c r="M121" i="39" s="1"/>
  <c r="C126" i="33"/>
  <c r="U126" i="39" s="1"/>
  <c r="C126" i="32"/>
  <c r="C130" i="33"/>
  <c r="U130" i="39" s="1"/>
  <c r="C130" i="32"/>
  <c r="D124" i="33"/>
  <c r="V124" i="39" s="1"/>
  <c r="D124" i="32"/>
  <c r="M124" i="39" s="1"/>
  <c r="D128" i="33"/>
  <c r="V128" i="39" s="1"/>
  <c r="D128" i="32"/>
  <c r="M128" i="39" s="1"/>
  <c r="D132" i="33"/>
  <c r="V132" i="39" s="1"/>
  <c r="D132" i="32"/>
  <c r="M132" i="39" s="1"/>
  <c r="C107" i="33"/>
  <c r="U107" i="39" s="1"/>
  <c r="C107" i="32"/>
  <c r="L107" i="39" s="1"/>
  <c r="C99" i="33"/>
  <c r="U99" i="39" s="1"/>
  <c r="C99" i="32"/>
  <c r="L99" i="39" s="1"/>
  <c r="D102" i="33"/>
  <c r="V102" i="39" s="1"/>
  <c r="D102" i="32"/>
  <c r="M102" i="39" s="1"/>
  <c r="D110" i="33"/>
  <c r="V110" i="39" s="1"/>
  <c r="D110" i="32"/>
  <c r="M110" i="39" s="1"/>
  <c r="C119" i="33"/>
  <c r="U119" i="39" s="1"/>
  <c r="C119" i="32"/>
  <c r="L119" i="39" s="1"/>
  <c r="D114" i="33"/>
  <c r="V114" i="39" s="1"/>
  <c r="D114" i="32"/>
  <c r="M114" i="39" s="1"/>
  <c r="D122" i="33"/>
  <c r="V122" i="39" s="1"/>
  <c r="D122" i="32"/>
  <c r="M122" i="39" s="1"/>
  <c r="C131" i="33"/>
  <c r="U131" i="39" s="1"/>
  <c r="C131" i="32"/>
  <c r="D129" i="33"/>
  <c r="V129" i="39" s="1"/>
  <c r="D129" i="32"/>
  <c r="M129" i="39" s="1"/>
  <c r="C106" i="33"/>
  <c r="U106" i="39" s="1"/>
  <c r="C106" i="32"/>
  <c r="L106" i="39" s="1"/>
  <c r="D99" i="32"/>
  <c r="M99" i="39" s="1"/>
  <c r="D99" i="33"/>
  <c r="V99" i="39" s="1"/>
  <c r="D107" i="32"/>
  <c r="M107" i="39" s="1"/>
  <c r="D107" i="33"/>
  <c r="V107" i="39" s="1"/>
  <c r="C116" i="33"/>
  <c r="U116" i="39" s="1"/>
  <c r="C116" i="32"/>
  <c r="L116" i="39" s="1"/>
  <c r="D111" i="32"/>
  <c r="M111" i="39" s="1"/>
  <c r="D111" i="33"/>
  <c r="D119" i="32"/>
  <c r="M119" i="39" s="1"/>
  <c r="D119" i="33"/>
  <c r="V119" i="39" s="1"/>
  <c r="C128" i="33"/>
  <c r="U128" i="39" s="1"/>
  <c r="C128" i="32"/>
  <c r="D126" i="33"/>
  <c r="V126" i="39" s="1"/>
  <c r="D126" i="32"/>
  <c r="M126" i="39" s="1"/>
  <c r="C125" i="32"/>
  <c r="C125" i="33"/>
  <c r="U125" i="39" s="1"/>
  <c r="C109" i="33"/>
  <c r="U109" i="39" s="1"/>
  <c r="C109" i="32"/>
  <c r="L109" i="39" s="1"/>
  <c r="C105" i="32"/>
  <c r="L105" i="39" s="1"/>
  <c r="C105" i="33"/>
  <c r="U105" i="39" s="1"/>
  <c r="C101" i="33"/>
  <c r="U101" i="39" s="1"/>
  <c r="C101" i="32"/>
  <c r="L101" i="39" s="1"/>
  <c r="D100" i="33"/>
  <c r="V100" i="39" s="1"/>
  <c r="D100" i="32"/>
  <c r="M100" i="39" s="1"/>
  <c r="D104" i="33"/>
  <c r="V104" i="39" s="1"/>
  <c r="D104" i="32"/>
  <c r="M104" i="39" s="1"/>
  <c r="D108" i="33"/>
  <c r="V108" i="39" s="1"/>
  <c r="D108" i="32"/>
  <c r="M108" i="39" s="1"/>
  <c r="C112" i="33"/>
  <c r="U112" i="39" s="1"/>
  <c r="C112" i="32"/>
  <c r="L112" i="39" s="1"/>
  <c r="C117" i="32"/>
  <c r="L117" i="39" s="1"/>
  <c r="C117" i="33"/>
  <c r="U117" i="39" s="1"/>
  <c r="C121" i="33"/>
  <c r="U121" i="39" s="1"/>
  <c r="C121" i="32"/>
  <c r="L121" i="39" s="1"/>
  <c r="D112" i="33"/>
  <c r="V112" i="39" s="1"/>
  <c r="D112" i="32"/>
  <c r="M112" i="39" s="1"/>
  <c r="D116" i="33"/>
  <c r="V116" i="39" s="1"/>
  <c r="D116" i="32"/>
  <c r="M116" i="39" s="1"/>
  <c r="D120" i="33"/>
  <c r="V120" i="39" s="1"/>
  <c r="D120" i="32"/>
  <c r="M120" i="39" s="1"/>
  <c r="C124" i="33"/>
  <c r="U124" i="39" s="1"/>
  <c r="C124" i="32"/>
  <c r="C129" i="32"/>
  <c r="C129" i="33"/>
  <c r="U129" i="39" s="1"/>
  <c r="D123" i="32"/>
  <c r="M123" i="39" s="1"/>
  <c r="D123" i="33"/>
  <c r="V123" i="39" s="1"/>
  <c r="D123" i="27"/>
  <c r="D123" i="28"/>
  <c r="D123" i="21"/>
  <c r="D127" i="32"/>
  <c r="M127" i="39" s="1"/>
  <c r="D127" i="33"/>
  <c r="V127" i="39" s="1"/>
  <c r="D131" i="32"/>
  <c r="M131" i="39" s="1"/>
  <c r="D131" i="33"/>
  <c r="V131" i="39" s="1"/>
  <c r="C133" i="33"/>
  <c r="U133" i="39" s="1"/>
  <c r="C133" i="32"/>
  <c r="C104" i="20"/>
  <c r="C104" i="21"/>
  <c r="C104" i="22"/>
  <c r="C104" i="26"/>
  <c r="C104" i="23"/>
  <c r="C104" i="27"/>
  <c r="C104" i="28"/>
  <c r="D109" i="21"/>
  <c r="D109" i="26"/>
  <c r="D109" i="23"/>
  <c r="D109" i="27"/>
  <c r="D109" i="22"/>
  <c r="D109" i="20"/>
  <c r="D109" i="28"/>
  <c r="C122" i="20"/>
  <c r="C122" i="21"/>
  <c r="C122" i="22"/>
  <c r="C122" i="28"/>
  <c r="C122" i="23"/>
  <c r="C122" i="27"/>
  <c r="C122" i="26"/>
  <c r="D121" i="22"/>
  <c r="D121" i="26"/>
  <c r="D121" i="23"/>
  <c r="D121" i="27"/>
  <c r="D121" i="21"/>
  <c r="D121" i="20"/>
  <c r="D121" i="28"/>
  <c r="D124" i="20"/>
  <c r="D124" i="22"/>
  <c r="D124" i="21"/>
  <c r="D124" i="26"/>
  <c r="D124" i="28"/>
  <c r="D124" i="23"/>
  <c r="D124" i="27"/>
  <c r="H107" i="19"/>
  <c r="H107" i="39" s="1"/>
  <c r="C107" i="21"/>
  <c r="C107" i="26"/>
  <c r="C107" i="23"/>
  <c r="C107" i="27"/>
  <c r="C107" i="28"/>
  <c r="C107" i="20"/>
  <c r="C107" i="22"/>
  <c r="H103" i="19"/>
  <c r="H103" i="39" s="1"/>
  <c r="C103" i="22"/>
  <c r="C103" i="26"/>
  <c r="C103" i="23"/>
  <c r="C103" i="27"/>
  <c r="C103" i="28"/>
  <c r="C103" i="20"/>
  <c r="C103" i="21"/>
  <c r="H99" i="19"/>
  <c r="H99" i="39" s="1"/>
  <c r="C99" i="21"/>
  <c r="C99" i="26"/>
  <c r="C99" i="23"/>
  <c r="C99" i="27"/>
  <c r="C99" i="28"/>
  <c r="C99" i="20"/>
  <c r="C99" i="22"/>
  <c r="D102" i="20"/>
  <c r="D102" i="22"/>
  <c r="D102" i="21"/>
  <c r="D102" i="26"/>
  <c r="D102" i="23"/>
  <c r="D102" i="27"/>
  <c r="D102" i="28"/>
  <c r="D106" i="20"/>
  <c r="D106" i="21"/>
  <c r="D106" i="22"/>
  <c r="D106" i="26"/>
  <c r="D106" i="23"/>
  <c r="D106" i="27"/>
  <c r="D106" i="28"/>
  <c r="D110" i="20"/>
  <c r="D110" i="22"/>
  <c r="D110" i="26"/>
  <c r="D110" i="23"/>
  <c r="D110" i="27"/>
  <c r="D110" i="28"/>
  <c r="D110" i="21"/>
  <c r="H115" i="19"/>
  <c r="H115" i="39" s="1"/>
  <c r="C115" i="21"/>
  <c r="C115" i="26"/>
  <c r="C115" i="23"/>
  <c r="C115" i="27"/>
  <c r="C115" i="28"/>
  <c r="C115" i="20"/>
  <c r="C115" i="22"/>
  <c r="H119" i="19"/>
  <c r="H119" i="39" s="1"/>
  <c r="C119" i="22"/>
  <c r="C119" i="26"/>
  <c r="C119" i="23"/>
  <c r="C119" i="27"/>
  <c r="C119" i="28"/>
  <c r="C119" i="20"/>
  <c r="C119" i="21"/>
  <c r="H114" i="19"/>
  <c r="H114" i="39" s="1"/>
  <c r="C114" i="20"/>
  <c r="C114" i="21"/>
  <c r="C114" i="22"/>
  <c r="C114" i="28"/>
  <c r="C114" i="23"/>
  <c r="C114" i="27"/>
  <c r="C114" i="26"/>
  <c r="D114" i="20"/>
  <c r="D114" i="21"/>
  <c r="D114" i="26"/>
  <c r="D114" i="22"/>
  <c r="D114" i="23"/>
  <c r="D114" i="27"/>
  <c r="D114" i="28"/>
  <c r="D118" i="20"/>
  <c r="D118" i="22"/>
  <c r="D118" i="26"/>
  <c r="D118" i="21"/>
  <c r="D118" i="23"/>
  <c r="D118" i="27"/>
  <c r="D118" i="28"/>
  <c r="D122" i="20"/>
  <c r="D122" i="21"/>
  <c r="D122" i="26"/>
  <c r="D122" i="23"/>
  <c r="D122" i="27"/>
  <c r="D122" i="22"/>
  <c r="D122" i="28"/>
  <c r="H127" i="19"/>
  <c r="C127" i="22"/>
  <c r="C127" i="26"/>
  <c r="C127" i="23"/>
  <c r="C127" i="27"/>
  <c r="C127" i="28"/>
  <c r="C127" i="20"/>
  <c r="C127" i="21"/>
  <c r="H131" i="19"/>
  <c r="C131" i="21"/>
  <c r="C131" i="26"/>
  <c r="C131" i="23"/>
  <c r="C131" i="27"/>
  <c r="C131" i="28"/>
  <c r="C131" i="20"/>
  <c r="C131" i="22"/>
  <c r="D125" i="21"/>
  <c r="D125" i="26"/>
  <c r="D125" i="23"/>
  <c r="D125" i="27"/>
  <c r="D125" i="22"/>
  <c r="D125" i="20"/>
  <c r="D125" i="28"/>
  <c r="D129" i="22"/>
  <c r="D129" i="26"/>
  <c r="D129" i="23"/>
  <c r="D129" i="27"/>
  <c r="D129" i="21"/>
  <c r="D129" i="28"/>
  <c r="D129" i="20"/>
  <c r="D133" i="21"/>
  <c r="D133" i="26"/>
  <c r="D133" i="23"/>
  <c r="D133" i="27"/>
  <c r="D133" i="22"/>
  <c r="D133" i="20"/>
  <c r="D133" i="28"/>
  <c r="D101" i="21"/>
  <c r="D101" i="26"/>
  <c r="D101" i="23"/>
  <c r="D101" i="27"/>
  <c r="D101" i="22"/>
  <c r="D101" i="20"/>
  <c r="D101" i="28"/>
  <c r="C118" i="20"/>
  <c r="C118" i="21"/>
  <c r="C118" i="22"/>
  <c r="C118" i="27"/>
  <c r="C118" i="28"/>
  <c r="C118" i="26"/>
  <c r="C118" i="23"/>
  <c r="D117" i="21"/>
  <c r="D117" i="26"/>
  <c r="D117" i="23"/>
  <c r="D117" i="27"/>
  <c r="D117" i="22"/>
  <c r="D117" i="20"/>
  <c r="D117" i="28"/>
  <c r="C130" i="20"/>
  <c r="C130" i="21"/>
  <c r="C130" i="22"/>
  <c r="C130" i="28"/>
  <c r="C130" i="27"/>
  <c r="C130" i="26"/>
  <c r="C130" i="23"/>
  <c r="D132" i="20"/>
  <c r="D132" i="22"/>
  <c r="D132" i="21"/>
  <c r="D132" i="26"/>
  <c r="D132" i="28"/>
  <c r="D132" i="23"/>
  <c r="D132" i="27"/>
  <c r="C102" i="20"/>
  <c r="C102" i="21"/>
  <c r="C102" i="22"/>
  <c r="C102" i="26"/>
  <c r="C102" i="27"/>
  <c r="C102" i="28"/>
  <c r="C102" i="23"/>
  <c r="D99" i="26"/>
  <c r="D99" i="23"/>
  <c r="D99" i="27"/>
  <c r="D99" i="20"/>
  <c r="D99" i="22"/>
  <c r="D99" i="21"/>
  <c r="D99" i="28"/>
  <c r="D103" i="26"/>
  <c r="D103" i="23"/>
  <c r="D103" i="27"/>
  <c r="D103" i="20"/>
  <c r="D103" i="21"/>
  <c r="D103" i="28"/>
  <c r="D103" i="22"/>
  <c r="D107" i="26"/>
  <c r="D107" i="23"/>
  <c r="D107" i="27"/>
  <c r="D107" i="20"/>
  <c r="D107" i="22"/>
  <c r="D107" i="28"/>
  <c r="D107" i="21"/>
  <c r="H111" i="19"/>
  <c r="H111" i="39" s="1"/>
  <c r="C111" i="22"/>
  <c r="C111" i="26"/>
  <c r="C111" i="23"/>
  <c r="C111" i="27"/>
  <c r="C111" i="28"/>
  <c r="C111" i="20"/>
  <c r="C111" i="21"/>
  <c r="C116" i="20"/>
  <c r="C116" i="21"/>
  <c r="C116" i="22"/>
  <c r="C116" i="23"/>
  <c r="C116" i="27"/>
  <c r="C116" i="26"/>
  <c r="C116" i="28"/>
  <c r="C120" i="20"/>
  <c r="C120" i="21"/>
  <c r="C120" i="22"/>
  <c r="C120" i="26"/>
  <c r="C120" i="23"/>
  <c r="C120" i="27"/>
  <c r="C120" i="28"/>
  <c r="D111" i="26"/>
  <c r="D111" i="23"/>
  <c r="D111" i="27"/>
  <c r="D111" i="20"/>
  <c r="D111" i="21"/>
  <c r="D111" i="28"/>
  <c r="D111" i="22"/>
  <c r="D115" i="26"/>
  <c r="D115" i="23"/>
  <c r="D115" i="27"/>
  <c r="D115" i="20"/>
  <c r="D115" i="22"/>
  <c r="D115" i="21"/>
  <c r="D115" i="28"/>
  <c r="D119" i="26"/>
  <c r="D119" i="23"/>
  <c r="D119" i="27"/>
  <c r="D119" i="20"/>
  <c r="D119" i="21"/>
  <c r="D119" i="28"/>
  <c r="D119" i="22"/>
  <c r="C123" i="26"/>
  <c r="C123" i="23"/>
  <c r="C123" i="20"/>
  <c r="C123" i="22"/>
  <c r="H128" i="19"/>
  <c r="C128" i="20"/>
  <c r="C128" i="21"/>
  <c r="C128" i="22"/>
  <c r="C128" i="26"/>
  <c r="C128" i="23"/>
  <c r="C128" i="27"/>
  <c r="C128" i="28"/>
  <c r="H132" i="19"/>
  <c r="C132" i="20"/>
  <c r="C132" i="21"/>
  <c r="C132" i="22"/>
  <c r="C132" i="23"/>
  <c r="C132" i="27"/>
  <c r="C132" i="28"/>
  <c r="C132" i="26"/>
  <c r="D126" i="20"/>
  <c r="D126" i="22"/>
  <c r="D126" i="26"/>
  <c r="D126" i="21"/>
  <c r="D126" i="23"/>
  <c r="D126" i="27"/>
  <c r="D126" i="28"/>
  <c r="D130" i="20"/>
  <c r="D130" i="21"/>
  <c r="D130" i="26"/>
  <c r="D130" i="23"/>
  <c r="D130" i="27"/>
  <c r="D130" i="22"/>
  <c r="D130" i="28"/>
  <c r="C125" i="20"/>
  <c r="C125" i="21"/>
  <c r="C125" i="26"/>
  <c r="C125" i="23"/>
  <c r="C125" i="27"/>
  <c r="C125" i="28"/>
  <c r="C125" i="22"/>
  <c r="C108" i="20"/>
  <c r="C108" i="21"/>
  <c r="C108" i="22"/>
  <c r="C108" i="26"/>
  <c r="C108" i="23"/>
  <c r="C108" i="27"/>
  <c r="C108" i="28"/>
  <c r="C100" i="20"/>
  <c r="C100" i="21"/>
  <c r="C100" i="22"/>
  <c r="C100" i="26"/>
  <c r="C100" i="23"/>
  <c r="C100" i="27"/>
  <c r="C100" i="28"/>
  <c r="D105" i="22"/>
  <c r="D105" i="26"/>
  <c r="D105" i="23"/>
  <c r="D105" i="27"/>
  <c r="D105" i="21"/>
  <c r="D105" i="20"/>
  <c r="D105" i="28"/>
  <c r="H113" i="19"/>
  <c r="H113" i="39" s="1"/>
  <c r="C113" i="20"/>
  <c r="C113" i="22"/>
  <c r="C113" i="26"/>
  <c r="C113" i="23"/>
  <c r="C113" i="27"/>
  <c r="C113" i="28"/>
  <c r="C113" i="21"/>
  <c r="D113" i="22"/>
  <c r="D113" i="26"/>
  <c r="D113" i="23"/>
  <c r="D113" i="27"/>
  <c r="D113" i="21"/>
  <c r="D113" i="28"/>
  <c r="D113" i="20"/>
  <c r="C126" i="20"/>
  <c r="C126" i="21"/>
  <c r="C126" i="22"/>
  <c r="C126" i="23"/>
  <c r="C126" i="26"/>
  <c r="C126" i="27"/>
  <c r="C126" i="28"/>
  <c r="D128" i="20"/>
  <c r="D128" i="21"/>
  <c r="D128" i="22"/>
  <c r="D128" i="26"/>
  <c r="D128" i="28"/>
  <c r="D128" i="23"/>
  <c r="D128" i="27"/>
  <c r="C110" i="20"/>
  <c r="C110" i="21"/>
  <c r="C110" i="22"/>
  <c r="C110" i="23"/>
  <c r="C110" i="28"/>
  <c r="C110" i="26"/>
  <c r="C110" i="27"/>
  <c r="C106" i="20"/>
  <c r="C106" i="21"/>
  <c r="C106" i="22"/>
  <c r="C106" i="28"/>
  <c r="C106" i="26"/>
  <c r="C106" i="23"/>
  <c r="C106" i="27"/>
  <c r="H109" i="19"/>
  <c r="H109" i="39" s="1"/>
  <c r="C109" i="20"/>
  <c r="C109" i="21"/>
  <c r="C109" i="26"/>
  <c r="C109" i="23"/>
  <c r="C109" i="27"/>
  <c r="C109" i="28"/>
  <c r="C109" i="22"/>
  <c r="H105" i="19"/>
  <c r="H105" i="39" s="1"/>
  <c r="C105" i="20"/>
  <c r="C105" i="22"/>
  <c r="C105" i="26"/>
  <c r="C105" i="23"/>
  <c r="C105" i="27"/>
  <c r="C105" i="28"/>
  <c r="C105" i="21"/>
  <c r="H101" i="19"/>
  <c r="H101" i="39" s="1"/>
  <c r="C101" i="20"/>
  <c r="C101" i="21"/>
  <c r="C101" i="26"/>
  <c r="C101" i="23"/>
  <c r="C101" i="27"/>
  <c r="C101" i="28"/>
  <c r="C101" i="22"/>
  <c r="D100" i="20"/>
  <c r="D100" i="22"/>
  <c r="D100" i="21"/>
  <c r="D100" i="28"/>
  <c r="D100" i="23"/>
  <c r="D100" i="26"/>
  <c r="D100" i="27"/>
  <c r="D104" i="20"/>
  <c r="D104" i="21"/>
  <c r="D104" i="22"/>
  <c r="D104" i="28"/>
  <c r="D104" i="26"/>
  <c r="D104" i="23"/>
  <c r="D104" i="27"/>
  <c r="D108" i="20"/>
  <c r="D108" i="22"/>
  <c r="D108" i="21"/>
  <c r="D108" i="28"/>
  <c r="D108" i="26"/>
  <c r="D108" i="27"/>
  <c r="D108" i="23"/>
  <c r="H112" i="19"/>
  <c r="H112" i="39" s="1"/>
  <c r="C112" i="20"/>
  <c r="C112" i="21"/>
  <c r="C112" i="22"/>
  <c r="C112" i="26"/>
  <c r="C112" i="23"/>
  <c r="C112" i="27"/>
  <c r="C112" i="28"/>
  <c r="H117" i="19"/>
  <c r="H117" i="39" s="1"/>
  <c r="C117" i="20"/>
  <c r="C117" i="21"/>
  <c r="C117" i="26"/>
  <c r="C117" i="23"/>
  <c r="C117" i="27"/>
  <c r="C117" i="28"/>
  <c r="C117" i="22"/>
  <c r="H121" i="19"/>
  <c r="H121" i="39" s="1"/>
  <c r="C121" i="20"/>
  <c r="C121" i="22"/>
  <c r="C121" i="26"/>
  <c r="C121" i="23"/>
  <c r="C121" i="27"/>
  <c r="C121" i="28"/>
  <c r="C121" i="21"/>
  <c r="D112" i="20"/>
  <c r="D112" i="21"/>
  <c r="D112" i="22"/>
  <c r="D112" i="26"/>
  <c r="D112" i="23"/>
  <c r="D112" i="28"/>
  <c r="D112" i="27"/>
  <c r="D116" i="20"/>
  <c r="D116" i="22"/>
  <c r="D116" i="21"/>
  <c r="D116" i="26"/>
  <c r="D116" i="28"/>
  <c r="D116" i="23"/>
  <c r="D116" i="27"/>
  <c r="D120" i="20"/>
  <c r="D120" i="21"/>
  <c r="D120" i="22"/>
  <c r="D120" i="26"/>
  <c r="D120" i="23"/>
  <c r="D120" i="27"/>
  <c r="D120" i="28"/>
  <c r="H124" i="19"/>
  <c r="C124" i="20"/>
  <c r="C124" i="21"/>
  <c r="C124" i="22"/>
  <c r="C124" i="23"/>
  <c r="C124" i="27"/>
  <c r="C124" i="28"/>
  <c r="C124" i="26"/>
  <c r="C129" i="20"/>
  <c r="C129" i="22"/>
  <c r="C129" i="26"/>
  <c r="C129" i="23"/>
  <c r="C129" i="27"/>
  <c r="C129" i="28"/>
  <c r="C129" i="21"/>
  <c r="D123" i="26"/>
  <c r="D123" i="23"/>
  <c r="D123" i="20"/>
  <c r="D123" i="22"/>
  <c r="D127" i="26"/>
  <c r="D127" i="23"/>
  <c r="D127" i="27"/>
  <c r="D127" i="20"/>
  <c r="D127" i="21"/>
  <c r="D127" i="22"/>
  <c r="D127" i="28"/>
  <c r="D131" i="26"/>
  <c r="D131" i="23"/>
  <c r="D131" i="27"/>
  <c r="D131" i="20"/>
  <c r="D131" i="22"/>
  <c r="D131" i="28"/>
  <c r="D131" i="21"/>
  <c r="C133" i="20"/>
  <c r="C133" i="21"/>
  <c r="C133" i="26"/>
  <c r="C133" i="23"/>
  <c r="C133" i="27"/>
  <c r="C133" i="28"/>
  <c r="C133" i="22"/>
  <c r="H116" i="19"/>
  <c r="H116" i="39" s="1"/>
  <c r="H120" i="19"/>
  <c r="H120" i="39" s="1"/>
  <c r="H123" i="39"/>
  <c r="H108" i="19"/>
  <c r="H108" i="39" s="1"/>
  <c r="H104" i="19"/>
  <c r="H104" i="39" s="1"/>
  <c r="H106" i="19"/>
  <c r="H106" i="39" s="1"/>
  <c r="H125" i="19"/>
  <c r="H129" i="19"/>
  <c r="H133" i="19"/>
  <c r="H110" i="19"/>
  <c r="H110" i="39" s="1"/>
  <c r="H102" i="19"/>
  <c r="H102" i="39" s="1"/>
  <c r="H100" i="19"/>
  <c r="H100" i="39" s="1"/>
  <c r="H118" i="19"/>
  <c r="H118" i="39" s="1"/>
  <c r="H122" i="19"/>
  <c r="H122" i="39" s="1"/>
  <c r="H126" i="19"/>
  <c r="H130" i="19"/>
  <c r="J106" i="23" l="1"/>
  <c r="K106" i="23" s="1"/>
  <c r="J110" i="28"/>
  <c r="K110" i="28" s="1"/>
  <c r="I215" i="33"/>
  <c r="J215" i="33" s="1"/>
  <c r="J114" i="26"/>
  <c r="K114" i="26" s="1"/>
  <c r="I217" i="33"/>
  <c r="J217" i="33" s="1"/>
  <c r="I213" i="33"/>
  <c r="J213" i="33" s="1"/>
  <c r="J133" i="27"/>
  <c r="K133" i="27" s="1"/>
  <c r="J124" i="27"/>
  <c r="K124" i="27" s="1"/>
  <c r="J121" i="28"/>
  <c r="K121" i="28" s="1"/>
  <c r="J117" i="28"/>
  <c r="K117" i="28" s="1"/>
  <c r="J101" i="22"/>
  <c r="K101" i="22" s="1"/>
  <c r="J101" i="26"/>
  <c r="K101" i="26" s="1"/>
  <c r="J105" i="21"/>
  <c r="K105" i="21" s="1"/>
  <c r="J106" i="27"/>
  <c r="K106" i="27" s="1"/>
  <c r="J110" i="26"/>
  <c r="K110" i="26" s="1"/>
  <c r="J110" i="21"/>
  <c r="K110" i="21" s="1"/>
  <c r="J113" i="28"/>
  <c r="K113" i="28" s="1"/>
  <c r="J113" i="22"/>
  <c r="K113" i="22" s="1"/>
  <c r="J108" i="26"/>
  <c r="K108" i="26" s="1"/>
  <c r="J125" i="26"/>
  <c r="K125" i="26" s="1"/>
  <c r="J123" i="26"/>
  <c r="K123" i="26" s="1"/>
  <c r="J116" i="23"/>
  <c r="K116" i="23" s="1"/>
  <c r="J102" i="26"/>
  <c r="K102" i="26" s="1"/>
  <c r="J99" i="28"/>
  <c r="K99" i="28" s="1"/>
  <c r="Q213" i="33"/>
  <c r="F29" i="34" s="1"/>
  <c r="F71" i="34"/>
  <c r="Q217" i="33"/>
  <c r="F33" i="34" s="1"/>
  <c r="F75" i="34"/>
  <c r="Q212" i="33"/>
  <c r="F28" i="34" s="1"/>
  <c r="F70" i="34"/>
  <c r="I211" i="33"/>
  <c r="J211" i="33" s="1"/>
  <c r="Q216" i="33"/>
  <c r="F32" i="34" s="1"/>
  <c r="F74" i="34"/>
  <c r="Q215" i="33"/>
  <c r="F31" i="34" s="1"/>
  <c r="F73" i="34"/>
  <c r="Q211" i="33"/>
  <c r="F27" i="34" s="1"/>
  <c r="F69" i="34"/>
  <c r="Q210" i="33"/>
  <c r="F26" i="34" s="1"/>
  <c r="F68" i="34"/>
  <c r="I210" i="33"/>
  <c r="J210" i="33" s="1"/>
  <c r="J131" i="23"/>
  <c r="K131" i="23" s="1"/>
  <c r="J127" i="21"/>
  <c r="K127" i="21" s="1"/>
  <c r="J127" i="23"/>
  <c r="K127" i="23" s="1"/>
  <c r="J119" i="27"/>
  <c r="K119" i="27" s="1"/>
  <c r="J107" i="28"/>
  <c r="K107" i="28" s="1"/>
  <c r="J122" i="22"/>
  <c r="K122" i="22" s="1"/>
  <c r="J126" i="26"/>
  <c r="K126" i="26" s="1"/>
  <c r="J132" i="20"/>
  <c r="K132" i="20" s="1"/>
  <c r="I216" i="33"/>
  <c r="J216" i="33" s="1"/>
  <c r="J100" i="20"/>
  <c r="K100" i="20" s="1"/>
  <c r="J125" i="22"/>
  <c r="K125" i="22" s="1"/>
  <c r="J130" i="26"/>
  <c r="K130" i="26" s="1"/>
  <c r="J124" i="22"/>
  <c r="K124" i="22" s="1"/>
  <c r="J101" i="27"/>
  <c r="K101" i="27" s="1"/>
  <c r="J106" i="26"/>
  <c r="K106" i="26" s="1"/>
  <c r="J126" i="27"/>
  <c r="K126" i="27" s="1"/>
  <c r="J102" i="28"/>
  <c r="K102" i="28" s="1"/>
  <c r="J102" i="21"/>
  <c r="K102" i="21" s="1"/>
  <c r="J118" i="26"/>
  <c r="K118" i="26" s="1"/>
  <c r="J129" i="28"/>
  <c r="K129" i="28" s="1"/>
  <c r="J100" i="23"/>
  <c r="K100" i="23" s="1"/>
  <c r="J131" i="22"/>
  <c r="K131" i="22" s="1"/>
  <c r="J99" i="21"/>
  <c r="K99" i="21" s="1"/>
  <c r="J103" i="22"/>
  <c r="K103" i="22" s="1"/>
  <c r="J104" i="23"/>
  <c r="K104" i="23" s="1"/>
  <c r="J123" i="21"/>
  <c r="K123" i="21" s="1"/>
  <c r="J133" i="23"/>
  <c r="K133" i="23" s="1"/>
  <c r="J124" i="23"/>
  <c r="K124" i="23" s="1"/>
  <c r="J117" i="20"/>
  <c r="K117" i="20" s="1"/>
  <c r="J105" i="28"/>
  <c r="K105" i="28" s="1"/>
  <c r="J109" i="28"/>
  <c r="K109" i="28" s="1"/>
  <c r="J110" i="20"/>
  <c r="K110" i="20" s="1"/>
  <c r="J126" i="22"/>
  <c r="K126" i="22" s="1"/>
  <c r="J113" i="27"/>
  <c r="K113" i="27" s="1"/>
  <c r="J100" i="26"/>
  <c r="K100" i="26" s="1"/>
  <c r="J108" i="28"/>
  <c r="K108" i="28" s="1"/>
  <c r="J125" i="21"/>
  <c r="K125" i="21" s="1"/>
  <c r="J132" i="26"/>
  <c r="K132" i="26" s="1"/>
  <c r="J123" i="22"/>
  <c r="K123" i="22" s="1"/>
  <c r="J116" i="28"/>
  <c r="K116" i="28" s="1"/>
  <c r="J116" i="22"/>
  <c r="K116" i="22" s="1"/>
  <c r="J111" i="20"/>
  <c r="K111" i="20" s="1"/>
  <c r="J131" i="26"/>
  <c r="K131" i="26" s="1"/>
  <c r="J127" i="20"/>
  <c r="K127" i="20" s="1"/>
  <c r="J127" i="26"/>
  <c r="K127" i="26" s="1"/>
  <c r="J119" i="21"/>
  <c r="K119" i="21" s="1"/>
  <c r="J119" i="23"/>
  <c r="K119" i="23" s="1"/>
  <c r="J115" i="22"/>
  <c r="K115" i="22" s="1"/>
  <c r="J103" i="27"/>
  <c r="K103" i="27" s="1"/>
  <c r="J122" i="27"/>
  <c r="K122" i="27" s="1"/>
  <c r="J133" i="20"/>
  <c r="K133" i="20" s="1"/>
  <c r="J129" i="22"/>
  <c r="K129" i="22" s="1"/>
  <c r="J121" i="22"/>
  <c r="K121" i="22" s="1"/>
  <c r="J117" i="21"/>
  <c r="K117" i="21" s="1"/>
  <c r="J112" i="27"/>
  <c r="K112" i="27" s="1"/>
  <c r="J120" i="23"/>
  <c r="K120" i="23" s="1"/>
  <c r="J115" i="27"/>
  <c r="K115" i="27" s="1"/>
  <c r="J107" i="21"/>
  <c r="K107" i="21" s="1"/>
  <c r="J122" i="26"/>
  <c r="K122" i="26" s="1"/>
  <c r="L128" i="39"/>
  <c r="J129" i="27"/>
  <c r="K129" i="27" s="1"/>
  <c r="J121" i="27"/>
  <c r="K121" i="27" s="1"/>
  <c r="J112" i="20"/>
  <c r="K112" i="20" s="1"/>
  <c r="J101" i="28"/>
  <c r="K101" i="28" s="1"/>
  <c r="J105" i="22"/>
  <c r="K105" i="22" s="1"/>
  <c r="J126" i="28"/>
  <c r="K126" i="28" s="1"/>
  <c r="J120" i="26"/>
  <c r="K120" i="26" s="1"/>
  <c r="J118" i="22"/>
  <c r="K118" i="22" s="1"/>
  <c r="J131" i="20"/>
  <c r="K131" i="20" s="1"/>
  <c r="J115" i="23"/>
  <c r="K115" i="23" s="1"/>
  <c r="J122" i="21"/>
  <c r="K122" i="21" s="1"/>
  <c r="L125" i="39"/>
  <c r="L123" i="39"/>
  <c r="J133" i="22"/>
  <c r="K133" i="22" s="1"/>
  <c r="J133" i="26"/>
  <c r="K133" i="26" s="1"/>
  <c r="J129" i="23"/>
  <c r="K129" i="23" s="1"/>
  <c r="J124" i="26"/>
  <c r="K124" i="26" s="1"/>
  <c r="J121" i="23"/>
  <c r="K121" i="23" s="1"/>
  <c r="J117" i="23"/>
  <c r="K117" i="23" s="1"/>
  <c r="J112" i="26"/>
  <c r="K112" i="26" s="1"/>
  <c r="J101" i="20"/>
  <c r="K101" i="20" s="1"/>
  <c r="J105" i="27"/>
  <c r="K105" i="27" s="1"/>
  <c r="J105" i="20"/>
  <c r="K105" i="20" s="1"/>
  <c r="J109" i="20"/>
  <c r="K109" i="20" s="1"/>
  <c r="J110" i="23"/>
  <c r="K110" i="23" s="1"/>
  <c r="J126" i="21"/>
  <c r="K126" i="21" s="1"/>
  <c r="J113" i="23"/>
  <c r="K113" i="23" s="1"/>
  <c r="J100" i="28"/>
  <c r="K100" i="28" s="1"/>
  <c r="J100" i="22"/>
  <c r="K100" i="22" s="1"/>
  <c r="J108" i="27"/>
  <c r="K108" i="27" s="1"/>
  <c r="J108" i="21"/>
  <c r="K108" i="21" s="1"/>
  <c r="J125" i="27"/>
  <c r="K125" i="27" s="1"/>
  <c r="J125" i="20"/>
  <c r="K125" i="20" s="1"/>
  <c r="J132" i="28"/>
  <c r="K132" i="28" s="1"/>
  <c r="J132" i="21"/>
  <c r="K132" i="21" s="1"/>
  <c r="J128" i="27"/>
  <c r="K128" i="27" s="1"/>
  <c r="J128" i="21"/>
  <c r="K128" i="21" s="1"/>
  <c r="J123" i="20"/>
  <c r="K123" i="20" s="1"/>
  <c r="J120" i="28"/>
  <c r="K120" i="28" s="1"/>
  <c r="J120" i="22"/>
  <c r="K120" i="22" s="1"/>
  <c r="J116" i="26"/>
  <c r="K116" i="26" s="1"/>
  <c r="J116" i="21"/>
  <c r="K116" i="21" s="1"/>
  <c r="J111" i="28"/>
  <c r="K111" i="28" s="1"/>
  <c r="J111" i="22"/>
  <c r="K111" i="22" s="1"/>
  <c r="J130" i="28"/>
  <c r="K130" i="28" s="1"/>
  <c r="J118" i="21"/>
  <c r="K118" i="21" s="1"/>
  <c r="J131" i="28"/>
  <c r="K131" i="28" s="1"/>
  <c r="J131" i="21"/>
  <c r="K131" i="21" s="1"/>
  <c r="J127" i="28"/>
  <c r="K127" i="28" s="1"/>
  <c r="J127" i="22"/>
  <c r="K127" i="22" s="1"/>
  <c r="J114" i="27"/>
  <c r="K114" i="27" s="1"/>
  <c r="J114" i="21"/>
  <c r="K114" i="21" s="1"/>
  <c r="J119" i="20"/>
  <c r="K119" i="20" s="1"/>
  <c r="J119" i="26"/>
  <c r="K119" i="26" s="1"/>
  <c r="J115" i="20"/>
  <c r="K115" i="20" s="1"/>
  <c r="J115" i="26"/>
  <c r="K115" i="26" s="1"/>
  <c r="J103" i="21"/>
  <c r="K103" i="21" s="1"/>
  <c r="J103" i="23"/>
  <c r="K103" i="23" s="1"/>
  <c r="J107" i="22"/>
  <c r="K107" i="22" s="1"/>
  <c r="J107" i="23"/>
  <c r="K107" i="23" s="1"/>
  <c r="J122" i="23"/>
  <c r="K122" i="23" s="1"/>
  <c r="J122" i="20"/>
  <c r="K122" i="20" s="1"/>
  <c r="J104" i="28"/>
  <c r="K104" i="28" s="1"/>
  <c r="J104" i="22"/>
  <c r="K104" i="22" s="1"/>
  <c r="L124" i="39"/>
  <c r="L130" i="39"/>
  <c r="J123" i="28"/>
  <c r="K123" i="28" s="1"/>
  <c r="J105" i="26"/>
  <c r="K105" i="26" s="1"/>
  <c r="J126" i="23"/>
  <c r="K126" i="23" s="1"/>
  <c r="J120" i="20"/>
  <c r="K120" i="20" s="1"/>
  <c r="J130" i="21"/>
  <c r="K130" i="21" s="1"/>
  <c r="J118" i="27"/>
  <c r="K118" i="27" s="1"/>
  <c r="J114" i="28"/>
  <c r="K114" i="28" s="1"/>
  <c r="J103" i="28"/>
  <c r="K103" i="28" s="1"/>
  <c r="J104" i="20"/>
  <c r="K104" i="20" s="1"/>
  <c r="H111" i="33"/>
  <c r="Z111" i="39" s="1"/>
  <c r="V111" i="39"/>
  <c r="L131" i="39"/>
  <c r="L126" i="39"/>
  <c r="L132" i="39"/>
  <c r="J129" i="20"/>
  <c r="K129" i="20" s="1"/>
  <c r="J117" i="27"/>
  <c r="K117" i="27" s="1"/>
  <c r="J112" i="23"/>
  <c r="K112" i="23" s="1"/>
  <c r="J113" i="20"/>
  <c r="K113" i="20" s="1"/>
  <c r="J108" i="22"/>
  <c r="K108" i="22" s="1"/>
  <c r="J125" i="28"/>
  <c r="K125" i="28" s="1"/>
  <c r="J132" i="22"/>
  <c r="K132" i="22" s="1"/>
  <c r="J128" i="28"/>
  <c r="K128" i="28" s="1"/>
  <c r="J128" i="22"/>
  <c r="K128" i="22" s="1"/>
  <c r="J102" i="22"/>
  <c r="K102" i="22" s="1"/>
  <c r="J130" i="20"/>
  <c r="K130" i="20" s="1"/>
  <c r="J118" i="23"/>
  <c r="K118" i="23" s="1"/>
  <c r="J107" i="27"/>
  <c r="K107" i="27" s="1"/>
  <c r="J104" i="26"/>
  <c r="K104" i="26" s="1"/>
  <c r="L133" i="39"/>
  <c r="L129" i="39"/>
  <c r="J133" i="28"/>
  <c r="K133" i="28" s="1"/>
  <c r="J133" i="21"/>
  <c r="K133" i="21" s="1"/>
  <c r="J129" i="21"/>
  <c r="K129" i="21" s="1"/>
  <c r="J129" i="26"/>
  <c r="K129" i="26" s="1"/>
  <c r="J124" i="28"/>
  <c r="K124" i="28" s="1"/>
  <c r="J124" i="21"/>
  <c r="K124" i="21" s="1"/>
  <c r="J121" i="26"/>
  <c r="K121" i="26" s="1"/>
  <c r="J117" i="22"/>
  <c r="K117" i="22" s="1"/>
  <c r="J117" i="26"/>
  <c r="K117" i="26" s="1"/>
  <c r="J112" i="28"/>
  <c r="K112" i="28" s="1"/>
  <c r="J112" i="22"/>
  <c r="K112" i="22" s="1"/>
  <c r="J101" i="23"/>
  <c r="K101" i="23" s="1"/>
  <c r="J105" i="23"/>
  <c r="K105" i="23" s="1"/>
  <c r="J106" i="28"/>
  <c r="K106" i="28" s="1"/>
  <c r="J110" i="22"/>
  <c r="K110" i="22" s="1"/>
  <c r="J126" i="20"/>
  <c r="K126" i="20" s="1"/>
  <c r="J113" i="21"/>
  <c r="K113" i="21" s="1"/>
  <c r="J113" i="26"/>
  <c r="K113" i="26" s="1"/>
  <c r="J100" i="27"/>
  <c r="K100" i="27" s="1"/>
  <c r="J100" i="21"/>
  <c r="K100" i="21" s="1"/>
  <c r="J108" i="23"/>
  <c r="K108" i="23" s="1"/>
  <c r="J108" i="20"/>
  <c r="K108" i="20" s="1"/>
  <c r="J125" i="23"/>
  <c r="K125" i="23" s="1"/>
  <c r="J132" i="27"/>
  <c r="K132" i="27" s="1"/>
  <c r="J128" i="23"/>
  <c r="K128" i="23" s="1"/>
  <c r="J128" i="20"/>
  <c r="K128" i="20" s="1"/>
  <c r="J123" i="23"/>
  <c r="K123" i="23" s="1"/>
  <c r="J120" i="27"/>
  <c r="K120" i="27" s="1"/>
  <c r="J120" i="21"/>
  <c r="K120" i="21" s="1"/>
  <c r="J116" i="27"/>
  <c r="K116" i="27" s="1"/>
  <c r="J116" i="20"/>
  <c r="K116" i="20" s="1"/>
  <c r="J102" i="27"/>
  <c r="K102" i="27" s="1"/>
  <c r="J102" i="20"/>
  <c r="K102" i="20" s="1"/>
  <c r="J130" i="23"/>
  <c r="K130" i="23" s="1"/>
  <c r="J130" i="22"/>
  <c r="K130" i="22" s="1"/>
  <c r="J118" i="28"/>
  <c r="K118" i="28" s="1"/>
  <c r="J118" i="20"/>
  <c r="K118" i="20" s="1"/>
  <c r="J131" i="27"/>
  <c r="K131" i="27" s="1"/>
  <c r="J127" i="27"/>
  <c r="K127" i="27" s="1"/>
  <c r="J114" i="23"/>
  <c r="K114" i="23" s="1"/>
  <c r="J114" i="20"/>
  <c r="K114" i="20" s="1"/>
  <c r="J119" i="28"/>
  <c r="K119" i="28" s="1"/>
  <c r="J119" i="22"/>
  <c r="K119" i="22" s="1"/>
  <c r="J115" i="28"/>
  <c r="K115" i="28" s="1"/>
  <c r="J115" i="21"/>
  <c r="K115" i="21" s="1"/>
  <c r="J103" i="20"/>
  <c r="K103" i="20" s="1"/>
  <c r="J103" i="26"/>
  <c r="K103" i="26" s="1"/>
  <c r="J107" i="20"/>
  <c r="K107" i="20" s="1"/>
  <c r="J107" i="26"/>
  <c r="K107" i="26" s="1"/>
  <c r="J122" i="28"/>
  <c r="K122" i="28" s="1"/>
  <c r="J104" i="27"/>
  <c r="K104" i="27" s="1"/>
  <c r="J104" i="21"/>
  <c r="K104" i="21" s="1"/>
  <c r="J123" i="27"/>
  <c r="K123" i="27" s="1"/>
  <c r="L127" i="39"/>
  <c r="E152" i="19"/>
  <c r="E151" i="39"/>
  <c r="E151" i="28"/>
  <c r="E151" i="23"/>
  <c r="E151" i="27"/>
  <c r="E151" i="26"/>
  <c r="E151" i="22"/>
  <c r="E151" i="32"/>
  <c r="N151" i="39" s="1"/>
  <c r="E151" i="21"/>
  <c r="E151" i="20"/>
  <c r="E151" i="33"/>
  <c r="W151" i="39" s="1"/>
  <c r="J101" i="21"/>
  <c r="K101" i="21" s="1"/>
  <c r="J109" i="21"/>
  <c r="K109" i="21" s="1"/>
  <c r="J106" i="21"/>
  <c r="K106" i="21" s="1"/>
  <c r="J102" i="23"/>
  <c r="K102" i="23" s="1"/>
  <c r="I132" i="19"/>
  <c r="J132" i="19" s="1"/>
  <c r="H132" i="39"/>
  <c r="I124" i="19"/>
  <c r="J124" i="19" s="1"/>
  <c r="H124" i="39"/>
  <c r="I130" i="19"/>
  <c r="J130" i="19" s="1"/>
  <c r="H130" i="39"/>
  <c r="I129" i="19"/>
  <c r="J129" i="19" s="1"/>
  <c r="H129" i="39"/>
  <c r="I128" i="19"/>
  <c r="J128" i="19" s="1"/>
  <c r="H128" i="39"/>
  <c r="I133" i="19"/>
  <c r="J133" i="19" s="1"/>
  <c r="H133" i="39"/>
  <c r="I126" i="19"/>
  <c r="J126" i="19" s="1"/>
  <c r="H126" i="39"/>
  <c r="I125" i="19"/>
  <c r="J125" i="19" s="1"/>
  <c r="H125" i="39"/>
  <c r="I131" i="19"/>
  <c r="J131" i="19" s="1"/>
  <c r="H131" i="39"/>
  <c r="I127" i="19"/>
  <c r="J127" i="19" s="1"/>
  <c r="H127" i="39"/>
  <c r="H119" i="33"/>
  <c r="J121" i="20"/>
  <c r="K121" i="20" s="1"/>
  <c r="H101" i="33"/>
  <c r="J109" i="27"/>
  <c r="K109" i="27" s="1"/>
  <c r="J106" i="20"/>
  <c r="K106" i="20" s="1"/>
  <c r="H117" i="32"/>
  <c r="H105" i="32"/>
  <c r="H120" i="32"/>
  <c r="H103" i="33"/>
  <c r="H110" i="32"/>
  <c r="H115" i="32"/>
  <c r="H106" i="32"/>
  <c r="H110" i="33"/>
  <c r="H116" i="33"/>
  <c r="H107" i="33"/>
  <c r="H120" i="33"/>
  <c r="H108" i="33"/>
  <c r="H118" i="33"/>
  <c r="H109" i="33"/>
  <c r="J121" i="21"/>
  <c r="K121" i="21" s="1"/>
  <c r="J109" i="23"/>
  <c r="K109" i="23" s="1"/>
  <c r="J110" i="27"/>
  <c r="K110" i="27" s="1"/>
  <c r="H121" i="32"/>
  <c r="H112" i="32"/>
  <c r="H109" i="32"/>
  <c r="H99" i="33"/>
  <c r="H107" i="32"/>
  <c r="H113" i="32"/>
  <c r="H100" i="32"/>
  <c r="H108" i="32"/>
  <c r="H114" i="33"/>
  <c r="J130" i="27"/>
  <c r="K130" i="27" s="1"/>
  <c r="H119" i="32"/>
  <c r="H126" i="32"/>
  <c r="H124" i="33"/>
  <c r="H101" i="32"/>
  <c r="H128" i="33"/>
  <c r="H126" i="33"/>
  <c r="H122" i="32"/>
  <c r="H103" i="32"/>
  <c r="J124" i="20"/>
  <c r="K124" i="20" s="1"/>
  <c r="J112" i="21"/>
  <c r="K112" i="21" s="1"/>
  <c r="J109" i="22"/>
  <c r="K109" i="22" s="1"/>
  <c r="J109" i="26"/>
  <c r="K109" i="26" s="1"/>
  <c r="J106" i="22"/>
  <c r="K106" i="22" s="1"/>
  <c r="J132" i="23"/>
  <c r="K132" i="23" s="1"/>
  <c r="J128" i="26"/>
  <c r="K128" i="26" s="1"/>
  <c r="H117" i="33"/>
  <c r="H125" i="33"/>
  <c r="H116" i="32"/>
  <c r="H121" i="33"/>
  <c r="H118" i="32"/>
  <c r="H104" i="32"/>
  <c r="H123" i="32"/>
  <c r="Q123" i="39" s="1"/>
  <c r="H102" i="33"/>
  <c r="H114" i="32"/>
  <c r="H124" i="32"/>
  <c r="H125" i="32"/>
  <c r="H128" i="32"/>
  <c r="H123" i="33"/>
  <c r="Z123" i="39" s="1"/>
  <c r="J114" i="22"/>
  <c r="K114" i="22" s="1"/>
  <c r="H133" i="32"/>
  <c r="H129" i="33"/>
  <c r="H131" i="32"/>
  <c r="H130" i="32"/>
  <c r="H132" i="32"/>
  <c r="H133" i="33"/>
  <c r="H127" i="33"/>
  <c r="H129" i="32"/>
  <c r="H112" i="33"/>
  <c r="H104" i="33"/>
  <c r="H106" i="33"/>
  <c r="H131" i="33"/>
  <c r="H99" i="32"/>
  <c r="Q99" i="39" s="1"/>
  <c r="H130" i="33"/>
  <c r="H122" i="33"/>
  <c r="H113" i="33"/>
  <c r="H105" i="33"/>
  <c r="H100" i="33"/>
  <c r="H132" i="33"/>
  <c r="H111" i="32"/>
  <c r="Q111" i="39" s="1"/>
  <c r="H102" i="32"/>
  <c r="H127" i="32"/>
  <c r="H115" i="33"/>
  <c r="L138" i="39" l="1"/>
  <c r="C150" i="32"/>
  <c r="L136" i="39"/>
  <c r="C148" i="32"/>
  <c r="L135" i="39"/>
  <c r="C147" i="32"/>
  <c r="L139" i="39"/>
  <c r="C151" i="32"/>
  <c r="L145" i="39"/>
  <c r="C157" i="32"/>
  <c r="C156" i="32"/>
  <c r="L144" i="39"/>
  <c r="L143" i="39"/>
  <c r="C155" i="32"/>
  <c r="L141" i="39"/>
  <c r="C153" i="32"/>
  <c r="L146" i="39"/>
  <c r="C158" i="32"/>
  <c r="L140" i="39"/>
  <c r="C152" i="32"/>
  <c r="I111" i="33"/>
  <c r="J111" i="33" s="1"/>
  <c r="L142" i="39"/>
  <c r="C154" i="32"/>
  <c r="L137" i="39"/>
  <c r="C149" i="32"/>
  <c r="I113" i="33"/>
  <c r="J113" i="33" s="1"/>
  <c r="Z113" i="39"/>
  <c r="I104" i="32"/>
  <c r="J104" i="32" s="1"/>
  <c r="Q104" i="39"/>
  <c r="I121" i="32"/>
  <c r="J121" i="32" s="1"/>
  <c r="Q121" i="39"/>
  <c r="I122" i="33"/>
  <c r="J122" i="33" s="1"/>
  <c r="Z122" i="39"/>
  <c r="I124" i="32"/>
  <c r="J124" i="32" s="1"/>
  <c r="Q124" i="39"/>
  <c r="I114" i="32"/>
  <c r="J114" i="32" s="1"/>
  <c r="Q114" i="39"/>
  <c r="I118" i="32"/>
  <c r="J118" i="32" s="1"/>
  <c r="Q118" i="39"/>
  <c r="I117" i="33"/>
  <c r="J117" i="33" s="1"/>
  <c r="Z117" i="39"/>
  <c r="I122" i="32"/>
  <c r="J122" i="32" s="1"/>
  <c r="Q122" i="39"/>
  <c r="I124" i="33"/>
  <c r="J124" i="33" s="1"/>
  <c r="Z124" i="39"/>
  <c r="I126" i="32"/>
  <c r="J126" i="32" s="1"/>
  <c r="Q126" i="39"/>
  <c r="I108" i="32"/>
  <c r="J108" i="32" s="1"/>
  <c r="Q108" i="39"/>
  <c r="I99" i="33"/>
  <c r="J99" i="33" s="1"/>
  <c r="Z99" i="39"/>
  <c r="I109" i="33"/>
  <c r="J109" i="33" s="1"/>
  <c r="Z109" i="39"/>
  <c r="I115" i="32"/>
  <c r="J115" i="32" s="1"/>
  <c r="Q115" i="39"/>
  <c r="I105" i="32"/>
  <c r="J105" i="32" s="1"/>
  <c r="Q105" i="39"/>
  <c r="I131" i="33"/>
  <c r="J131" i="33" s="1"/>
  <c r="Z131" i="39"/>
  <c r="I101" i="32"/>
  <c r="J101" i="32" s="1"/>
  <c r="Q101" i="39"/>
  <c r="I114" i="33"/>
  <c r="J114" i="33" s="1"/>
  <c r="Z114" i="39"/>
  <c r="I120" i="33"/>
  <c r="J120" i="33" s="1"/>
  <c r="Z120" i="39"/>
  <c r="I106" i="32"/>
  <c r="J106" i="32" s="1"/>
  <c r="Q106" i="39"/>
  <c r="I127" i="32"/>
  <c r="J127" i="32" s="1"/>
  <c r="Q127" i="39"/>
  <c r="I127" i="33"/>
  <c r="J127" i="33" s="1"/>
  <c r="Z127" i="39"/>
  <c r="I102" i="32"/>
  <c r="J102" i="32" s="1"/>
  <c r="Q102" i="39"/>
  <c r="I133" i="33"/>
  <c r="J133" i="33" s="1"/>
  <c r="Z133" i="39"/>
  <c r="I132" i="32"/>
  <c r="J132" i="32" s="1"/>
  <c r="Q132" i="39"/>
  <c r="I102" i="33"/>
  <c r="J102" i="33" s="1"/>
  <c r="Z102" i="39"/>
  <c r="I121" i="33"/>
  <c r="J121" i="33" s="1"/>
  <c r="Z121" i="39"/>
  <c r="I126" i="33"/>
  <c r="J126" i="33" s="1"/>
  <c r="Z126" i="39"/>
  <c r="I119" i="32"/>
  <c r="J119" i="32" s="1"/>
  <c r="Q119" i="39"/>
  <c r="I100" i="32"/>
  <c r="J100" i="32" s="1"/>
  <c r="Q100" i="39"/>
  <c r="I109" i="32"/>
  <c r="J109" i="32" s="1"/>
  <c r="Q109" i="39"/>
  <c r="I118" i="33"/>
  <c r="J118" i="33" s="1"/>
  <c r="Z118" i="39"/>
  <c r="I116" i="33"/>
  <c r="J116" i="33" s="1"/>
  <c r="Z116" i="39"/>
  <c r="I110" i="32"/>
  <c r="J110" i="32" s="1"/>
  <c r="Q110" i="39"/>
  <c r="I117" i="32"/>
  <c r="J117" i="32" s="1"/>
  <c r="Q117" i="39"/>
  <c r="I119" i="33"/>
  <c r="J119" i="33" s="1"/>
  <c r="Z119" i="39"/>
  <c r="I115" i="33"/>
  <c r="J115" i="33" s="1"/>
  <c r="Z115" i="39"/>
  <c r="I129" i="32"/>
  <c r="J129" i="32" s="1"/>
  <c r="Q129" i="39"/>
  <c r="I131" i="32"/>
  <c r="J131" i="32" s="1"/>
  <c r="Q131" i="39"/>
  <c r="I125" i="32"/>
  <c r="J125" i="32" s="1"/>
  <c r="Q125" i="39"/>
  <c r="I125" i="33"/>
  <c r="J125" i="33" s="1"/>
  <c r="Z125" i="39"/>
  <c r="I103" i="32"/>
  <c r="J103" i="32" s="1"/>
  <c r="Q103" i="39"/>
  <c r="I107" i="32"/>
  <c r="J107" i="32" s="1"/>
  <c r="Q107" i="39"/>
  <c r="I120" i="32"/>
  <c r="J120" i="32" s="1"/>
  <c r="Q120" i="39"/>
  <c r="I101" i="33"/>
  <c r="J101" i="33" s="1"/>
  <c r="Z101" i="39"/>
  <c r="I132" i="33"/>
  <c r="J132" i="33" s="1"/>
  <c r="Z132" i="39"/>
  <c r="I106" i="33"/>
  <c r="J106" i="33" s="1"/>
  <c r="Z106" i="39"/>
  <c r="I100" i="33"/>
  <c r="J100" i="33" s="1"/>
  <c r="Z100" i="39"/>
  <c r="I130" i="33"/>
  <c r="J130" i="33" s="1"/>
  <c r="Z130" i="39"/>
  <c r="I104" i="33"/>
  <c r="J104" i="33" s="1"/>
  <c r="Z104" i="39"/>
  <c r="I129" i="33"/>
  <c r="J129" i="33" s="1"/>
  <c r="Z129" i="39"/>
  <c r="I105" i="33"/>
  <c r="J105" i="33" s="1"/>
  <c r="Z105" i="39"/>
  <c r="I112" i="33"/>
  <c r="J112" i="33" s="1"/>
  <c r="Z112" i="39"/>
  <c r="I130" i="32"/>
  <c r="J130" i="32" s="1"/>
  <c r="Q130" i="39"/>
  <c r="I133" i="32"/>
  <c r="J133" i="32" s="1"/>
  <c r="Q133" i="39"/>
  <c r="I128" i="32"/>
  <c r="J128" i="32" s="1"/>
  <c r="Q128" i="39"/>
  <c r="I116" i="32"/>
  <c r="J116" i="32" s="1"/>
  <c r="Q116" i="39"/>
  <c r="I128" i="33"/>
  <c r="J128" i="33" s="1"/>
  <c r="Z128" i="39"/>
  <c r="I113" i="32"/>
  <c r="J113" i="32" s="1"/>
  <c r="Q113" i="39"/>
  <c r="I112" i="32"/>
  <c r="J112" i="32" s="1"/>
  <c r="Q112" i="39"/>
  <c r="I108" i="33"/>
  <c r="J108" i="33" s="1"/>
  <c r="Z108" i="39"/>
  <c r="I107" i="33"/>
  <c r="J107" i="33" s="1"/>
  <c r="Z107" i="39"/>
  <c r="I110" i="33"/>
  <c r="J110" i="33" s="1"/>
  <c r="Z110" i="39"/>
  <c r="I103" i="33"/>
  <c r="J103" i="33" s="1"/>
  <c r="Z103" i="39"/>
  <c r="E153" i="19"/>
  <c r="E152" i="39"/>
  <c r="E152" i="27"/>
  <c r="E152" i="26"/>
  <c r="E152" i="22"/>
  <c r="E152" i="28"/>
  <c r="E152" i="23"/>
  <c r="E152" i="32"/>
  <c r="N152" i="39" s="1"/>
  <c r="E152" i="20"/>
  <c r="E152" i="33"/>
  <c r="W152" i="39" s="1"/>
  <c r="E152" i="21"/>
  <c r="B20" i="30"/>
  <c r="I219" i="22"/>
  <c r="J219" i="22" s="1"/>
  <c r="K219" i="22" s="1"/>
  <c r="J111" i="27"/>
  <c r="K111" i="27" s="1"/>
  <c r="I219" i="27"/>
  <c r="J219" i="27" s="1"/>
  <c r="K219" i="27" s="1"/>
  <c r="H218" i="33"/>
  <c r="M218" i="33" s="1"/>
  <c r="O218" i="33" s="1"/>
  <c r="I219" i="28"/>
  <c r="J219" i="28" s="1"/>
  <c r="K219" i="28" s="1"/>
  <c r="I219" i="20"/>
  <c r="J219" i="20" s="1"/>
  <c r="K219" i="20" s="1"/>
  <c r="J111" i="21"/>
  <c r="K111" i="21" s="1"/>
  <c r="I219" i="21"/>
  <c r="J219" i="21" s="1"/>
  <c r="K219" i="21" s="1"/>
  <c r="I123" i="33"/>
  <c r="J123" i="33" s="1"/>
  <c r="J99" i="20"/>
  <c r="K99" i="20" s="1"/>
  <c r="I218" i="20"/>
  <c r="J218" i="20" s="1"/>
  <c r="K218" i="20" s="1"/>
  <c r="J99" i="27"/>
  <c r="K99" i="27" s="1"/>
  <c r="I218" i="27"/>
  <c r="J218" i="27" s="1"/>
  <c r="K218" i="27" s="1"/>
  <c r="I123" i="32"/>
  <c r="J123" i="32" s="1"/>
  <c r="J111" i="23"/>
  <c r="K111" i="23" s="1"/>
  <c r="I219" i="23"/>
  <c r="J219" i="23" s="1"/>
  <c r="K219" i="23" s="1"/>
  <c r="J99" i="23"/>
  <c r="K99" i="23" s="1"/>
  <c r="I218" i="23"/>
  <c r="J218" i="23" s="1"/>
  <c r="K218" i="23" s="1"/>
  <c r="I218" i="28"/>
  <c r="J218" i="28" s="1"/>
  <c r="K218" i="28" s="1"/>
  <c r="J111" i="26"/>
  <c r="K111" i="26" s="1"/>
  <c r="I219" i="26"/>
  <c r="J219" i="26" s="1"/>
  <c r="K219" i="26" s="1"/>
  <c r="I111" i="32"/>
  <c r="J111" i="32" s="1"/>
  <c r="H219" i="32"/>
  <c r="M219" i="32" s="1"/>
  <c r="O219" i="32" s="1"/>
  <c r="I99" i="32"/>
  <c r="J99" i="32" s="1"/>
  <c r="H218" i="32"/>
  <c r="M218" i="32" s="1"/>
  <c r="O218" i="32" s="1"/>
  <c r="J99" i="22"/>
  <c r="K99" i="22" s="1"/>
  <c r="I218" i="22"/>
  <c r="J218" i="22" s="1"/>
  <c r="K218" i="22" s="1"/>
  <c r="H219" i="33"/>
  <c r="M219" i="33" s="1"/>
  <c r="O219" i="33" s="1"/>
  <c r="I218" i="21"/>
  <c r="J218" i="21" s="1"/>
  <c r="K218" i="21" s="1"/>
  <c r="J99" i="26"/>
  <c r="K99" i="26" s="1"/>
  <c r="I218" i="26"/>
  <c r="J218" i="26" s="1"/>
  <c r="K218" i="26" s="1"/>
  <c r="Q219" i="33" l="1"/>
  <c r="F35" i="34" s="1"/>
  <c r="F77" i="34"/>
  <c r="Q218" i="33"/>
  <c r="F34" i="34" s="1"/>
  <c r="F76" i="34"/>
  <c r="Q218" i="32"/>
  <c r="E34" i="34" s="1"/>
  <c r="E76" i="34"/>
  <c r="Q219" i="32"/>
  <c r="E35" i="34" s="1"/>
  <c r="E77" i="34"/>
  <c r="L152" i="39"/>
  <c r="C164" i="32"/>
  <c r="C165" i="32"/>
  <c r="L153" i="39"/>
  <c r="L148" i="39"/>
  <c r="C160" i="32"/>
  <c r="L154" i="39"/>
  <c r="C166" i="32"/>
  <c r="L156" i="39"/>
  <c r="C168" i="32"/>
  <c r="L158" i="39"/>
  <c r="C170" i="32"/>
  <c r="L155" i="39"/>
  <c r="C167" i="32"/>
  <c r="L157" i="39"/>
  <c r="C169" i="32"/>
  <c r="L147" i="39"/>
  <c r="C159" i="32"/>
  <c r="L150" i="39"/>
  <c r="C162" i="32"/>
  <c r="L151" i="39"/>
  <c r="C163" i="32"/>
  <c r="L149" i="39"/>
  <c r="C161" i="32"/>
  <c r="E154" i="19"/>
  <c r="E153" i="39"/>
  <c r="E153" i="27"/>
  <c r="E153" i="26"/>
  <c r="E153" i="28"/>
  <c r="E153" i="23"/>
  <c r="E153" i="22"/>
  <c r="E153" i="32"/>
  <c r="N153" i="39" s="1"/>
  <c r="E153" i="21"/>
  <c r="E153" i="20"/>
  <c r="E153" i="33"/>
  <c r="W153" i="39" s="1"/>
  <c r="C140" i="39"/>
  <c r="U146" i="39"/>
  <c r="C138" i="20"/>
  <c r="C138" i="39"/>
  <c r="C141" i="39"/>
  <c r="C134" i="20"/>
  <c r="C142" i="39"/>
  <c r="C143" i="39"/>
  <c r="C146" i="39"/>
  <c r="C145" i="22"/>
  <c r="C139" i="39"/>
  <c r="C137" i="39"/>
  <c r="C136" i="22"/>
  <c r="C135" i="39"/>
  <c r="C144" i="39"/>
  <c r="C138" i="21"/>
  <c r="C138" i="28"/>
  <c r="C138" i="22"/>
  <c r="C138" i="26"/>
  <c r="C138" i="23"/>
  <c r="C138" i="27"/>
  <c r="I219" i="33"/>
  <c r="J219" i="33" s="1"/>
  <c r="I218" i="32"/>
  <c r="J218" i="32" s="1"/>
  <c r="I219" i="32"/>
  <c r="J219" i="32" s="1"/>
  <c r="I218" i="33"/>
  <c r="J218" i="33" s="1"/>
  <c r="L162" i="39" l="1"/>
  <c r="C174" i="32"/>
  <c r="L166" i="39"/>
  <c r="C178" i="32"/>
  <c r="L163" i="39"/>
  <c r="C175" i="32"/>
  <c r="L159" i="39"/>
  <c r="C171" i="32"/>
  <c r="L167" i="39"/>
  <c r="C179" i="32"/>
  <c r="L168" i="39"/>
  <c r="C180" i="32"/>
  <c r="L160" i="39"/>
  <c r="C172" i="32"/>
  <c r="L164" i="39"/>
  <c r="C176" i="32"/>
  <c r="L161" i="39"/>
  <c r="C173" i="32"/>
  <c r="L169" i="39"/>
  <c r="C181" i="32"/>
  <c r="L170" i="39"/>
  <c r="C182" i="32"/>
  <c r="L165" i="39"/>
  <c r="C177" i="32"/>
  <c r="E155" i="19"/>
  <c r="E154" i="39"/>
  <c r="E154" i="28"/>
  <c r="E154" i="23"/>
  <c r="E154" i="27"/>
  <c r="E154" i="22"/>
  <c r="E154" i="26"/>
  <c r="E154" i="32"/>
  <c r="N154" i="39" s="1"/>
  <c r="E154" i="20"/>
  <c r="E154" i="33"/>
  <c r="W154" i="39" s="1"/>
  <c r="E154" i="21"/>
  <c r="U139" i="39"/>
  <c r="U135" i="39"/>
  <c r="C142" i="22"/>
  <c r="U143" i="39"/>
  <c r="C140" i="26"/>
  <c r="C140" i="23"/>
  <c r="C141" i="27"/>
  <c r="C135" i="22"/>
  <c r="C140" i="21"/>
  <c r="C141" i="23"/>
  <c r="C139" i="23"/>
  <c r="C135" i="23"/>
  <c r="C135" i="21"/>
  <c r="C141" i="22"/>
  <c r="C139" i="20"/>
  <c r="U137" i="39"/>
  <c r="C137" i="27"/>
  <c r="U142" i="39"/>
  <c r="U141" i="39"/>
  <c r="C140" i="28"/>
  <c r="C140" i="27"/>
  <c r="C137" i="20"/>
  <c r="C141" i="28"/>
  <c r="C143" i="26"/>
  <c r="C139" i="28"/>
  <c r="U145" i="39"/>
  <c r="U144" i="39"/>
  <c r="C140" i="22"/>
  <c r="C140" i="20"/>
  <c r="C142" i="28"/>
  <c r="C137" i="26"/>
  <c r="C141" i="21"/>
  <c r="C139" i="22"/>
  <c r="C139" i="21"/>
  <c r="C135" i="20"/>
  <c r="U140" i="39"/>
  <c r="U136" i="39"/>
  <c r="U138" i="39"/>
  <c r="C156" i="19"/>
  <c r="C156" i="39" s="1"/>
  <c r="C158" i="19"/>
  <c r="C158" i="28" s="1"/>
  <c r="C136" i="23"/>
  <c r="C142" i="23"/>
  <c r="C143" i="21"/>
  <c r="C142" i="20"/>
  <c r="C142" i="27"/>
  <c r="C137" i="28"/>
  <c r="C137" i="23"/>
  <c r="C143" i="20"/>
  <c r="C143" i="22"/>
  <c r="C143" i="27"/>
  <c r="C157" i="19"/>
  <c r="C157" i="22" s="1"/>
  <c r="C146" i="21"/>
  <c r="C142" i="26"/>
  <c r="C142" i="21"/>
  <c r="C137" i="22"/>
  <c r="C137" i="21"/>
  <c r="C141" i="26"/>
  <c r="C141" i="20"/>
  <c r="C143" i="23"/>
  <c r="C139" i="27"/>
  <c r="C139" i="26"/>
  <c r="C135" i="26"/>
  <c r="C143" i="28"/>
  <c r="C155" i="19"/>
  <c r="C155" i="26" s="1"/>
  <c r="C146" i="27"/>
  <c r="C150" i="19"/>
  <c r="C136" i="39"/>
  <c r="C145" i="27"/>
  <c r="C145" i="39"/>
  <c r="C144" i="28"/>
  <c r="C136" i="20"/>
  <c r="C149" i="19"/>
  <c r="C149" i="39" s="1"/>
  <c r="C146" i="20"/>
  <c r="C146" i="28"/>
  <c r="C136" i="26"/>
  <c r="C136" i="21"/>
  <c r="C145" i="21"/>
  <c r="C148" i="19"/>
  <c r="C148" i="26" s="1"/>
  <c r="C152" i="19"/>
  <c r="C152" i="23" s="1"/>
  <c r="C146" i="22"/>
  <c r="C145" i="28"/>
  <c r="C144" i="22"/>
  <c r="C144" i="20"/>
  <c r="C144" i="27"/>
  <c r="C144" i="21"/>
  <c r="C144" i="26"/>
  <c r="C144" i="23"/>
  <c r="C136" i="27"/>
  <c r="C153" i="19"/>
  <c r="C153" i="20" s="1"/>
  <c r="C145" i="26"/>
  <c r="C154" i="19"/>
  <c r="C154" i="39" s="1"/>
  <c r="C147" i="19"/>
  <c r="C147" i="27" s="1"/>
  <c r="C151" i="19"/>
  <c r="C136" i="28"/>
  <c r="C145" i="23"/>
  <c r="C146" i="23"/>
  <c r="C146" i="26"/>
  <c r="C145" i="20"/>
  <c r="C135" i="28"/>
  <c r="L177" i="39" l="1"/>
  <c r="C189" i="32"/>
  <c r="L176" i="39"/>
  <c r="C188" i="32"/>
  <c r="L171" i="39"/>
  <c r="C183" i="32"/>
  <c r="C194" i="32"/>
  <c r="L182" i="39"/>
  <c r="L173" i="39"/>
  <c r="C185" i="32"/>
  <c r="L172" i="39"/>
  <c r="C184" i="32"/>
  <c r="L179" i="39"/>
  <c r="C191" i="32"/>
  <c r="L175" i="39"/>
  <c r="C187" i="32"/>
  <c r="C186" i="32"/>
  <c r="L174" i="39"/>
  <c r="L181" i="39"/>
  <c r="C193" i="32"/>
  <c r="L180" i="39"/>
  <c r="C192" i="32"/>
  <c r="L178" i="39"/>
  <c r="C190" i="32"/>
  <c r="E156" i="19"/>
  <c r="E155" i="39"/>
  <c r="E155" i="28"/>
  <c r="E155" i="23"/>
  <c r="E155" i="27"/>
  <c r="E155" i="26"/>
  <c r="E155" i="22"/>
  <c r="E155" i="32"/>
  <c r="N155" i="39" s="1"/>
  <c r="E155" i="33"/>
  <c r="W155" i="39" s="1"/>
  <c r="E155" i="21"/>
  <c r="E155" i="20"/>
  <c r="C158" i="39"/>
  <c r="C156" i="33"/>
  <c r="U156" i="39" s="1"/>
  <c r="C148" i="23"/>
  <c r="C152" i="33"/>
  <c r="U152" i="39" s="1"/>
  <c r="C157" i="28"/>
  <c r="C155" i="28"/>
  <c r="C154" i="33"/>
  <c r="U154" i="39" s="1"/>
  <c r="C157" i="27"/>
  <c r="C157" i="21"/>
  <c r="C156" i="21"/>
  <c r="C148" i="21"/>
  <c r="C148" i="28"/>
  <c r="C155" i="23"/>
  <c r="C153" i="33"/>
  <c r="U153" i="39" s="1"/>
  <c r="C156" i="22"/>
  <c r="C158" i="22"/>
  <c r="C157" i="23"/>
  <c r="C150" i="33"/>
  <c r="U150" i="39" s="1"/>
  <c r="C157" i="33"/>
  <c r="U157" i="39" s="1"/>
  <c r="C147" i="33"/>
  <c r="U147" i="39" s="1"/>
  <c r="C157" i="26"/>
  <c r="C155" i="33"/>
  <c r="U155" i="39" s="1"/>
  <c r="C162" i="19"/>
  <c r="C162" i="39" s="1"/>
  <c r="C148" i="33"/>
  <c r="U148" i="39" s="1"/>
  <c r="C153" i="21"/>
  <c r="C151" i="33"/>
  <c r="U151" i="39" s="1"/>
  <c r="C153" i="28"/>
  <c r="C149" i="33"/>
  <c r="U149" i="39" s="1"/>
  <c r="C158" i="33"/>
  <c r="U158" i="39" s="1"/>
  <c r="C158" i="23"/>
  <c r="C150" i="21"/>
  <c r="C150" i="27"/>
  <c r="C158" i="20"/>
  <c r="C147" i="26"/>
  <c r="C158" i="21"/>
  <c r="C158" i="26"/>
  <c r="C156" i="26"/>
  <c r="C156" i="20"/>
  <c r="C150" i="23"/>
  <c r="C147" i="28"/>
  <c r="C147" i="20"/>
  <c r="C150" i="22"/>
  <c r="C158" i="27"/>
  <c r="C156" i="27"/>
  <c r="C156" i="23"/>
  <c r="C147" i="22"/>
  <c r="C147" i="23"/>
  <c r="C155" i="27"/>
  <c r="C156" i="28"/>
  <c r="C155" i="22"/>
  <c r="C162" i="23"/>
  <c r="C150" i="20"/>
  <c r="C150" i="39"/>
  <c r="C150" i="28"/>
  <c r="C167" i="19"/>
  <c r="C167" i="28" s="1"/>
  <c r="C151" i="26"/>
  <c r="C151" i="39"/>
  <c r="C152" i="20"/>
  <c r="C152" i="39"/>
  <c r="C154" i="23"/>
  <c r="C154" i="21"/>
  <c r="C149" i="27"/>
  <c r="C149" i="28"/>
  <c r="C149" i="20"/>
  <c r="C153" i="26"/>
  <c r="C153" i="39"/>
  <c r="C148" i="27"/>
  <c r="C148" i="39"/>
  <c r="C157" i="20"/>
  <c r="C157" i="39"/>
  <c r="C154" i="26"/>
  <c r="C149" i="21"/>
  <c r="C149" i="22"/>
  <c r="C154" i="22"/>
  <c r="C154" i="27"/>
  <c r="C150" i="26"/>
  <c r="C151" i="23"/>
  <c r="C147" i="21"/>
  <c r="C147" i="39"/>
  <c r="C155" i="21"/>
  <c r="C155" i="39"/>
  <c r="C155" i="20"/>
  <c r="C165" i="19"/>
  <c r="C165" i="20" s="1"/>
  <c r="C166" i="19"/>
  <c r="C166" i="26" s="1"/>
  <c r="C153" i="23"/>
  <c r="C153" i="27"/>
  <c r="C169" i="19"/>
  <c r="C169" i="27" s="1"/>
  <c r="C152" i="26"/>
  <c r="C151" i="22"/>
  <c r="C152" i="22"/>
  <c r="C148" i="22"/>
  <c r="C151" i="28"/>
  <c r="C159" i="19"/>
  <c r="C159" i="20" s="1"/>
  <c r="C151" i="20"/>
  <c r="C161" i="19"/>
  <c r="C161" i="22" s="1"/>
  <c r="C160" i="19"/>
  <c r="C160" i="26" s="1"/>
  <c r="C163" i="19"/>
  <c r="C163" i="20" s="1"/>
  <c r="C164" i="19"/>
  <c r="C164" i="28" s="1"/>
  <c r="C151" i="27"/>
  <c r="C168" i="19"/>
  <c r="C168" i="28" s="1"/>
  <c r="C170" i="19"/>
  <c r="C170" i="22" s="1"/>
  <c r="C153" i="22"/>
  <c r="C148" i="20"/>
  <c r="C152" i="21"/>
  <c r="C151" i="21"/>
  <c r="C152" i="28"/>
  <c r="C152" i="27"/>
  <c r="C154" i="20"/>
  <c r="C154" i="28"/>
  <c r="C149" i="23"/>
  <c r="C149" i="26"/>
  <c r="C160" i="21"/>
  <c r="L193" i="39" l="1"/>
  <c r="C205" i="32"/>
  <c r="L205" i="39" s="1"/>
  <c r="C196" i="32"/>
  <c r="L196" i="39" s="1"/>
  <c r="L184" i="39"/>
  <c r="L194" i="39"/>
  <c r="C206" i="32"/>
  <c r="L206" i="39" s="1"/>
  <c r="C204" i="32"/>
  <c r="L204" i="39" s="1"/>
  <c r="L192" i="39"/>
  <c r="C203" i="32"/>
  <c r="L203" i="39" s="1"/>
  <c r="L191" i="39"/>
  <c r="L185" i="39"/>
  <c r="C197" i="32"/>
  <c r="L197" i="39" s="1"/>
  <c r="L183" i="39"/>
  <c r="C195" i="32"/>
  <c r="L195" i="39" s="1"/>
  <c r="C201" i="32"/>
  <c r="L201" i="39" s="1"/>
  <c r="L189" i="39"/>
  <c r="L190" i="39"/>
  <c r="C202" i="32"/>
  <c r="L202" i="39" s="1"/>
  <c r="C199" i="32"/>
  <c r="L199" i="39" s="1"/>
  <c r="L187" i="39"/>
  <c r="C200" i="32"/>
  <c r="L200" i="39" s="1"/>
  <c r="L188" i="39"/>
  <c r="L186" i="39"/>
  <c r="C198" i="32"/>
  <c r="L198" i="39" s="1"/>
  <c r="E157" i="19"/>
  <c r="E156" i="39"/>
  <c r="E156" i="27"/>
  <c r="E156" i="22"/>
  <c r="E156" i="28"/>
  <c r="E156" i="23"/>
  <c r="E156" i="26"/>
  <c r="E156" i="32"/>
  <c r="N156" i="39" s="1"/>
  <c r="E156" i="21"/>
  <c r="E156" i="33"/>
  <c r="W156" i="39" s="1"/>
  <c r="E156" i="20"/>
  <c r="C162" i="20"/>
  <c r="C162" i="27"/>
  <c r="C166" i="22"/>
  <c r="C164" i="22"/>
  <c r="C159" i="27"/>
  <c r="C162" i="26"/>
  <c r="C166" i="20"/>
  <c r="C160" i="22"/>
  <c r="C162" i="21"/>
  <c r="C163" i="26"/>
  <c r="C167" i="27"/>
  <c r="C170" i="33"/>
  <c r="U170" i="39" s="1"/>
  <c r="C161" i="33"/>
  <c r="U161" i="39" s="1"/>
  <c r="C163" i="33"/>
  <c r="U163" i="39" s="1"/>
  <c r="C165" i="33"/>
  <c r="U165" i="39" s="1"/>
  <c r="C162" i="22"/>
  <c r="C168" i="27"/>
  <c r="C162" i="28"/>
  <c r="C168" i="33"/>
  <c r="U168" i="39" s="1"/>
  <c r="C166" i="33"/>
  <c r="U166" i="39" s="1"/>
  <c r="C162" i="33"/>
  <c r="U162" i="39" s="1"/>
  <c r="C164" i="33"/>
  <c r="U164" i="39" s="1"/>
  <c r="C168" i="23"/>
  <c r="C163" i="28"/>
  <c r="C163" i="27"/>
  <c r="C160" i="33"/>
  <c r="U160" i="39" s="1"/>
  <c r="C168" i="21"/>
  <c r="C163" i="22"/>
  <c r="C163" i="21"/>
  <c r="C159" i="23"/>
  <c r="C169" i="33"/>
  <c r="U169" i="39" s="1"/>
  <c r="C167" i="33"/>
  <c r="U167" i="39" s="1"/>
  <c r="C160" i="23"/>
  <c r="C180" i="19"/>
  <c r="C180" i="21" s="1"/>
  <c r="C159" i="33"/>
  <c r="U159" i="39" s="1"/>
  <c r="C167" i="23"/>
  <c r="C169" i="26"/>
  <c r="C178" i="19"/>
  <c r="C178" i="39" s="1"/>
  <c r="C164" i="26"/>
  <c r="C170" i="21"/>
  <c r="C168" i="20"/>
  <c r="C159" i="28"/>
  <c r="C159" i="21"/>
  <c r="C159" i="26"/>
  <c r="C170" i="28"/>
  <c r="C170" i="39"/>
  <c r="C164" i="23"/>
  <c r="C164" i="39"/>
  <c r="C167" i="22"/>
  <c r="C166" i="27"/>
  <c r="C166" i="28"/>
  <c r="C168" i="26"/>
  <c r="C168" i="39"/>
  <c r="C163" i="23"/>
  <c r="C163" i="39"/>
  <c r="C159" i="22"/>
  <c r="C159" i="39"/>
  <c r="C180" i="26"/>
  <c r="C170" i="26"/>
  <c r="C160" i="20"/>
  <c r="C160" i="39"/>
  <c r="C166" i="21"/>
  <c r="C166" i="39"/>
  <c r="C167" i="20"/>
  <c r="C167" i="39"/>
  <c r="C160" i="28"/>
  <c r="C160" i="27"/>
  <c r="C167" i="26"/>
  <c r="C167" i="21"/>
  <c r="C164" i="27"/>
  <c r="C164" i="21"/>
  <c r="C166" i="23"/>
  <c r="C168" i="22"/>
  <c r="C161" i="27"/>
  <c r="C161" i="39"/>
  <c r="C169" i="22"/>
  <c r="C169" i="39"/>
  <c r="C165" i="23"/>
  <c r="C165" i="39"/>
  <c r="C175" i="19"/>
  <c r="C171" i="19"/>
  <c r="C171" i="26" s="1"/>
  <c r="C165" i="21"/>
  <c r="C179" i="19"/>
  <c r="C179" i="28" s="1"/>
  <c r="C182" i="19"/>
  <c r="C182" i="28" s="1"/>
  <c r="C161" i="23"/>
  <c r="C165" i="27"/>
  <c r="C169" i="28"/>
  <c r="C165" i="28"/>
  <c r="C164" i="20"/>
  <c r="C161" i="20"/>
  <c r="C170" i="20"/>
  <c r="C169" i="23"/>
  <c r="C169" i="21"/>
  <c r="C161" i="21"/>
  <c r="C165" i="26"/>
  <c r="C169" i="20"/>
  <c r="C161" i="28"/>
  <c r="C181" i="19"/>
  <c r="C181" i="26" s="1"/>
  <c r="C174" i="19"/>
  <c r="C174" i="28" s="1"/>
  <c r="C177" i="19"/>
  <c r="C173" i="19"/>
  <c r="C173" i="28" s="1"/>
  <c r="C170" i="23"/>
  <c r="C161" i="26"/>
  <c r="C176" i="19"/>
  <c r="C176" i="23" s="1"/>
  <c r="C172" i="19"/>
  <c r="C172" i="39" s="1"/>
  <c r="C165" i="22"/>
  <c r="C170" i="27"/>
  <c r="C172" i="20" l="1"/>
  <c r="E158" i="19"/>
  <c r="E157" i="39"/>
  <c r="E157" i="27"/>
  <c r="E157" i="26"/>
  <c r="E157" i="28"/>
  <c r="E157" i="23"/>
  <c r="E157" i="22"/>
  <c r="E157" i="32"/>
  <c r="N157" i="39" s="1"/>
  <c r="E157" i="21"/>
  <c r="E157" i="33"/>
  <c r="W157" i="39" s="1"/>
  <c r="E157" i="20"/>
  <c r="C178" i="20"/>
  <c r="C180" i="28"/>
  <c r="C178" i="23"/>
  <c r="C178" i="21"/>
  <c r="C179" i="21"/>
  <c r="C180" i="39"/>
  <c r="C180" i="20"/>
  <c r="C180" i="27"/>
  <c r="C171" i="22"/>
  <c r="C172" i="26"/>
  <c r="C181" i="22"/>
  <c r="C172" i="27"/>
  <c r="C179" i="33"/>
  <c r="U179" i="39" s="1"/>
  <c r="C181" i="23"/>
  <c r="C173" i="26"/>
  <c r="C181" i="27"/>
  <c r="C178" i="33"/>
  <c r="U178" i="39" s="1"/>
  <c r="C172" i="33"/>
  <c r="U172" i="39" s="1"/>
  <c r="C182" i="33"/>
  <c r="U182" i="39" s="1"/>
  <c r="C171" i="20"/>
  <c r="C178" i="28"/>
  <c r="C178" i="27"/>
  <c r="C180" i="23"/>
  <c r="C180" i="22"/>
  <c r="C179" i="26"/>
  <c r="C174" i="33"/>
  <c r="U174" i="39" s="1"/>
  <c r="C178" i="22"/>
  <c r="C173" i="20"/>
  <c r="C177" i="33"/>
  <c r="U177" i="39" s="1"/>
  <c r="C173" i="27"/>
  <c r="C171" i="23"/>
  <c r="C171" i="27"/>
  <c r="C173" i="22"/>
  <c r="C171" i="28"/>
  <c r="C173" i="21"/>
  <c r="C173" i="33"/>
  <c r="U173" i="39" s="1"/>
  <c r="C172" i="22"/>
  <c r="C181" i="21"/>
  <c r="C171" i="33"/>
  <c r="U171" i="39" s="1"/>
  <c r="C176" i="33"/>
  <c r="U176" i="39" s="1"/>
  <c r="C181" i="33"/>
  <c r="U181" i="39" s="1"/>
  <c r="C185" i="19"/>
  <c r="C185" i="39" s="1"/>
  <c r="C175" i="33"/>
  <c r="U175" i="39" s="1"/>
  <c r="C180" i="33"/>
  <c r="U180" i="39" s="1"/>
  <c r="C179" i="22"/>
  <c r="C182" i="21"/>
  <c r="C178" i="26"/>
  <c r="C176" i="20"/>
  <c r="C176" i="39"/>
  <c r="C177" i="20"/>
  <c r="C177" i="39"/>
  <c r="C182" i="20"/>
  <c r="C182" i="39"/>
  <c r="C175" i="23"/>
  <c r="C175" i="39"/>
  <c r="C186" i="19"/>
  <c r="C186" i="20" s="1"/>
  <c r="C176" i="21"/>
  <c r="C172" i="28"/>
  <c r="C174" i="20"/>
  <c r="C174" i="39"/>
  <c r="C179" i="23"/>
  <c r="C179" i="39"/>
  <c r="C181" i="20"/>
  <c r="C181" i="39"/>
  <c r="C190" i="19"/>
  <c r="C190" i="22" s="1"/>
  <c r="C181" i="28"/>
  <c r="C175" i="27"/>
  <c r="C188" i="19"/>
  <c r="C188" i="28" s="1"/>
  <c r="C176" i="26"/>
  <c r="C173" i="23"/>
  <c r="C173" i="39"/>
  <c r="C171" i="21"/>
  <c r="C171" i="39"/>
  <c r="C175" i="21"/>
  <c r="C175" i="26"/>
  <c r="C176" i="28"/>
  <c r="C177" i="23"/>
  <c r="C175" i="20"/>
  <c r="C192" i="19"/>
  <c r="C192" i="23" s="1"/>
  <c r="C177" i="28"/>
  <c r="C174" i="21"/>
  <c r="C179" i="27"/>
  <c r="C177" i="22"/>
  <c r="C187" i="19"/>
  <c r="C187" i="26" s="1"/>
  <c r="C194" i="19"/>
  <c r="C194" i="28" s="1"/>
  <c r="C176" i="22"/>
  <c r="C179" i="20"/>
  <c r="C184" i="19"/>
  <c r="C184" i="39" s="1"/>
  <c r="C182" i="26"/>
  <c r="C174" i="26"/>
  <c r="C183" i="19"/>
  <c r="C183" i="28" s="1"/>
  <c r="C182" i="27"/>
  <c r="C175" i="28"/>
  <c r="C177" i="27"/>
  <c r="C176" i="27"/>
  <c r="C174" i="23"/>
  <c r="C182" i="23"/>
  <c r="C174" i="27"/>
  <c r="C191" i="19"/>
  <c r="C191" i="39" s="1"/>
  <c r="C177" i="21"/>
  <c r="C182" i="22"/>
  <c r="C177" i="26"/>
  <c r="C189" i="19"/>
  <c r="C189" i="21" s="1"/>
  <c r="C193" i="19"/>
  <c r="C193" i="39" s="1"/>
  <c r="C174" i="22"/>
  <c r="C175" i="22"/>
  <c r="C172" i="21"/>
  <c r="C172" i="23"/>
  <c r="H79" i="9"/>
  <c r="C185" i="20" l="1"/>
  <c r="C186" i="27"/>
  <c r="E159" i="19"/>
  <c r="E158" i="39"/>
  <c r="E158" i="28"/>
  <c r="E158" i="23"/>
  <c r="E158" i="27"/>
  <c r="E158" i="26"/>
  <c r="E158" i="22"/>
  <c r="E158" i="32"/>
  <c r="N158" i="39" s="1"/>
  <c r="E158" i="33"/>
  <c r="W158" i="39" s="1"/>
  <c r="E158" i="21"/>
  <c r="E158" i="20"/>
  <c r="C185" i="21"/>
  <c r="C192" i="27"/>
  <c r="C190" i="21"/>
  <c r="C185" i="27"/>
  <c r="C194" i="20"/>
  <c r="C186" i="28"/>
  <c r="C185" i="23"/>
  <c r="C190" i="26"/>
  <c r="C194" i="33"/>
  <c r="U194" i="39" s="1"/>
  <c r="C192" i="26"/>
  <c r="C185" i="26"/>
  <c r="C192" i="28"/>
  <c r="C185" i="22"/>
  <c r="C186" i="26"/>
  <c r="C191" i="22"/>
  <c r="C188" i="23"/>
  <c r="C185" i="33"/>
  <c r="U185" i="39" s="1"/>
  <c r="C185" i="28"/>
  <c r="C192" i="20"/>
  <c r="C186" i="21"/>
  <c r="C186" i="23"/>
  <c r="C192" i="21"/>
  <c r="C190" i="27"/>
  <c r="C189" i="33"/>
  <c r="U189" i="39" s="1"/>
  <c r="C193" i="33"/>
  <c r="U193" i="39" s="1"/>
  <c r="C184" i="33"/>
  <c r="U184" i="39" s="1"/>
  <c r="C191" i="26"/>
  <c r="C187" i="33"/>
  <c r="U187" i="39" s="1"/>
  <c r="C188" i="27"/>
  <c r="C190" i="33"/>
  <c r="U190" i="39" s="1"/>
  <c r="C184" i="27"/>
  <c r="C183" i="33"/>
  <c r="U183" i="39" s="1"/>
  <c r="C186" i="33"/>
  <c r="U186" i="39" s="1"/>
  <c r="C192" i="33"/>
  <c r="U192" i="39" s="1"/>
  <c r="C191" i="33"/>
  <c r="U191" i="39" s="1"/>
  <c r="C193" i="20"/>
  <c r="C188" i="33"/>
  <c r="U188" i="39" s="1"/>
  <c r="C183" i="27"/>
  <c r="C187" i="22"/>
  <c r="C183" i="20"/>
  <c r="C188" i="26"/>
  <c r="C189" i="27"/>
  <c r="C189" i="28"/>
  <c r="C187" i="21"/>
  <c r="C183" i="26"/>
  <c r="C201" i="19"/>
  <c r="C201" i="27" s="1"/>
  <c r="C189" i="23"/>
  <c r="C184" i="28"/>
  <c r="C184" i="22"/>
  <c r="C188" i="22"/>
  <c r="C183" i="23"/>
  <c r="C187" i="28"/>
  <c r="C188" i="20"/>
  <c r="C187" i="23"/>
  <c r="C191" i="21"/>
  <c r="C184" i="20"/>
  <c r="C183" i="21"/>
  <c r="C187" i="20"/>
  <c r="C191" i="20"/>
  <c r="C184" i="21"/>
  <c r="C194" i="26"/>
  <c r="C194" i="39"/>
  <c r="C202" i="19"/>
  <c r="C202" i="21" s="1"/>
  <c r="C190" i="23"/>
  <c r="C193" i="28"/>
  <c r="C189" i="20"/>
  <c r="C189" i="39"/>
  <c r="C183" i="22"/>
  <c r="C183" i="39"/>
  <c r="C187" i="27"/>
  <c r="C187" i="39"/>
  <c r="C188" i="21"/>
  <c r="C188" i="39"/>
  <c r="C190" i="20"/>
  <c r="C190" i="39"/>
  <c r="C198" i="19"/>
  <c r="C198" i="21" s="1"/>
  <c r="C199" i="19"/>
  <c r="C195" i="19"/>
  <c r="C195" i="20" s="1"/>
  <c r="C190" i="28"/>
  <c r="C189" i="22"/>
  <c r="C194" i="23"/>
  <c r="C192" i="22"/>
  <c r="C192" i="39"/>
  <c r="C186" i="22"/>
  <c r="C186" i="39"/>
  <c r="C193" i="23"/>
  <c r="C193" i="22"/>
  <c r="C196" i="19"/>
  <c r="C196" i="22" s="1"/>
  <c r="C203" i="19"/>
  <c r="C203" i="28" s="1"/>
  <c r="C200" i="19"/>
  <c r="C200" i="23" s="1"/>
  <c r="C197" i="19"/>
  <c r="C197" i="26" s="1"/>
  <c r="C193" i="21"/>
  <c r="C194" i="21"/>
  <c r="C193" i="26"/>
  <c r="C191" i="28"/>
  <c r="C191" i="27"/>
  <c r="C184" i="26"/>
  <c r="C184" i="23"/>
  <c r="C204" i="19"/>
  <c r="C204" i="21" s="1"/>
  <c r="C205" i="19"/>
  <c r="C205" i="20" s="1"/>
  <c r="C206" i="19"/>
  <c r="C206" i="39" s="1"/>
  <c r="C191" i="23"/>
  <c r="C193" i="27"/>
  <c r="C189" i="26"/>
  <c r="C194" i="22"/>
  <c r="C194" i="27"/>
  <c r="C201" i="20" l="1"/>
  <c r="C197" i="27"/>
  <c r="E160" i="19"/>
  <c r="E159" i="39"/>
  <c r="E159" i="28"/>
  <c r="E159" i="23"/>
  <c r="E159" i="27"/>
  <c r="E159" i="26"/>
  <c r="E159" i="22"/>
  <c r="E159" i="32"/>
  <c r="N159" i="39" s="1"/>
  <c r="E159" i="20"/>
  <c r="E159" i="33"/>
  <c r="W159" i="39" s="1"/>
  <c r="E159" i="21"/>
  <c r="C200" i="33"/>
  <c r="U200" i="39" s="1"/>
  <c r="C202" i="27"/>
  <c r="C195" i="26"/>
  <c r="C195" i="28"/>
  <c r="C197" i="28"/>
  <c r="C195" i="23"/>
  <c r="C199" i="33"/>
  <c r="U199" i="39" s="1"/>
  <c r="C195" i="22"/>
  <c r="C206" i="33"/>
  <c r="U206" i="39" s="1"/>
  <c r="C201" i="33"/>
  <c r="U201" i="39" s="1"/>
  <c r="C195" i="33"/>
  <c r="U195" i="39" s="1"/>
  <c r="C196" i="26"/>
  <c r="C197" i="33"/>
  <c r="U197" i="39" s="1"/>
  <c r="C196" i="23"/>
  <c r="C197" i="23"/>
  <c r="C198" i="28"/>
  <c r="C202" i="28"/>
  <c r="C204" i="33"/>
  <c r="U204" i="39" s="1"/>
  <c r="C205" i="22"/>
  <c r="C196" i="33"/>
  <c r="U196" i="39" s="1"/>
  <c r="C202" i="33"/>
  <c r="U202" i="39" s="1"/>
  <c r="C198" i="33"/>
  <c r="U198" i="39" s="1"/>
  <c r="C205" i="33"/>
  <c r="U205" i="39" s="1"/>
  <c r="C203" i="33"/>
  <c r="U203" i="39" s="1"/>
  <c r="C195" i="21"/>
  <c r="C201" i="22"/>
  <c r="C201" i="21"/>
  <c r="C201" i="39"/>
  <c r="C196" i="27"/>
  <c r="C196" i="28"/>
  <c r="C205" i="23"/>
  <c r="C205" i="27"/>
  <c r="C201" i="28"/>
  <c r="C202" i="26"/>
  <c r="C205" i="28"/>
  <c r="C197" i="21"/>
  <c r="C202" i="20"/>
  <c r="C197" i="22"/>
  <c r="C201" i="23"/>
  <c r="C202" i="23"/>
  <c r="C205" i="26"/>
  <c r="C203" i="26"/>
  <c r="C201" i="26"/>
  <c r="C199" i="23"/>
  <c r="C199" i="39"/>
  <c r="C196" i="20"/>
  <c r="C196" i="39"/>
  <c r="C198" i="22"/>
  <c r="C198" i="39"/>
  <c r="C199" i="21"/>
  <c r="C199" i="27"/>
  <c r="C199" i="28"/>
  <c r="C199" i="22"/>
  <c r="C199" i="20"/>
  <c r="C206" i="20"/>
  <c r="C206" i="21"/>
  <c r="C198" i="23"/>
  <c r="C198" i="20"/>
  <c r="C205" i="21"/>
  <c r="C205" i="39"/>
  <c r="C197" i="20"/>
  <c r="C197" i="39"/>
  <c r="C202" i="22"/>
  <c r="C202" i="39"/>
  <c r="C203" i="23"/>
  <c r="C203" i="39"/>
  <c r="C196" i="21"/>
  <c r="C199" i="26"/>
  <c r="C198" i="27"/>
  <c r="C198" i="26"/>
  <c r="C206" i="23"/>
  <c r="C204" i="22"/>
  <c r="C204" i="39"/>
  <c r="C200" i="21"/>
  <c r="C200" i="39"/>
  <c r="C195" i="27"/>
  <c r="C195" i="39"/>
  <c r="C204" i="20"/>
  <c r="C204" i="27"/>
  <c r="C204" i="26"/>
  <c r="C204" i="23"/>
  <c r="C203" i="20"/>
  <c r="C200" i="28"/>
  <c r="C203" i="21"/>
  <c r="C206" i="26"/>
  <c r="C206" i="27"/>
  <c r="C200" i="26"/>
  <c r="C200" i="27"/>
  <c r="C200" i="22"/>
  <c r="C204" i="28"/>
  <c r="C203" i="22"/>
  <c r="C200" i="20"/>
  <c r="C203" i="27"/>
  <c r="C206" i="28"/>
  <c r="C206" i="22"/>
  <c r="E161" i="19" l="1"/>
  <c r="E160" i="39"/>
  <c r="E160" i="27"/>
  <c r="E160" i="28"/>
  <c r="E160" i="23"/>
  <c r="E160" i="26"/>
  <c r="E160" i="22"/>
  <c r="E160" i="32"/>
  <c r="N160" i="39" s="1"/>
  <c r="E160" i="20"/>
  <c r="E160" i="33"/>
  <c r="W160" i="39" s="1"/>
  <c r="E160" i="21"/>
  <c r="E162" i="19" l="1"/>
  <c r="E161" i="39"/>
  <c r="E161" i="27"/>
  <c r="E161" i="26"/>
  <c r="E161" i="28"/>
  <c r="E161" i="23"/>
  <c r="E161" i="22"/>
  <c r="E161" i="32"/>
  <c r="N161" i="39" s="1"/>
  <c r="E161" i="33"/>
  <c r="W161" i="39" s="1"/>
  <c r="E161" i="21"/>
  <c r="E161" i="20"/>
  <c r="E163" i="19" l="1"/>
  <c r="E162" i="39"/>
  <c r="E162" i="28"/>
  <c r="E162" i="23"/>
  <c r="E162" i="27"/>
  <c r="E162" i="26"/>
  <c r="E162" i="22"/>
  <c r="E162" i="32"/>
  <c r="N162" i="39" s="1"/>
  <c r="E162" i="21"/>
  <c r="E162" i="33"/>
  <c r="W162" i="39" s="1"/>
  <c r="E162" i="20"/>
  <c r="E164" i="19" l="1"/>
  <c r="E163" i="39"/>
  <c r="E163" i="28"/>
  <c r="E163" i="23"/>
  <c r="E163" i="27"/>
  <c r="E163" i="26"/>
  <c r="E163" i="22"/>
  <c r="E163" i="32"/>
  <c r="N163" i="39" s="1"/>
  <c r="E163" i="33"/>
  <c r="W163" i="39" s="1"/>
  <c r="E163" i="21"/>
  <c r="E163" i="20"/>
  <c r="E165" i="19" l="1"/>
  <c r="E164" i="39"/>
  <c r="E164" i="27"/>
  <c r="E164" i="22"/>
  <c r="E164" i="23"/>
  <c r="E164" i="26"/>
  <c r="E164" i="28"/>
  <c r="E164" i="32"/>
  <c r="N164" i="39" s="1"/>
  <c r="E164" i="20"/>
  <c r="E164" i="33"/>
  <c r="W164" i="39" s="1"/>
  <c r="E164" i="21"/>
  <c r="E166" i="19" l="1"/>
  <c r="E165" i="39"/>
  <c r="E165" i="27"/>
  <c r="E165" i="26"/>
  <c r="E165" i="28"/>
  <c r="E165" i="23"/>
  <c r="E165" i="22"/>
  <c r="E165" i="32"/>
  <c r="N165" i="39" s="1"/>
  <c r="E165" i="33"/>
  <c r="W165" i="39" s="1"/>
  <c r="E165" i="20"/>
  <c r="E165" i="21"/>
  <c r="E167" i="19" l="1"/>
  <c r="E166" i="39"/>
  <c r="E166" i="28"/>
  <c r="E166" i="23"/>
  <c r="E166" i="26"/>
  <c r="E166" i="22"/>
  <c r="E166" i="27"/>
  <c r="E166" i="32"/>
  <c r="N166" i="39" s="1"/>
  <c r="E166" i="21"/>
  <c r="E166" i="20"/>
  <c r="E166" i="33"/>
  <c r="W166" i="39" s="1"/>
  <c r="E168" i="19" l="1"/>
  <c r="E167" i="39"/>
  <c r="E167" i="28"/>
  <c r="E167" i="23"/>
  <c r="E167" i="27"/>
  <c r="E167" i="26"/>
  <c r="E167" i="22"/>
  <c r="E167" i="32"/>
  <c r="N167" i="39" s="1"/>
  <c r="E167" i="21"/>
  <c r="E167" i="33"/>
  <c r="W167" i="39" s="1"/>
  <c r="E167" i="20"/>
  <c r="E169" i="19" l="1"/>
  <c r="E168" i="39"/>
  <c r="E168" i="27"/>
  <c r="E168" i="26"/>
  <c r="E168" i="22"/>
  <c r="E168" i="28"/>
  <c r="E168" i="23"/>
  <c r="E168" i="32"/>
  <c r="N168" i="39" s="1"/>
  <c r="E168" i="33"/>
  <c r="W168" i="39" s="1"/>
  <c r="E168" i="21"/>
  <c r="E168" i="20"/>
  <c r="E170" i="19" l="1"/>
  <c r="E169" i="39"/>
  <c r="E169" i="27"/>
  <c r="E169" i="26"/>
  <c r="E169" i="28"/>
  <c r="E169" i="23"/>
  <c r="E169" i="22"/>
  <c r="E169" i="32"/>
  <c r="N169" i="39" s="1"/>
  <c r="E169" i="33"/>
  <c r="W169" i="39" s="1"/>
  <c r="E169" i="21"/>
  <c r="E169" i="20"/>
  <c r="E171" i="19" l="1"/>
  <c r="E170" i="39"/>
  <c r="E170" i="28"/>
  <c r="E170" i="23"/>
  <c r="E170" i="27"/>
  <c r="E170" i="22"/>
  <c r="E170" i="26"/>
  <c r="E170" i="32"/>
  <c r="N170" i="39" s="1"/>
  <c r="E170" i="20"/>
  <c r="E170" i="33"/>
  <c r="W170" i="39" s="1"/>
  <c r="E170" i="21"/>
  <c r="E172" i="19" l="1"/>
  <c r="E171" i="39"/>
  <c r="E171" i="28"/>
  <c r="E171" i="23"/>
  <c r="E171" i="27"/>
  <c r="E171" i="26"/>
  <c r="E171" i="22"/>
  <c r="E171" i="32"/>
  <c r="N171" i="39" s="1"/>
  <c r="E171" i="21"/>
  <c r="E171" i="33"/>
  <c r="W171" i="39" s="1"/>
  <c r="E171" i="20"/>
  <c r="E173" i="19" l="1"/>
  <c r="E172" i="39"/>
  <c r="E172" i="27"/>
  <c r="E172" i="22"/>
  <c r="E172" i="28"/>
  <c r="E172" i="23"/>
  <c r="E172" i="26"/>
  <c r="E172" i="32"/>
  <c r="N172" i="39" s="1"/>
  <c r="E172" i="20"/>
  <c r="E172" i="33"/>
  <c r="W172" i="39" s="1"/>
  <c r="E172" i="21"/>
  <c r="E174" i="19" l="1"/>
  <c r="E173" i="39"/>
  <c r="E173" i="27"/>
  <c r="E173" i="26"/>
  <c r="E173" i="28"/>
  <c r="E173" i="23"/>
  <c r="E173" i="22"/>
  <c r="E173" i="32"/>
  <c r="N173" i="39" s="1"/>
  <c r="E173" i="21"/>
  <c r="E173" i="20"/>
  <c r="E173" i="33"/>
  <c r="W173" i="39" s="1"/>
  <c r="E175" i="19" l="1"/>
  <c r="E174" i="39"/>
  <c r="E174" i="28"/>
  <c r="E174" i="23"/>
  <c r="E174" i="27"/>
  <c r="E174" i="26"/>
  <c r="E174" i="22"/>
  <c r="E174" i="32"/>
  <c r="N174" i="39" s="1"/>
  <c r="E174" i="21"/>
  <c r="E174" i="20"/>
  <c r="E174" i="33"/>
  <c r="W174" i="39" s="1"/>
  <c r="E176" i="19" l="1"/>
  <c r="E175" i="39"/>
  <c r="E175" i="28"/>
  <c r="E175" i="23"/>
  <c r="E175" i="27"/>
  <c r="E175" i="26"/>
  <c r="E175" i="22"/>
  <c r="E175" i="32"/>
  <c r="N175" i="39" s="1"/>
  <c r="E175" i="21"/>
  <c r="E175" i="33"/>
  <c r="W175" i="39" s="1"/>
  <c r="E175" i="20"/>
  <c r="E177" i="19" l="1"/>
  <c r="E176" i="39"/>
  <c r="E176" i="27"/>
  <c r="E176" i="28"/>
  <c r="E176" i="23"/>
  <c r="E176" i="26"/>
  <c r="E176" i="22"/>
  <c r="E176" i="32"/>
  <c r="N176" i="39" s="1"/>
  <c r="E176" i="21"/>
  <c r="E176" i="20"/>
  <c r="E176" i="33"/>
  <c r="W176" i="39" s="1"/>
  <c r="E178" i="19" l="1"/>
  <c r="E177" i="39"/>
  <c r="E177" i="27"/>
  <c r="E177" i="26"/>
  <c r="E177" i="28"/>
  <c r="E177" i="23"/>
  <c r="E177" i="22"/>
  <c r="E177" i="32"/>
  <c r="N177" i="39" s="1"/>
  <c r="E177" i="21"/>
  <c r="E177" i="20"/>
  <c r="E177" i="33"/>
  <c r="W177" i="39" s="1"/>
  <c r="E179" i="19" l="1"/>
  <c r="E178" i="39"/>
  <c r="E178" i="28"/>
  <c r="E178" i="23"/>
  <c r="E178" i="27"/>
  <c r="E178" i="26"/>
  <c r="E178" i="22"/>
  <c r="E178" i="32"/>
  <c r="N178" i="39" s="1"/>
  <c r="E178" i="21"/>
  <c r="E178" i="20"/>
  <c r="E178" i="33"/>
  <c r="W178" i="39" s="1"/>
  <c r="V58" i="11"/>
  <c r="V57" i="11"/>
  <c r="V56" i="11"/>
  <c r="V7" i="11"/>
  <c r="E180" i="19" l="1"/>
  <c r="E179" i="39"/>
  <c r="E179" i="28"/>
  <c r="E179" i="23"/>
  <c r="E179" i="27"/>
  <c r="E179" i="26"/>
  <c r="E179" i="22"/>
  <c r="E179" i="32"/>
  <c r="N179" i="39" s="1"/>
  <c r="E179" i="20"/>
  <c r="E179" i="33"/>
  <c r="W179" i="39" s="1"/>
  <c r="E179" i="21"/>
  <c r="V52" i="11"/>
  <c r="V62" i="11" s="1"/>
  <c r="V51" i="11"/>
  <c r="V61" i="11" s="1"/>
  <c r="V63" i="11"/>
  <c r="E181" i="19" l="1"/>
  <c r="E180" i="39"/>
  <c r="E180" i="27"/>
  <c r="E180" i="22"/>
  <c r="E180" i="26"/>
  <c r="E180" i="28"/>
  <c r="E180" i="23"/>
  <c r="E180" i="32"/>
  <c r="N180" i="39" s="1"/>
  <c r="E180" i="20"/>
  <c r="E180" i="33"/>
  <c r="W180" i="39" s="1"/>
  <c r="E180" i="21"/>
  <c r="H3" i="32"/>
  <c r="Q3" i="39" s="1"/>
  <c r="E182" i="19" l="1"/>
  <c r="E181" i="39"/>
  <c r="E181" i="27"/>
  <c r="E181" i="26"/>
  <c r="E181" i="28"/>
  <c r="E181" i="23"/>
  <c r="E181" i="22"/>
  <c r="E181" i="32"/>
  <c r="N181" i="39" s="1"/>
  <c r="E181" i="21"/>
  <c r="E181" i="20"/>
  <c r="E181" i="33"/>
  <c r="W181" i="39" s="1"/>
  <c r="I3" i="32"/>
  <c r="J3" i="32" s="1"/>
  <c r="H210" i="32"/>
  <c r="M210" i="32" s="1"/>
  <c r="O210" i="32" s="1"/>
  <c r="Q210" i="32" l="1"/>
  <c r="E26" i="34" s="1"/>
  <c r="E68" i="34"/>
  <c r="E183" i="19"/>
  <c r="E182" i="39"/>
  <c r="E182" i="28"/>
  <c r="E182" i="23"/>
  <c r="E182" i="26"/>
  <c r="E182" i="22"/>
  <c r="E182" i="27"/>
  <c r="E182" i="32"/>
  <c r="N182" i="39" s="1"/>
  <c r="E182" i="20"/>
  <c r="E182" i="33"/>
  <c r="W182" i="39" s="1"/>
  <c r="E182" i="21"/>
  <c r="I210" i="32"/>
  <c r="J210" i="32" s="1"/>
  <c r="H210" i="19"/>
  <c r="C7" i="9" s="1"/>
  <c r="H211" i="19"/>
  <c r="C8" i="9" s="1"/>
  <c r="H212" i="19"/>
  <c r="C9" i="9" s="1"/>
  <c r="H213" i="19"/>
  <c r="C10" i="9" s="1"/>
  <c r="H214" i="19"/>
  <c r="C11" i="9" s="1"/>
  <c r="H215" i="19"/>
  <c r="C12" i="9" s="1"/>
  <c r="H216" i="19"/>
  <c r="C13" i="9" s="1"/>
  <c r="H217" i="19"/>
  <c r="C14" i="9" s="1"/>
  <c r="M217" i="19" l="1"/>
  <c r="M216" i="19"/>
  <c r="M214" i="19"/>
  <c r="M210" i="19"/>
  <c r="M213" i="19"/>
  <c r="M212" i="19"/>
  <c r="M215" i="19"/>
  <c r="M211" i="19"/>
  <c r="E184" i="19"/>
  <c r="E183" i="39"/>
  <c r="E183" i="28"/>
  <c r="E183" i="23"/>
  <c r="E183" i="27"/>
  <c r="E183" i="26"/>
  <c r="E183" i="22"/>
  <c r="E183" i="32"/>
  <c r="N183" i="39" s="1"/>
  <c r="E183" i="33"/>
  <c r="W183" i="39" s="1"/>
  <c r="E183" i="21"/>
  <c r="E183" i="20"/>
  <c r="F43" i="18"/>
  <c r="G9" i="18"/>
  <c r="G8" i="18"/>
  <c r="G7" i="18"/>
  <c r="G6" i="18"/>
  <c r="G5" i="18"/>
  <c r="G4" i="18"/>
  <c r="G3" i="18"/>
  <c r="G2" i="18"/>
  <c r="O211" i="19" l="1"/>
  <c r="O212" i="19"/>
  <c r="O210" i="19"/>
  <c r="O216" i="19"/>
  <c r="O215" i="19"/>
  <c r="O213" i="19"/>
  <c r="O214" i="19"/>
  <c r="O217" i="19"/>
  <c r="F334" i="37"/>
  <c r="E185" i="19"/>
  <c r="E184" i="39"/>
  <c r="E184" i="27"/>
  <c r="E184" i="26"/>
  <c r="E184" i="22"/>
  <c r="E184" i="28"/>
  <c r="E184" i="23"/>
  <c r="E184" i="32"/>
  <c r="N184" i="39" s="1"/>
  <c r="E184" i="21"/>
  <c r="E184" i="20"/>
  <c r="E184" i="33"/>
  <c r="W184" i="39" s="1"/>
  <c r="I33" i="31"/>
  <c r="H33" i="31"/>
  <c r="G33" i="31"/>
  <c r="F33" i="31"/>
  <c r="E33" i="31"/>
  <c r="J33" i="31"/>
  <c r="A29" i="31"/>
  <c r="A30" i="31" s="1"/>
  <c r="A31" i="31" s="1"/>
  <c r="A32" i="31" s="1"/>
  <c r="F27" i="31"/>
  <c r="G27" i="31" s="1"/>
  <c r="H27" i="31" s="1"/>
  <c r="I27" i="31" s="1"/>
  <c r="J27" i="31" s="1"/>
  <c r="K27" i="31" s="1"/>
  <c r="L27" i="31" s="1"/>
  <c r="M27" i="31" s="1"/>
  <c r="N27" i="31" s="1"/>
  <c r="D52" i="34" l="1"/>
  <c r="Q213" i="19"/>
  <c r="D10" i="34" s="1"/>
  <c r="E6" i="38" s="1"/>
  <c r="E6" i="11" s="1"/>
  <c r="D49" i="34"/>
  <c r="Q210" i="19"/>
  <c r="D7" i="34" s="1"/>
  <c r="B6" i="38" s="1"/>
  <c r="D53" i="34"/>
  <c r="Q214" i="19"/>
  <c r="D11" i="34" s="1"/>
  <c r="F6" i="38" s="1"/>
  <c r="F6" i="11" s="1"/>
  <c r="D54" i="34"/>
  <c r="Q215" i="19"/>
  <c r="D12" i="34" s="1"/>
  <c r="G6" i="38" s="1"/>
  <c r="D55" i="34"/>
  <c r="Q216" i="19"/>
  <c r="D13" i="34" s="1"/>
  <c r="H6" i="38" s="1"/>
  <c r="H6" i="11" s="1"/>
  <c r="D51" i="34"/>
  <c r="Q212" i="19"/>
  <c r="D9" i="34" s="1"/>
  <c r="D6" i="38" s="1"/>
  <c r="D6" i="11" s="1"/>
  <c r="D56" i="34"/>
  <c r="Q217" i="19"/>
  <c r="D14" i="34" s="1"/>
  <c r="I6" i="38" s="1"/>
  <c r="D50" i="34"/>
  <c r="Q211" i="19"/>
  <c r="D8" i="34" s="1"/>
  <c r="C6" i="38" s="1"/>
  <c r="C6" i="11" s="1"/>
  <c r="E186" i="19"/>
  <c r="E185" i="39"/>
  <c r="E185" i="27"/>
  <c r="E185" i="26"/>
  <c r="E185" i="28"/>
  <c r="E185" i="23"/>
  <c r="E185" i="22"/>
  <c r="E185" i="32"/>
  <c r="N185" i="39" s="1"/>
  <c r="E185" i="33"/>
  <c r="W185" i="39" s="1"/>
  <c r="E185" i="21"/>
  <c r="E185" i="20"/>
  <c r="D29" i="34"/>
  <c r="K33" i="31"/>
  <c r="E132" i="31"/>
  <c r="E136" i="31"/>
  <c r="E128" i="31"/>
  <c r="E130" i="31"/>
  <c r="E138" i="31"/>
  <c r="E129" i="31"/>
  <c r="E137" i="31"/>
  <c r="E131" i="31"/>
  <c r="E135" i="31"/>
  <c r="E139" i="31"/>
  <c r="E134" i="31"/>
  <c r="E133" i="31"/>
  <c r="L33" i="31"/>
  <c r="E69" i="38" l="1"/>
  <c r="D26" i="34"/>
  <c r="D32" i="34"/>
  <c r="D27" i="34"/>
  <c r="D33" i="34"/>
  <c r="D30" i="34"/>
  <c r="D28" i="34"/>
  <c r="D31" i="34"/>
  <c r="D70" i="34"/>
  <c r="D73" i="34"/>
  <c r="D69" i="34"/>
  <c r="D75" i="34"/>
  <c r="D74" i="34"/>
  <c r="D72" i="34"/>
  <c r="D68" i="34"/>
  <c r="D71" i="34"/>
  <c r="I6" i="11"/>
  <c r="F69" i="38"/>
  <c r="G6" i="11"/>
  <c r="D69" i="38"/>
  <c r="E187" i="19"/>
  <c r="E186" i="39"/>
  <c r="E186" i="28"/>
  <c r="E186" i="23"/>
  <c r="E186" i="26"/>
  <c r="E186" i="27"/>
  <c r="E186" i="22"/>
  <c r="E186" i="32"/>
  <c r="N186" i="39" s="1"/>
  <c r="E186" i="21"/>
  <c r="E186" i="20"/>
  <c r="E186" i="33"/>
  <c r="W186" i="39" s="1"/>
  <c r="B6" i="11"/>
  <c r="E150" i="31"/>
  <c r="E147" i="31"/>
  <c r="E149" i="31"/>
  <c r="E146" i="31"/>
  <c r="E143" i="31"/>
  <c r="E144" i="31"/>
  <c r="E141" i="31"/>
  <c r="E151" i="31"/>
  <c r="E148" i="31"/>
  <c r="E145" i="31"/>
  <c r="E142" i="31"/>
  <c r="E140" i="31"/>
  <c r="M33" i="31"/>
  <c r="E188" i="19" l="1"/>
  <c r="E187" i="39"/>
  <c r="E187" i="28"/>
  <c r="E187" i="23"/>
  <c r="E187" i="27"/>
  <c r="E187" i="26"/>
  <c r="E187" i="22"/>
  <c r="E187" i="32"/>
  <c r="N187" i="39" s="1"/>
  <c r="E187" i="21"/>
  <c r="E187" i="33"/>
  <c r="W187" i="39" s="1"/>
  <c r="E187" i="20"/>
  <c r="T33" i="31"/>
  <c r="V34" i="31" s="1"/>
  <c r="V35" i="31" s="1"/>
  <c r="E189" i="19" l="1"/>
  <c r="E188" i="39"/>
  <c r="E188" i="27"/>
  <c r="E188" i="22"/>
  <c r="E188" i="28"/>
  <c r="E188" i="23"/>
  <c r="E188" i="26"/>
  <c r="E188" i="32"/>
  <c r="N188" i="39" s="1"/>
  <c r="E188" i="20"/>
  <c r="E188" i="21"/>
  <c r="E188" i="33"/>
  <c r="W188" i="39" s="1"/>
  <c r="K54" i="31"/>
  <c r="I53" i="31"/>
  <c r="A50" i="3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F48" i="31"/>
  <c r="G48" i="31" s="1"/>
  <c r="H48" i="31" s="1"/>
  <c r="I48" i="31" s="1"/>
  <c r="J48" i="31" s="1"/>
  <c r="K48" i="31" s="1"/>
  <c r="L48" i="31" s="1"/>
  <c r="M48" i="31" s="1"/>
  <c r="N48" i="31" s="1"/>
  <c r="O48" i="31" s="1"/>
  <c r="P48" i="31" s="1"/>
  <c r="Q48" i="31" s="1"/>
  <c r="R48" i="31" s="1"/>
  <c r="S48" i="31" s="1"/>
  <c r="J22" i="31"/>
  <c r="K22" i="31" s="1"/>
  <c r="L22" i="31" s="1"/>
  <c r="M22" i="31" s="1"/>
  <c r="N22" i="31" s="1"/>
  <c r="H53" i="31"/>
  <c r="G53" i="31"/>
  <c r="F53" i="31"/>
  <c r="E53" i="31"/>
  <c r="N21" i="31"/>
  <c r="N52" i="31" s="1"/>
  <c r="M21" i="31"/>
  <c r="M52" i="31" s="1"/>
  <c r="L21" i="31"/>
  <c r="L52" i="31" s="1"/>
  <c r="K21" i="31"/>
  <c r="K52" i="31" s="1"/>
  <c r="J21" i="31"/>
  <c r="J52" i="31" s="1"/>
  <c r="I21" i="31"/>
  <c r="I52" i="31" s="1"/>
  <c r="H21" i="31"/>
  <c r="H52" i="31" s="1"/>
  <c r="G21" i="31"/>
  <c r="G52" i="31" s="1"/>
  <c r="F21" i="31"/>
  <c r="F52" i="31" s="1"/>
  <c r="E21" i="31"/>
  <c r="E52" i="31" s="1"/>
  <c r="N20" i="31"/>
  <c r="N51" i="31" s="1"/>
  <c r="M20" i="31"/>
  <c r="M51" i="31" s="1"/>
  <c r="L20" i="31"/>
  <c r="L51" i="31" s="1"/>
  <c r="K20" i="31"/>
  <c r="K51" i="31" s="1"/>
  <c r="J20" i="31"/>
  <c r="J51" i="31" s="1"/>
  <c r="I20" i="31"/>
  <c r="I51" i="31" s="1"/>
  <c r="H20" i="31"/>
  <c r="H51" i="31" s="1"/>
  <c r="G20" i="31"/>
  <c r="G51" i="31" s="1"/>
  <c r="F20" i="31"/>
  <c r="F51" i="31" s="1"/>
  <c r="E20" i="31"/>
  <c r="E51" i="31" s="1"/>
  <c r="N19" i="31"/>
  <c r="N50" i="31" s="1"/>
  <c r="M19" i="31"/>
  <c r="M50" i="31" s="1"/>
  <c r="L19" i="31"/>
  <c r="L50" i="31" s="1"/>
  <c r="K19" i="31"/>
  <c r="K50" i="31" s="1"/>
  <c r="J19" i="31"/>
  <c r="J50" i="31" s="1"/>
  <c r="I19" i="31"/>
  <c r="I50" i="31" s="1"/>
  <c r="H19" i="31"/>
  <c r="H50" i="31" s="1"/>
  <c r="G19" i="31"/>
  <c r="G50" i="31" s="1"/>
  <c r="F19" i="31"/>
  <c r="F50" i="31" s="1"/>
  <c r="E19" i="31"/>
  <c r="E50" i="31" s="1"/>
  <c r="A19" i="31"/>
  <c r="A20" i="31" s="1"/>
  <c r="A21" i="31" s="1"/>
  <c r="A22" i="31" s="1"/>
  <c r="N18" i="31"/>
  <c r="N49" i="31" s="1"/>
  <c r="M18" i="31"/>
  <c r="L18" i="31"/>
  <c r="K18" i="31"/>
  <c r="J18" i="31"/>
  <c r="J49" i="31" s="1"/>
  <c r="I18" i="31"/>
  <c r="H18" i="31"/>
  <c r="H49" i="31" s="1"/>
  <c r="G18" i="31"/>
  <c r="G49" i="31" s="1"/>
  <c r="F18" i="31"/>
  <c r="F49" i="31" s="1"/>
  <c r="E18" i="31"/>
  <c r="E49" i="31" s="1"/>
  <c r="F17" i="31"/>
  <c r="G17" i="31" s="1"/>
  <c r="H17" i="31" s="1"/>
  <c r="I17" i="31" s="1"/>
  <c r="J17" i="31" s="1"/>
  <c r="K17" i="31" s="1"/>
  <c r="L17" i="31" s="1"/>
  <c r="M17" i="31" s="1"/>
  <c r="N17" i="31" s="1"/>
  <c r="O17" i="31" s="1"/>
  <c r="P17" i="31" s="1"/>
  <c r="Q17" i="31" s="1"/>
  <c r="R17" i="31" s="1"/>
  <c r="S17" i="31" s="1"/>
  <c r="T17" i="31" s="1"/>
  <c r="U17" i="31" s="1"/>
  <c r="V17" i="31" s="1"/>
  <c r="W17" i="31" s="1"/>
  <c r="X17" i="31" s="1"/>
  <c r="Y17" i="31" s="1"/>
  <c r="Z17" i="31" s="1"/>
  <c r="AA17" i="31" s="1"/>
  <c r="AB17" i="31" s="1"/>
  <c r="AC17" i="31" s="1"/>
  <c r="AD17" i="31" s="1"/>
  <c r="AE17" i="31" s="1"/>
  <c r="AF17" i="31" s="1"/>
  <c r="AG17" i="31" s="1"/>
  <c r="AH17" i="31" s="1"/>
  <c r="AI17" i="31" s="1"/>
  <c r="AJ17" i="31" s="1"/>
  <c r="AK17" i="31" s="1"/>
  <c r="AL17" i="31" s="1"/>
  <c r="AM17" i="31" s="1"/>
  <c r="AN17" i="31" s="1"/>
  <c r="AO17" i="31" s="1"/>
  <c r="AP17" i="31" s="1"/>
  <c r="AQ17" i="31" s="1"/>
  <c r="AR17" i="31" s="1"/>
  <c r="AS17" i="31" s="1"/>
  <c r="AT17" i="31" s="1"/>
  <c r="AU17" i="31" s="1"/>
  <c r="AV17" i="31" s="1"/>
  <c r="AW17" i="31" s="1"/>
  <c r="AW13" i="31"/>
  <c r="AV13" i="31"/>
  <c r="AU13" i="31"/>
  <c r="AT13" i="31"/>
  <c r="AS13" i="31"/>
  <c r="AR13" i="31"/>
  <c r="AQ13" i="31"/>
  <c r="AP13" i="31"/>
  <c r="AO13" i="31"/>
  <c r="AN13" i="31"/>
  <c r="AM13" i="31"/>
  <c r="AL13" i="31"/>
  <c r="AK13" i="31"/>
  <c r="AJ13" i="31"/>
  <c r="AI13" i="31"/>
  <c r="AH13" i="31"/>
  <c r="AG13" i="31"/>
  <c r="AF13" i="31"/>
  <c r="AE13" i="31"/>
  <c r="AD13" i="31"/>
  <c r="AC13" i="31"/>
  <c r="AB13" i="31"/>
  <c r="AA13" i="31"/>
  <c r="Z13" i="31"/>
  <c r="Y13" i="31"/>
  <c r="X13" i="31"/>
  <c r="W13" i="31"/>
  <c r="V13" i="31"/>
  <c r="U13" i="31"/>
  <c r="T13" i="31"/>
  <c r="S13" i="31"/>
  <c r="R13" i="31"/>
  <c r="Q13" i="31"/>
  <c r="P13" i="31"/>
  <c r="O13" i="31"/>
  <c r="N13" i="31"/>
  <c r="M13" i="31"/>
  <c r="L13" i="31"/>
  <c r="K13" i="31"/>
  <c r="J13" i="31"/>
  <c r="I13" i="31"/>
  <c r="H13" i="31"/>
  <c r="G13" i="31"/>
  <c r="F13" i="31"/>
  <c r="E13" i="31"/>
  <c r="A10" i="31"/>
  <c r="A11" i="31" s="1"/>
  <c r="A12" i="31" s="1"/>
  <c r="F7" i="31"/>
  <c r="G7" i="31" s="1"/>
  <c r="H7" i="31" s="1"/>
  <c r="I7" i="31" s="1"/>
  <c r="J7" i="31" s="1"/>
  <c r="K7" i="31" s="1"/>
  <c r="L7" i="31" s="1"/>
  <c r="M7" i="31" s="1"/>
  <c r="N7" i="31" s="1"/>
  <c r="O7" i="31" s="1"/>
  <c r="P7" i="31" s="1"/>
  <c r="Q7" i="31" s="1"/>
  <c r="R7" i="31" s="1"/>
  <c r="S7" i="31" s="1"/>
  <c r="T7" i="31" s="1"/>
  <c r="U7" i="31" s="1"/>
  <c r="V7" i="31" s="1"/>
  <c r="W7" i="31" s="1"/>
  <c r="X7" i="31" s="1"/>
  <c r="Y7" i="31" s="1"/>
  <c r="Z7" i="31" s="1"/>
  <c r="AA7" i="31" s="1"/>
  <c r="AB7" i="31" s="1"/>
  <c r="AC7" i="31" s="1"/>
  <c r="AD7" i="31" s="1"/>
  <c r="AE7" i="31" s="1"/>
  <c r="AF7" i="31" s="1"/>
  <c r="AG7" i="31" s="1"/>
  <c r="AH7" i="31" s="1"/>
  <c r="AI7" i="31" s="1"/>
  <c r="AJ7" i="31" s="1"/>
  <c r="AK7" i="31" s="1"/>
  <c r="AL7" i="31" s="1"/>
  <c r="AM7" i="31" s="1"/>
  <c r="AN7" i="31" s="1"/>
  <c r="AO7" i="31" s="1"/>
  <c r="AP7" i="31" s="1"/>
  <c r="AQ7" i="31" s="1"/>
  <c r="AR7" i="31" s="1"/>
  <c r="AS7" i="31" s="1"/>
  <c r="AT7" i="31" s="1"/>
  <c r="AU7" i="31" s="1"/>
  <c r="AV7" i="31" s="1"/>
  <c r="AW7" i="31" s="1"/>
  <c r="E190" i="19" l="1"/>
  <c r="E189" i="39"/>
  <c r="E189" i="27"/>
  <c r="E189" i="26"/>
  <c r="E189" i="28"/>
  <c r="E189" i="23"/>
  <c r="E189" i="22"/>
  <c r="E189" i="32"/>
  <c r="N189" i="39" s="1"/>
  <c r="E189" i="21"/>
  <c r="E189" i="20"/>
  <c r="E189" i="33"/>
  <c r="W189" i="39" s="1"/>
  <c r="N53" i="31"/>
  <c r="O22" i="31"/>
  <c r="I23" i="31"/>
  <c r="C120" i="31" s="1"/>
  <c r="M23" i="31"/>
  <c r="M53" i="31"/>
  <c r="L53" i="31"/>
  <c r="K53" i="31"/>
  <c r="H64" i="31"/>
  <c r="L23" i="31"/>
  <c r="G64" i="31"/>
  <c r="I49" i="31"/>
  <c r="I64" i="31" s="1"/>
  <c r="M49" i="31"/>
  <c r="K23" i="31"/>
  <c r="F64" i="31"/>
  <c r="L49" i="31"/>
  <c r="J23" i="31"/>
  <c r="N23" i="31"/>
  <c r="E64" i="31"/>
  <c r="K49" i="31"/>
  <c r="J53" i="31"/>
  <c r="J64" i="31" s="1"/>
  <c r="E23" i="31"/>
  <c r="G23" i="31"/>
  <c r="F23" i="31"/>
  <c r="H23" i="31"/>
  <c r="L55" i="31"/>
  <c r="L54" i="31"/>
  <c r="E191" i="19" l="1"/>
  <c r="E190" i="39"/>
  <c r="E190" i="28"/>
  <c r="E190" i="23"/>
  <c r="E190" i="27"/>
  <c r="E190" i="26"/>
  <c r="E190" i="22"/>
  <c r="E190" i="32"/>
  <c r="N190" i="39" s="1"/>
  <c r="E190" i="21"/>
  <c r="E190" i="20"/>
  <c r="E190" i="33"/>
  <c r="W190" i="39" s="1"/>
  <c r="P22" i="31"/>
  <c r="O53" i="31"/>
  <c r="O23" i="31"/>
  <c r="C127" i="31"/>
  <c r="C123" i="31"/>
  <c r="C116" i="31"/>
  <c r="C117" i="31"/>
  <c r="C126" i="31"/>
  <c r="C119" i="31"/>
  <c r="C122" i="31"/>
  <c r="C125" i="31"/>
  <c r="C118" i="31"/>
  <c r="C121" i="31"/>
  <c r="C124" i="31"/>
  <c r="C136" i="31"/>
  <c r="C132" i="31"/>
  <c r="C128" i="31"/>
  <c r="C137" i="31"/>
  <c r="C133" i="31"/>
  <c r="C129" i="31"/>
  <c r="C138" i="31"/>
  <c r="C134" i="31"/>
  <c r="C130" i="31"/>
  <c r="C139" i="31"/>
  <c r="C135" i="31"/>
  <c r="C131" i="31"/>
  <c r="C148" i="31"/>
  <c r="C144" i="31"/>
  <c r="C140" i="31"/>
  <c r="C149" i="31"/>
  <c r="C145" i="31"/>
  <c r="C141" i="31"/>
  <c r="C150" i="31"/>
  <c r="C146" i="31"/>
  <c r="C142" i="31"/>
  <c r="C151" i="31"/>
  <c r="C147" i="31"/>
  <c r="C143" i="31"/>
  <c r="C90" i="31"/>
  <c r="C88" i="31"/>
  <c r="C86" i="31"/>
  <c r="C84" i="31"/>
  <c r="C82" i="31"/>
  <c r="C80" i="31"/>
  <c r="C91" i="31"/>
  <c r="C89" i="31"/>
  <c r="C87" i="31"/>
  <c r="C85" i="31"/>
  <c r="C83" i="31"/>
  <c r="C81" i="31"/>
  <c r="C78" i="31"/>
  <c r="C76" i="31"/>
  <c r="C74" i="31"/>
  <c r="C72" i="31"/>
  <c r="C70" i="31"/>
  <c r="C68" i="31"/>
  <c r="C79" i="31"/>
  <c r="C77" i="31"/>
  <c r="C75" i="31"/>
  <c r="C73" i="31"/>
  <c r="C71" i="31"/>
  <c r="C69" i="31"/>
  <c r="C114" i="31"/>
  <c r="C112" i="31"/>
  <c r="C110" i="31"/>
  <c r="C108" i="31"/>
  <c r="C106" i="31"/>
  <c r="C104" i="31"/>
  <c r="C115" i="31"/>
  <c r="C113" i="31"/>
  <c r="C111" i="31"/>
  <c r="C109" i="31"/>
  <c r="C107" i="31"/>
  <c r="C105" i="31"/>
  <c r="C102" i="31"/>
  <c r="C100" i="31"/>
  <c r="C98" i="31"/>
  <c r="C96" i="31"/>
  <c r="C94" i="31"/>
  <c r="C92" i="31"/>
  <c r="C103" i="31"/>
  <c r="C101" i="31"/>
  <c r="C99" i="31"/>
  <c r="C97" i="31"/>
  <c r="C95" i="31"/>
  <c r="C93" i="31"/>
  <c r="M55" i="31"/>
  <c r="N55" i="31" s="1"/>
  <c r="O55" i="31" s="1"/>
  <c r="P55" i="31" s="1"/>
  <c r="Q55" i="31" s="1"/>
  <c r="R55" i="31" s="1"/>
  <c r="S55" i="31" s="1"/>
  <c r="M56" i="31"/>
  <c r="M54" i="31"/>
  <c r="K64" i="31"/>
  <c r="E192" i="19" l="1"/>
  <c r="E191" i="39"/>
  <c r="E191" i="28"/>
  <c r="E191" i="23"/>
  <c r="E191" i="27"/>
  <c r="E191" i="26"/>
  <c r="E191" i="22"/>
  <c r="E191" i="32"/>
  <c r="N191" i="39" s="1"/>
  <c r="E191" i="33"/>
  <c r="W191" i="39" s="1"/>
  <c r="E191" i="20"/>
  <c r="E191" i="21"/>
  <c r="Q22" i="31"/>
  <c r="P53" i="31"/>
  <c r="P23" i="31"/>
  <c r="N54" i="31"/>
  <c r="O54" i="31" s="1"/>
  <c r="P54" i="31" s="1"/>
  <c r="Q54" i="31" s="1"/>
  <c r="R54" i="31" s="1"/>
  <c r="S54" i="31" s="1"/>
  <c r="N57" i="31"/>
  <c r="O57" i="31" s="1"/>
  <c r="P57" i="31" s="1"/>
  <c r="Q57" i="31" s="1"/>
  <c r="R57" i="31" s="1"/>
  <c r="S57" i="31" s="1"/>
  <c r="N56" i="31"/>
  <c r="O56" i="31" s="1"/>
  <c r="P56" i="31" s="1"/>
  <c r="Q56" i="31" s="1"/>
  <c r="R56" i="31" s="1"/>
  <c r="S56" i="31" s="1"/>
  <c r="L64" i="31"/>
  <c r="E193" i="19" l="1"/>
  <c r="E192" i="39"/>
  <c r="E192" i="27"/>
  <c r="E192" i="28"/>
  <c r="E192" i="23"/>
  <c r="E192" i="26"/>
  <c r="E192" i="22"/>
  <c r="E192" i="32"/>
  <c r="N192" i="39" s="1"/>
  <c r="E192" i="33"/>
  <c r="W192" i="39" s="1"/>
  <c r="E192" i="21"/>
  <c r="E192" i="20"/>
  <c r="O64" i="31"/>
  <c r="P64" i="31"/>
  <c r="R22" i="31"/>
  <c r="Q53" i="31"/>
  <c r="Q64" i="31" s="1"/>
  <c r="Q23" i="31"/>
  <c r="M64" i="31"/>
  <c r="N64" i="31"/>
  <c r="E194" i="19" l="1"/>
  <c r="E193" i="39"/>
  <c r="E193" i="27"/>
  <c r="E193" i="26"/>
  <c r="E193" i="28"/>
  <c r="E193" i="23"/>
  <c r="E193" i="22"/>
  <c r="E193" i="32"/>
  <c r="N193" i="39" s="1"/>
  <c r="E193" i="33"/>
  <c r="W193" i="39" s="1"/>
  <c r="E193" i="20"/>
  <c r="E193" i="21"/>
  <c r="S22" i="31"/>
  <c r="R53" i="31"/>
  <c r="R64" i="31" s="1"/>
  <c r="R23" i="31"/>
  <c r="H29" i="17"/>
  <c r="G29" i="17"/>
  <c r="H28" i="17"/>
  <c r="G28" i="17"/>
  <c r="H27" i="17"/>
  <c r="G27" i="17"/>
  <c r="H26" i="17"/>
  <c r="G26" i="17"/>
  <c r="H25" i="17"/>
  <c r="G25" i="17"/>
  <c r="H24" i="17"/>
  <c r="G24" i="17"/>
  <c r="H23" i="17"/>
  <c r="G23" i="17"/>
  <c r="F30" i="17"/>
  <c r="E30" i="17"/>
  <c r="D30" i="17"/>
  <c r="B28" i="17"/>
  <c r="B26" i="17"/>
  <c r="I30" i="9"/>
  <c r="I2" i="17"/>
  <c r="G2" i="17"/>
  <c r="E1" i="18" s="1"/>
  <c r="F2" i="17"/>
  <c r="D1" i="18" s="1"/>
  <c r="E2" i="17"/>
  <c r="C1" i="18" s="1"/>
  <c r="D2" i="17"/>
  <c r="B1" i="18" s="1"/>
  <c r="C2" i="17"/>
  <c r="B2" i="17"/>
  <c r="H40" i="17" l="1"/>
  <c r="H159" i="37" s="1"/>
  <c r="H40" i="44"/>
  <c r="E195" i="19"/>
  <c r="E194" i="39"/>
  <c r="E194" i="28"/>
  <c r="E194" i="23"/>
  <c r="E194" i="27"/>
  <c r="E194" i="22"/>
  <c r="E194" i="26"/>
  <c r="E194" i="32"/>
  <c r="N194" i="39" s="1"/>
  <c r="E194" i="33"/>
  <c r="W194" i="39" s="1"/>
  <c r="E194" i="21"/>
  <c r="E194" i="20"/>
  <c r="T22" i="31"/>
  <c r="S53" i="31"/>
  <c r="S64" i="31" s="1"/>
  <c r="S23" i="31"/>
  <c r="B25" i="17"/>
  <c r="B27" i="17"/>
  <c r="B29" i="17"/>
  <c r="B30" i="17"/>
  <c r="E28" i="17"/>
  <c r="D23" i="17"/>
  <c r="F23" i="17"/>
  <c r="E25" i="17"/>
  <c r="D24" i="17"/>
  <c r="F24" i="17"/>
  <c r="D25" i="17"/>
  <c r="F25" i="17"/>
  <c r="D26" i="17"/>
  <c r="D27" i="17"/>
  <c r="F27" i="17"/>
  <c r="D28" i="17"/>
  <c r="F28" i="17"/>
  <c r="D29" i="17"/>
  <c r="F29" i="17"/>
  <c r="E23" i="17"/>
  <c r="E24" i="17"/>
  <c r="E26" i="17"/>
  <c r="E29" i="17"/>
  <c r="J5" i="17"/>
  <c r="J6" i="17"/>
  <c r="J7" i="17"/>
  <c r="J9" i="17"/>
  <c r="F26" i="17"/>
  <c r="E27" i="17"/>
  <c r="J3" i="17"/>
  <c r="J4" i="17"/>
  <c r="J8" i="17"/>
  <c r="J10" i="17"/>
  <c r="I79" i="9"/>
  <c r="A16" i="9"/>
  <c r="A15" i="9"/>
  <c r="A38" i="9" s="1"/>
  <c r="A14" i="9"/>
  <c r="A13" i="9"/>
  <c r="A12" i="9"/>
  <c r="A11" i="9"/>
  <c r="A10" i="9"/>
  <c r="A9" i="9"/>
  <c r="A8" i="9"/>
  <c r="A7" i="9"/>
  <c r="O14" i="9"/>
  <c r="O13" i="9"/>
  <c r="O12" i="9"/>
  <c r="O11" i="9"/>
  <c r="O10" i="9"/>
  <c r="M14" i="9"/>
  <c r="M13" i="9"/>
  <c r="M12" i="9"/>
  <c r="M11" i="9"/>
  <c r="M10" i="9"/>
  <c r="M9" i="9"/>
  <c r="M8" i="9"/>
  <c r="M7" i="9"/>
  <c r="K14" i="9"/>
  <c r="K13" i="9"/>
  <c r="K12" i="9"/>
  <c r="K11" i="9"/>
  <c r="K10" i="9"/>
  <c r="K9" i="9"/>
  <c r="K8" i="9"/>
  <c r="L14" i="9"/>
  <c r="L13" i="9"/>
  <c r="L12" i="9"/>
  <c r="L11" i="9"/>
  <c r="L10" i="9"/>
  <c r="L9" i="9"/>
  <c r="L8" i="9"/>
  <c r="L7" i="9"/>
  <c r="J14" i="9"/>
  <c r="J13" i="9"/>
  <c r="J12" i="9"/>
  <c r="J11" i="9"/>
  <c r="J10" i="9"/>
  <c r="J9" i="9"/>
  <c r="J8" i="9"/>
  <c r="I14" i="9"/>
  <c r="I13" i="9"/>
  <c r="I12" i="9"/>
  <c r="I11" i="9"/>
  <c r="I10" i="9"/>
  <c r="C63" i="37" l="1"/>
  <c r="I35" i="9"/>
  <c r="B309" i="37"/>
  <c r="D60" i="37"/>
  <c r="B27" i="18"/>
  <c r="H27" i="18"/>
  <c r="G27" i="18" s="1"/>
  <c r="J32" i="9"/>
  <c r="B313" i="37"/>
  <c r="D64" i="37"/>
  <c r="B31" i="18"/>
  <c r="J36" i="9"/>
  <c r="H31" i="18"/>
  <c r="G31" i="18" s="1"/>
  <c r="D309" i="37"/>
  <c r="D324" i="37" s="1"/>
  <c r="F60" i="37"/>
  <c r="D27" i="18"/>
  <c r="L32" i="9"/>
  <c r="D313" i="37"/>
  <c r="D328" i="37" s="1"/>
  <c r="F64" i="37"/>
  <c r="D31" i="18"/>
  <c r="L36" i="9"/>
  <c r="C310" i="37"/>
  <c r="C325" i="37" s="1"/>
  <c r="E61" i="37"/>
  <c r="C28" i="18"/>
  <c r="K33" i="9"/>
  <c r="C314" i="37"/>
  <c r="C329" i="37" s="1"/>
  <c r="E65" i="37"/>
  <c r="K37" i="9"/>
  <c r="K56" i="9" s="1"/>
  <c r="C32" i="18"/>
  <c r="E310" i="37"/>
  <c r="E325" i="37" s="1"/>
  <c r="G61" i="37"/>
  <c r="E28" i="18"/>
  <c r="M33" i="9"/>
  <c r="E314" i="37"/>
  <c r="E329" i="37" s="1"/>
  <c r="G65" i="37"/>
  <c r="E32" i="18"/>
  <c r="M37" i="9"/>
  <c r="M56" i="9" s="1"/>
  <c r="O36" i="9"/>
  <c r="I64" i="37"/>
  <c r="C64" i="37"/>
  <c r="I36" i="9"/>
  <c r="B310" i="37"/>
  <c r="D61" i="37"/>
  <c r="H28" i="18"/>
  <c r="G28" i="18" s="1"/>
  <c r="J33" i="9"/>
  <c r="B28" i="18"/>
  <c r="B314" i="37"/>
  <c r="D65" i="37"/>
  <c r="H32" i="18"/>
  <c r="G32" i="18" s="1"/>
  <c r="J37" i="9"/>
  <c r="J56" i="9" s="1"/>
  <c r="B32" i="18"/>
  <c r="D310" i="37"/>
  <c r="D325" i="37" s="1"/>
  <c r="F61" i="37"/>
  <c r="L33" i="9"/>
  <c r="D28" i="18"/>
  <c r="D314" i="37"/>
  <c r="D329" i="37" s="1"/>
  <c r="F65" i="37"/>
  <c r="D32" i="18"/>
  <c r="L37" i="9"/>
  <c r="L56" i="9" s="1"/>
  <c r="C311" i="37"/>
  <c r="C326" i="37" s="1"/>
  <c r="E62" i="37"/>
  <c r="C29" i="18"/>
  <c r="K34" i="9"/>
  <c r="E307" i="37"/>
  <c r="E322" i="37" s="1"/>
  <c r="G58" i="37"/>
  <c r="E25" i="18"/>
  <c r="M30" i="9"/>
  <c r="E311" i="37"/>
  <c r="E326" i="37" s="1"/>
  <c r="G62" i="37"/>
  <c r="E29" i="18"/>
  <c r="M34" i="9"/>
  <c r="O33" i="9"/>
  <c r="O51" i="9" s="1"/>
  <c r="I61" i="37"/>
  <c r="O37" i="9"/>
  <c r="O55" i="9" s="1"/>
  <c r="I65" i="37"/>
  <c r="C61" i="37"/>
  <c r="I33" i="9"/>
  <c r="I51" i="9" s="1"/>
  <c r="C65" i="37"/>
  <c r="I37" i="9"/>
  <c r="I56" i="9" s="1"/>
  <c r="B311" i="37"/>
  <c r="D62" i="37"/>
  <c r="B29" i="18"/>
  <c r="H29" i="18"/>
  <c r="G29" i="18" s="1"/>
  <c r="J34" i="9"/>
  <c r="D307" i="37"/>
  <c r="D322" i="37" s="1"/>
  <c r="F58" i="37"/>
  <c r="D25" i="18"/>
  <c r="L30" i="9"/>
  <c r="D311" i="37"/>
  <c r="D326" i="37" s="1"/>
  <c r="F62" i="37"/>
  <c r="D29" i="18"/>
  <c r="L34" i="9"/>
  <c r="C308" i="37"/>
  <c r="C323" i="37" s="1"/>
  <c r="E59" i="37"/>
  <c r="C26" i="18"/>
  <c r="K31" i="9"/>
  <c r="C312" i="37"/>
  <c r="C327" i="37" s="1"/>
  <c r="E63" i="37"/>
  <c r="K35" i="9"/>
  <c r="C30" i="18"/>
  <c r="E308" i="37"/>
  <c r="E323" i="37" s="1"/>
  <c r="G59" i="37"/>
  <c r="E26" i="18"/>
  <c r="M31" i="9"/>
  <c r="E312" i="37"/>
  <c r="E327" i="37" s="1"/>
  <c r="G63" i="37"/>
  <c r="M35" i="9"/>
  <c r="E30" i="18"/>
  <c r="O34" i="9"/>
  <c r="I62" i="37"/>
  <c r="C62" i="37"/>
  <c r="I34" i="9"/>
  <c r="B308" i="37"/>
  <c r="D59" i="37"/>
  <c r="H26" i="18"/>
  <c r="G26" i="18" s="1"/>
  <c r="J31" i="9"/>
  <c r="B26" i="18"/>
  <c r="B312" i="37"/>
  <c r="D63" i="37"/>
  <c r="H30" i="18"/>
  <c r="G30" i="18" s="1"/>
  <c r="J35" i="9"/>
  <c r="B30" i="18"/>
  <c r="D308" i="37"/>
  <c r="D323" i="37" s="1"/>
  <c r="F59" i="37"/>
  <c r="L31" i="9"/>
  <c r="D26" i="18"/>
  <c r="D312" i="37"/>
  <c r="D327" i="37" s="1"/>
  <c r="F63" i="37"/>
  <c r="L35" i="9"/>
  <c r="D30" i="18"/>
  <c r="C309" i="37"/>
  <c r="C324" i="37" s="1"/>
  <c r="E60" i="37"/>
  <c r="K32" i="9"/>
  <c r="C27" i="18"/>
  <c r="C313" i="37"/>
  <c r="C328" i="37" s="1"/>
  <c r="E64" i="37"/>
  <c r="C31" i="18"/>
  <c r="K36" i="9"/>
  <c r="E309" i="37"/>
  <c r="E324" i="37" s="1"/>
  <c r="G60" i="37"/>
  <c r="M32" i="9"/>
  <c r="E27" i="18"/>
  <c r="E313" i="37"/>
  <c r="E328" i="37" s="1"/>
  <c r="G64" i="37"/>
  <c r="M36" i="9"/>
  <c r="E31" i="18"/>
  <c r="O35" i="9"/>
  <c r="I63" i="37"/>
  <c r="G40" i="17"/>
  <c r="G40" i="44"/>
  <c r="H39" i="44"/>
  <c r="H15" i="17"/>
  <c r="E196" i="19"/>
  <c r="E195" i="39"/>
  <c r="E195" i="28"/>
  <c r="E195" i="23"/>
  <c r="E195" i="27"/>
  <c r="E195" i="26"/>
  <c r="E195" i="22"/>
  <c r="E195" i="32"/>
  <c r="N195" i="39" s="1"/>
  <c r="E195" i="33"/>
  <c r="W195" i="39" s="1"/>
  <c r="E195" i="21"/>
  <c r="E195" i="20"/>
  <c r="D40" i="44"/>
  <c r="E40" i="44"/>
  <c r="J23" i="17"/>
  <c r="F40" i="44"/>
  <c r="J29" i="17"/>
  <c r="J30" i="17"/>
  <c r="J25" i="17"/>
  <c r="J27" i="17"/>
  <c r="J24" i="17"/>
  <c r="J28" i="17"/>
  <c r="J26" i="17"/>
  <c r="U22" i="31"/>
  <c r="T23" i="31"/>
  <c r="D7" i="30"/>
  <c r="D5" i="30"/>
  <c r="D8" i="30"/>
  <c r="D3" i="30"/>
  <c r="D6" i="30"/>
  <c r="D9" i="30"/>
  <c r="D10" i="30"/>
  <c r="D4" i="30"/>
  <c r="N53" i="9"/>
  <c r="J7" i="9"/>
  <c r="K7" i="9"/>
  <c r="I49" i="9"/>
  <c r="A32" i="9"/>
  <c r="A36" i="9"/>
  <c r="I50" i="9"/>
  <c r="N52" i="9"/>
  <c r="N54" i="9"/>
  <c r="N55" i="9"/>
  <c r="A37" i="9"/>
  <c r="A31" i="9"/>
  <c r="A33" i="9"/>
  <c r="H14" i="9"/>
  <c r="P14" i="9" s="1"/>
  <c r="P37" i="9" s="1"/>
  <c r="H13" i="9"/>
  <c r="P13" i="9" s="1"/>
  <c r="P36" i="9" s="1"/>
  <c r="H12" i="9"/>
  <c r="P12" i="9" s="1"/>
  <c r="P35" i="9" s="1"/>
  <c r="H11" i="9"/>
  <c r="P11" i="9" s="1"/>
  <c r="P34" i="9" s="1"/>
  <c r="H10" i="9"/>
  <c r="P10" i="9" s="1"/>
  <c r="P33" i="9" s="1"/>
  <c r="H9" i="9"/>
  <c r="P9" i="9" s="1"/>
  <c r="P32" i="9" s="1"/>
  <c r="H8" i="9"/>
  <c r="P8" i="9" s="1"/>
  <c r="P31" i="9" s="1"/>
  <c r="H7" i="9"/>
  <c r="B217" i="19"/>
  <c r="B216" i="19"/>
  <c r="B215" i="19"/>
  <c r="B214" i="19"/>
  <c r="B213" i="19"/>
  <c r="B212" i="19"/>
  <c r="B211" i="19"/>
  <c r="B210" i="19"/>
  <c r="I98" i="19"/>
  <c r="I97" i="19"/>
  <c r="I96" i="19"/>
  <c r="I95" i="19"/>
  <c r="I94" i="19"/>
  <c r="I93" i="19"/>
  <c r="I91" i="19"/>
  <c r="I90" i="19"/>
  <c r="I88" i="19"/>
  <c r="I86" i="19"/>
  <c r="I85" i="19"/>
  <c r="I83" i="19"/>
  <c r="I81" i="19"/>
  <c r="I79" i="19"/>
  <c r="I77" i="19"/>
  <c r="I75" i="19"/>
  <c r="I73" i="19"/>
  <c r="I71" i="19"/>
  <c r="I69" i="19"/>
  <c r="I67" i="19"/>
  <c r="I65" i="19"/>
  <c r="I61" i="19"/>
  <c r="I59" i="19"/>
  <c r="I57" i="19"/>
  <c r="I55" i="19"/>
  <c r="I53" i="19"/>
  <c r="I49" i="19"/>
  <c r="I47" i="19"/>
  <c r="I45" i="19"/>
  <c r="I43" i="19"/>
  <c r="I41" i="19"/>
  <c r="I37" i="19"/>
  <c r="I35" i="19"/>
  <c r="I33" i="19"/>
  <c r="I31" i="19"/>
  <c r="I30" i="19"/>
  <c r="I29" i="19"/>
  <c r="J29" i="19" s="1"/>
  <c r="I28" i="19"/>
  <c r="J28" i="19" s="1"/>
  <c r="I26" i="19"/>
  <c r="J26" i="19" s="1"/>
  <c r="I25" i="19"/>
  <c r="J25" i="19" s="1"/>
  <c r="I24" i="19"/>
  <c r="J24" i="19" s="1"/>
  <c r="I23" i="19"/>
  <c r="J23" i="19" s="1"/>
  <c r="I22" i="19"/>
  <c r="J22" i="19" s="1"/>
  <c r="I21" i="19"/>
  <c r="J21" i="19" s="1"/>
  <c r="I20" i="19"/>
  <c r="J20" i="19" s="1"/>
  <c r="I19" i="19"/>
  <c r="J19" i="19" s="1"/>
  <c r="I18" i="19"/>
  <c r="J18" i="19" s="1"/>
  <c r="I17" i="19"/>
  <c r="J17" i="19" s="1"/>
  <c r="I16" i="19"/>
  <c r="J16" i="19" s="1"/>
  <c r="I14" i="19"/>
  <c r="J14" i="19" s="1"/>
  <c r="I13" i="19"/>
  <c r="J13" i="19" s="1"/>
  <c r="I12" i="19"/>
  <c r="J12" i="19" s="1"/>
  <c r="I11" i="19"/>
  <c r="J11" i="19" s="1"/>
  <c r="I10" i="19"/>
  <c r="J10" i="19" s="1"/>
  <c r="I9" i="19"/>
  <c r="J9" i="19" s="1"/>
  <c r="I8" i="19"/>
  <c r="J8" i="19" s="1"/>
  <c r="I7" i="19"/>
  <c r="J7" i="19" s="1"/>
  <c r="I6" i="19"/>
  <c r="J6" i="19" s="1"/>
  <c r="I5" i="19"/>
  <c r="J5" i="19" s="1"/>
  <c r="I4" i="19"/>
  <c r="J4" i="19" s="1"/>
  <c r="O52" i="9" l="1"/>
  <c r="M50" i="9"/>
  <c r="L49" i="9"/>
  <c r="I52" i="9"/>
  <c r="O53" i="9"/>
  <c r="M52" i="9"/>
  <c r="M49" i="9"/>
  <c r="I53" i="9"/>
  <c r="P7" i="9"/>
  <c r="P30" i="9" s="1"/>
  <c r="I54" i="9"/>
  <c r="L50" i="9"/>
  <c r="H16" i="17"/>
  <c r="C55" i="34"/>
  <c r="C56" i="34"/>
  <c r="C49" i="34"/>
  <c r="C53" i="34"/>
  <c r="C51" i="34"/>
  <c r="C52" i="34"/>
  <c r="C50" i="34"/>
  <c r="C54" i="34"/>
  <c r="G11" i="9"/>
  <c r="G34" i="9" s="1"/>
  <c r="B62" i="37"/>
  <c r="H34" i="9"/>
  <c r="C87" i="37"/>
  <c r="F19" i="38"/>
  <c r="F19" i="11" s="1"/>
  <c r="F23" i="38"/>
  <c r="F23" i="11" s="1"/>
  <c r="D87" i="37"/>
  <c r="C86" i="37"/>
  <c r="E19" i="38"/>
  <c r="E19" i="11" s="1"/>
  <c r="G90" i="37"/>
  <c r="I38" i="38"/>
  <c r="H33" i="38"/>
  <c r="F89" i="37"/>
  <c r="B59" i="37"/>
  <c r="H31" i="9"/>
  <c r="G85" i="37"/>
  <c r="D38" i="38"/>
  <c r="D38" i="11" s="1"/>
  <c r="G84" i="37"/>
  <c r="C38" i="38"/>
  <c r="C38" i="11" s="1"/>
  <c r="C28" i="38"/>
  <c r="C28" i="11" s="1"/>
  <c r="E84" i="37"/>
  <c r="C90" i="37"/>
  <c r="I19" i="38"/>
  <c r="I86" i="37"/>
  <c r="E48" i="38"/>
  <c r="E48" i="11" s="1"/>
  <c r="G310" i="37"/>
  <c r="G325" i="37" s="1"/>
  <c r="B325" i="37"/>
  <c r="D89" i="37"/>
  <c r="H23" i="38"/>
  <c r="C88" i="37"/>
  <c r="G19" i="38"/>
  <c r="B60" i="37"/>
  <c r="H32" i="9"/>
  <c r="B61" i="37"/>
  <c r="H33" i="9"/>
  <c r="B65" i="37"/>
  <c r="H37" i="9"/>
  <c r="B307" i="37"/>
  <c r="D58" i="37"/>
  <c r="J30" i="9"/>
  <c r="G89" i="37"/>
  <c r="H38" i="38"/>
  <c r="H28" i="38"/>
  <c r="E89" i="37"/>
  <c r="G33" i="38"/>
  <c r="F88" i="37"/>
  <c r="C23" i="38"/>
  <c r="C23" i="11" s="1"/>
  <c r="D84" i="37"/>
  <c r="G88" i="37"/>
  <c r="G38" i="38"/>
  <c r="G28" i="38"/>
  <c r="E88" i="37"/>
  <c r="F33" i="38"/>
  <c r="F33" i="11" s="1"/>
  <c r="F87" i="37"/>
  <c r="I89" i="37"/>
  <c r="H48" i="38"/>
  <c r="B58" i="37"/>
  <c r="H30" i="9"/>
  <c r="D88" i="37"/>
  <c r="G23" i="38"/>
  <c r="B323" i="37"/>
  <c r="G308" i="37"/>
  <c r="G323" i="37" s="1"/>
  <c r="G83" i="37"/>
  <c r="G201" i="37" s="1"/>
  <c r="B38" i="38"/>
  <c r="B38" i="11" s="1"/>
  <c r="I33" i="38"/>
  <c r="F90" i="37"/>
  <c r="D86" i="37"/>
  <c r="E23" i="38"/>
  <c r="E23" i="11" s="1"/>
  <c r="M51" i="9"/>
  <c r="I28" i="38"/>
  <c r="E90" i="37"/>
  <c r="D85" i="37"/>
  <c r="D23" i="38"/>
  <c r="D23" i="11" s="1"/>
  <c r="G12" i="9"/>
  <c r="G35" i="9" s="1"/>
  <c r="B63" i="37"/>
  <c r="H35" i="9"/>
  <c r="D28" i="38"/>
  <c r="D28" i="11" s="1"/>
  <c r="E85" i="37"/>
  <c r="C33" i="38"/>
  <c r="C33" i="11" s="1"/>
  <c r="F84" i="37"/>
  <c r="G312" i="37"/>
  <c r="G327" i="37" s="1"/>
  <c r="B327" i="37"/>
  <c r="B33" i="38"/>
  <c r="B33" i="11" s="1"/>
  <c r="F83" i="37"/>
  <c r="F201" i="37" s="1"/>
  <c r="G311" i="37"/>
  <c r="G326" i="37" s="1"/>
  <c r="B326" i="37"/>
  <c r="D90" i="37"/>
  <c r="I23" i="38"/>
  <c r="C89" i="37"/>
  <c r="H19" i="38"/>
  <c r="B324" i="37"/>
  <c r="G309" i="37"/>
  <c r="G324" i="37" s="1"/>
  <c r="B64" i="37"/>
  <c r="H36" i="9"/>
  <c r="I55" i="9"/>
  <c r="C307" i="37"/>
  <c r="C322" i="37" s="1"/>
  <c r="E58" i="37"/>
  <c r="C25" i="18"/>
  <c r="K30" i="9"/>
  <c r="K49" i="9" s="1"/>
  <c r="I88" i="37"/>
  <c r="G48" i="38"/>
  <c r="I87" i="37"/>
  <c r="F48" i="38"/>
  <c r="F48" i="11" s="1"/>
  <c r="M53" i="9"/>
  <c r="I90" i="37"/>
  <c r="I48" i="38"/>
  <c r="G87" i="37"/>
  <c r="F38" i="38"/>
  <c r="F38" i="11" s="1"/>
  <c r="F28" i="38"/>
  <c r="F28" i="11" s="1"/>
  <c r="E87" i="37"/>
  <c r="E33" i="38"/>
  <c r="E33" i="11" s="1"/>
  <c r="F86" i="37"/>
  <c r="G314" i="37"/>
  <c r="G329" i="37" s="1"/>
  <c r="B329" i="37"/>
  <c r="G86" i="37"/>
  <c r="E38" i="38"/>
  <c r="E38" i="11" s="1"/>
  <c r="E28" i="38"/>
  <c r="E28" i="11" s="1"/>
  <c r="E86" i="37"/>
  <c r="D33" i="38"/>
  <c r="D33" i="11" s="1"/>
  <c r="F85" i="37"/>
  <c r="G313" i="37"/>
  <c r="G328" i="37" s="1"/>
  <c r="B328" i="37"/>
  <c r="E217" i="19"/>
  <c r="E213" i="19"/>
  <c r="E216" i="19"/>
  <c r="E212" i="19"/>
  <c r="E219" i="19"/>
  <c r="E215" i="19"/>
  <c r="E211" i="19"/>
  <c r="E218" i="19"/>
  <c r="E214" i="19"/>
  <c r="H48" i="44"/>
  <c r="H67" i="44"/>
  <c r="S44" i="37" s="1"/>
  <c r="H44" i="37" s="1"/>
  <c r="B40" i="44"/>
  <c r="B40" i="17"/>
  <c r="G39" i="44"/>
  <c r="G15" i="17"/>
  <c r="G16" i="17" s="1"/>
  <c r="E197" i="19"/>
  <c r="E196" i="39"/>
  <c r="E196" i="27"/>
  <c r="E196" i="22"/>
  <c r="E196" i="23"/>
  <c r="E196" i="26"/>
  <c r="E196" i="28"/>
  <c r="E196" i="32"/>
  <c r="N196" i="39" s="1"/>
  <c r="E196" i="21"/>
  <c r="E196" i="20"/>
  <c r="E196" i="33"/>
  <c r="W196" i="39" s="1"/>
  <c r="H61" i="38"/>
  <c r="H56" i="11"/>
  <c r="E61" i="38"/>
  <c r="E56" i="11"/>
  <c r="B61" i="38"/>
  <c r="B56" i="11"/>
  <c r="D61" i="38"/>
  <c r="D56" i="11"/>
  <c r="F61" i="38"/>
  <c r="F56" i="11"/>
  <c r="C61" i="38"/>
  <c r="C56" i="11"/>
  <c r="G61" i="38"/>
  <c r="G56" i="11"/>
  <c r="I61" i="38"/>
  <c r="I56" i="11"/>
  <c r="G12" i="37"/>
  <c r="H12" i="37" s="1"/>
  <c r="G11" i="37"/>
  <c r="H11" i="37" s="1"/>
  <c r="G13" i="37"/>
  <c r="H13" i="37" s="1"/>
  <c r="G5" i="37"/>
  <c r="H5" i="37" s="1"/>
  <c r="G15" i="37"/>
  <c r="H15" i="37" s="1"/>
  <c r="G16" i="37"/>
  <c r="H16" i="37" s="1"/>
  <c r="G14" i="37"/>
  <c r="H14" i="37" s="1"/>
  <c r="G10" i="37"/>
  <c r="H10" i="37" s="1"/>
  <c r="G159" i="37"/>
  <c r="I17" i="37"/>
  <c r="I12" i="37"/>
  <c r="I9" i="37"/>
  <c r="I14" i="37"/>
  <c r="I11" i="37"/>
  <c r="I15" i="37"/>
  <c r="G9" i="37"/>
  <c r="H9" i="37" s="1"/>
  <c r="I10" i="37"/>
  <c r="I16" i="37"/>
  <c r="I13" i="37"/>
  <c r="I18" i="37"/>
  <c r="V22" i="31"/>
  <c r="U23" i="31"/>
  <c r="D20" i="30"/>
  <c r="M55" i="9"/>
  <c r="I101" i="19"/>
  <c r="J101" i="19" s="1"/>
  <c r="I103" i="19"/>
  <c r="J103" i="19" s="1"/>
  <c r="I105" i="19"/>
  <c r="J105" i="19" s="1"/>
  <c r="I107" i="19"/>
  <c r="J107" i="19" s="1"/>
  <c r="I109" i="19"/>
  <c r="J109" i="19" s="1"/>
  <c r="I100" i="19"/>
  <c r="J100" i="19" s="1"/>
  <c r="I108" i="19"/>
  <c r="J108" i="19" s="1"/>
  <c r="I102" i="19"/>
  <c r="J102" i="19" s="1"/>
  <c r="I104" i="19"/>
  <c r="J104" i="19" s="1"/>
  <c r="I106" i="19"/>
  <c r="J106" i="19" s="1"/>
  <c r="I110" i="19"/>
  <c r="J110" i="19" s="1"/>
  <c r="B25" i="18"/>
  <c r="H25" i="18"/>
  <c r="G25" i="18" s="1"/>
  <c r="C7" i="34"/>
  <c r="B11" i="9"/>
  <c r="C11" i="34"/>
  <c r="F5" i="38" s="1"/>
  <c r="C214" i="19"/>
  <c r="D214" i="19" s="1"/>
  <c r="C213" i="19"/>
  <c r="D213" i="19" s="1"/>
  <c r="C10" i="34"/>
  <c r="E5" i="38" s="1"/>
  <c r="C14" i="34"/>
  <c r="I5" i="38" s="1"/>
  <c r="C217" i="19"/>
  <c r="D217" i="19" s="1"/>
  <c r="B9" i="9"/>
  <c r="D9" i="9" s="1"/>
  <c r="E9" i="9" s="1"/>
  <c r="C212" i="19"/>
  <c r="D212" i="19" s="1"/>
  <c r="C9" i="34"/>
  <c r="D5" i="38" s="1"/>
  <c r="C13" i="34"/>
  <c r="H5" i="38" s="1"/>
  <c r="C216" i="19"/>
  <c r="D216" i="19" s="1"/>
  <c r="J55" i="9"/>
  <c r="B8" i="9"/>
  <c r="D8" i="9" s="1"/>
  <c r="E8" i="9" s="1"/>
  <c r="C8" i="34"/>
  <c r="C5" i="38" s="1"/>
  <c r="C211" i="19"/>
  <c r="D211" i="19" s="1"/>
  <c r="C215" i="19"/>
  <c r="D215" i="19" s="1"/>
  <c r="C12" i="34"/>
  <c r="G5" i="38" s="1"/>
  <c r="J52" i="9"/>
  <c r="K51" i="9"/>
  <c r="G9" i="9"/>
  <c r="N50" i="9"/>
  <c r="G13" i="9"/>
  <c r="K50" i="9"/>
  <c r="O54" i="9"/>
  <c r="G10" i="9"/>
  <c r="G33" i="9" s="1"/>
  <c r="J53" i="9"/>
  <c r="G7" i="9"/>
  <c r="G30" i="9" s="1"/>
  <c r="G14" i="9"/>
  <c r="G37" i="9" s="1"/>
  <c r="G8" i="9"/>
  <c r="G31" i="9" s="1"/>
  <c r="N51" i="9"/>
  <c r="J51" i="9"/>
  <c r="M54" i="9"/>
  <c r="L51" i="9"/>
  <c r="J31" i="19"/>
  <c r="J33" i="19"/>
  <c r="J35" i="19"/>
  <c r="J37" i="19"/>
  <c r="J41" i="19"/>
  <c r="J43" i="19"/>
  <c r="J45" i="19"/>
  <c r="J47" i="19"/>
  <c r="J49" i="19"/>
  <c r="J53" i="19"/>
  <c r="J55" i="19"/>
  <c r="J57" i="19"/>
  <c r="J59" i="19"/>
  <c r="J61" i="19"/>
  <c r="J65" i="19"/>
  <c r="J67" i="19"/>
  <c r="J69" i="19"/>
  <c r="J71" i="19"/>
  <c r="J73" i="19"/>
  <c r="J75" i="19"/>
  <c r="J77" i="19"/>
  <c r="J79" i="19"/>
  <c r="J81" i="19"/>
  <c r="J83" i="19"/>
  <c r="J86" i="19"/>
  <c r="J88" i="19"/>
  <c r="J91" i="19"/>
  <c r="I3" i="19"/>
  <c r="J3" i="19" s="1"/>
  <c r="I15" i="19"/>
  <c r="J15" i="19" s="1"/>
  <c r="I27" i="19"/>
  <c r="J27" i="19" s="1"/>
  <c r="I32" i="19"/>
  <c r="J32" i="19" s="1"/>
  <c r="I34" i="19"/>
  <c r="J34" i="19" s="1"/>
  <c r="I36" i="19"/>
  <c r="J36" i="19" s="1"/>
  <c r="I38" i="19"/>
  <c r="J38" i="19" s="1"/>
  <c r="I39" i="19"/>
  <c r="J39" i="19" s="1"/>
  <c r="I40" i="19"/>
  <c r="J40" i="19" s="1"/>
  <c r="I42" i="19"/>
  <c r="J42" i="19" s="1"/>
  <c r="I44" i="19"/>
  <c r="J44" i="19" s="1"/>
  <c r="I46" i="19"/>
  <c r="J46" i="19" s="1"/>
  <c r="I48" i="19"/>
  <c r="J48" i="19" s="1"/>
  <c r="I50" i="19"/>
  <c r="J50" i="19" s="1"/>
  <c r="I51" i="19"/>
  <c r="J51" i="19" s="1"/>
  <c r="I52" i="19"/>
  <c r="J52" i="19" s="1"/>
  <c r="I54" i="19"/>
  <c r="J54" i="19" s="1"/>
  <c r="I56" i="19"/>
  <c r="J56" i="19" s="1"/>
  <c r="I58" i="19"/>
  <c r="J58" i="19" s="1"/>
  <c r="I60" i="19"/>
  <c r="J60" i="19" s="1"/>
  <c r="I62" i="19"/>
  <c r="J62" i="19" s="1"/>
  <c r="I63" i="19"/>
  <c r="J63" i="19" s="1"/>
  <c r="I64" i="19"/>
  <c r="J64" i="19" s="1"/>
  <c r="I66" i="19"/>
  <c r="J66" i="19" s="1"/>
  <c r="I68" i="19"/>
  <c r="J68" i="19" s="1"/>
  <c r="I70" i="19"/>
  <c r="J70" i="19" s="1"/>
  <c r="I72" i="19"/>
  <c r="J72" i="19" s="1"/>
  <c r="I74" i="19"/>
  <c r="J74" i="19" s="1"/>
  <c r="I76" i="19"/>
  <c r="J76" i="19" s="1"/>
  <c r="I78" i="19"/>
  <c r="J78" i="19" s="1"/>
  <c r="I80" i="19"/>
  <c r="J80" i="19" s="1"/>
  <c r="I82" i="19"/>
  <c r="J82" i="19" s="1"/>
  <c r="I84" i="19"/>
  <c r="J84" i="19" s="1"/>
  <c r="I87" i="19"/>
  <c r="J87" i="19" s="1"/>
  <c r="I89" i="19"/>
  <c r="J89" i="19" s="1"/>
  <c r="I92" i="19"/>
  <c r="J92" i="19" s="1"/>
  <c r="J30" i="19"/>
  <c r="J85" i="19"/>
  <c r="J90" i="19"/>
  <c r="J93" i="19"/>
  <c r="J94" i="19"/>
  <c r="J95" i="19"/>
  <c r="J96" i="19"/>
  <c r="J97" i="19"/>
  <c r="J98" i="19"/>
  <c r="L54" i="9"/>
  <c r="L53" i="9"/>
  <c r="A35" i="9"/>
  <c r="A34" i="9"/>
  <c r="L55" i="9"/>
  <c r="Y47" i="11"/>
  <c r="X47" i="11"/>
  <c r="W47" i="11"/>
  <c r="A46" i="11"/>
  <c r="Y44" i="11"/>
  <c r="X44" i="11"/>
  <c r="W44" i="11"/>
  <c r="Y43" i="11"/>
  <c r="X43" i="11"/>
  <c r="W43" i="11"/>
  <c r="Y42" i="11"/>
  <c r="X42" i="11"/>
  <c r="W42" i="11"/>
  <c r="A41" i="11"/>
  <c r="Y39" i="11"/>
  <c r="X39" i="11"/>
  <c r="W39" i="11"/>
  <c r="H94" i="37" l="1"/>
  <c r="H142" i="37"/>
  <c r="H168" i="37" s="1"/>
  <c r="H169" i="37" s="1"/>
  <c r="H170" i="37" s="1"/>
  <c r="H171" i="37" s="1"/>
  <c r="H172" i="37" s="1"/>
  <c r="G53" i="9"/>
  <c r="G56" i="9"/>
  <c r="H49" i="9"/>
  <c r="H53" i="9"/>
  <c r="H50" i="9"/>
  <c r="G52" i="9"/>
  <c r="M42" i="38"/>
  <c r="AD44" i="37"/>
  <c r="H17" i="17"/>
  <c r="C73" i="34"/>
  <c r="E54" i="34"/>
  <c r="F54" i="34" s="1"/>
  <c r="C71" i="34"/>
  <c r="E52" i="34"/>
  <c r="F52" i="34" s="1"/>
  <c r="C75" i="34"/>
  <c r="E56" i="34"/>
  <c r="F56" i="34" s="1"/>
  <c r="C72" i="34"/>
  <c r="E53" i="34"/>
  <c r="F53" i="34" s="1"/>
  <c r="C69" i="34"/>
  <c r="E50" i="34"/>
  <c r="F50" i="34" s="1"/>
  <c r="C70" i="34"/>
  <c r="E51" i="34"/>
  <c r="F51" i="34" s="1"/>
  <c r="C68" i="34"/>
  <c r="E49" i="34"/>
  <c r="F49" i="34" s="1"/>
  <c r="C74" i="34"/>
  <c r="E55" i="34"/>
  <c r="F55" i="34" s="1"/>
  <c r="B89" i="37"/>
  <c r="J64" i="37"/>
  <c r="H15" i="38"/>
  <c r="F106" i="37"/>
  <c r="F202" i="37"/>
  <c r="F217" i="37" s="1"/>
  <c r="E203" i="37"/>
  <c r="E107" i="37"/>
  <c r="I33" i="11"/>
  <c r="Y33" i="11" s="1"/>
  <c r="F95" i="38"/>
  <c r="I207" i="37"/>
  <c r="I111" i="37"/>
  <c r="B322" i="37"/>
  <c r="G307" i="37"/>
  <c r="G322" i="37" s="1"/>
  <c r="D81" i="38"/>
  <c r="G19" i="11"/>
  <c r="W19" i="11" s="1"/>
  <c r="E202" i="37"/>
  <c r="B84" i="37"/>
  <c r="C15" i="38"/>
  <c r="J59" i="37"/>
  <c r="B87" i="37"/>
  <c r="F15" i="38"/>
  <c r="J62" i="37"/>
  <c r="F203" i="37"/>
  <c r="F107" i="37"/>
  <c r="E204" i="37"/>
  <c r="E108" i="37"/>
  <c r="D203" i="37"/>
  <c r="D107" i="37"/>
  <c r="G206" i="37"/>
  <c r="G110" i="37"/>
  <c r="C110" i="37"/>
  <c r="C206" i="37"/>
  <c r="G204" i="37"/>
  <c r="G108" i="37"/>
  <c r="E109" i="37"/>
  <c r="E205" i="37"/>
  <c r="I48" i="11"/>
  <c r="Y48" i="11" s="1"/>
  <c r="F110" i="38"/>
  <c r="I109" i="37"/>
  <c r="I205" i="37"/>
  <c r="I110" i="37"/>
  <c r="I206" i="37"/>
  <c r="H54" i="9"/>
  <c r="D208" i="37"/>
  <c r="D112" i="37"/>
  <c r="D113" i="37"/>
  <c r="I28" i="11"/>
  <c r="F90" i="38"/>
  <c r="F208" i="37"/>
  <c r="F112" i="37"/>
  <c r="F113" i="37"/>
  <c r="G23" i="11"/>
  <c r="W23" i="11" s="1"/>
  <c r="D85" i="38"/>
  <c r="E110" i="38"/>
  <c r="H48" i="11"/>
  <c r="X48" i="11" s="1"/>
  <c r="G33" i="11"/>
  <c r="W33" i="11" s="1"/>
  <c r="D95" i="38"/>
  <c r="H28" i="11"/>
  <c r="X28" i="11" s="1"/>
  <c r="E90" i="38"/>
  <c r="G207" i="37"/>
  <c r="G111" i="37"/>
  <c r="B23" i="38"/>
  <c r="B23" i="11" s="1"/>
  <c r="D83" i="37"/>
  <c r="D201" i="37" s="1"/>
  <c r="H55" i="9"/>
  <c r="H56" i="9"/>
  <c r="J61" i="37"/>
  <c r="E15" i="38"/>
  <c r="B86" i="37"/>
  <c r="D207" i="37"/>
  <c r="D111" i="37"/>
  <c r="C208" i="37"/>
  <c r="C112" i="37"/>
  <c r="C113" i="37"/>
  <c r="G106" i="37"/>
  <c r="G202" i="37"/>
  <c r="G217" i="37" s="1"/>
  <c r="H33" i="11"/>
  <c r="X33" i="11" s="1"/>
  <c r="E95" i="38"/>
  <c r="G208" i="37"/>
  <c r="G112" i="37"/>
  <c r="G113" i="37"/>
  <c r="D205" i="37"/>
  <c r="D109" i="37"/>
  <c r="H52" i="9"/>
  <c r="G36" i="9"/>
  <c r="G54" i="9" s="1"/>
  <c r="I208" i="37"/>
  <c r="I112" i="37"/>
  <c r="I113" i="37"/>
  <c r="E81" i="38"/>
  <c r="H19" i="11"/>
  <c r="D206" i="37"/>
  <c r="D110" i="37"/>
  <c r="E206" i="37"/>
  <c r="E221" i="37" s="1"/>
  <c r="E110" i="37"/>
  <c r="D100" i="38"/>
  <c r="G38" i="11"/>
  <c r="D202" i="37"/>
  <c r="J65" i="37"/>
  <c r="I15" i="38"/>
  <c r="B90" i="37"/>
  <c r="C207" i="37"/>
  <c r="C111" i="37"/>
  <c r="B88" i="37"/>
  <c r="J63" i="37"/>
  <c r="G15" i="38"/>
  <c r="G28" i="11"/>
  <c r="W28" i="11" s="1"/>
  <c r="D90" i="38"/>
  <c r="I108" i="37"/>
  <c r="I204" i="37"/>
  <c r="F108" i="37"/>
  <c r="F204" i="37"/>
  <c r="G205" i="37"/>
  <c r="G109" i="37"/>
  <c r="G48" i="11"/>
  <c r="W48" i="11" s="1"/>
  <c r="D110" i="38"/>
  <c r="B28" i="38"/>
  <c r="B28" i="11" s="1"/>
  <c r="E83" i="37"/>
  <c r="E201" i="37" s="1"/>
  <c r="F85" i="38"/>
  <c r="I23" i="11"/>
  <c r="Y23" i="11" s="1"/>
  <c r="E208" i="37"/>
  <c r="E112" i="37"/>
  <c r="E113" i="37"/>
  <c r="D204" i="37"/>
  <c r="D108" i="37"/>
  <c r="B83" i="37"/>
  <c r="B201" i="37" s="1"/>
  <c r="B15" i="38"/>
  <c r="J58" i="37"/>
  <c r="F205" i="37"/>
  <c r="F109" i="37"/>
  <c r="F110" i="37"/>
  <c r="F206" i="37"/>
  <c r="E207" i="37"/>
  <c r="E111" i="37"/>
  <c r="E100" i="38"/>
  <c r="H38" i="11"/>
  <c r="H51" i="9"/>
  <c r="B85" i="37"/>
  <c r="D15" i="38"/>
  <c r="J60" i="37"/>
  <c r="H23" i="11"/>
  <c r="X23" i="11" s="1"/>
  <c r="E85" i="38"/>
  <c r="F81" i="38"/>
  <c r="I19" i="11"/>
  <c r="G107" i="37"/>
  <c r="G203" i="37"/>
  <c r="F207" i="37"/>
  <c r="F111" i="37"/>
  <c r="I38" i="11"/>
  <c r="F100" i="38"/>
  <c r="C204" i="37"/>
  <c r="C219" i="37" s="1"/>
  <c r="C108" i="37"/>
  <c r="C205" i="37"/>
  <c r="C109" i="37"/>
  <c r="B5" i="38"/>
  <c r="B5" i="11" s="1"/>
  <c r="C26" i="34"/>
  <c r="I5" i="11"/>
  <c r="Y5" i="11" s="1"/>
  <c r="F68" i="38"/>
  <c r="I7" i="38"/>
  <c r="F70" i="38" s="1"/>
  <c r="C5" i="11"/>
  <c r="C7" i="38"/>
  <c r="D5" i="11"/>
  <c r="D7" i="38"/>
  <c r="F5" i="11"/>
  <c r="F7" i="38"/>
  <c r="E5" i="11"/>
  <c r="E7" i="38"/>
  <c r="G5" i="11"/>
  <c r="W5" i="11" s="1"/>
  <c r="D68" i="38"/>
  <c r="G7" i="38"/>
  <c r="D70" i="38" s="1"/>
  <c r="H5" i="11"/>
  <c r="X5" i="11" s="1"/>
  <c r="E68" i="38"/>
  <c r="H7" i="38"/>
  <c r="E70" i="38" s="1"/>
  <c r="G48" i="44"/>
  <c r="G49" i="44" s="1"/>
  <c r="G50" i="44" s="1"/>
  <c r="G51" i="44" s="1"/>
  <c r="G52" i="44" s="1"/>
  <c r="H49" i="44"/>
  <c r="H58" i="44"/>
  <c r="B39" i="44"/>
  <c r="B159" i="37"/>
  <c r="J40" i="17"/>
  <c r="J39" i="44" s="1"/>
  <c r="J40" i="44"/>
  <c r="G17" i="17"/>
  <c r="E198" i="19"/>
  <c r="E197" i="39"/>
  <c r="E197" i="27"/>
  <c r="E197" i="26"/>
  <c r="E197" i="28"/>
  <c r="E197" i="23"/>
  <c r="E197" i="22"/>
  <c r="E197" i="32"/>
  <c r="N197" i="39" s="1"/>
  <c r="E197" i="33"/>
  <c r="W197" i="39" s="1"/>
  <c r="E197" i="20"/>
  <c r="E197" i="21"/>
  <c r="G32" i="9"/>
  <c r="G50" i="9" s="1"/>
  <c r="G33" i="17"/>
  <c r="B11" i="37"/>
  <c r="C29" i="34"/>
  <c r="B9" i="37"/>
  <c r="C27" i="34"/>
  <c r="B8" i="37"/>
  <c r="B10" i="37"/>
  <c r="C28" i="34"/>
  <c r="B15" i="37"/>
  <c r="C33" i="34"/>
  <c r="B12" i="37"/>
  <c r="C30" i="34"/>
  <c r="B13" i="37"/>
  <c r="C31" i="34"/>
  <c r="B14" i="37"/>
  <c r="C32" i="34"/>
  <c r="G34" i="17"/>
  <c r="W22" i="31"/>
  <c r="V23" i="31"/>
  <c r="F11" i="9"/>
  <c r="D11" i="9"/>
  <c r="E11" i="9" s="1"/>
  <c r="H218" i="19"/>
  <c r="C15" i="9" s="1"/>
  <c r="I99" i="19"/>
  <c r="J99" i="19" s="1"/>
  <c r="I122" i="19"/>
  <c r="J122" i="19" s="1"/>
  <c r="I121" i="19"/>
  <c r="J121" i="19" s="1"/>
  <c r="I120" i="19"/>
  <c r="J120" i="19" s="1"/>
  <c r="I119" i="19"/>
  <c r="J119" i="19" s="1"/>
  <c r="F8" i="9"/>
  <c r="F9" i="9"/>
  <c r="X56" i="11"/>
  <c r="Y56" i="11"/>
  <c r="W56" i="11"/>
  <c r="E11" i="34"/>
  <c r="F11" i="34" s="1"/>
  <c r="I215" i="19"/>
  <c r="J215" i="19" s="1"/>
  <c r="E12" i="34"/>
  <c r="F12" i="34" s="1"/>
  <c r="E8" i="34"/>
  <c r="F8" i="34" s="1"/>
  <c r="B7" i="9"/>
  <c r="F7" i="9" s="1"/>
  <c r="E7" i="34"/>
  <c r="F7" i="34" s="1"/>
  <c r="E9" i="34"/>
  <c r="F9" i="34" s="1"/>
  <c r="E14" i="34"/>
  <c r="F14" i="34" s="1"/>
  <c r="B13" i="9"/>
  <c r="E13" i="34"/>
  <c r="F13" i="34" s="1"/>
  <c r="B10" i="9"/>
  <c r="E10" i="34"/>
  <c r="F10" i="34" s="1"/>
  <c r="N49" i="9"/>
  <c r="K55" i="9"/>
  <c r="A30" i="9"/>
  <c r="B12" i="9"/>
  <c r="I211" i="19"/>
  <c r="J211" i="19" s="1"/>
  <c r="K54" i="9"/>
  <c r="J54" i="9" s="1"/>
  <c r="B14" i="9"/>
  <c r="I217" i="19"/>
  <c r="Z22" i="11"/>
  <c r="J49" i="9"/>
  <c r="J50" i="9"/>
  <c r="L52" i="9"/>
  <c r="Y37" i="11"/>
  <c r="X37" i="11"/>
  <c r="W37" i="11"/>
  <c r="A36" i="11"/>
  <c r="Y34" i="11"/>
  <c r="X34" i="11"/>
  <c r="W34" i="11"/>
  <c r="X32" i="11"/>
  <c r="W32" i="11"/>
  <c r="A31" i="11"/>
  <c r="Y29" i="11"/>
  <c r="X29" i="11"/>
  <c r="W29" i="11"/>
  <c r="Z27" i="11"/>
  <c r="Y27" i="11"/>
  <c r="X27" i="11"/>
  <c r="W27" i="11"/>
  <c r="A26" i="11"/>
  <c r="Y22" i="11"/>
  <c r="A21" i="11"/>
  <c r="Y18" i="11"/>
  <c r="X18" i="11"/>
  <c r="W18" i="11"/>
  <c r="A17" i="11"/>
  <c r="Y14" i="11"/>
  <c r="A13" i="11"/>
  <c r="X6" i="11"/>
  <c r="W6" i="11"/>
  <c r="H116" i="37" l="1"/>
  <c r="H117" i="37" s="1"/>
  <c r="H212" i="37"/>
  <c r="H158" i="37"/>
  <c r="H160" i="37" s="1"/>
  <c r="G51" i="9"/>
  <c r="G55" i="9"/>
  <c r="H18" i="17"/>
  <c r="D217" i="37"/>
  <c r="G222" i="37"/>
  <c r="E220" i="37"/>
  <c r="C220" i="37"/>
  <c r="F218" i="37"/>
  <c r="F220" i="37"/>
  <c r="E219" i="37"/>
  <c r="F221" i="37"/>
  <c r="D220" i="37"/>
  <c r="D222" i="37"/>
  <c r="M218" i="19"/>
  <c r="B7" i="38"/>
  <c r="G219" i="37"/>
  <c r="G218" i="37"/>
  <c r="B107" i="37"/>
  <c r="B203" i="37"/>
  <c r="B206" i="37"/>
  <c r="B110" i="37"/>
  <c r="B112" i="37"/>
  <c r="B208" i="37"/>
  <c r="B113" i="37"/>
  <c r="E15" i="11"/>
  <c r="E52" i="38"/>
  <c r="B109" i="37"/>
  <c r="B205" i="37"/>
  <c r="J109" i="37"/>
  <c r="C52" i="38"/>
  <c r="C15" i="11"/>
  <c r="B111" i="37"/>
  <c r="B207" i="37"/>
  <c r="I52" i="38"/>
  <c r="I15" i="11"/>
  <c r="Y15" i="11" s="1"/>
  <c r="F77" i="38"/>
  <c r="D218" i="37"/>
  <c r="B106" i="37"/>
  <c r="B202" i="37"/>
  <c r="B217" i="37" s="1"/>
  <c r="I222" i="37"/>
  <c r="F222" i="37"/>
  <c r="D52" i="38"/>
  <c r="D15" i="11"/>
  <c r="E222" i="37"/>
  <c r="B9" i="38"/>
  <c r="J83" i="37"/>
  <c r="J201" i="37"/>
  <c r="D219" i="37"/>
  <c r="F219" i="37"/>
  <c r="G9" i="38"/>
  <c r="J206" i="37"/>
  <c r="J88" i="37"/>
  <c r="D106" i="37"/>
  <c r="D221" i="37"/>
  <c r="B204" i="37"/>
  <c r="B219" i="37" s="1"/>
  <c r="B108" i="37"/>
  <c r="D223" i="37"/>
  <c r="D224" i="37"/>
  <c r="I221" i="37"/>
  <c r="F114" i="38"/>
  <c r="G221" i="37"/>
  <c r="F52" i="38"/>
  <c r="F15" i="11"/>
  <c r="J84" i="37"/>
  <c r="J202" i="37"/>
  <c r="C9" i="38"/>
  <c r="E106" i="37"/>
  <c r="J207" i="37"/>
  <c r="J89" i="37"/>
  <c r="H9" i="38"/>
  <c r="B15" i="11"/>
  <c r="B52" i="38"/>
  <c r="I220" i="37"/>
  <c r="I219" i="37"/>
  <c r="I223" i="37"/>
  <c r="I224" i="37"/>
  <c r="E9" i="38"/>
  <c r="J204" i="37"/>
  <c r="J86" i="37"/>
  <c r="J203" i="37"/>
  <c r="J85" i="37"/>
  <c r="D9" i="38"/>
  <c r="E223" i="37"/>
  <c r="E224" i="37"/>
  <c r="G220" i="37"/>
  <c r="G15" i="11"/>
  <c r="W15" i="11" s="1"/>
  <c r="D77" i="38"/>
  <c r="D114" i="38" s="1"/>
  <c r="G52" i="38"/>
  <c r="I9" i="38"/>
  <c r="J208" i="37"/>
  <c r="J90" i="37"/>
  <c r="G223" i="37"/>
  <c r="G224" i="37"/>
  <c r="C223" i="37"/>
  <c r="C224" i="37"/>
  <c r="F223" i="37"/>
  <c r="F224" i="37"/>
  <c r="C222" i="37"/>
  <c r="C221" i="37"/>
  <c r="F9" i="38"/>
  <c r="J205" i="37"/>
  <c r="J87" i="37"/>
  <c r="E217" i="37"/>
  <c r="E218" i="37"/>
  <c r="H52" i="38"/>
  <c r="H15" i="11"/>
  <c r="X15" i="11" s="1"/>
  <c r="E77" i="38"/>
  <c r="E114" i="38" s="1"/>
  <c r="H68" i="44"/>
  <c r="S45" i="37" s="1"/>
  <c r="H45" i="37" s="1"/>
  <c r="B33" i="17"/>
  <c r="C10" i="37"/>
  <c r="D10" i="37" s="1"/>
  <c r="H50" i="44"/>
  <c r="H59" i="44"/>
  <c r="B67" i="44"/>
  <c r="M44" i="37" s="1"/>
  <c r="J57" i="44"/>
  <c r="G58" i="44"/>
  <c r="G67" i="44"/>
  <c r="R44" i="37" s="1"/>
  <c r="G44" i="37" s="1"/>
  <c r="B15" i="17"/>
  <c r="B48" i="44"/>
  <c r="J47" i="44"/>
  <c r="G18" i="17"/>
  <c r="E199" i="19"/>
  <c r="E198" i="39"/>
  <c r="E198" i="28"/>
  <c r="E198" i="23"/>
  <c r="E198" i="26"/>
  <c r="E198" i="22"/>
  <c r="E198" i="27"/>
  <c r="E198" i="32"/>
  <c r="N198" i="39" s="1"/>
  <c r="E198" i="21"/>
  <c r="E198" i="20"/>
  <c r="E198" i="33"/>
  <c r="W198" i="39" s="1"/>
  <c r="G49" i="9"/>
  <c r="C14" i="37"/>
  <c r="D14" i="37" s="1"/>
  <c r="C12" i="37"/>
  <c r="D12" i="37" s="1"/>
  <c r="C9" i="37"/>
  <c r="D9" i="37" s="1"/>
  <c r="F53" i="11"/>
  <c r="C53" i="11"/>
  <c r="B53" i="11"/>
  <c r="C5" i="37"/>
  <c r="D5" i="37" s="1"/>
  <c r="C13" i="37"/>
  <c r="D13" i="37" s="1"/>
  <c r="C15" i="37"/>
  <c r="D15" i="37" s="1"/>
  <c r="C16" i="37"/>
  <c r="D16" i="37" s="1"/>
  <c r="E13" i="37"/>
  <c r="E11" i="37"/>
  <c r="E16" i="37"/>
  <c r="E12" i="37"/>
  <c r="E9" i="37"/>
  <c r="E14" i="37"/>
  <c r="E17" i="37"/>
  <c r="E15" i="37"/>
  <c r="E10" i="37"/>
  <c r="C11" i="37"/>
  <c r="D11" i="37" s="1"/>
  <c r="G35" i="17"/>
  <c r="X22" i="31"/>
  <c r="W23" i="31"/>
  <c r="D53" i="11"/>
  <c r="E53" i="11"/>
  <c r="E63" i="11" s="1"/>
  <c r="F13" i="9"/>
  <c r="D13" i="9"/>
  <c r="E13" i="9" s="1"/>
  <c r="F12" i="9"/>
  <c r="D12" i="9"/>
  <c r="E12" i="9" s="1"/>
  <c r="F14" i="9"/>
  <c r="D14" i="9"/>
  <c r="E14" i="9" s="1"/>
  <c r="F10" i="9"/>
  <c r="D10" i="9"/>
  <c r="E10" i="9" s="1"/>
  <c r="H219" i="19"/>
  <c r="C16" i="9" s="1"/>
  <c r="I112" i="19"/>
  <c r="J112" i="19" s="1"/>
  <c r="I116" i="19"/>
  <c r="J116" i="19" s="1"/>
  <c r="I113" i="19"/>
  <c r="J113" i="19" s="1"/>
  <c r="I117" i="19"/>
  <c r="J117" i="19" s="1"/>
  <c r="I114" i="19"/>
  <c r="J114" i="19" s="1"/>
  <c r="I118" i="19"/>
  <c r="J118" i="19" s="1"/>
  <c r="I115" i="19"/>
  <c r="J115" i="19" s="1"/>
  <c r="I111" i="19"/>
  <c r="J111" i="19" s="1"/>
  <c r="I218" i="19"/>
  <c r="J218" i="19" s="1"/>
  <c r="AA27" i="11"/>
  <c r="W22" i="11"/>
  <c r="X22" i="11"/>
  <c r="I53" i="11"/>
  <c r="Y53" i="11" s="1"/>
  <c r="Y24" i="11"/>
  <c r="H53" i="11"/>
  <c r="X53" i="11" s="1"/>
  <c r="X24" i="11"/>
  <c r="Y32" i="11"/>
  <c r="Z32" i="11"/>
  <c r="W38" i="11"/>
  <c r="X38" i="11"/>
  <c r="W14" i="11"/>
  <c r="X14" i="11"/>
  <c r="X19" i="11"/>
  <c r="Y19" i="11"/>
  <c r="G53" i="11"/>
  <c r="W53" i="11" s="1"/>
  <c r="W24" i="11"/>
  <c r="AA32" i="11"/>
  <c r="K52" i="9"/>
  <c r="K53" i="9"/>
  <c r="H227" i="37" l="1"/>
  <c r="H229" i="37" s="1"/>
  <c r="G94" i="37"/>
  <c r="G212" i="37" s="1"/>
  <c r="G142" i="37"/>
  <c r="G168" i="37" s="1"/>
  <c r="G169" i="37" s="1"/>
  <c r="G170" i="37" s="1"/>
  <c r="G171" i="37" s="1"/>
  <c r="G172" i="37" s="1"/>
  <c r="J221" i="37"/>
  <c r="J220" i="37"/>
  <c r="J218" i="37"/>
  <c r="AD45" i="37"/>
  <c r="N42" i="38"/>
  <c r="H180" i="37"/>
  <c r="H189" i="37" s="1"/>
  <c r="H19" i="17"/>
  <c r="AC44" i="37"/>
  <c r="M37" i="38"/>
  <c r="B15" i="41"/>
  <c r="B5" i="41" s="1"/>
  <c r="B44" i="37"/>
  <c r="B142" i="37" s="1"/>
  <c r="B168" i="37" s="1"/>
  <c r="B169" i="37" s="1"/>
  <c r="B170" i="37" s="1"/>
  <c r="B171" i="37" s="1"/>
  <c r="B172" i="37" s="1"/>
  <c r="U44" i="37"/>
  <c r="J223" i="37"/>
  <c r="J224" i="37"/>
  <c r="J219" i="37"/>
  <c r="J217" i="37"/>
  <c r="J222" i="37"/>
  <c r="J106" i="37"/>
  <c r="J111" i="37"/>
  <c r="J110" i="37"/>
  <c r="B221" i="37"/>
  <c r="J108" i="37"/>
  <c r="D15" i="9"/>
  <c r="E15" i="9" s="1"/>
  <c r="O218" i="19"/>
  <c r="M219" i="19"/>
  <c r="D57" i="38"/>
  <c r="D57" i="11" s="1"/>
  <c r="D9" i="11"/>
  <c r="H57" i="38"/>
  <c r="H57" i="11" s="1"/>
  <c r="X57" i="11" s="1"/>
  <c r="H9" i="11"/>
  <c r="X9" i="11" s="1"/>
  <c r="E72" i="38"/>
  <c r="F9" i="11"/>
  <c r="F57" i="38"/>
  <c r="F57" i="11" s="1"/>
  <c r="J112" i="37"/>
  <c r="J113" i="37"/>
  <c r="J107" i="37"/>
  <c r="B57" i="38"/>
  <c r="B57" i="11" s="1"/>
  <c r="B9" i="11"/>
  <c r="D62" i="38"/>
  <c r="B222" i="37"/>
  <c r="B223" i="37"/>
  <c r="B224" i="37"/>
  <c r="B218" i="37"/>
  <c r="E57" i="38"/>
  <c r="E57" i="11" s="1"/>
  <c r="E9" i="11"/>
  <c r="C57" i="38"/>
  <c r="C57" i="11" s="1"/>
  <c r="C9" i="11"/>
  <c r="B220" i="37"/>
  <c r="F72" i="38"/>
  <c r="I57" i="38"/>
  <c r="I57" i="11" s="1"/>
  <c r="I9" i="11"/>
  <c r="Y9" i="11" s="1"/>
  <c r="G57" i="38"/>
  <c r="G57" i="11" s="1"/>
  <c r="W57" i="11" s="1"/>
  <c r="G9" i="11"/>
  <c r="W9" i="11" s="1"/>
  <c r="D72" i="38"/>
  <c r="H69" i="44"/>
  <c r="S46" i="37" s="1"/>
  <c r="H46" i="37" s="1"/>
  <c r="J67" i="44"/>
  <c r="R45" i="37"/>
  <c r="G45" i="37" s="1"/>
  <c r="G59" i="44"/>
  <c r="B68" i="44"/>
  <c r="M45" i="37" s="1"/>
  <c r="J58" i="44"/>
  <c r="H51" i="44"/>
  <c r="H60" i="44"/>
  <c r="B49" i="44"/>
  <c r="J48" i="44"/>
  <c r="B16" i="17"/>
  <c r="J15" i="17"/>
  <c r="B34" i="17"/>
  <c r="G19" i="17"/>
  <c r="E200" i="19"/>
  <c r="E199" i="39"/>
  <c r="E199" i="28"/>
  <c r="E199" i="23"/>
  <c r="E199" i="27"/>
  <c r="E199" i="26"/>
  <c r="E199" i="22"/>
  <c r="E199" i="32"/>
  <c r="N199" i="39" s="1"/>
  <c r="E199" i="33"/>
  <c r="W199" i="39" s="1"/>
  <c r="E199" i="21"/>
  <c r="E199" i="20"/>
  <c r="G36" i="17"/>
  <c r="Y22" i="31"/>
  <c r="X23" i="31"/>
  <c r="H52" i="11"/>
  <c r="X52" i="11" s="1"/>
  <c r="I219" i="19"/>
  <c r="J219" i="19" s="1"/>
  <c r="C218" i="19"/>
  <c r="D218" i="19" s="1"/>
  <c r="AA22" i="11"/>
  <c r="G52" i="11"/>
  <c r="C219" i="19"/>
  <c r="D219" i="19" s="1"/>
  <c r="D63" i="11"/>
  <c r="C63" i="11" s="1"/>
  <c r="B63" i="11" s="1"/>
  <c r="C52" i="11"/>
  <c r="B52" i="11" s="1"/>
  <c r="Z18" i="11"/>
  <c r="B43" i="41" l="1"/>
  <c r="B52" i="41" s="1"/>
  <c r="B25" i="41"/>
  <c r="B26" i="41" s="1"/>
  <c r="B27" i="41" s="1"/>
  <c r="B28" i="41" s="1"/>
  <c r="B29" i="41" s="1"/>
  <c r="B30" i="41" s="1"/>
  <c r="G158" i="37"/>
  <c r="G160" i="37" s="1"/>
  <c r="J142" i="37"/>
  <c r="B158" i="37"/>
  <c r="B160" i="37" s="1"/>
  <c r="B94" i="37"/>
  <c r="B212" i="37" s="1"/>
  <c r="X44" i="37"/>
  <c r="H181" i="37"/>
  <c r="H190" i="37" s="1"/>
  <c r="AD46" i="37"/>
  <c r="O42" i="38"/>
  <c r="AC45" i="37"/>
  <c r="G180" i="37"/>
  <c r="N37" i="38"/>
  <c r="B16" i="41"/>
  <c r="B6" i="41" s="1"/>
  <c r="B44" i="41" s="1"/>
  <c r="B53" i="41" s="1"/>
  <c r="M37" i="11"/>
  <c r="J99" i="38"/>
  <c r="B45" i="37"/>
  <c r="U45" i="37"/>
  <c r="AF44" i="37"/>
  <c r="AG44" i="37" s="1"/>
  <c r="M14" i="38"/>
  <c r="E62" i="38"/>
  <c r="F62" i="38"/>
  <c r="B62" i="38"/>
  <c r="X62" i="11"/>
  <c r="H62" i="38"/>
  <c r="I62" i="38"/>
  <c r="D57" i="34"/>
  <c r="Q218" i="19"/>
  <c r="D15" i="34" s="1"/>
  <c r="J6" i="38" s="1"/>
  <c r="J6" i="11" s="1"/>
  <c r="J7" i="11" s="1"/>
  <c r="D16" i="9"/>
  <c r="E16" i="9" s="1"/>
  <c r="O219" i="19"/>
  <c r="C62" i="38"/>
  <c r="G62" i="38"/>
  <c r="H70" i="44"/>
  <c r="S47" i="37" s="1"/>
  <c r="H47" i="37" s="1"/>
  <c r="J68" i="44"/>
  <c r="H52" i="44"/>
  <c r="H62" i="44" s="1"/>
  <c r="H61" i="44"/>
  <c r="G60" i="44"/>
  <c r="R46" i="37"/>
  <c r="G46" i="37" s="1"/>
  <c r="J59" i="44"/>
  <c r="B69" i="44"/>
  <c r="M46" i="37" s="1"/>
  <c r="B17" i="17"/>
  <c r="J16" i="17"/>
  <c r="K16" i="17" s="1"/>
  <c r="B35" i="17"/>
  <c r="B50" i="44"/>
  <c r="J49" i="44"/>
  <c r="E201" i="19"/>
  <c r="E200" i="39"/>
  <c r="E200" i="27"/>
  <c r="E200" i="26"/>
  <c r="E200" i="22"/>
  <c r="E200" i="28"/>
  <c r="E200" i="23"/>
  <c r="E200" i="32"/>
  <c r="N200" i="39" s="1"/>
  <c r="E200" i="33"/>
  <c r="W200" i="39" s="1"/>
  <c r="E200" i="21"/>
  <c r="E200" i="20"/>
  <c r="G37" i="17"/>
  <c r="Z22" i="31"/>
  <c r="Y23" i="31"/>
  <c r="F52" i="11"/>
  <c r="E52" i="11" s="1"/>
  <c r="D52" i="11" s="1"/>
  <c r="D62" i="11" s="1"/>
  <c r="W52" i="11"/>
  <c r="W62" i="11" s="1"/>
  <c r="C62" i="11"/>
  <c r="B62" i="11"/>
  <c r="J158" i="37" l="1"/>
  <c r="J160" i="37" s="1"/>
  <c r="J212" i="37"/>
  <c r="D34" i="34"/>
  <c r="J7" i="38"/>
  <c r="G70" i="38" s="1"/>
  <c r="E15" i="34"/>
  <c r="F15" i="34" s="1"/>
  <c r="P42" i="38"/>
  <c r="AD47" i="37"/>
  <c r="H182" i="37"/>
  <c r="H191" i="37" s="1"/>
  <c r="K99" i="38"/>
  <c r="N37" i="11"/>
  <c r="G181" i="37"/>
  <c r="G190" i="37" s="1"/>
  <c r="O37" i="38"/>
  <c r="AC46" i="37"/>
  <c r="B17" i="41"/>
  <c r="B7" i="41" s="1"/>
  <c r="B45" i="41" s="1"/>
  <c r="B54" i="41" s="1"/>
  <c r="M14" i="11"/>
  <c r="J76" i="38"/>
  <c r="B46" i="37"/>
  <c r="U46" i="37"/>
  <c r="X45" i="37"/>
  <c r="AF45" i="37" s="1"/>
  <c r="AG45" i="37" s="1"/>
  <c r="B180" i="37"/>
  <c r="N14" i="38"/>
  <c r="G69" i="38"/>
  <c r="D58" i="34"/>
  <c r="Q219" i="19"/>
  <c r="D16" i="34" s="1"/>
  <c r="K6" i="38" s="1"/>
  <c r="K7" i="38" s="1"/>
  <c r="H70" i="38" s="1"/>
  <c r="D76" i="34"/>
  <c r="E57" i="34"/>
  <c r="F57" i="34" s="1"/>
  <c r="H71" i="44"/>
  <c r="S48" i="37" s="1"/>
  <c r="H48" i="37" s="1"/>
  <c r="H72" i="44"/>
  <c r="S49" i="37" s="1"/>
  <c r="H49" i="37" s="1"/>
  <c r="J69" i="44"/>
  <c r="G61" i="44"/>
  <c r="R47" i="37"/>
  <c r="G47" i="37" s="1"/>
  <c r="B70" i="44"/>
  <c r="M47" i="37" s="1"/>
  <c r="J60" i="44"/>
  <c r="B51" i="44"/>
  <c r="J50" i="44"/>
  <c r="B18" i="17"/>
  <c r="J17" i="17"/>
  <c r="K17" i="17" s="1"/>
  <c r="B36" i="17"/>
  <c r="E202" i="19"/>
  <c r="E201" i="39"/>
  <c r="E201" i="27"/>
  <c r="E201" i="26"/>
  <c r="E201" i="28"/>
  <c r="E201" i="23"/>
  <c r="E201" i="22"/>
  <c r="E201" i="32"/>
  <c r="N201" i="39" s="1"/>
  <c r="E201" i="20"/>
  <c r="E201" i="21"/>
  <c r="E201" i="33"/>
  <c r="W201" i="39" s="1"/>
  <c r="AA22" i="31"/>
  <c r="Z23" i="31"/>
  <c r="AA18" i="11"/>
  <c r="G189" i="37" l="1"/>
  <c r="D35" i="34"/>
  <c r="H183" i="37"/>
  <c r="H192" i="37" s="1"/>
  <c r="AD48" i="37"/>
  <c r="Q42" i="38"/>
  <c r="H184" i="37"/>
  <c r="H193" i="37" s="1"/>
  <c r="AD49" i="37"/>
  <c r="R42" i="38"/>
  <c r="AC47" i="37"/>
  <c r="G182" i="37"/>
  <c r="G191" i="37" s="1"/>
  <c r="P37" i="38"/>
  <c r="B18" i="41"/>
  <c r="B8" i="41" s="1"/>
  <c r="B46" i="41" s="1"/>
  <c r="B55" i="41" s="1"/>
  <c r="N14" i="11"/>
  <c r="K76" i="38"/>
  <c r="B47" i="37"/>
  <c r="U47" i="37"/>
  <c r="B189" i="37"/>
  <c r="J180" i="37"/>
  <c r="X46" i="37"/>
  <c r="AF46" i="37" s="1"/>
  <c r="AG46" i="37" s="1"/>
  <c r="O14" i="38"/>
  <c r="B181" i="37"/>
  <c r="E16" i="34"/>
  <c r="F16" i="34" s="1"/>
  <c r="H69" i="38"/>
  <c r="K6" i="11"/>
  <c r="K7" i="11" s="1"/>
  <c r="D77" i="34"/>
  <c r="E58" i="34"/>
  <c r="F58" i="34" s="1"/>
  <c r="J70" i="44"/>
  <c r="B71" i="44"/>
  <c r="M48" i="37" s="1"/>
  <c r="J61" i="44"/>
  <c r="G62" i="44"/>
  <c r="R48" i="37"/>
  <c r="G48" i="37" s="1"/>
  <c r="B19" i="17"/>
  <c r="J18" i="17"/>
  <c r="K18" i="17" s="1"/>
  <c r="B37" i="17"/>
  <c r="B52" i="44"/>
  <c r="J52" i="44" s="1"/>
  <c r="J51" i="44"/>
  <c r="E203" i="19"/>
  <c r="E202" i="39"/>
  <c r="E202" i="28"/>
  <c r="E202" i="23"/>
  <c r="E202" i="26"/>
  <c r="E202" i="27"/>
  <c r="E202" i="22"/>
  <c r="E202" i="32"/>
  <c r="N202" i="39" s="1"/>
  <c r="E202" i="20"/>
  <c r="E202" i="21"/>
  <c r="E202" i="33"/>
  <c r="W202" i="39" s="1"/>
  <c r="AB22" i="31"/>
  <c r="AA23" i="31"/>
  <c r="Y38" i="11"/>
  <c r="F63" i="11"/>
  <c r="Y57" i="11"/>
  <c r="J217" i="19"/>
  <c r="Y28" i="11"/>
  <c r="J168" i="37" l="1"/>
  <c r="J189" i="37"/>
  <c r="Q37" i="38"/>
  <c r="AC48" i="37"/>
  <c r="G183" i="37"/>
  <c r="G192" i="37" s="1"/>
  <c r="B19" i="41"/>
  <c r="B9" i="41" s="1"/>
  <c r="B47" i="41" s="1"/>
  <c r="B56" i="41" s="1"/>
  <c r="B190" i="37"/>
  <c r="J190" i="37" s="1"/>
  <c r="J181" i="37"/>
  <c r="B48" i="37"/>
  <c r="U48" i="37"/>
  <c r="O14" i="11"/>
  <c r="L76" i="38"/>
  <c r="X47" i="37"/>
  <c r="AF47" i="37" s="1"/>
  <c r="AG47" i="37" s="1"/>
  <c r="B182" i="37"/>
  <c r="P14" i="38"/>
  <c r="R49" i="37"/>
  <c r="G49" i="37" s="1"/>
  <c r="J62" i="44"/>
  <c r="B72" i="44"/>
  <c r="M49" i="37" s="1"/>
  <c r="J71" i="44"/>
  <c r="J19" i="17"/>
  <c r="K19" i="17" s="1"/>
  <c r="E204" i="19"/>
  <c r="E203" i="39"/>
  <c r="E203" i="28"/>
  <c r="E203" i="23"/>
  <c r="E203" i="27"/>
  <c r="E203" i="26"/>
  <c r="E203" i="22"/>
  <c r="E203" i="32"/>
  <c r="N203" i="39" s="1"/>
  <c r="E203" i="21"/>
  <c r="E203" i="33"/>
  <c r="W203" i="39" s="1"/>
  <c r="E203" i="20"/>
  <c r="AC22" i="31"/>
  <c r="AB23" i="31"/>
  <c r="G63" i="11"/>
  <c r="W58" i="11"/>
  <c r="W63" i="11" s="1"/>
  <c r="I7" i="11"/>
  <c r="Y6" i="11"/>
  <c r="I63" i="11"/>
  <c r="Y58" i="11"/>
  <c r="Y63" i="11" s="1"/>
  <c r="H63" i="11"/>
  <c r="X58" i="11"/>
  <c r="X63" i="11" s="1"/>
  <c r="I52" i="11"/>
  <c r="J169" i="37" l="1"/>
  <c r="B191" i="37"/>
  <c r="J191" i="37" s="1"/>
  <c r="R37" i="38"/>
  <c r="AC49" i="37"/>
  <c r="G184" i="37"/>
  <c r="G193" i="37" s="1"/>
  <c r="B20" i="41"/>
  <c r="B10" i="41" s="1"/>
  <c r="B48" i="41" s="1"/>
  <c r="B57" i="41" s="1"/>
  <c r="B49" i="37"/>
  <c r="U49" i="37"/>
  <c r="P14" i="11"/>
  <c r="M76" i="38"/>
  <c r="J182" i="37"/>
  <c r="X48" i="37"/>
  <c r="AF48" i="37" s="1"/>
  <c r="AG48" i="37" s="1"/>
  <c r="Q14" i="38"/>
  <c r="B183" i="37"/>
  <c r="J72" i="44"/>
  <c r="E205" i="19"/>
  <c r="E204" i="39"/>
  <c r="E204" i="27"/>
  <c r="E204" i="22"/>
  <c r="E204" i="28"/>
  <c r="E204" i="23"/>
  <c r="E204" i="26"/>
  <c r="E204" i="32"/>
  <c r="N204" i="39" s="1"/>
  <c r="E204" i="20"/>
  <c r="E204" i="21"/>
  <c r="E204" i="33"/>
  <c r="W204" i="39" s="1"/>
  <c r="AD22" i="31"/>
  <c r="AC23" i="31"/>
  <c r="H7" i="11"/>
  <c r="Y7" i="11"/>
  <c r="I62" i="11"/>
  <c r="H62" i="11" s="1"/>
  <c r="G62" i="11" s="1"/>
  <c r="F62" i="11" s="1"/>
  <c r="E62" i="11" s="1"/>
  <c r="Y52" i="11"/>
  <c r="Y62" i="11" s="1"/>
  <c r="J170" i="37" l="1"/>
  <c r="B192" i="37"/>
  <c r="J192" i="37" s="1"/>
  <c r="J183" i="37"/>
  <c r="Q14" i="11"/>
  <c r="Z14" i="11" s="1"/>
  <c r="N76" i="38"/>
  <c r="X49" i="37"/>
  <c r="AF49" i="37" s="1"/>
  <c r="AG49" i="37" s="1"/>
  <c r="R14" i="38"/>
  <c r="B184" i="37"/>
  <c r="E206" i="19"/>
  <c r="E205" i="39"/>
  <c r="E205" i="27"/>
  <c r="E205" i="26"/>
  <c r="E205" i="28"/>
  <c r="E205" i="23"/>
  <c r="E205" i="22"/>
  <c r="E205" i="32"/>
  <c r="N205" i="39" s="1"/>
  <c r="E205" i="20"/>
  <c r="E205" i="33"/>
  <c r="W205" i="39" s="1"/>
  <c r="E205" i="21"/>
  <c r="AE22" i="31"/>
  <c r="AD23" i="31"/>
  <c r="G7" i="11"/>
  <c r="X7" i="11"/>
  <c r="J172" i="37" l="1"/>
  <c r="J171" i="37"/>
  <c r="J184" i="37"/>
  <c r="R14" i="11"/>
  <c r="AA14" i="11" s="1"/>
  <c r="O76" i="38"/>
  <c r="E206" i="39"/>
  <c r="E206" i="28"/>
  <c r="E206" i="23"/>
  <c r="E206" i="27"/>
  <c r="E206" i="26"/>
  <c r="E206" i="22"/>
  <c r="E206" i="32"/>
  <c r="N206" i="39" s="1"/>
  <c r="E206" i="33"/>
  <c r="W206" i="39" s="1"/>
  <c r="E206" i="21"/>
  <c r="E206" i="20"/>
  <c r="AF22" i="31"/>
  <c r="AE23" i="31"/>
  <c r="F7" i="11"/>
  <c r="E7" i="11" s="1"/>
  <c r="D7" i="11" s="1"/>
  <c r="C7" i="11" s="1"/>
  <c r="B7" i="11" s="1"/>
  <c r="W7" i="11"/>
  <c r="B193" i="37" l="1"/>
  <c r="J193" i="37" s="1"/>
  <c r="AG22" i="31"/>
  <c r="AF23" i="31"/>
  <c r="I51" i="11"/>
  <c r="H51" i="11"/>
  <c r="C51" i="11"/>
  <c r="C61" i="11" s="1"/>
  <c r="B51" i="11"/>
  <c r="B61" i="11" s="1"/>
  <c r="F51" i="11"/>
  <c r="F61" i="11" s="1"/>
  <c r="E51" i="11"/>
  <c r="E61" i="11" s="1"/>
  <c r="D51" i="11"/>
  <c r="D61" i="11" s="1"/>
  <c r="G51" i="11"/>
  <c r="D7" i="9"/>
  <c r="E7" i="9" s="1"/>
  <c r="A39" i="9"/>
  <c r="H228" i="37" l="1"/>
  <c r="H238" i="37" s="1"/>
  <c r="AH22" i="31"/>
  <c r="AG23" i="31"/>
  <c r="I61" i="11"/>
  <c r="Y51" i="11"/>
  <c r="Y61" i="11" s="1"/>
  <c r="G61" i="11"/>
  <c r="W51" i="11"/>
  <c r="W61" i="11" s="1"/>
  <c r="H61" i="11"/>
  <c r="X51" i="11"/>
  <c r="X61" i="11" s="1"/>
  <c r="N42" i="9" l="1"/>
  <c r="AI22" i="31"/>
  <c r="AH23" i="31"/>
  <c r="N43" i="9" l="1"/>
  <c r="AJ22" i="31"/>
  <c r="AI23" i="31"/>
  <c r="N44" i="9" l="1"/>
  <c r="AK22" i="31"/>
  <c r="AJ23" i="31"/>
  <c r="N45" i="9" l="1"/>
  <c r="AL22" i="31"/>
  <c r="AK23" i="31"/>
  <c r="I213" i="19"/>
  <c r="J213" i="19" s="1"/>
  <c r="I216" i="19"/>
  <c r="J216" i="19" s="1"/>
  <c r="I210" i="19"/>
  <c r="J210" i="19" s="1"/>
  <c r="I214" i="19"/>
  <c r="J214" i="19" s="1"/>
  <c r="I212" i="19"/>
  <c r="J212" i="19" s="1"/>
  <c r="N46" i="9" l="1"/>
  <c r="AM22" i="31"/>
  <c r="AL23" i="31"/>
  <c r="O56" i="9"/>
  <c r="AN22" i="31" l="1"/>
  <c r="AM23" i="31"/>
  <c r="O57" i="9"/>
  <c r="AO22" i="31" l="1"/>
  <c r="AN23" i="31"/>
  <c r="G10" i="18"/>
  <c r="G33" i="18" s="1"/>
  <c r="AP22" i="31" l="1"/>
  <c r="AO23" i="31"/>
  <c r="G11" i="18"/>
  <c r="G34" i="18" s="1"/>
  <c r="AQ22" i="31" l="1"/>
  <c r="AP23" i="31"/>
  <c r="AR22" i="31" l="1"/>
  <c r="AQ23" i="31"/>
  <c r="AS22" i="31" l="1"/>
  <c r="AR23" i="31"/>
  <c r="AT22" i="31" l="1"/>
  <c r="AS23" i="31"/>
  <c r="AU22" i="31" l="1"/>
  <c r="AT23" i="31"/>
  <c r="B17" i="9"/>
  <c r="E220" i="19"/>
  <c r="C220" i="19"/>
  <c r="D220" i="19" s="1"/>
  <c r="C17" i="34"/>
  <c r="L5" i="38" s="1"/>
  <c r="L5" i="11" l="1"/>
  <c r="I68" i="38"/>
  <c r="C36" i="34"/>
  <c r="B18" i="37"/>
  <c r="AV22" i="31"/>
  <c r="AU23" i="31"/>
  <c r="E18" i="37" l="1"/>
  <c r="C18" i="37"/>
  <c r="AW22" i="31"/>
  <c r="AW23" i="31" s="1"/>
  <c r="AV23" i="31"/>
  <c r="J70" i="38" l="1"/>
  <c r="J68" i="38"/>
  <c r="D18" i="37"/>
  <c r="K68" i="38" l="1"/>
  <c r="K70" i="38"/>
  <c r="L68" i="38"/>
  <c r="L70" i="38" l="1"/>
  <c r="M68" i="38"/>
  <c r="N68" i="38" l="1"/>
  <c r="M70" i="38"/>
  <c r="N70" i="38" l="1"/>
  <c r="O68" i="38"/>
  <c r="O70" i="38" l="1"/>
  <c r="H33" i="17" l="1"/>
  <c r="H34" i="17" l="1"/>
  <c r="N66" i="9"/>
  <c r="M47" i="11"/>
  <c r="I33" i="17"/>
  <c r="H35" i="17"/>
  <c r="N67" i="9"/>
  <c r="K14" i="17" l="1"/>
  <c r="K15" i="17"/>
  <c r="J44" i="37"/>
  <c r="N81" i="9"/>
  <c r="I34" i="17"/>
  <c r="N47" i="11"/>
  <c r="J109" i="38"/>
  <c r="J34" i="17"/>
  <c r="J33" i="17"/>
  <c r="H36" i="17"/>
  <c r="N68" i="9"/>
  <c r="N80" i="9"/>
  <c r="F19" i="37" l="1"/>
  <c r="G19" i="37" s="1"/>
  <c r="H19" i="37" s="1"/>
  <c r="J94" i="37"/>
  <c r="M56" i="38"/>
  <c r="M56" i="11" s="1"/>
  <c r="AH44" i="37"/>
  <c r="M104" i="38"/>
  <c r="P42" i="11"/>
  <c r="J45" i="37"/>
  <c r="F20" i="37" s="1"/>
  <c r="G20" i="37" s="1"/>
  <c r="H20" i="37" s="1"/>
  <c r="N82" i="9"/>
  <c r="I35" i="17"/>
  <c r="O47" i="11"/>
  <c r="K109" i="38"/>
  <c r="H37" i="17"/>
  <c r="N69" i="9"/>
  <c r="I19" i="37" l="1"/>
  <c r="I20" i="37"/>
  <c r="N56" i="38"/>
  <c r="N56" i="11" s="1"/>
  <c r="AH45" i="37"/>
  <c r="N104" i="38"/>
  <c r="Q42" i="11"/>
  <c r="Z42" i="11" s="1"/>
  <c r="J46" i="37"/>
  <c r="F21" i="37" s="1"/>
  <c r="I36" i="17"/>
  <c r="P47" i="11"/>
  <c r="N70" i="9"/>
  <c r="J35" i="17"/>
  <c r="L109" i="38"/>
  <c r="N83" i="9"/>
  <c r="O56" i="38" l="1"/>
  <c r="O56" i="11" s="1"/>
  <c r="AH46" i="37"/>
  <c r="O104" i="38"/>
  <c r="R42" i="11"/>
  <c r="AA42" i="11" s="1"/>
  <c r="J47" i="37"/>
  <c r="F22" i="37" s="1"/>
  <c r="J36" i="17"/>
  <c r="I21" i="37"/>
  <c r="G21" i="37"/>
  <c r="H21" i="37" s="1"/>
  <c r="N84" i="9"/>
  <c r="I37" i="17"/>
  <c r="Q47" i="11"/>
  <c r="M109" i="38"/>
  <c r="P56" i="38" l="1"/>
  <c r="P56" i="11" s="1"/>
  <c r="AH47" i="37"/>
  <c r="J48" i="37"/>
  <c r="F23" i="37" s="1"/>
  <c r="N109" i="38"/>
  <c r="J37" i="17"/>
  <c r="J49" i="37"/>
  <c r="F24" i="37" s="1"/>
  <c r="R47" i="11"/>
  <c r="G22" i="37"/>
  <c r="H22" i="37" s="1"/>
  <c r="I22" i="37"/>
  <c r="Z47" i="11"/>
  <c r="R56" i="38" l="1"/>
  <c r="AH49" i="37"/>
  <c r="Q56" i="38"/>
  <c r="Q56" i="11" s="1"/>
  <c r="Z56" i="11" s="1"/>
  <c r="AH48" i="37"/>
  <c r="R56" i="11"/>
  <c r="AA56" i="11" s="1"/>
  <c r="I23" i="37"/>
  <c r="G23" i="37"/>
  <c r="H23" i="37" s="1"/>
  <c r="O109" i="38"/>
  <c r="AA47" i="11"/>
  <c r="I24" i="37" l="1"/>
  <c r="G24" i="37"/>
  <c r="H24" i="37" s="1"/>
  <c r="H17" i="9" l="1"/>
  <c r="C220" i="20"/>
  <c r="D220" i="20" s="1"/>
  <c r="E220" i="20"/>
  <c r="H40" i="9" l="1"/>
  <c r="H58" i="9" s="1"/>
  <c r="B68" i="37"/>
  <c r="L15" i="38" l="1"/>
  <c r="B93" i="37"/>
  <c r="B116" i="37" s="1"/>
  <c r="B115" i="37" l="1"/>
  <c r="B117" i="37" s="1"/>
  <c r="B211" i="37"/>
  <c r="I77" i="38"/>
  <c r="L15" i="11"/>
  <c r="B227" i="37" l="1"/>
  <c r="B226" i="37"/>
  <c r="B229" i="37" l="1"/>
  <c r="C220" i="21"/>
  <c r="D220" i="21"/>
  <c r="E220" i="21"/>
  <c r="I17" i="9"/>
  <c r="I40" i="9" l="1"/>
  <c r="I58" i="9" s="1"/>
  <c r="C68" i="37"/>
  <c r="C93" i="37" s="1"/>
  <c r="C116" i="37" s="1"/>
  <c r="L19" i="38" l="1"/>
  <c r="I81" i="38" s="1"/>
  <c r="C211" i="37"/>
  <c r="C115" i="37"/>
  <c r="C117" i="37" s="1"/>
  <c r="C227" i="37" l="1"/>
  <c r="L19" i="11"/>
  <c r="C226" i="37"/>
  <c r="C229" i="37" l="1"/>
  <c r="C220" i="22"/>
  <c r="D220" i="22"/>
  <c r="E220" i="22"/>
  <c r="J17" i="9"/>
  <c r="J40" i="9" s="1"/>
  <c r="B35" i="18" l="1"/>
  <c r="J58" i="9"/>
  <c r="B317" i="37"/>
  <c r="D68" i="37"/>
  <c r="B45" i="18" l="1"/>
  <c r="B43" i="18" s="1"/>
  <c r="B334" i="37" s="1"/>
  <c r="B332" i="37"/>
  <c r="B335" i="37" s="1"/>
  <c r="D93" i="37"/>
  <c r="D116" i="37" s="1"/>
  <c r="L23" i="38"/>
  <c r="I85" i="38" l="1"/>
  <c r="L23" i="11"/>
  <c r="D115" i="37"/>
  <c r="D117" i="37" s="1"/>
  <c r="D211" i="37"/>
  <c r="D227" i="37" l="1"/>
  <c r="D226" i="37"/>
  <c r="D229" i="37" l="1"/>
  <c r="C220" i="26"/>
  <c r="D220" i="26"/>
  <c r="E220" i="26"/>
  <c r="L17" i="9"/>
  <c r="F68" i="37" l="1"/>
  <c r="D35" i="18"/>
  <c r="D45" i="18" s="1"/>
  <c r="L40" i="9"/>
  <c r="D317" i="37"/>
  <c r="D332" i="37" s="1"/>
  <c r="D335" i="37" s="1"/>
  <c r="D43" i="18" l="1"/>
  <c r="L58" i="9"/>
  <c r="L33" i="38"/>
  <c r="F93" i="37"/>
  <c r="F116" i="37" s="1"/>
  <c r="D334" i="37" l="1"/>
  <c r="I95" i="38"/>
  <c r="L33" i="11"/>
  <c r="F115" i="37"/>
  <c r="F117" i="37" s="1"/>
  <c r="F211" i="37"/>
  <c r="F227" i="37" l="1"/>
  <c r="F226" i="37"/>
  <c r="F229" i="37" l="1"/>
  <c r="C220" i="23"/>
  <c r="D220" i="23"/>
  <c r="E220" i="23"/>
  <c r="K17" i="9"/>
  <c r="C35" i="18" s="1"/>
  <c r="C45" i="18" l="1"/>
  <c r="C43" i="18" s="1"/>
  <c r="C334" i="37" s="1"/>
  <c r="C317" i="37"/>
  <c r="E68" i="37"/>
  <c r="K40" i="9"/>
  <c r="K58" i="9" l="1"/>
  <c r="E93" i="37"/>
  <c r="E116" i="37" s="1"/>
  <c r="L28" i="38"/>
  <c r="C332" i="37"/>
  <c r="C335" i="37" s="1"/>
  <c r="E115" i="37" l="1"/>
  <c r="E117" i="37" s="1"/>
  <c r="E211" i="37"/>
  <c r="I90" i="38"/>
  <c r="L28" i="11"/>
  <c r="E227" i="37" l="1"/>
  <c r="E226" i="37"/>
  <c r="E229" i="37" l="1"/>
  <c r="M17" i="9"/>
  <c r="M40" i="9" s="1"/>
  <c r="H35" i="18"/>
  <c r="C220" i="27"/>
  <c r="D220" i="27"/>
  <c r="E220" i="27"/>
  <c r="E35" i="18" l="1"/>
  <c r="M58" i="9"/>
  <c r="G35" i="18"/>
  <c r="E317" i="37"/>
  <c r="G68" i="37"/>
  <c r="E45" i="18" l="1"/>
  <c r="E43" i="18" s="1"/>
  <c r="E334" i="37" s="1"/>
  <c r="L38" i="38"/>
  <c r="G93" i="37"/>
  <c r="G116" i="37" s="1"/>
  <c r="E332" i="37"/>
  <c r="E335" i="37" s="1"/>
  <c r="G317" i="37"/>
  <c r="G332" i="37" s="1"/>
  <c r="G335" i="37" s="1"/>
  <c r="G211" i="37" l="1"/>
  <c r="G115" i="37"/>
  <c r="G117" i="37" s="1"/>
  <c r="I100" i="38"/>
  <c r="L38" i="11"/>
  <c r="G227" i="37" l="1"/>
  <c r="G226" i="37"/>
  <c r="G229" i="37" l="1"/>
  <c r="O17" i="9"/>
  <c r="P17" i="9" s="1"/>
  <c r="P40" i="9" s="1"/>
  <c r="C220" i="28"/>
  <c r="D220" i="28"/>
  <c r="I68" i="37" l="1"/>
  <c r="G17" i="9"/>
  <c r="O40" i="9"/>
  <c r="O58" i="9" l="1"/>
  <c r="F17" i="9"/>
  <c r="G40" i="9"/>
  <c r="I93" i="37"/>
  <c r="I116" i="37" s="1"/>
  <c r="L48" i="38"/>
  <c r="J68" i="37"/>
  <c r="G58" i="9" l="1"/>
  <c r="I115" i="37"/>
  <c r="I117" i="37" s="1"/>
  <c r="I211" i="37"/>
  <c r="L52" i="38"/>
  <c r="I110" i="38"/>
  <c r="I114" i="38" s="1"/>
  <c r="L48" i="11"/>
  <c r="L52" i="11" s="1"/>
  <c r="J93" i="37"/>
  <c r="J211" i="37"/>
  <c r="L9" i="38"/>
  <c r="I227" i="37" l="1"/>
  <c r="J226" i="37"/>
  <c r="J227" i="37"/>
  <c r="J115" i="37"/>
  <c r="J116" i="37"/>
  <c r="I226" i="37"/>
  <c r="I72" i="38"/>
  <c r="L9" i="11"/>
  <c r="L57" i="38"/>
  <c r="L57" i="11" s="1"/>
  <c r="L62" i="11" s="1"/>
  <c r="I229" i="37" l="1"/>
  <c r="J229" i="37"/>
  <c r="J117" i="37"/>
  <c r="L62" i="38"/>
  <c r="C220" i="32" l="1"/>
  <c r="D220" i="32" s="1"/>
  <c r="E220" i="32"/>
  <c r="C220" i="33"/>
  <c r="D220" i="33" s="1"/>
  <c r="E220" i="33"/>
  <c r="H259" i="37" l="1"/>
  <c r="P51" i="38"/>
  <c r="P61" i="38" s="1"/>
  <c r="Q51" i="38"/>
  <c r="Q61" i="38" s="1"/>
  <c r="R51" i="38"/>
  <c r="R61" i="38" s="1"/>
  <c r="L99" i="38"/>
  <c r="M99" i="38"/>
  <c r="M113" i="38" s="1"/>
  <c r="N99" i="38"/>
  <c r="N113" i="38" s="1"/>
  <c r="O99" i="38"/>
  <c r="O113" i="38" s="1"/>
  <c r="O37" i="11"/>
  <c r="P37" i="11"/>
  <c r="P51" i="11" s="1"/>
  <c r="P61" i="11" s="1"/>
  <c r="Q37" i="11"/>
  <c r="R37" i="11"/>
  <c r="AA37" i="11" s="1"/>
  <c r="H239" i="37" l="1"/>
  <c r="H260" i="37" s="1"/>
  <c r="H76" i="44"/>
  <c r="R51" i="11"/>
  <c r="AA51" i="11" s="1"/>
  <c r="AA61" i="11" s="1"/>
  <c r="Q51" i="11"/>
  <c r="Z37" i="11"/>
  <c r="H240" i="37" l="1"/>
  <c r="H261" i="37" s="1"/>
  <c r="H77" i="44"/>
  <c r="R61" i="11"/>
  <c r="Z51" i="11"/>
  <c r="Z61" i="11" s="1"/>
  <c r="Q61" i="11"/>
  <c r="J51" i="38"/>
  <c r="J61" i="38" s="1"/>
  <c r="K51" i="38"/>
  <c r="K61" i="38" s="1"/>
  <c r="L51" i="38"/>
  <c r="L61" i="38" s="1"/>
  <c r="M51" i="38"/>
  <c r="M61" i="38" s="1"/>
  <c r="N51" i="38"/>
  <c r="N61" i="38" s="1"/>
  <c r="O51" i="38"/>
  <c r="O61" i="38" s="1"/>
  <c r="G104" i="38"/>
  <c r="G113" i="38" s="1"/>
  <c r="H104" i="38"/>
  <c r="H113" i="38" s="1"/>
  <c r="I104" i="38"/>
  <c r="I113" i="38" s="1"/>
  <c r="J104" i="38"/>
  <c r="J113" i="38" s="1"/>
  <c r="K104" i="38"/>
  <c r="K113" i="38" s="1"/>
  <c r="L104" i="38"/>
  <c r="L113" i="38" s="1"/>
  <c r="J42" i="11"/>
  <c r="J51" i="11" s="1"/>
  <c r="J61" i="11" s="1"/>
  <c r="K42" i="11"/>
  <c r="K51" i="11" s="1"/>
  <c r="K61" i="11" s="1"/>
  <c r="L42" i="11"/>
  <c r="L51" i="11" s="1"/>
  <c r="L61" i="11" s="1"/>
  <c r="M42" i="11"/>
  <c r="M51" i="11" s="1"/>
  <c r="M61" i="11" s="1"/>
  <c r="N42" i="11"/>
  <c r="N51" i="11" s="1"/>
  <c r="N61" i="11" s="1"/>
  <c r="O42" i="11"/>
  <c r="O51" i="11" s="1"/>
  <c r="O61" i="11" s="1"/>
  <c r="H241" i="37" l="1"/>
  <c r="H262" i="37" s="1"/>
  <c r="H78" i="44"/>
  <c r="H242" i="37" l="1"/>
  <c r="H79" i="44"/>
  <c r="H80" i="44" l="1"/>
  <c r="H263" i="37"/>
  <c r="H18" i="9" l="1"/>
  <c r="H41" i="9" s="1"/>
  <c r="H59" i="9" s="1"/>
  <c r="H61" i="9" s="1"/>
  <c r="B228" i="37" s="1"/>
  <c r="B238" i="37" s="1"/>
  <c r="B239" i="37" s="1"/>
  <c r="B240" i="37" s="1"/>
  <c r="B241" i="37" s="1"/>
  <c r="B242" i="37" s="1"/>
  <c r="I18" i="9"/>
  <c r="I41" i="9" s="1"/>
  <c r="I59" i="9" s="1"/>
  <c r="I61" i="9" s="1"/>
  <c r="C228" i="37" s="1"/>
  <c r="C238" i="37" s="1"/>
  <c r="J18" i="9"/>
  <c r="J41" i="9" s="1"/>
  <c r="J59" i="9" s="1"/>
  <c r="J61" i="9" s="1"/>
  <c r="D228" i="37" s="1"/>
  <c r="D238" i="37" s="1"/>
  <c r="L18" i="9"/>
  <c r="L41" i="9" s="1"/>
  <c r="L59" i="9" s="1"/>
  <c r="F228" i="37" s="1"/>
  <c r="F238" i="37" s="1"/>
  <c r="K18" i="9"/>
  <c r="K41" i="9" s="1"/>
  <c r="K59" i="9" s="1"/>
  <c r="M18" i="9"/>
  <c r="E228" i="37" l="1"/>
  <c r="E238" i="37" s="1"/>
  <c r="H42" i="9"/>
  <c r="J42" i="9"/>
  <c r="L42" i="9"/>
  <c r="C15" i="41"/>
  <c r="E15" i="41" s="1"/>
  <c r="H15" i="41" s="1"/>
  <c r="M41" i="9"/>
  <c r="M59" i="9" s="1"/>
  <c r="G228" i="37" s="1"/>
  <c r="G238" i="37" s="1"/>
  <c r="I42" i="9"/>
  <c r="O18" i="9"/>
  <c r="O41" i="9" s="1"/>
  <c r="O59" i="9" s="1"/>
  <c r="I228" i="37" s="1"/>
  <c r="I238" i="37" s="1"/>
  <c r="G15" i="41" l="1"/>
  <c r="I15" i="41" s="1"/>
  <c r="B76" i="44"/>
  <c r="B259" i="37"/>
  <c r="D259" i="37"/>
  <c r="D76" i="44"/>
  <c r="D239" i="37"/>
  <c r="F239" i="37"/>
  <c r="F259" i="37"/>
  <c r="F76" i="44"/>
  <c r="K42" i="9"/>
  <c r="K43" i="9" s="1"/>
  <c r="C259" i="37"/>
  <c r="C239" i="37"/>
  <c r="C76" i="44"/>
  <c r="L66" i="9"/>
  <c r="L80" i="9" s="1"/>
  <c r="L43" i="9"/>
  <c r="J66" i="9"/>
  <c r="J80" i="9" s="1"/>
  <c r="J43" i="9"/>
  <c r="I66" i="9"/>
  <c r="I80" i="9" s="1"/>
  <c r="I43" i="9"/>
  <c r="M42" i="9"/>
  <c r="H66" i="9"/>
  <c r="H43" i="9"/>
  <c r="O42" i="9"/>
  <c r="P18" i="9"/>
  <c r="P41" i="9" s="1"/>
  <c r="G18" i="9"/>
  <c r="F240" i="37" l="1"/>
  <c r="F260" i="37"/>
  <c r="F77" i="44"/>
  <c r="E259" i="37"/>
  <c r="E76" i="44"/>
  <c r="E239" i="37"/>
  <c r="B77" i="44"/>
  <c r="B260" i="37"/>
  <c r="G239" i="37"/>
  <c r="G259" i="37"/>
  <c r="G76" i="44"/>
  <c r="D260" i="37"/>
  <c r="D240" i="37"/>
  <c r="D77" i="44"/>
  <c r="K66" i="9"/>
  <c r="K80" i="9" s="1"/>
  <c r="I259" i="37"/>
  <c r="I76" i="44"/>
  <c r="I239" i="37"/>
  <c r="C240" i="37"/>
  <c r="C77" i="44"/>
  <c r="C260" i="37"/>
  <c r="M66" i="9"/>
  <c r="M80" i="9" s="1"/>
  <c r="M43" i="9"/>
  <c r="F18" i="9"/>
  <c r="G41" i="9"/>
  <c r="G59" i="9" s="1"/>
  <c r="G61" i="9" s="1"/>
  <c r="O43" i="9"/>
  <c r="O66" i="9"/>
  <c r="O80" i="9" s="1"/>
  <c r="J44" i="9"/>
  <c r="J67" i="9"/>
  <c r="J81" i="9" s="1"/>
  <c r="I67" i="9"/>
  <c r="I81" i="9" s="1"/>
  <c r="I44" i="9"/>
  <c r="L67" i="9"/>
  <c r="L81" i="9" s="1"/>
  <c r="L44" i="9"/>
  <c r="H67" i="9"/>
  <c r="H44" i="9"/>
  <c r="K44" i="9"/>
  <c r="K67" i="9"/>
  <c r="K81" i="9" s="1"/>
  <c r="H80" i="9"/>
  <c r="Q18" i="9"/>
  <c r="J259" i="37" l="1"/>
  <c r="P80" i="9"/>
  <c r="I260" i="37"/>
  <c r="I240" i="37"/>
  <c r="I77" i="44"/>
  <c r="B261" i="37"/>
  <c r="B78" i="44"/>
  <c r="D261" i="37"/>
  <c r="D241" i="37"/>
  <c r="D78" i="44"/>
  <c r="E260" i="37"/>
  <c r="E77" i="44"/>
  <c r="E240" i="37"/>
  <c r="F241" i="37"/>
  <c r="F261" i="37"/>
  <c r="F78" i="44"/>
  <c r="G260" i="37"/>
  <c r="G240" i="37"/>
  <c r="G77" i="44"/>
  <c r="C241" i="37"/>
  <c r="C78" i="44"/>
  <c r="C261" i="37"/>
  <c r="G66" i="9"/>
  <c r="P42" i="9" s="1"/>
  <c r="H45" i="9"/>
  <c r="H68" i="9"/>
  <c r="O44" i="9"/>
  <c r="O67" i="9"/>
  <c r="O81" i="9" s="1"/>
  <c r="H81" i="9"/>
  <c r="L45" i="9"/>
  <c r="L68" i="9"/>
  <c r="L82" i="9" s="1"/>
  <c r="M44" i="9"/>
  <c r="M67" i="9"/>
  <c r="M81" i="9" s="1"/>
  <c r="J68" i="9"/>
  <c r="J82" i="9" s="1"/>
  <c r="J45" i="9"/>
  <c r="I45" i="9"/>
  <c r="I68" i="9"/>
  <c r="I82" i="9" s="1"/>
  <c r="K68" i="9"/>
  <c r="K82" i="9" s="1"/>
  <c r="K45" i="9"/>
  <c r="J238" i="37" l="1"/>
  <c r="J228" i="37" s="1"/>
  <c r="J260" i="37"/>
  <c r="C262" i="37"/>
  <c r="C242" i="37"/>
  <c r="C79" i="44"/>
  <c r="E261" i="37"/>
  <c r="E78" i="44"/>
  <c r="E241" i="37"/>
  <c r="D262" i="37"/>
  <c r="D79" i="44"/>
  <c r="D242" i="37"/>
  <c r="G241" i="37"/>
  <c r="G261" i="37"/>
  <c r="G78" i="44"/>
  <c r="F262" i="37"/>
  <c r="F242" i="37"/>
  <c r="F79" i="44"/>
  <c r="I261" i="37"/>
  <c r="I241" i="37"/>
  <c r="I78" i="44"/>
  <c r="B262" i="37"/>
  <c r="B79" i="44"/>
  <c r="P81" i="9"/>
  <c r="G67" i="9"/>
  <c r="P43" i="9" s="1"/>
  <c r="J46" i="9"/>
  <c r="J70" i="9" s="1"/>
  <c r="J84" i="9" s="1"/>
  <c r="J69" i="9"/>
  <c r="J83" i="9" s="1"/>
  <c r="K46" i="9"/>
  <c r="K70" i="9" s="1"/>
  <c r="K84" i="9" s="1"/>
  <c r="K69" i="9"/>
  <c r="K83" i="9" s="1"/>
  <c r="H82" i="9"/>
  <c r="L46" i="9"/>
  <c r="L70" i="9" s="1"/>
  <c r="L84" i="9" s="1"/>
  <c r="L69" i="9"/>
  <c r="L83" i="9" s="1"/>
  <c r="H46" i="9"/>
  <c r="H70" i="9" s="1"/>
  <c r="H69" i="9"/>
  <c r="I46" i="9"/>
  <c r="I70" i="9" s="1"/>
  <c r="I84" i="9" s="1"/>
  <c r="I69" i="9"/>
  <c r="I83" i="9" s="1"/>
  <c r="M45" i="9"/>
  <c r="M68" i="9"/>
  <c r="M82" i="9" s="1"/>
  <c r="O68" i="9"/>
  <c r="O82" i="9" s="1"/>
  <c r="O45" i="9"/>
  <c r="J76" i="44" l="1"/>
  <c r="J261" i="37"/>
  <c r="F263" i="37"/>
  <c r="F80" i="44"/>
  <c r="G242" i="37"/>
  <c r="G262" i="37"/>
  <c r="G79" i="44"/>
  <c r="I262" i="37"/>
  <c r="I242" i="37"/>
  <c r="I79" i="44"/>
  <c r="E262" i="37"/>
  <c r="E79" i="44"/>
  <c r="E242" i="37"/>
  <c r="C80" i="44"/>
  <c r="C263" i="37"/>
  <c r="B80" i="44"/>
  <c r="B263" i="37"/>
  <c r="D80" i="44"/>
  <c r="D263" i="37"/>
  <c r="J239" i="37"/>
  <c r="J77" i="44" s="1"/>
  <c r="H84" i="9"/>
  <c r="O69" i="9"/>
  <c r="O83" i="9" s="1"/>
  <c r="O46" i="9"/>
  <c r="O70" i="9" s="1"/>
  <c r="O84" i="9" s="1"/>
  <c r="H83" i="9"/>
  <c r="G68" i="9"/>
  <c r="M69" i="9"/>
  <c r="M83" i="9" s="1"/>
  <c r="M46" i="9"/>
  <c r="M70" i="9" s="1"/>
  <c r="M84" i="9" s="1"/>
  <c r="P82" i="9"/>
  <c r="J262" i="37" l="1"/>
  <c r="E263" i="37"/>
  <c r="E80" i="44"/>
  <c r="I80" i="44"/>
  <c r="I263" i="37"/>
  <c r="G263" i="37"/>
  <c r="G80" i="44"/>
  <c r="G69" i="9"/>
  <c r="G70" i="9"/>
  <c r="P44" i="9"/>
  <c r="J240" i="37"/>
  <c r="J78" i="44" s="1"/>
  <c r="P83" i="9"/>
  <c r="P84" i="9"/>
  <c r="N119" i="37"/>
  <c r="D15" i="41"/>
  <c r="F15" i="41" s="1"/>
  <c r="G13" i="18"/>
  <c r="G36" i="18" s="1"/>
  <c r="G45" i="18" s="1"/>
  <c r="G43" i="18" s="1"/>
  <c r="G334" i="37" s="1"/>
  <c r="T119" i="37"/>
  <c r="J263" i="37" l="1"/>
  <c r="P46" i="9"/>
  <c r="J242" i="37"/>
  <c r="J80" i="44" s="1"/>
  <c r="P45" i="9"/>
  <c r="J241" i="37"/>
  <c r="J79" i="44" s="1"/>
  <c r="M48" i="38"/>
  <c r="O119" i="37"/>
  <c r="P119" i="37"/>
  <c r="R119" i="37"/>
  <c r="Q119" i="37"/>
  <c r="S119" i="37"/>
  <c r="M19" i="38"/>
  <c r="J81" i="38" l="1"/>
  <c r="M19" i="11"/>
  <c r="M33" i="38"/>
  <c r="M23" i="38"/>
  <c r="M28" i="38"/>
  <c r="J110" i="38"/>
  <c r="M48" i="11"/>
  <c r="M43" i="38"/>
  <c r="M38" i="38"/>
  <c r="J95" i="38" l="1"/>
  <c r="M33" i="11"/>
  <c r="J100" i="38"/>
  <c r="M38" i="11"/>
  <c r="J85" i="38"/>
  <c r="M23" i="11"/>
  <c r="J90" i="38"/>
  <c r="M28" i="11"/>
  <c r="U69" i="37"/>
  <c r="M119" i="37"/>
  <c r="U119" i="37" s="1"/>
  <c r="J105" i="38"/>
  <c r="M43" i="11"/>
  <c r="M15" i="38" l="1"/>
  <c r="M9" i="38"/>
  <c r="J106" i="38"/>
  <c r="M44" i="11"/>
  <c r="J91" i="38"/>
  <c r="M29" i="11"/>
  <c r="J101" i="38"/>
  <c r="M39" i="11"/>
  <c r="J96" i="38"/>
  <c r="M34" i="11"/>
  <c r="M58" i="38" l="1"/>
  <c r="M58" i="11" s="1"/>
  <c r="M10" i="11"/>
  <c r="J86" i="38"/>
  <c r="J115" i="38" s="1"/>
  <c r="M53" i="38"/>
  <c r="M24" i="11"/>
  <c r="M53" i="11" s="1"/>
  <c r="M63" i="11" s="1"/>
  <c r="M57" i="38"/>
  <c r="M57" i="11" s="1"/>
  <c r="J72" i="38"/>
  <c r="M9" i="11"/>
  <c r="M52" i="38"/>
  <c r="J77" i="38"/>
  <c r="J114" i="38" s="1"/>
  <c r="M15" i="11"/>
  <c r="M52" i="11" s="1"/>
  <c r="D135" i="32"/>
  <c r="H135" i="32" s="1"/>
  <c r="Q135" i="39" s="1"/>
  <c r="D136" i="32"/>
  <c r="D137" i="32"/>
  <c r="D138" i="32"/>
  <c r="D139" i="32"/>
  <c r="H139" i="32" s="1"/>
  <c r="I139" i="32" s="1"/>
  <c r="J139" i="32" s="1"/>
  <c r="D140" i="32"/>
  <c r="D141" i="32"/>
  <c r="D142" i="32"/>
  <c r="D143" i="32"/>
  <c r="H143" i="32" s="1"/>
  <c r="I143" i="32" s="1"/>
  <c r="J143" i="32" s="1"/>
  <c r="D144" i="32"/>
  <c r="D145" i="32"/>
  <c r="D146" i="32"/>
  <c r="D135" i="33"/>
  <c r="H135" i="33" s="1"/>
  <c r="Z135" i="39" s="1"/>
  <c r="D136" i="33"/>
  <c r="H136" i="33"/>
  <c r="I136" i="33" s="1"/>
  <c r="J136" i="33" s="1"/>
  <c r="D137" i="33"/>
  <c r="D138" i="33"/>
  <c r="H138" i="33"/>
  <c r="I138" i="33" s="1"/>
  <c r="J138" i="33" s="1"/>
  <c r="D139" i="33"/>
  <c r="H139" i="33" s="1"/>
  <c r="I139" i="33" s="1"/>
  <c r="J139" i="33" s="1"/>
  <c r="D140" i="33"/>
  <c r="H140" i="33"/>
  <c r="I140" i="33" s="1"/>
  <c r="J140" i="33" s="1"/>
  <c r="D141" i="33"/>
  <c r="H141" i="33" s="1"/>
  <c r="I141" i="33" s="1"/>
  <c r="J141" i="33" s="1"/>
  <c r="D142" i="33"/>
  <c r="H142" i="33"/>
  <c r="I142" i="33" s="1"/>
  <c r="J142" i="33" s="1"/>
  <c r="D143" i="33"/>
  <c r="H143" i="33" s="1"/>
  <c r="I143" i="33" s="1"/>
  <c r="J143" i="33" s="1"/>
  <c r="D144" i="33"/>
  <c r="H144" i="33"/>
  <c r="I144" i="33" s="1"/>
  <c r="J144" i="33" s="1"/>
  <c r="D145" i="33"/>
  <c r="H145" i="33" s="1"/>
  <c r="I145" i="33" s="1"/>
  <c r="J145" i="33" s="1"/>
  <c r="D146" i="33"/>
  <c r="H146" i="33"/>
  <c r="I146" i="33" s="1"/>
  <c r="J146" i="33" s="1"/>
  <c r="D148" i="33"/>
  <c r="D151" i="33"/>
  <c r="H151" i="33" s="1"/>
  <c r="D157" i="33"/>
  <c r="D135" i="39"/>
  <c r="M135" i="39"/>
  <c r="V135" i="39"/>
  <c r="D136" i="39"/>
  <c r="M136" i="39"/>
  <c r="V136" i="39"/>
  <c r="D137" i="39"/>
  <c r="M137" i="39"/>
  <c r="V137" i="39"/>
  <c r="D138" i="39"/>
  <c r="M138" i="39"/>
  <c r="V138" i="39"/>
  <c r="Z138" i="39"/>
  <c r="D139" i="39"/>
  <c r="M139" i="39"/>
  <c r="V139" i="39"/>
  <c r="D140" i="39"/>
  <c r="M140" i="39"/>
  <c r="V140" i="39"/>
  <c r="D141" i="39"/>
  <c r="M141" i="39"/>
  <c r="V141" i="39"/>
  <c r="D142" i="39"/>
  <c r="M142" i="39"/>
  <c r="V142" i="39"/>
  <c r="D143" i="39"/>
  <c r="M143" i="39"/>
  <c r="V143" i="39"/>
  <c r="D144" i="39"/>
  <c r="M144" i="39"/>
  <c r="V144" i="39"/>
  <c r="D145" i="39"/>
  <c r="M145" i="39"/>
  <c r="V145" i="39"/>
  <c r="D146" i="39"/>
  <c r="M146" i="39"/>
  <c r="V146" i="39"/>
  <c r="V151" i="39"/>
  <c r="Z151" i="39"/>
  <c r="V157" i="39"/>
  <c r="D135" i="21"/>
  <c r="D136" i="21"/>
  <c r="D137" i="21"/>
  <c r="D138" i="21"/>
  <c r="D139" i="21"/>
  <c r="D140" i="21"/>
  <c r="D141" i="21"/>
  <c r="D142" i="21"/>
  <c r="D143" i="21"/>
  <c r="D144" i="21"/>
  <c r="D145" i="21"/>
  <c r="D146" i="21"/>
  <c r="D135" i="22"/>
  <c r="D136" i="22"/>
  <c r="D137" i="22"/>
  <c r="D138" i="22"/>
  <c r="D139" i="22"/>
  <c r="D140" i="22"/>
  <c r="D141" i="22"/>
  <c r="D142" i="22"/>
  <c r="D143" i="22"/>
  <c r="D144" i="22"/>
  <c r="D145" i="22"/>
  <c r="D146" i="22"/>
  <c r="D135" i="26"/>
  <c r="D136" i="26"/>
  <c r="D137" i="26"/>
  <c r="D138" i="26"/>
  <c r="D139" i="26"/>
  <c r="D140" i="26"/>
  <c r="D141" i="26"/>
  <c r="D142" i="26"/>
  <c r="D143" i="26"/>
  <c r="D144" i="26"/>
  <c r="D145" i="26"/>
  <c r="D146" i="26"/>
  <c r="D135" i="23"/>
  <c r="D136" i="23"/>
  <c r="D137" i="23"/>
  <c r="D138" i="23"/>
  <c r="D139" i="23"/>
  <c r="D140" i="23"/>
  <c r="D141" i="23"/>
  <c r="D142" i="23"/>
  <c r="D143" i="23"/>
  <c r="D144" i="23"/>
  <c r="D145" i="23"/>
  <c r="D146" i="23"/>
  <c r="H135" i="19"/>
  <c r="H135" i="39" s="1"/>
  <c r="H136" i="19"/>
  <c r="H136" i="39" s="1"/>
  <c r="H137" i="19"/>
  <c r="H137" i="39" s="1"/>
  <c r="H138" i="19"/>
  <c r="H138" i="39" s="1"/>
  <c r="H139" i="19"/>
  <c r="H139" i="39" s="1"/>
  <c r="H140" i="19"/>
  <c r="H140" i="39" s="1"/>
  <c r="H141" i="19"/>
  <c r="H141" i="39" s="1"/>
  <c r="H142" i="19"/>
  <c r="H142" i="39" s="1"/>
  <c r="H143" i="19"/>
  <c r="H143" i="39" s="1"/>
  <c r="H144" i="19"/>
  <c r="H144" i="39" s="1"/>
  <c r="H145" i="19"/>
  <c r="H145" i="39" s="1"/>
  <c r="H146" i="19"/>
  <c r="H146" i="39" s="1"/>
  <c r="D135" i="20"/>
  <c r="D136" i="20"/>
  <c r="D137" i="20"/>
  <c r="D138" i="20"/>
  <c r="D139" i="20"/>
  <c r="D140" i="20"/>
  <c r="D141" i="20"/>
  <c r="D142" i="20"/>
  <c r="D143" i="20"/>
  <c r="D144" i="20"/>
  <c r="D145" i="20"/>
  <c r="D146" i="20"/>
  <c r="D135" i="27"/>
  <c r="D136" i="27"/>
  <c r="D137" i="27"/>
  <c r="D138" i="27"/>
  <c r="D139" i="27"/>
  <c r="D140" i="27"/>
  <c r="D141" i="27"/>
  <c r="D142" i="27"/>
  <c r="D143" i="27"/>
  <c r="D144" i="27"/>
  <c r="D145" i="27"/>
  <c r="D146" i="27"/>
  <c r="D135" i="28"/>
  <c r="D136" i="28"/>
  <c r="D137" i="28"/>
  <c r="D138" i="28"/>
  <c r="D139" i="28"/>
  <c r="D140" i="28"/>
  <c r="D141" i="28"/>
  <c r="D142" i="28"/>
  <c r="D143" i="28"/>
  <c r="D144" i="28"/>
  <c r="D145" i="28"/>
  <c r="D146" i="28"/>
  <c r="M63" i="38" l="1"/>
  <c r="M62" i="38"/>
  <c r="M62" i="11"/>
  <c r="Z146" i="39"/>
  <c r="Z144" i="39"/>
  <c r="Z141" i="39"/>
  <c r="Q143" i="39"/>
  <c r="Q139" i="39"/>
  <c r="Z139" i="39"/>
  <c r="Z136" i="39"/>
  <c r="I135" i="33"/>
  <c r="J135" i="33" s="1"/>
  <c r="Z142" i="39"/>
  <c r="Z140" i="39"/>
  <c r="I221" i="28"/>
  <c r="J221" i="28" s="1"/>
  <c r="K221" i="28" s="1"/>
  <c r="H221" i="19"/>
  <c r="Z145" i="39"/>
  <c r="Z143" i="39"/>
  <c r="I221" i="27"/>
  <c r="J221" i="27" s="1"/>
  <c r="K221" i="27" s="1"/>
  <c r="I221" i="20"/>
  <c r="J221" i="20" s="1"/>
  <c r="K221" i="20" s="1"/>
  <c r="I221" i="23"/>
  <c r="J221" i="23" s="1"/>
  <c r="K221" i="23" s="1"/>
  <c r="I221" i="26"/>
  <c r="J221" i="26" s="1"/>
  <c r="K221" i="26" s="1"/>
  <c r="I221" i="22"/>
  <c r="J221" i="22" s="1"/>
  <c r="K221" i="22" s="1"/>
  <c r="I221" i="21"/>
  <c r="J221" i="21" s="1"/>
  <c r="K221" i="21" s="1"/>
  <c r="H148" i="33"/>
  <c r="Z148" i="39" s="1"/>
  <c r="V148" i="39"/>
  <c r="H157" i="33"/>
  <c r="Z157" i="39" s="1"/>
  <c r="H145" i="32"/>
  <c r="D157" i="32"/>
  <c r="H141" i="32"/>
  <c r="D153" i="32"/>
  <c r="H137" i="32"/>
  <c r="D149" i="32"/>
  <c r="D147" i="32"/>
  <c r="D155" i="32"/>
  <c r="D151" i="32"/>
  <c r="D153" i="33"/>
  <c r="D155" i="33"/>
  <c r="D150" i="33"/>
  <c r="H137" i="33"/>
  <c r="D149" i="33"/>
  <c r="D147" i="33"/>
  <c r="D152" i="33"/>
  <c r="D154" i="33"/>
  <c r="D156" i="33"/>
  <c r="D158" i="33"/>
  <c r="I135" i="32"/>
  <c r="J135" i="32" s="1"/>
  <c r="H146" i="32"/>
  <c r="D158" i="32"/>
  <c r="H142" i="32"/>
  <c r="D154" i="32"/>
  <c r="H138" i="32"/>
  <c r="D150" i="32"/>
  <c r="H144" i="32"/>
  <c r="D156" i="32"/>
  <c r="H140" i="32"/>
  <c r="D152" i="32"/>
  <c r="H136" i="32"/>
  <c r="D148" i="32"/>
  <c r="M221" i="19" l="1"/>
  <c r="O221" i="19" s="1"/>
  <c r="Q221" i="19" s="1"/>
  <c r="D18" i="34" s="1"/>
  <c r="I221" i="19"/>
  <c r="J221" i="19" s="1"/>
  <c r="C18" i="9"/>
  <c r="D18" i="9" s="1"/>
  <c r="E18" i="9" s="1"/>
  <c r="D160" i="33"/>
  <c r="H160" i="33"/>
  <c r="Z160" i="39" s="1"/>
  <c r="V160" i="39"/>
  <c r="H154" i="32"/>
  <c r="Q154" i="39" s="1"/>
  <c r="D166" i="32"/>
  <c r="M154" i="39"/>
  <c r="H156" i="33"/>
  <c r="Z156" i="39" s="1"/>
  <c r="D168" i="33"/>
  <c r="V156" i="39"/>
  <c r="H147" i="32"/>
  <c r="D159" i="32"/>
  <c r="M147" i="39"/>
  <c r="I144" i="32"/>
  <c r="J144" i="32" s="1"/>
  <c r="Q144" i="39"/>
  <c r="I137" i="33"/>
  <c r="J137" i="33" s="1"/>
  <c r="Z137" i="39"/>
  <c r="H149" i="32"/>
  <c r="Q149" i="39" s="1"/>
  <c r="D161" i="32"/>
  <c r="M149" i="39"/>
  <c r="H150" i="32"/>
  <c r="Q150" i="39" s="1"/>
  <c r="D162" i="32"/>
  <c r="M150" i="39"/>
  <c r="H158" i="32"/>
  <c r="Q158" i="39" s="1"/>
  <c r="D170" i="32"/>
  <c r="M158" i="39"/>
  <c r="H221" i="33"/>
  <c r="H152" i="33"/>
  <c r="Z152" i="39" s="1"/>
  <c r="D164" i="33"/>
  <c r="V152" i="39"/>
  <c r="H150" i="33"/>
  <c r="Z150" i="39" s="1"/>
  <c r="D162" i="33"/>
  <c r="V150" i="39"/>
  <c r="H151" i="32"/>
  <c r="Q151" i="39" s="1"/>
  <c r="D163" i="32"/>
  <c r="M151" i="39"/>
  <c r="I137" i="32"/>
  <c r="J137" i="32" s="1"/>
  <c r="Q137" i="39"/>
  <c r="I145" i="32"/>
  <c r="J145" i="32" s="1"/>
  <c r="Q145" i="39"/>
  <c r="H148" i="32"/>
  <c r="Q148" i="39" s="1"/>
  <c r="D160" i="32"/>
  <c r="M148" i="39"/>
  <c r="H156" i="32"/>
  <c r="Q156" i="39" s="1"/>
  <c r="D168" i="32"/>
  <c r="M156" i="39"/>
  <c r="H149" i="33"/>
  <c r="Z149" i="39" s="1"/>
  <c r="D161" i="33"/>
  <c r="V149" i="39"/>
  <c r="D163" i="33"/>
  <c r="I141" i="32"/>
  <c r="J141" i="32" s="1"/>
  <c r="Q141" i="39"/>
  <c r="I136" i="32"/>
  <c r="J136" i="32" s="1"/>
  <c r="Q136" i="39"/>
  <c r="I142" i="32"/>
  <c r="J142" i="32" s="1"/>
  <c r="Q142" i="39"/>
  <c r="H221" i="32"/>
  <c r="H154" i="33"/>
  <c r="Z154" i="39" s="1"/>
  <c r="D166" i="33"/>
  <c r="V154" i="39"/>
  <c r="H153" i="33"/>
  <c r="Z153" i="39" s="1"/>
  <c r="D165" i="33"/>
  <c r="V153" i="39"/>
  <c r="H157" i="32"/>
  <c r="Q157" i="39" s="1"/>
  <c r="D169" i="32"/>
  <c r="M157" i="39"/>
  <c r="H152" i="32"/>
  <c r="Q152" i="39" s="1"/>
  <c r="D164" i="32"/>
  <c r="M152" i="39"/>
  <c r="I140" i="32"/>
  <c r="J140" i="32" s="1"/>
  <c r="Q140" i="39"/>
  <c r="I138" i="32"/>
  <c r="J138" i="32" s="1"/>
  <c r="Q138" i="39"/>
  <c r="I146" i="32"/>
  <c r="J146" i="32" s="1"/>
  <c r="Q146" i="39"/>
  <c r="H158" i="33"/>
  <c r="Z158" i="39" s="1"/>
  <c r="D170" i="33"/>
  <c r="V158" i="39"/>
  <c r="H147" i="33"/>
  <c r="D159" i="33"/>
  <c r="V147" i="39"/>
  <c r="H155" i="33"/>
  <c r="Z155" i="39" s="1"/>
  <c r="D167" i="33"/>
  <c r="V155" i="39"/>
  <c r="H155" i="32"/>
  <c r="Q155" i="39" s="1"/>
  <c r="D167" i="32"/>
  <c r="M155" i="39"/>
  <c r="H153" i="32"/>
  <c r="Q153" i="39" s="1"/>
  <c r="D165" i="32"/>
  <c r="M153" i="39"/>
  <c r="D169" i="33"/>
  <c r="H170" i="33" l="1"/>
  <c r="Z170" i="39" s="1"/>
  <c r="D182" i="33"/>
  <c r="V170" i="39"/>
  <c r="H163" i="32"/>
  <c r="Q163" i="39" s="1"/>
  <c r="D175" i="32"/>
  <c r="M163" i="39"/>
  <c r="H169" i="33"/>
  <c r="Z169" i="39" s="1"/>
  <c r="D181" i="33"/>
  <c r="V169" i="39"/>
  <c r="H167" i="33"/>
  <c r="Z167" i="39" s="1"/>
  <c r="D179" i="33"/>
  <c r="V167" i="39"/>
  <c r="H222" i="33"/>
  <c r="Z147" i="39"/>
  <c r="H169" i="32"/>
  <c r="Q169" i="39" s="1"/>
  <c r="D181" i="32"/>
  <c r="M169" i="39"/>
  <c r="M221" i="32"/>
  <c r="O221" i="32" s="1"/>
  <c r="H168" i="32"/>
  <c r="Q168" i="39" s="1"/>
  <c r="D180" i="32"/>
  <c r="M168" i="39"/>
  <c r="H164" i="33"/>
  <c r="Z164" i="39" s="1"/>
  <c r="D176" i="33"/>
  <c r="V164" i="39"/>
  <c r="H170" i="32"/>
  <c r="Q170" i="39" s="1"/>
  <c r="D182" i="32"/>
  <c r="M170" i="39"/>
  <c r="H168" i="33"/>
  <c r="Z168" i="39" s="1"/>
  <c r="D180" i="33"/>
  <c r="V168" i="39"/>
  <c r="H165" i="32"/>
  <c r="Q165" i="39" s="1"/>
  <c r="D177" i="32"/>
  <c r="M165" i="39"/>
  <c r="H166" i="33"/>
  <c r="Z166" i="39" s="1"/>
  <c r="D178" i="33"/>
  <c r="V166" i="39"/>
  <c r="H161" i="32"/>
  <c r="Q161" i="39" s="1"/>
  <c r="D173" i="32"/>
  <c r="M161" i="39"/>
  <c r="H167" i="32"/>
  <c r="Q167" i="39" s="1"/>
  <c r="D179" i="32"/>
  <c r="M167" i="39"/>
  <c r="M6" i="38"/>
  <c r="H161" i="33"/>
  <c r="Z161" i="39" s="1"/>
  <c r="V161" i="39"/>
  <c r="D173" i="33"/>
  <c r="H162" i="33"/>
  <c r="Z162" i="39" s="1"/>
  <c r="D174" i="33"/>
  <c r="V162" i="39"/>
  <c r="H159" i="32"/>
  <c r="D171" i="32"/>
  <c r="M159" i="39"/>
  <c r="I221" i="33"/>
  <c r="J221" i="33" s="1"/>
  <c r="M221" i="33"/>
  <c r="O221" i="33" s="1"/>
  <c r="H222" i="32"/>
  <c r="Q147" i="39"/>
  <c r="D172" i="33"/>
  <c r="H159" i="33"/>
  <c r="D171" i="33"/>
  <c r="V159" i="39"/>
  <c r="H164" i="32"/>
  <c r="Q164" i="39" s="1"/>
  <c r="D176" i="32"/>
  <c r="M164" i="39"/>
  <c r="H165" i="33"/>
  <c r="Z165" i="39" s="1"/>
  <c r="D177" i="33"/>
  <c r="V165" i="39"/>
  <c r="H163" i="33"/>
  <c r="Z163" i="39" s="1"/>
  <c r="D175" i="33"/>
  <c r="V163" i="39"/>
  <c r="H160" i="32"/>
  <c r="Q160" i="39" s="1"/>
  <c r="D172" i="32"/>
  <c r="M160" i="39"/>
  <c r="H162" i="32"/>
  <c r="Q162" i="39" s="1"/>
  <c r="D174" i="32"/>
  <c r="M162" i="39"/>
  <c r="H166" i="32"/>
  <c r="Q166" i="39" s="1"/>
  <c r="D178" i="32"/>
  <c r="M166" i="39"/>
  <c r="H178" i="32" l="1"/>
  <c r="Q178" i="39" s="1"/>
  <c r="D190" i="32"/>
  <c r="M178" i="39"/>
  <c r="H177" i="33"/>
  <c r="Z177" i="39" s="1"/>
  <c r="D189" i="33"/>
  <c r="V177" i="39"/>
  <c r="H172" i="33"/>
  <c r="Z172" i="39" s="1"/>
  <c r="D184" i="33"/>
  <c r="V172" i="39"/>
  <c r="H223" i="32"/>
  <c r="Q159" i="39"/>
  <c r="H180" i="32"/>
  <c r="Q180" i="39" s="1"/>
  <c r="D192" i="32"/>
  <c r="M180" i="39"/>
  <c r="H172" i="32"/>
  <c r="Q172" i="39" s="1"/>
  <c r="D184" i="32"/>
  <c r="M172" i="39"/>
  <c r="H171" i="33"/>
  <c r="D183" i="33"/>
  <c r="V171" i="39"/>
  <c r="B222" i="32"/>
  <c r="I222" i="32" s="1"/>
  <c r="J222" i="32" s="1"/>
  <c r="H174" i="33"/>
  <c r="Z174" i="39" s="1"/>
  <c r="D186" i="33"/>
  <c r="V174" i="39"/>
  <c r="H173" i="32"/>
  <c r="Q173" i="39" s="1"/>
  <c r="D185" i="32"/>
  <c r="M173" i="39"/>
  <c r="H182" i="32"/>
  <c r="Q182" i="39" s="1"/>
  <c r="D194" i="32"/>
  <c r="M182" i="39"/>
  <c r="I221" i="32"/>
  <c r="J221" i="32" s="1"/>
  <c r="H181" i="32"/>
  <c r="Q181" i="39" s="1"/>
  <c r="D193" i="32"/>
  <c r="M181" i="39"/>
  <c r="H181" i="33"/>
  <c r="Z181" i="39" s="1"/>
  <c r="D193" i="33"/>
  <c r="V181" i="39"/>
  <c r="H173" i="33"/>
  <c r="Z173" i="39" s="1"/>
  <c r="D185" i="33"/>
  <c r="V173" i="39"/>
  <c r="H174" i="32"/>
  <c r="Q174" i="39" s="1"/>
  <c r="D186" i="32"/>
  <c r="M174" i="39"/>
  <c r="H176" i="32"/>
  <c r="Q176" i="39" s="1"/>
  <c r="D188" i="32"/>
  <c r="M176" i="39"/>
  <c r="H223" i="33"/>
  <c r="Z159" i="39"/>
  <c r="H171" i="32"/>
  <c r="D183" i="32"/>
  <c r="M171" i="39"/>
  <c r="J69" i="38"/>
  <c r="M6" i="11"/>
  <c r="H179" i="32"/>
  <c r="Q179" i="39" s="1"/>
  <c r="D191" i="32"/>
  <c r="M179" i="39"/>
  <c r="H180" i="33"/>
  <c r="Z180" i="39" s="1"/>
  <c r="D192" i="33"/>
  <c r="V180" i="39"/>
  <c r="Q221" i="32"/>
  <c r="E37" i="34" s="1"/>
  <c r="H179" i="33"/>
  <c r="Z179" i="39" s="1"/>
  <c r="D191" i="33"/>
  <c r="V179" i="39"/>
  <c r="Q221" i="33"/>
  <c r="F37" i="34" s="1"/>
  <c r="C19" i="37"/>
  <c r="D19" i="37" s="1"/>
  <c r="E19" i="37"/>
  <c r="H177" i="32"/>
  <c r="Q177" i="39" s="1"/>
  <c r="D189" i="32"/>
  <c r="M177" i="39"/>
  <c r="H182" i="33"/>
  <c r="Z182" i="39" s="1"/>
  <c r="D194" i="33"/>
  <c r="V182" i="39"/>
  <c r="H175" i="33"/>
  <c r="Z175" i="39" s="1"/>
  <c r="D187" i="33"/>
  <c r="V175" i="39"/>
  <c r="H178" i="33"/>
  <c r="Z178" i="39" s="1"/>
  <c r="D190" i="33"/>
  <c r="V178" i="39"/>
  <c r="H176" i="33"/>
  <c r="Z176" i="39" s="1"/>
  <c r="D188" i="33"/>
  <c r="V176" i="39"/>
  <c r="B222" i="33"/>
  <c r="I222" i="33" s="1"/>
  <c r="J222" i="33" s="1"/>
  <c r="H175" i="32"/>
  <c r="Q175" i="39" s="1"/>
  <c r="D187" i="32"/>
  <c r="M175" i="39"/>
  <c r="H189" i="32" l="1"/>
  <c r="Q189" i="39" s="1"/>
  <c r="D201" i="32"/>
  <c r="M189" i="39"/>
  <c r="H192" i="33"/>
  <c r="Z192" i="39" s="1"/>
  <c r="D204" i="33"/>
  <c r="V192" i="39"/>
  <c r="H183" i="32"/>
  <c r="D195" i="32"/>
  <c r="M183" i="39"/>
  <c r="H186" i="32"/>
  <c r="Q186" i="39" s="1"/>
  <c r="D198" i="32"/>
  <c r="M186" i="39"/>
  <c r="H185" i="32"/>
  <c r="Q185" i="39" s="1"/>
  <c r="D197" i="32"/>
  <c r="M185" i="39"/>
  <c r="H184" i="32"/>
  <c r="Q184" i="39" s="1"/>
  <c r="D196" i="32"/>
  <c r="M184" i="39"/>
  <c r="H188" i="33"/>
  <c r="Z188" i="39" s="1"/>
  <c r="D200" i="33"/>
  <c r="V188" i="39"/>
  <c r="H194" i="33"/>
  <c r="Z194" i="39" s="1"/>
  <c r="D206" i="33"/>
  <c r="V194" i="39"/>
  <c r="H224" i="32"/>
  <c r="Q171" i="39"/>
  <c r="H188" i="32"/>
  <c r="Q188" i="39" s="1"/>
  <c r="D200" i="32"/>
  <c r="M188" i="39"/>
  <c r="H193" i="32"/>
  <c r="Q193" i="39" s="1"/>
  <c r="D205" i="32"/>
  <c r="M193" i="39"/>
  <c r="H194" i="32"/>
  <c r="Q194" i="39" s="1"/>
  <c r="D206" i="32"/>
  <c r="M194" i="39"/>
  <c r="H183" i="33"/>
  <c r="D195" i="33"/>
  <c r="V183" i="39"/>
  <c r="B223" i="32"/>
  <c r="I223" i="32" s="1"/>
  <c r="J223" i="32" s="1"/>
  <c r="H190" i="32"/>
  <c r="Q190" i="39" s="1"/>
  <c r="D202" i="32"/>
  <c r="M190" i="39"/>
  <c r="H187" i="33"/>
  <c r="Z187" i="39" s="1"/>
  <c r="D199" i="33"/>
  <c r="V187" i="39"/>
  <c r="H187" i="32"/>
  <c r="Q187" i="39" s="1"/>
  <c r="D199" i="32"/>
  <c r="M187" i="39"/>
  <c r="C222" i="33"/>
  <c r="D222" i="33" s="1"/>
  <c r="E222" i="33"/>
  <c r="H191" i="33"/>
  <c r="Z191" i="39" s="1"/>
  <c r="D203" i="33"/>
  <c r="V191" i="39"/>
  <c r="H191" i="32"/>
  <c r="Q191" i="39" s="1"/>
  <c r="D203" i="32"/>
  <c r="M191" i="39"/>
  <c r="B223" i="33"/>
  <c r="I223" i="33" s="1"/>
  <c r="J223" i="33" s="1"/>
  <c r="H185" i="33"/>
  <c r="Z185" i="39" s="1"/>
  <c r="D197" i="33"/>
  <c r="V185" i="39"/>
  <c r="H186" i="33"/>
  <c r="Z186" i="39" s="1"/>
  <c r="D198" i="33"/>
  <c r="V186" i="39"/>
  <c r="C222" i="32"/>
  <c r="D222" i="32" s="1"/>
  <c r="E222" i="32"/>
  <c r="H184" i="33"/>
  <c r="Z184" i="39" s="1"/>
  <c r="D196" i="33"/>
  <c r="V184" i="39"/>
  <c r="H190" i="33"/>
  <c r="Z190" i="39" s="1"/>
  <c r="D202" i="33"/>
  <c r="V190" i="39"/>
  <c r="H193" i="33"/>
  <c r="Z193" i="39" s="1"/>
  <c r="D205" i="33"/>
  <c r="V193" i="39"/>
  <c r="H224" i="33"/>
  <c r="Z171" i="39"/>
  <c r="H192" i="32"/>
  <c r="Q192" i="39" s="1"/>
  <c r="D204" i="32"/>
  <c r="M192" i="39"/>
  <c r="H189" i="33"/>
  <c r="Z189" i="39" s="1"/>
  <c r="D201" i="33"/>
  <c r="V189" i="39"/>
  <c r="H206" i="32" l="1"/>
  <c r="Q206" i="39" s="1"/>
  <c r="M206" i="39"/>
  <c r="H197" i="32"/>
  <c r="Q197" i="39" s="1"/>
  <c r="M197" i="39"/>
  <c r="H204" i="32"/>
  <c r="Q204" i="39" s="1"/>
  <c r="M204" i="39"/>
  <c r="H202" i="33"/>
  <c r="Z202" i="39" s="1"/>
  <c r="V202" i="39"/>
  <c r="H197" i="33"/>
  <c r="Z197" i="39" s="1"/>
  <c r="V197" i="39"/>
  <c r="C223" i="32"/>
  <c r="D223" i="32" s="1"/>
  <c r="E223" i="32"/>
  <c r="Z183" i="39"/>
  <c r="H225" i="33"/>
  <c r="H200" i="32"/>
  <c r="Q200" i="39" s="1"/>
  <c r="M200" i="39"/>
  <c r="H200" i="33"/>
  <c r="Z200" i="39" s="1"/>
  <c r="V200" i="39"/>
  <c r="H195" i="32"/>
  <c r="M195" i="39"/>
  <c r="H203" i="32"/>
  <c r="Q203" i="39" s="1"/>
  <c r="M203" i="39"/>
  <c r="H201" i="33"/>
  <c r="Z201" i="39" s="1"/>
  <c r="V201" i="39"/>
  <c r="H205" i="33"/>
  <c r="Z205" i="39" s="1"/>
  <c r="V205" i="39"/>
  <c r="H198" i="33"/>
  <c r="Z198" i="39" s="1"/>
  <c r="V198" i="39"/>
  <c r="H203" i="33"/>
  <c r="Z203" i="39" s="1"/>
  <c r="V203" i="39"/>
  <c r="H202" i="32"/>
  <c r="Q202" i="39" s="1"/>
  <c r="M202" i="39"/>
  <c r="H205" i="32"/>
  <c r="Q205" i="39" s="1"/>
  <c r="M205" i="39"/>
  <c r="H206" i="33"/>
  <c r="Z206" i="39" s="1"/>
  <c r="V206" i="39"/>
  <c r="H198" i="32"/>
  <c r="Q198" i="39" s="1"/>
  <c r="M198" i="39"/>
  <c r="H225" i="32"/>
  <c r="Q183" i="39"/>
  <c r="H199" i="33"/>
  <c r="Z199" i="39" s="1"/>
  <c r="V199" i="39"/>
  <c r="H201" i="32"/>
  <c r="Q201" i="39" s="1"/>
  <c r="M201" i="39"/>
  <c r="B224" i="33"/>
  <c r="I224" i="33" s="1"/>
  <c r="J224" i="33" s="1"/>
  <c r="H196" i="33"/>
  <c r="Z196" i="39" s="1"/>
  <c r="V196" i="39"/>
  <c r="C223" i="33"/>
  <c r="D223" i="33" s="1"/>
  <c r="E223" i="33"/>
  <c r="H199" i="32"/>
  <c r="Q199" i="39" s="1"/>
  <c r="M199" i="39"/>
  <c r="H195" i="33"/>
  <c r="V195" i="39"/>
  <c r="B224" i="32"/>
  <c r="I224" i="32" s="1"/>
  <c r="J224" i="32" s="1"/>
  <c r="H196" i="32"/>
  <c r="Q196" i="39" s="1"/>
  <c r="M196" i="39"/>
  <c r="H204" i="33"/>
  <c r="Z204" i="39" s="1"/>
  <c r="V204" i="39"/>
  <c r="B225" i="32" l="1"/>
  <c r="H226" i="32"/>
  <c r="Q195" i="39"/>
  <c r="H226" i="33"/>
  <c r="Z195" i="39"/>
  <c r="B225" i="33"/>
  <c r="I225" i="33" s="1"/>
  <c r="J225" i="33" s="1"/>
  <c r="E224" i="32"/>
  <c r="C224" i="32"/>
  <c r="D224" i="32" s="1"/>
  <c r="E224" i="33"/>
  <c r="C224" i="33"/>
  <c r="D224" i="33" s="1"/>
  <c r="B226" i="32" l="1"/>
  <c r="E225" i="32"/>
  <c r="C225" i="32"/>
  <c r="D225" i="32" s="1"/>
  <c r="B226" i="33"/>
  <c r="E225" i="33"/>
  <c r="C225" i="33"/>
  <c r="D225" i="33" s="1"/>
  <c r="I225" i="32"/>
  <c r="J225" i="32" s="1"/>
  <c r="C226" i="33" l="1"/>
  <c r="D226" i="33" s="1"/>
  <c r="E226" i="33"/>
  <c r="C226" i="32"/>
  <c r="D226" i="32" s="1"/>
  <c r="E226" i="32"/>
  <c r="B228" i="32"/>
  <c r="I226" i="33"/>
  <c r="J226" i="33" s="1"/>
  <c r="B228" i="33"/>
  <c r="I226" i="32"/>
  <c r="J226" i="32" s="1"/>
  <c r="H6" i="41" l="1"/>
  <c r="H7" i="41"/>
  <c r="H8" i="41"/>
  <c r="H9" i="41"/>
  <c r="H10" i="41"/>
  <c r="H44" i="41" l="1"/>
  <c r="H45" i="41"/>
  <c r="H46" i="41"/>
  <c r="H47" i="41"/>
  <c r="H48" i="41"/>
  <c r="G283" i="37"/>
  <c r="E339" i="37" s="1"/>
  <c r="N38" i="38"/>
  <c r="N38" i="11" s="1"/>
  <c r="K100" i="38"/>
  <c r="G284" i="37"/>
  <c r="G285" i="37"/>
  <c r="G286" i="37"/>
  <c r="E342" i="37" s="1"/>
  <c r="G287" i="37"/>
  <c r="E343" i="37" s="1"/>
  <c r="R39" i="38" s="1"/>
  <c r="E340" i="37"/>
  <c r="F7" i="41" s="1"/>
  <c r="E341" i="37"/>
  <c r="O38" i="38"/>
  <c r="L100" i="38" s="1"/>
  <c r="P38" i="38"/>
  <c r="P38" i="11" s="1"/>
  <c r="Q38" i="38"/>
  <c r="N100" i="38" s="1"/>
  <c r="R38" i="38"/>
  <c r="O100" i="38" s="1"/>
  <c r="M100" i="38"/>
  <c r="R38" i="11" l="1"/>
  <c r="AA38" i="11" s="1"/>
  <c r="O39" i="38"/>
  <c r="O101" i="38"/>
  <c r="R39" i="11"/>
  <c r="AA39" i="11" s="1"/>
  <c r="Q39" i="38"/>
  <c r="N101" i="38" s="1"/>
  <c r="F9" i="41"/>
  <c r="Q38" i="11"/>
  <c r="Z38" i="11" s="1"/>
  <c r="O38" i="11"/>
  <c r="F6" i="41"/>
  <c r="N39" i="38"/>
  <c r="P39" i="38"/>
  <c r="F8" i="41"/>
  <c r="F10" i="41"/>
  <c r="L101" i="38" l="1"/>
  <c r="O39" i="11"/>
  <c r="Q39" i="11"/>
  <c r="Z39" i="11" s="1"/>
  <c r="K101" i="38"/>
  <c r="N39" i="11"/>
  <c r="M101" i="38"/>
  <c r="P39" i="11"/>
  <c r="R95" i="37"/>
  <c r="R96" i="37"/>
  <c r="R97" i="37"/>
  <c r="R98" i="37"/>
  <c r="R99" i="37"/>
  <c r="R120" i="37"/>
  <c r="R121" i="37"/>
  <c r="R122" i="37"/>
  <c r="R123" i="37"/>
  <c r="R124" i="37"/>
  <c r="X5" i="42" l="1"/>
  <c r="Y5" i="42"/>
  <c r="X6" i="42"/>
  <c r="Y6" i="42"/>
  <c r="X7" i="42"/>
  <c r="Y7" i="42"/>
  <c r="X8" i="42"/>
  <c r="Y8" i="42"/>
  <c r="X9" i="42"/>
  <c r="Y9" i="42"/>
  <c r="K18" i="42"/>
  <c r="L18" i="42"/>
  <c r="M18" i="42"/>
  <c r="N18" i="42"/>
  <c r="O18" i="42"/>
  <c r="K19" i="42"/>
  <c r="L19" i="42"/>
  <c r="M19" i="42"/>
  <c r="N19" i="42"/>
  <c r="O19" i="42"/>
  <c r="D134" i="32"/>
  <c r="H134" i="32"/>
  <c r="I134" i="32"/>
  <c r="J134" i="32"/>
  <c r="H208" i="32"/>
  <c r="H220" i="32"/>
  <c r="I220" i="32"/>
  <c r="J220" i="32"/>
  <c r="M220" i="32"/>
  <c r="O220" i="32"/>
  <c r="Q220" i="32"/>
  <c r="L222" i="32"/>
  <c r="M222" i="32"/>
  <c r="N222" i="32"/>
  <c r="O222" i="32"/>
  <c r="P222" i="32"/>
  <c r="Q222" i="32"/>
  <c r="L223" i="32"/>
  <c r="M223" i="32"/>
  <c r="N223" i="32"/>
  <c r="O223" i="32"/>
  <c r="P223" i="32"/>
  <c r="Q223" i="32"/>
  <c r="L224" i="32"/>
  <c r="M224" i="32"/>
  <c r="N224" i="32"/>
  <c r="O224" i="32"/>
  <c r="P224" i="32"/>
  <c r="Q224" i="32"/>
  <c r="L225" i="32"/>
  <c r="M225" i="32"/>
  <c r="N225" i="32"/>
  <c r="O225" i="32"/>
  <c r="P225" i="32"/>
  <c r="Q225" i="32"/>
  <c r="L226" i="32"/>
  <c r="M226" i="32"/>
  <c r="N226" i="32"/>
  <c r="O226" i="32"/>
  <c r="P226" i="32"/>
  <c r="Q226" i="32"/>
  <c r="H228" i="32"/>
  <c r="I228" i="32"/>
  <c r="H230" i="32"/>
  <c r="I230" i="32"/>
  <c r="D134" i="33"/>
  <c r="H134" i="33"/>
  <c r="I134" i="33"/>
  <c r="J134" i="33"/>
  <c r="H208" i="33"/>
  <c r="H220" i="33"/>
  <c r="I220" i="33"/>
  <c r="J220" i="33"/>
  <c r="M220" i="33"/>
  <c r="O220" i="33"/>
  <c r="Q220" i="33"/>
  <c r="L222" i="33"/>
  <c r="M222" i="33"/>
  <c r="N222" i="33"/>
  <c r="O222" i="33"/>
  <c r="P222" i="33"/>
  <c r="Q222" i="33"/>
  <c r="L223" i="33"/>
  <c r="M223" i="33"/>
  <c r="N223" i="33"/>
  <c r="O223" i="33"/>
  <c r="P223" i="33"/>
  <c r="Q223" i="33"/>
  <c r="L224" i="33"/>
  <c r="M224" i="33"/>
  <c r="N224" i="33"/>
  <c r="O224" i="33"/>
  <c r="P224" i="33"/>
  <c r="Q224" i="33"/>
  <c r="L225" i="33"/>
  <c r="M225" i="33"/>
  <c r="N225" i="33"/>
  <c r="O225" i="33"/>
  <c r="P225" i="33"/>
  <c r="Q225" i="33"/>
  <c r="L226" i="33"/>
  <c r="M226" i="33"/>
  <c r="N226" i="33"/>
  <c r="O226" i="33"/>
  <c r="P226" i="33"/>
  <c r="Q226" i="33"/>
  <c r="H228" i="33"/>
  <c r="I228" i="33"/>
  <c r="H230" i="33"/>
  <c r="I230" i="33"/>
  <c r="D17" i="34"/>
  <c r="E17" i="34"/>
  <c r="F17" i="34"/>
  <c r="D19" i="34"/>
  <c r="D20" i="34"/>
  <c r="D21" i="34"/>
  <c r="D22" i="34"/>
  <c r="D23" i="34"/>
  <c r="D36" i="34"/>
  <c r="E36" i="34"/>
  <c r="F36" i="34"/>
  <c r="D38" i="34"/>
  <c r="E38" i="34"/>
  <c r="F38" i="34"/>
  <c r="D39" i="34"/>
  <c r="E39" i="34"/>
  <c r="F39" i="34"/>
  <c r="D40" i="34"/>
  <c r="E40" i="34"/>
  <c r="F40" i="34"/>
  <c r="D41" i="34"/>
  <c r="E41" i="34"/>
  <c r="F41" i="34"/>
  <c r="D42" i="34"/>
  <c r="E42" i="34"/>
  <c r="F42" i="34"/>
  <c r="D59" i="34"/>
  <c r="E59" i="34"/>
  <c r="F59" i="34"/>
  <c r="D61" i="34"/>
  <c r="D62" i="34"/>
  <c r="D63" i="34"/>
  <c r="D64" i="34"/>
  <c r="D65" i="34"/>
  <c r="D78" i="34"/>
  <c r="E78" i="34"/>
  <c r="F78" i="34"/>
  <c r="D80" i="34"/>
  <c r="E80" i="34"/>
  <c r="F80" i="34"/>
  <c r="D81" i="34"/>
  <c r="E81" i="34"/>
  <c r="F81" i="34"/>
  <c r="D82" i="34"/>
  <c r="E82" i="34"/>
  <c r="F82" i="34"/>
  <c r="D83" i="34"/>
  <c r="E83" i="34"/>
  <c r="F83" i="34"/>
  <c r="D84" i="34"/>
  <c r="E84" i="34"/>
  <c r="F84" i="34"/>
  <c r="B20" i="37"/>
  <c r="C20" i="37"/>
  <c r="D20" i="37"/>
  <c r="E20" i="37"/>
  <c r="B21" i="37"/>
  <c r="C21" i="37"/>
  <c r="D21" i="37"/>
  <c r="E21" i="37"/>
  <c r="B22" i="37"/>
  <c r="C22" i="37"/>
  <c r="D22" i="37"/>
  <c r="E22" i="37"/>
  <c r="B23" i="37"/>
  <c r="C23" i="37"/>
  <c r="D23" i="37"/>
  <c r="E23" i="37"/>
  <c r="B24" i="37"/>
  <c r="C24" i="37"/>
  <c r="D24" i="37"/>
  <c r="E24" i="37"/>
  <c r="B70" i="37"/>
  <c r="C70" i="37"/>
  <c r="D70" i="37"/>
  <c r="E70" i="37"/>
  <c r="F70" i="37"/>
  <c r="H70" i="37"/>
  <c r="I70" i="37"/>
  <c r="J70" i="37"/>
  <c r="M70" i="37"/>
  <c r="N70" i="37"/>
  <c r="O70" i="37"/>
  <c r="P70" i="37"/>
  <c r="Q70" i="37"/>
  <c r="S70" i="37"/>
  <c r="T70" i="37"/>
  <c r="U70" i="37"/>
  <c r="B71" i="37"/>
  <c r="C71" i="37"/>
  <c r="D71" i="37"/>
  <c r="E71" i="37"/>
  <c r="F71" i="37"/>
  <c r="H71" i="37"/>
  <c r="I71" i="37"/>
  <c r="J71" i="37"/>
  <c r="M71" i="37"/>
  <c r="N71" i="37"/>
  <c r="O71" i="37"/>
  <c r="P71" i="37"/>
  <c r="Q71" i="37"/>
  <c r="S71" i="37"/>
  <c r="T71" i="37"/>
  <c r="U71" i="37"/>
  <c r="B72" i="37"/>
  <c r="C72" i="37"/>
  <c r="D72" i="37"/>
  <c r="E72" i="37"/>
  <c r="F72" i="37"/>
  <c r="H72" i="37"/>
  <c r="I72" i="37"/>
  <c r="J72" i="37"/>
  <c r="M72" i="37"/>
  <c r="N72" i="37"/>
  <c r="O72" i="37"/>
  <c r="P72" i="37"/>
  <c r="Q72" i="37"/>
  <c r="S72" i="37"/>
  <c r="T72" i="37"/>
  <c r="U72" i="37"/>
  <c r="B73" i="37"/>
  <c r="C73" i="37"/>
  <c r="D73" i="37"/>
  <c r="E73" i="37"/>
  <c r="F73" i="37"/>
  <c r="H73" i="37"/>
  <c r="I73" i="37"/>
  <c r="J73" i="37"/>
  <c r="M73" i="37"/>
  <c r="N73" i="37"/>
  <c r="O73" i="37"/>
  <c r="P73" i="37"/>
  <c r="Q73" i="37"/>
  <c r="S73" i="37"/>
  <c r="T73" i="37"/>
  <c r="U73" i="37"/>
  <c r="B74" i="37"/>
  <c r="C74" i="37"/>
  <c r="D74" i="37"/>
  <c r="E74" i="37"/>
  <c r="F74" i="37"/>
  <c r="H74" i="37"/>
  <c r="I74" i="37"/>
  <c r="J74" i="37"/>
  <c r="M74" i="37"/>
  <c r="N74" i="37"/>
  <c r="O74" i="37"/>
  <c r="P74" i="37"/>
  <c r="Q74" i="37"/>
  <c r="S74" i="37"/>
  <c r="T74" i="37"/>
  <c r="U74" i="37"/>
  <c r="B95" i="37"/>
  <c r="C95" i="37"/>
  <c r="D95" i="37"/>
  <c r="E95" i="37"/>
  <c r="F95" i="37"/>
  <c r="G95" i="37"/>
  <c r="H95" i="37"/>
  <c r="I95" i="37"/>
  <c r="J95" i="37"/>
  <c r="M95" i="37"/>
  <c r="N95" i="37"/>
  <c r="O95" i="37"/>
  <c r="Q95" i="37"/>
  <c r="U95" i="37"/>
  <c r="B96" i="37"/>
  <c r="C96" i="37"/>
  <c r="D96" i="37"/>
  <c r="E96" i="37"/>
  <c r="F96" i="37"/>
  <c r="G96" i="37"/>
  <c r="H96" i="37"/>
  <c r="I96" i="37"/>
  <c r="J96" i="37"/>
  <c r="M96" i="37"/>
  <c r="N96" i="37"/>
  <c r="O96" i="37"/>
  <c r="Q96" i="37"/>
  <c r="U96" i="37"/>
  <c r="B97" i="37"/>
  <c r="C97" i="37"/>
  <c r="D97" i="37"/>
  <c r="E97" i="37"/>
  <c r="F97" i="37"/>
  <c r="G97" i="37"/>
  <c r="H97" i="37"/>
  <c r="I97" i="37"/>
  <c r="J97" i="37"/>
  <c r="M97" i="37"/>
  <c r="N97" i="37"/>
  <c r="O97" i="37"/>
  <c r="Q97" i="37"/>
  <c r="U97" i="37"/>
  <c r="B98" i="37"/>
  <c r="C98" i="37"/>
  <c r="D98" i="37"/>
  <c r="E98" i="37"/>
  <c r="F98" i="37"/>
  <c r="G98" i="37"/>
  <c r="H98" i="37"/>
  <c r="I98" i="37"/>
  <c r="J98" i="37"/>
  <c r="M98" i="37"/>
  <c r="N98" i="37"/>
  <c r="O98" i="37"/>
  <c r="Q98" i="37"/>
  <c r="U98" i="37"/>
  <c r="B99" i="37"/>
  <c r="C99" i="37"/>
  <c r="D99" i="37"/>
  <c r="E99" i="37"/>
  <c r="F99" i="37"/>
  <c r="G99" i="37"/>
  <c r="H99" i="37"/>
  <c r="I99" i="37"/>
  <c r="J99" i="37"/>
  <c r="M99" i="37"/>
  <c r="N99" i="37"/>
  <c r="O99" i="37"/>
  <c r="Q99" i="37"/>
  <c r="U99" i="37"/>
  <c r="B118" i="37"/>
  <c r="C118" i="37"/>
  <c r="D118" i="37"/>
  <c r="E118" i="37"/>
  <c r="F118" i="37"/>
  <c r="G118" i="37"/>
  <c r="H118" i="37"/>
  <c r="I118" i="37"/>
  <c r="J118" i="37"/>
  <c r="B119" i="37"/>
  <c r="C119" i="37"/>
  <c r="D119" i="37"/>
  <c r="E119" i="37"/>
  <c r="F119" i="37"/>
  <c r="G119" i="37"/>
  <c r="H119" i="37"/>
  <c r="I119" i="37"/>
  <c r="J119" i="37"/>
  <c r="B120" i="37"/>
  <c r="C120" i="37"/>
  <c r="D120" i="37"/>
  <c r="E120" i="37"/>
  <c r="F120" i="37"/>
  <c r="G120" i="37"/>
  <c r="H120" i="37"/>
  <c r="I120" i="37"/>
  <c r="J120" i="37"/>
  <c r="M120" i="37"/>
  <c r="N120" i="37"/>
  <c r="O120" i="37"/>
  <c r="P120" i="37"/>
  <c r="Q120" i="37"/>
  <c r="S120" i="37"/>
  <c r="T120" i="37"/>
  <c r="U120" i="37"/>
  <c r="B121" i="37"/>
  <c r="C121" i="37"/>
  <c r="D121" i="37"/>
  <c r="E121" i="37"/>
  <c r="F121" i="37"/>
  <c r="G121" i="37"/>
  <c r="H121" i="37"/>
  <c r="I121" i="37"/>
  <c r="J121" i="37"/>
  <c r="M121" i="37"/>
  <c r="N121" i="37"/>
  <c r="O121" i="37"/>
  <c r="P121" i="37"/>
  <c r="Q121" i="37"/>
  <c r="S121" i="37"/>
  <c r="T121" i="37"/>
  <c r="U121" i="37"/>
  <c r="B122" i="37"/>
  <c r="C122" i="37"/>
  <c r="D122" i="37"/>
  <c r="E122" i="37"/>
  <c r="F122" i="37"/>
  <c r="G122" i="37"/>
  <c r="H122" i="37"/>
  <c r="I122" i="37"/>
  <c r="J122" i="37"/>
  <c r="M122" i="37"/>
  <c r="N122" i="37"/>
  <c r="O122" i="37"/>
  <c r="P122" i="37"/>
  <c r="Q122" i="37"/>
  <c r="S122" i="37"/>
  <c r="T122" i="37"/>
  <c r="U122" i="37"/>
  <c r="M123" i="37"/>
  <c r="N123" i="37"/>
  <c r="O123" i="37"/>
  <c r="P123" i="37"/>
  <c r="Q123" i="37"/>
  <c r="S123" i="37"/>
  <c r="T123" i="37"/>
  <c r="U123" i="37"/>
  <c r="M124" i="37"/>
  <c r="N124" i="37"/>
  <c r="O124" i="37"/>
  <c r="P124" i="37"/>
  <c r="Q124" i="37"/>
  <c r="S124" i="37"/>
  <c r="T124" i="37"/>
  <c r="U124" i="37"/>
  <c r="B250" i="37"/>
  <c r="C250" i="37"/>
  <c r="D250" i="37"/>
  <c r="E250" i="37"/>
  <c r="F250" i="37"/>
  <c r="G250" i="37"/>
  <c r="H250" i="37"/>
  <c r="I250" i="37"/>
  <c r="J250" i="37"/>
  <c r="B251" i="37"/>
  <c r="C251" i="37"/>
  <c r="D251" i="37"/>
  <c r="E251" i="37"/>
  <c r="F251" i="37"/>
  <c r="G251" i="37"/>
  <c r="H251" i="37"/>
  <c r="I251" i="37"/>
  <c r="J251" i="37"/>
  <c r="B252" i="37"/>
  <c r="C252" i="37"/>
  <c r="D252" i="37"/>
  <c r="E252" i="37"/>
  <c r="F252" i="37"/>
  <c r="G252" i="37"/>
  <c r="H252" i="37"/>
  <c r="I252" i="37"/>
  <c r="J252" i="37"/>
  <c r="B253" i="37"/>
  <c r="C253" i="37"/>
  <c r="D253" i="37"/>
  <c r="E253" i="37"/>
  <c r="F253" i="37"/>
  <c r="G253" i="37"/>
  <c r="H253" i="37"/>
  <c r="I253" i="37"/>
  <c r="J253" i="37"/>
  <c r="B254" i="37"/>
  <c r="C254" i="37"/>
  <c r="D254" i="37"/>
  <c r="E254" i="37"/>
  <c r="F254" i="37"/>
  <c r="G254" i="37"/>
  <c r="H254" i="37"/>
  <c r="I254" i="37"/>
  <c r="J254" i="37"/>
  <c r="B267" i="37"/>
  <c r="C267" i="37"/>
  <c r="D267" i="37"/>
  <c r="E267" i="37"/>
  <c r="F267" i="37"/>
  <c r="G267" i="37"/>
  <c r="H267" i="37"/>
  <c r="I267" i="37"/>
  <c r="J267" i="37"/>
  <c r="B268" i="37"/>
  <c r="C268" i="37"/>
  <c r="D268" i="37"/>
  <c r="E268" i="37"/>
  <c r="F268" i="37"/>
  <c r="G268" i="37"/>
  <c r="H268" i="37"/>
  <c r="I268" i="37"/>
  <c r="J268" i="37"/>
  <c r="B269" i="37"/>
  <c r="C269" i="37"/>
  <c r="D269" i="37"/>
  <c r="E269" i="37"/>
  <c r="F269" i="37"/>
  <c r="G269" i="37"/>
  <c r="H269" i="37"/>
  <c r="I269" i="37"/>
  <c r="J269" i="37"/>
  <c r="B270" i="37"/>
  <c r="C270" i="37"/>
  <c r="D270" i="37"/>
  <c r="E270" i="37"/>
  <c r="F270" i="37"/>
  <c r="G270" i="37"/>
  <c r="H270" i="37"/>
  <c r="I270" i="37"/>
  <c r="J270" i="37"/>
  <c r="B271" i="37"/>
  <c r="C271" i="37"/>
  <c r="D271" i="37"/>
  <c r="E271" i="37"/>
  <c r="F271" i="37"/>
  <c r="G271" i="37"/>
  <c r="H271" i="37"/>
  <c r="I271" i="37"/>
  <c r="J271" i="37"/>
  <c r="B275" i="37"/>
  <c r="C275" i="37"/>
  <c r="D275" i="37"/>
  <c r="E275" i="37"/>
  <c r="F275" i="37"/>
  <c r="G275" i="37"/>
  <c r="H275" i="37"/>
  <c r="I275" i="37"/>
  <c r="J275" i="37"/>
  <c r="B276" i="37"/>
  <c r="C276" i="37"/>
  <c r="D276" i="37"/>
  <c r="E276" i="37"/>
  <c r="F276" i="37"/>
  <c r="G276" i="37"/>
  <c r="H276" i="37"/>
  <c r="I276" i="37"/>
  <c r="J276" i="37"/>
  <c r="B277" i="37"/>
  <c r="C277" i="37"/>
  <c r="D277" i="37"/>
  <c r="E277" i="37"/>
  <c r="F277" i="37"/>
  <c r="G277" i="37"/>
  <c r="H277" i="37"/>
  <c r="I277" i="37"/>
  <c r="J277" i="37"/>
  <c r="B278" i="37"/>
  <c r="C278" i="37"/>
  <c r="D278" i="37"/>
  <c r="E278" i="37"/>
  <c r="F278" i="37"/>
  <c r="G278" i="37"/>
  <c r="H278" i="37"/>
  <c r="I278" i="37"/>
  <c r="J278" i="37"/>
  <c r="B279" i="37"/>
  <c r="C279" i="37"/>
  <c r="D279" i="37"/>
  <c r="E279" i="37"/>
  <c r="F279" i="37"/>
  <c r="G279" i="37"/>
  <c r="H279" i="37"/>
  <c r="I279" i="37"/>
  <c r="J279" i="37"/>
  <c r="B283" i="37"/>
  <c r="C283" i="37"/>
  <c r="D283" i="37"/>
  <c r="E283" i="37"/>
  <c r="F283" i="37"/>
  <c r="H283" i="37"/>
  <c r="I283" i="37"/>
  <c r="J283" i="37"/>
  <c r="L283" i="37"/>
  <c r="M283" i="37"/>
  <c r="N283" i="37"/>
  <c r="B284" i="37"/>
  <c r="C284" i="37"/>
  <c r="D284" i="37"/>
  <c r="E284" i="37"/>
  <c r="F284" i="37"/>
  <c r="H284" i="37"/>
  <c r="I284" i="37"/>
  <c r="J284" i="37"/>
  <c r="L284" i="37"/>
  <c r="M284" i="37"/>
  <c r="N284" i="37"/>
  <c r="B285" i="37"/>
  <c r="C285" i="37"/>
  <c r="D285" i="37"/>
  <c r="E285" i="37"/>
  <c r="F285" i="37"/>
  <c r="H285" i="37"/>
  <c r="I285" i="37"/>
  <c r="J285" i="37"/>
  <c r="L285" i="37"/>
  <c r="M285" i="37"/>
  <c r="N285" i="37"/>
  <c r="B286" i="37"/>
  <c r="C286" i="37"/>
  <c r="D286" i="37"/>
  <c r="E286" i="37"/>
  <c r="F286" i="37"/>
  <c r="H286" i="37"/>
  <c r="I286" i="37"/>
  <c r="J286" i="37"/>
  <c r="L286" i="37"/>
  <c r="M286" i="37"/>
  <c r="N286" i="37"/>
  <c r="B287" i="37"/>
  <c r="C287" i="37"/>
  <c r="D287" i="37"/>
  <c r="E287" i="37"/>
  <c r="F287" i="37"/>
  <c r="H287" i="37"/>
  <c r="I287" i="37"/>
  <c r="J287" i="37"/>
  <c r="L287" i="37"/>
  <c r="M287" i="37"/>
  <c r="N287" i="37"/>
  <c r="B339" i="37"/>
  <c r="C339" i="37"/>
  <c r="D339" i="37"/>
  <c r="F339" i="37"/>
  <c r="G339" i="37"/>
  <c r="B340" i="37"/>
  <c r="C340" i="37"/>
  <c r="D340" i="37"/>
  <c r="F340" i="37"/>
  <c r="G340" i="37"/>
  <c r="B341" i="37"/>
  <c r="C341" i="37"/>
  <c r="D341" i="37"/>
  <c r="F341" i="37"/>
  <c r="G341" i="37"/>
  <c r="B342" i="37"/>
  <c r="C342" i="37"/>
  <c r="D342" i="37"/>
  <c r="F342" i="37"/>
  <c r="G342" i="37"/>
  <c r="B343" i="37"/>
  <c r="C343" i="37"/>
  <c r="D343" i="37"/>
  <c r="F343" i="37"/>
  <c r="G343" i="37"/>
  <c r="L6" i="38"/>
  <c r="N6" i="38"/>
  <c r="O6" i="38"/>
  <c r="P6" i="38"/>
  <c r="Q6" i="38"/>
  <c r="R6" i="38"/>
  <c r="L7" i="38"/>
  <c r="N9" i="38"/>
  <c r="O9" i="38"/>
  <c r="P9" i="38"/>
  <c r="Q9" i="38"/>
  <c r="R9" i="38"/>
  <c r="N10" i="38"/>
  <c r="O10" i="38"/>
  <c r="P10" i="38"/>
  <c r="Q10" i="38"/>
  <c r="R10" i="38"/>
  <c r="N15" i="38"/>
  <c r="O15" i="38"/>
  <c r="P15" i="38"/>
  <c r="Q15" i="38"/>
  <c r="R15" i="38"/>
  <c r="N19" i="38"/>
  <c r="O19" i="38"/>
  <c r="P19" i="38"/>
  <c r="Q19" i="38"/>
  <c r="R19" i="38"/>
  <c r="N23" i="38"/>
  <c r="O23" i="38"/>
  <c r="P23" i="38"/>
  <c r="Q23" i="38"/>
  <c r="R23" i="38"/>
  <c r="N24" i="38"/>
  <c r="O24" i="38"/>
  <c r="P24" i="38"/>
  <c r="Q24" i="38"/>
  <c r="R24" i="38"/>
  <c r="N28" i="38"/>
  <c r="O28" i="38"/>
  <c r="P28" i="38"/>
  <c r="Q28" i="38"/>
  <c r="R28" i="38"/>
  <c r="N29" i="38"/>
  <c r="O29" i="38"/>
  <c r="P29" i="38"/>
  <c r="Q29" i="38"/>
  <c r="R29" i="38"/>
  <c r="N33" i="38"/>
  <c r="O33" i="38"/>
  <c r="P33" i="38"/>
  <c r="Q33" i="38"/>
  <c r="R33" i="38"/>
  <c r="N34" i="38"/>
  <c r="O34" i="38"/>
  <c r="P34" i="38"/>
  <c r="Q34" i="38"/>
  <c r="R34" i="38"/>
  <c r="N43" i="38"/>
  <c r="O43" i="38"/>
  <c r="P43" i="38"/>
  <c r="Q43" i="38"/>
  <c r="R43" i="38"/>
  <c r="N44" i="38"/>
  <c r="O44" i="38"/>
  <c r="P44" i="38"/>
  <c r="Q44" i="38"/>
  <c r="R44" i="38"/>
  <c r="N48" i="38"/>
  <c r="O48" i="38"/>
  <c r="P48" i="38"/>
  <c r="Q48" i="38"/>
  <c r="R48" i="38"/>
  <c r="N52" i="38"/>
  <c r="O52" i="38"/>
  <c r="P52" i="38"/>
  <c r="Q52" i="38"/>
  <c r="R52" i="38"/>
  <c r="N53" i="38"/>
  <c r="O53" i="38"/>
  <c r="P53" i="38"/>
  <c r="Q53" i="38"/>
  <c r="R53" i="38"/>
  <c r="N57" i="38"/>
  <c r="O57" i="38"/>
  <c r="P57" i="38"/>
  <c r="Q57" i="38"/>
  <c r="R57" i="38"/>
  <c r="N58" i="38"/>
  <c r="O58" i="38"/>
  <c r="P58" i="38"/>
  <c r="Q58" i="38"/>
  <c r="R58" i="38"/>
  <c r="N62" i="38"/>
  <c r="O62" i="38"/>
  <c r="P62" i="38"/>
  <c r="Q62" i="38"/>
  <c r="R62" i="38"/>
  <c r="N63" i="38"/>
  <c r="O63" i="38"/>
  <c r="P63" i="38"/>
  <c r="Q63" i="38"/>
  <c r="R63" i="38"/>
  <c r="I69" i="38"/>
  <c r="K69" i="38"/>
  <c r="L69" i="38"/>
  <c r="M69" i="38"/>
  <c r="N69" i="38"/>
  <c r="O69" i="38"/>
  <c r="I70" i="38"/>
  <c r="K72" i="38"/>
  <c r="L72" i="38"/>
  <c r="M72" i="38"/>
  <c r="N72" i="38"/>
  <c r="O72" i="38"/>
  <c r="K77" i="38"/>
  <c r="L77" i="38"/>
  <c r="M77" i="38"/>
  <c r="N77" i="38"/>
  <c r="O77" i="38"/>
  <c r="K81" i="38"/>
  <c r="L81" i="38"/>
  <c r="M81" i="38"/>
  <c r="N81" i="38"/>
  <c r="O81" i="38"/>
  <c r="K85" i="38"/>
  <c r="L85" i="38"/>
  <c r="M85" i="38"/>
  <c r="N85" i="38"/>
  <c r="O85" i="38"/>
  <c r="K86" i="38"/>
  <c r="L86" i="38"/>
  <c r="M86" i="38"/>
  <c r="N86" i="38"/>
  <c r="O86" i="38"/>
  <c r="K90" i="38"/>
  <c r="L90" i="38"/>
  <c r="M90" i="38"/>
  <c r="N90" i="38"/>
  <c r="O90" i="38"/>
  <c r="K91" i="38"/>
  <c r="L91" i="38"/>
  <c r="M91" i="38"/>
  <c r="N91" i="38"/>
  <c r="O91" i="38"/>
  <c r="K95" i="38"/>
  <c r="L95" i="38"/>
  <c r="M95" i="38"/>
  <c r="N95" i="38"/>
  <c r="O95" i="38"/>
  <c r="K96" i="38"/>
  <c r="L96" i="38"/>
  <c r="M96" i="38"/>
  <c r="N96" i="38"/>
  <c r="O96" i="38"/>
  <c r="K105" i="38"/>
  <c r="L105" i="38"/>
  <c r="M105" i="38"/>
  <c r="N105" i="38"/>
  <c r="O105" i="38"/>
  <c r="K106" i="38"/>
  <c r="L106" i="38"/>
  <c r="M106" i="38"/>
  <c r="N106" i="38"/>
  <c r="O106" i="38"/>
  <c r="K110" i="38"/>
  <c r="L110" i="38"/>
  <c r="M110" i="38"/>
  <c r="N110" i="38"/>
  <c r="O110" i="38"/>
  <c r="K114" i="38"/>
  <c r="L114" i="38"/>
  <c r="M114" i="38"/>
  <c r="N114" i="38"/>
  <c r="O114" i="38"/>
  <c r="K115" i="38"/>
  <c r="L115" i="38"/>
  <c r="M115" i="38"/>
  <c r="N115" i="38"/>
  <c r="O115" i="38"/>
  <c r="D134" i="39"/>
  <c r="H134" i="39"/>
  <c r="M134" i="39"/>
  <c r="Q134" i="39"/>
  <c r="V134" i="39"/>
  <c r="Z134" i="39"/>
  <c r="D147" i="39"/>
  <c r="H147" i="39"/>
  <c r="D148" i="39"/>
  <c r="H148" i="39"/>
  <c r="D149" i="39"/>
  <c r="H149" i="39"/>
  <c r="D150" i="39"/>
  <c r="H150" i="39"/>
  <c r="D151" i="39"/>
  <c r="H151" i="39"/>
  <c r="D152" i="39"/>
  <c r="H152" i="39"/>
  <c r="D153" i="39"/>
  <c r="H153" i="39"/>
  <c r="D154" i="39"/>
  <c r="H154" i="39"/>
  <c r="D155" i="39"/>
  <c r="H155" i="39"/>
  <c r="D156" i="39"/>
  <c r="H156" i="39"/>
  <c r="D157" i="39"/>
  <c r="H157" i="39"/>
  <c r="D158" i="39"/>
  <c r="H158" i="39"/>
  <c r="D159" i="39"/>
  <c r="H159" i="39"/>
  <c r="D160" i="39"/>
  <c r="H160" i="39"/>
  <c r="D161" i="39"/>
  <c r="H161" i="39"/>
  <c r="D162" i="39"/>
  <c r="H162" i="39"/>
  <c r="D163" i="39"/>
  <c r="H163" i="39"/>
  <c r="D164" i="39"/>
  <c r="H164" i="39"/>
  <c r="D165" i="39"/>
  <c r="H165" i="39"/>
  <c r="D166" i="39"/>
  <c r="H166" i="39"/>
  <c r="D167" i="39"/>
  <c r="H167" i="39"/>
  <c r="D168" i="39"/>
  <c r="H168" i="39"/>
  <c r="D169" i="39"/>
  <c r="H169" i="39"/>
  <c r="D170" i="39"/>
  <c r="H170" i="39"/>
  <c r="D171" i="39"/>
  <c r="H171" i="39"/>
  <c r="D172" i="39"/>
  <c r="H172" i="39"/>
  <c r="D173" i="39"/>
  <c r="H173" i="39"/>
  <c r="D174" i="39"/>
  <c r="H174" i="39"/>
  <c r="D175" i="39"/>
  <c r="H175" i="39"/>
  <c r="D176" i="39"/>
  <c r="H176" i="39"/>
  <c r="D177" i="39"/>
  <c r="H177" i="39"/>
  <c r="D178" i="39"/>
  <c r="H178" i="39"/>
  <c r="D179" i="39"/>
  <c r="H179" i="39"/>
  <c r="D180" i="39"/>
  <c r="H180" i="39"/>
  <c r="D181" i="39"/>
  <c r="H181" i="39"/>
  <c r="D182" i="39"/>
  <c r="H182" i="39"/>
  <c r="D183" i="39"/>
  <c r="H183" i="39"/>
  <c r="D184" i="39"/>
  <c r="H184" i="39"/>
  <c r="D185" i="39"/>
  <c r="H185" i="39"/>
  <c r="D186" i="39"/>
  <c r="H186" i="39"/>
  <c r="D187" i="39"/>
  <c r="H187" i="39"/>
  <c r="D188" i="39"/>
  <c r="H188" i="39"/>
  <c r="D189" i="39"/>
  <c r="H189" i="39"/>
  <c r="D190" i="39"/>
  <c r="H190" i="39"/>
  <c r="D191" i="39"/>
  <c r="H191" i="39"/>
  <c r="D192" i="39"/>
  <c r="H192" i="39"/>
  <c r="D193" i="39"/>
  <c r="H193" i="39"/>
  <c r="D194" i="39"/>
  <c r="H194" i="39"/>
  <c r="D195" i="39"/>
  <c r="H195" i="39"/>
  <c r="D196" i="39"/>
  <c r="H196" i="39"/>
  <c r="D197" i="39"/>
  <c r="H197" i="39"/>
  <c r="D198" i="39"/>
  <c r="H198" i="39"/>
  <c r="D199" i="39"/>
  <c r="H199" i="39"/>
  <c r="D200" i="39"/>
  <c r="H200" i="39"/>
  <c r="D201" i="39"/>
  <c r="H201" i="39"/>
  <c r="D202" i="39"/>
  <c r="H202" i="39"/>
  <c r="D203" i="39"/>
  <c r="H203" i="39"/>
  <c r="D204" i="39"/>
  <c r="H204" i="39"/>
  <c r="D205" i="39"/>
  <c r="H205" i="39"/>
  <c r="D206" i="39"/>
  <c r="H206" i="39"/>
  <c r="B87" i="44"/>
  <c r="C87" i="44"/>
  <c r="D87" i="44"/>
  <c r="E87" i="44"/>
  <c r="F87" i="44"/>
  <c r="G87" i="44"/>
  <c r="H87" i="44"/>
  <c r="I87" i="44"/>
  <c r="J87" i="44"/>
  <c r="B88" i="44"/>
  <c r="C88" i="44"/>
  <c r="D88" i="44"/>
  <c r="E88" i="44"/>
  <c r="F88" i="44"/>
  <c r="G88" i="44"/>
  <c r="H88" i="44"/>
  <c r="I88" i="44"/>
  <c r="J88" i="44"/>
  <c r="B89" i="44"/>
  <c r="C89" i="44"/>
  <c r="D89" i="44"/>
  <c r="E89" i="44"/>
  <c r="F89" i="44"/>
  <c r="G89" i="44"/>
  <c r="H89" i="44"/>
  <c r="I89" i="44"/>
  <c r="J89" i="44"/>
  <c r="B90" i="44"/>
  <c r="C90" i="44"/>
  <c r="D90" i="44"/>
  <c r="E90" i="44"/>
  <c r="F90" i="44"/>
  <c r="G90" i="44"/>
  <c r="H90" i="44"/>
  <c r="I90" i="44"/>
  <c r="J90" i="44"/>
  <c r="B91" i="44"/>
  <c r="C91" i="44"/>
  <c r="D91" i="44"/>
  <c r="E91" i="44"/>
  <c r="F91" i="44"/>
  <c r="G91" i="44"/>
  <c r="H91" i="44"/>
  <c r="I91" i="44"/>
  <c r="J91" i="44"/>
  <c r="B95" i="44"/>
  <c r="C95" i="44"/>
  <c r="D95" i="44"/>
  <c r="E95" i="44"/>
  <c r="F95" i="44"/>
  <c r="G95" i="44"/>
  <c r="H95" i="44"/>
  <c r="I95" i="44"/>
  <c r="J95" i="44"/>
  <c r="B96" i="44"/>
  <c r="C96" i="44"/>
  <c r="D96" i="44"/>
  <c r="E96" i="44"/>
  <c r="F96" i="44"/>
  <c r="G96" i="44"/>
  <c r="H96" i="44"/>
  <c r="I96" i="44"/>
  <c r="J96" i="44"/>
  <c r="B97" i="44"/>
  <c r="C97" i="44"/>
  <c r="D97" i="44"/>
  <c r="E97" i="44"/>
  <c r="F97" i="44"/>
  <c r="G97" i="44"/>
  <c r="H97" i="44"/>
  <c r="I97" i="44"/>
  <c r="J97" i="44"/>
  <c r="B98" i="44"/>
  <c r="C98" i="44"/>
  <c r="D98" i="44"/>
  <c r="E98" i="44"/>
  <c r="F98" i="44"/>
  <c r="G98" i="44"/>
  <c r="H98" i="44"/>
  <c r="I98" i="44"/>
  <c r="J98" i="44"/>
  <c r="B99" i="44"/>
  <c r="C99" i="44"/>
  <c r="D99" i="44"/>
  <c r="E99" i="44"/>
  <c r="F99" i="44"/>
  <c r="G99" i="44"/>
  <c r="H99" i="44"/>
  <c r="I99" i="44"/>
  <c r="J99" i="44"/>
  <c r="B103" i="44"/>
  <c r="C103" i="44"/>
  <c r="B104" i="44"/>
  <c r="C104" i="44"/>
  <c r="B105" i="44"/>
  <c r="C105" i="44"/>
  <c r="B106" i="44"/>
  <c r="C106" i="44"/>
  <c r="B107" i="44"/>
  <c r="C107" i="44"/>
  <c r="D134" i="21"/>
  <c r="I134" i="21"/>
  <c r="J134" i="21"/>
  <c r="K134" i="21"/>
  <c r="D147" i="21"/>
  <c r="I147" i="21"/>
  <c r="D148" i="21"/>
  <c r="I148" i="21"/>
  <c r="D149" i="21"/>
  <c r="I149" i="21"/>
  <c r="D150" i="21"/>
  <c r="I150" i="21"/>
  <c r="D151" i="21"/>
  <c r="I151" i="21"/>
  <c r="D152" i="21"/>
  <c r="I152" i="21"/>
  <c r="D153" i="21"/>
  <c r="I153" i="21"/>
  <c r="D154" i="21"/>
  <c r="I154" i="21"/>
  <c r="D155" i="21"/>
  <c r="I155" i="21"/>
  <c r="D156" i="21"/>
  <c r="I156" i="21"/>
  <c r="D157" i="21"/>
  <c r="I157" i="21"/>
  <c r="D158" i="21"/>
  <c r="I158" i="21"/>
  <c r="D159" i="21"/>
  <c r="I159" i="21"/>
  <c r="D160" i="21"/>
  <c r="I160" i="21"/>
  <c r="D161" i="21"/>
  <c r="I161" i="21"/>
  <c r="D162" i="21"/>
  <c r="I162" i="21"/>
  <c r="D163" i="21"/>
  <c r="I163" i="21"/>
  <c r="D164" i="21"/>
  <c r="I164" i="21"/>
  <c r="D165" i="21"/>
  <c r="I165" i="21"/>
  <c r="D166" i="21"/>
  <c r="I166" i="21"/>
  <c r="D167" i="21"/>
  <c r="I167" i="21"/>
  <c r="D168" i="21"/>
  <c r="I168" i="21"/>
  <c r="D169" i="21"/>
  <c r="I169" i="21"/>
  <c r="D170" i="21"/>
  <c r="I170" i="21"/>
  <c r="D171" i="21"/>
  <c r="I171" i="21"/>
  <c r="D172" i="21"/>
  <c r="I172" i="21"/>
  <c r="D173" i="21"/>
  <c r="I173" i="21"/>
  <c r="D174" i="21"/>
  <c r="I174" i="21"/>
  <c r="D175" i="21"/>
  <c r="I175" i="21"/>
  <c r="D176" i="21"/>
  <c r="I176" i="21"/>
  <c r="D177" i="21"/>
  <c r="I177" i="21"/>
  <c r="D178" i="21"/>
  <c r="I178" i="21"/>
  <c r="D179" i="21"/>
  <c r="I179" i="21"/>
  <c r="D180" i="21"/>
  <c r="I180" i="21"/>
  <c r="D181" i="21"/>
  <c r="I181" i="21"/>
  <c r="D182" i="21"/>
  <c r="I182" i="21"/>
  <c r="D183" i="21"/>
  <c r="I183" i="21"/>
  <c r="D184" i="21"/>
  <c r="I184" i="21"/>
  <c r="D185" i="21"/>
  <c r="I185" i="21"/>
  <c r="D186" i="21"/>
  <c r="I186" i="21"/>
  <c r="D187" i="21"/>
  <c r="I187" i="21"/>
  <c r="D188" i="21"/>
  <c r="I188" i="21"/>
  <c r="D189" i="21"/>
  <c r="I189" i="21"/>
  <c r="D190" i="21"/>
  <c r="I190" i="21"/>
  <c r="D191" i="21"/>
  <c r="I191" i="21"/>
  <c r="D192" i="21"/>
  <c r="I192" i="21"/>
  <c r="D193" i="21"/>
  <c r="I193" i="21"/>
  <c r="D194" i="21"/>
  <c r="I194" i="21"/>
  <c r="D195" i="21"/>
  <c r="I195" i="21"/>
  <c r="D196" i="21"/>
  <c r="I196" i="21"/>
  <c r="D197" i="21"/>
  <c r="I197" i="21"/>
  <c r="D198" i="21"/>
  <c r="I198" i="21"/>
  <c r="D199" i="21"/>
  <c r="I199" i="21"/>
  <c r="D200" i="21"/>
  <c r="I200" i="21"/>
  <c r="D201" i="21"/>
  <c r="I201" i="21"/>
  <c r="D202" i="21"/>
  <c r="I202" i="21"/>
  <c r="D203" i="21"/>
  <c r="I203" i="21"/>
  <c r="D204" i="21"/>
  <c r="I204" i="21"/>
  <c r="D205" i="21"/>
  <c r="I205" i="21"/>
  <c r="D206" i="21"/>
  <c r="I206" i="21"/>
  <c r="I208" i="21"/>
  <c r="I220" i="21"/>
  <c r="J220" i="21"/>
  <c r="K220" i="21"/>
  <c r="B222" i="21"/>
  <c r="C222" i="21"/>
  <c r="D222" i="21"/>
  <c r="E222" i="21"/>
  <c r="I222" i="21"/>
  <c r="J222" i="21"/>
  <c r="K222" i="21"/>
  <c r="B223" i="21"/>
  <c r="C223" i="21"/>
  <c r="D223" i="21"/>
  <c r="E223" i="21"/>
  <c r="I223" i="21"/>
  <c r="J223" i="21"/>
  <c r="K223" i="21"/>
  <c r="B224" i="21"/>
  <c r="C224" i="21"/>
  <c r="D224" i="21"/>
  <c r="E224" i="21"/>
  <c r="I224" i="21"/>
  <c r="J224" i="21"/>
  <c r="K224" i="21"/>
  <c r="B225" i="21"/>
  <c r="C225" i="21"/>
  <c r="D225" i="21"/>
  <c r="E225" i="21"/>
  <c r="I225" i="21"/>
  <c r="J225" i="21"/>
  <c r="K225" i="21"/>
  <c r="B226" i="21"/>
  <c r="C226" i="21"/>
  <c r="D226" i="21"/>
  <c r="E226" i="21"/>
  <c r="I226" i="21"/>
  <c r="J226" i="21"/>
  <c r="K226" i="21"/>
  <c r="B228" i="21"/>
  <c r="I228" i="21"/>
  <c r="J228" i="21"/>
  <c r="I230" i="21"/>
  <c r="J230" i="21"/>
  <c r="D134" i="22"/>
  <c r="I134" i="22"/>
  <c r="J134" i="22"/>
  <c r="K134" i="22"/>
  <c r="D147" i="22"/>
  <c r="I147" i="22"/>
  <c r="D148" i="22"/>
  <c r="I148" i="22"/>
  <c r="D149" i="22"/>
  <c r="I149" i="22"/>
  <c r="D150" i="22"/>
  <c r="I150" i="22"/>
  <c r="D151" i="22"/>
  <c r="I151" i="22"/>
  <c r="D152" i="22"/>
  <c r="I152" i="22"/>
  <c r="D153" i="22"/>
  <c r="I153" i="22"/>
  <c r="D154" i="22"/>
  <c r="I154" i="22"/>
  <c r="D155" i="22"/>
  <c r="I155" i="22"/>
  <c r="D156" i="22"/>
  <c r="I156" i="22"/>
  <c r="D157" i="22"/>
  <c r="I157" i="22"/>
  <c r="D158" i="22"/>
  <c r="I158" i="22"/>
  <c r="D159" i="22"/>
  <c r="I159" i="22"/>
  <c r="D160" i="22"/>
  <c r="I160" i="22"/>
  <c r="D161" i="22"/>
  <c r="I161" i="22"/>
  <c r="D162" i="22"/>
  <c r="I162" i="22"/>
  <c r="D163" i="22"/>
  <c r="I163" i="22"/>
  <c r="D164" i="22"/>
  <c r="I164" i="22"/>
  <c r="D165" i="22"/>
  <c r="I165" i="22"/>
  <c r="D166" i="22"/>
  <c r="I166" i="22"/>
  <c r="D167" i="22"/>
  <c r="I167" i="22"/>
  <c r="D168" i="22"/>
  <c r="I168" i="22"/>
  <c r="D169" i="22"/>
  <c r="I169" i="22"/>
  <c r="D170" i="22"/>
  <c r="I170" i="22"/>
  <c r="D171" i="22"/>
  <c r="I171" i="22"/>
  <c r="D172" i="22"/>
  <c r="I172" i="22"/>
  <c r="D173" i="22"/>
  <c r="I173" i="22"/>
  <c r="D174" i="22"/>
  <c r="I174" i="22"/>
  <c r="D175" i="22"/>
  <c r="I175" i="22"/>
  <c r="D176" i="22"/>
  <c r="I176" i="22"/>
  <c r="D177" i="22"/>
  <c r="I177" i="22"/>
  <c r="D178" i="22"/>
  <c r="I178" i="22"/>
  <c r="D179" i="22"/>
  <c r="I179" i="22"/>
  <c r="D180" i="22"/>
  <c r="I180" i="22"/>
  <c r="D181" i="22"/>
  <c r="I181" i="22"/>
  <c r="D182" i="22"/>
  <c r="I182" i="22"/>
  <c r="D183" i="22"/>
  <c r="I183" i="22"/>
  <c r="D184" i="22"/>
  <c r="I184" i="22"/>
  <c r="D185" i="22"/>
  <c r="I185" i="22"/>
  <c r="D186" i="22"/>
  <c r="I186" i="22"/>
  <c r="D187" i="22"/>
  <c r="I187" i="22"/>
  <c r="D188" i="22"/>
  <c r="I188" i="22"/>
  <c r="D189" i="22"/>
  <c r="I189" i="22"/>
  <c r="D190" i="22"/>
  <c r="I190" i="22"/>
  <c r="D191" i="22"/>
  <c r="I191" i="22"/>
  <c r="D192" i="22"/>
  <c r="I192" i="22"/>
  <c r="D193" i="22"/>
  <c r="I193" i="22"/>
  <c r="D194" i="22"/>
  <c r="I194" i="22"/>
  <c r="D195" i="22"/>
  <c r="I195" i="22"/>
  <c r="D196" i="22"/>
  <c r="I196" i="22"/>
  <c r="D197" i="22"/>
  <c r="I197" i="22"/>
  <c r="D198" i="22"/>
  <c r="I198" i="22"/>
  <c r="D199" i="22"/>
  <c r="I199" i="22"/>
  <c r="D200" i="22"/>
  <c r="I200" i="22"/>
  <c r="D201" i="22"/>
  <c r="I201" i="22"/>
  <c r="D202" i="22"/>
  <c r="I202" i="22"/>
  <c r="D203" i="22"/>
  <c r="I203" i="22"/>
  <c r="D204" i="22"/>
  <c r="I204" i="22"/>
  <c r="D205" i="22"/>
  <c r="I205" i="22"/>
  <c r="D206" i="22"/>
  <c r="I206" i="22"/>
  <c r="I208" i="22"/>
  <c r="I220" i="22"/>
  <c r="J220" i="22"/>
  <c r="K220" i="22"/>
  <c r="B222" i="22"/>
  <c r="C222" i="22"/>
  <c r="D222" i="22"/>
  <c r="E222" i="22"/>
  <c r="I222" i="22"/>
  <c r="J222" i="22"/>
  <c r="K222" i="22"/>
  <c r="B223" i="22"/>
  <c r="C223" i="22"/>
  <c r="D223" i="22"/>
  <c r="E223" i="22"/>
  <c r="I223" i="22"/>
  <c r="J223" i="22"/>
  <c r="K223" i="22"/>
  <c r="B224" i="22"/>
  <c r="C224" i="22"/>
  <c r="D224" i="22"/>
  <c r="E224" i="22"/>
  <c r="I224" i="22"/>
  <c r="J224" i="22"/>
  <c r="K224" i="22"/>
  <c r="B225" i="22"/>
  <c r="C225" i="22"/>
  <c r="D225" i="22"/>
  <c r="E225" i="22"/>
  <c r="I225" i="22"/>
  <c r="J225" i="22"/>
  <c r="K225" i="22"/>
  <c r="B226" i="22"/>
  <c r="C226" i="22"/>
  <c r="D226" i="22"/>
  <c r="E226" i="22"/>
  <c r="I226" i="22"/>
  <c r="J226" i="22"/>
  <c r="K226" i="22"/>
  <c r="B228" i="22"/>
  <c r="I228" i="22"/>
  <c r="J228" i="22"/>
  <c r="I230" i="22"/>
  <c r="J230" i="22"/>
  <c r="D134" i="26"/>
  <c r="I134" i="26"/>
  <c r="J134" i="26"/>
  <c r="K134" i="26"/>
  <c r="D147" i="26"/>
  <c r="I147" i="26"/>
  <c r="D148" i="26"/>
  <c r="I148" i="26"/>
  <c r="D149" i="26"/>
  <c r="I149" i="26"/>
  <c r="D150" i="26"/>
  <c r="I150" i="26"/>
  <c r="D151" i="26"/>
  <c r="I151" i="26"/>
  <c r="D152" i="26"/>
  <c r="I152" i="26"/>
  <c r="D153" i="26"/>
  <c r="I153" i="26"/>
  <c r="D154" i="26"/>
  <c r="I154" i="26"/>
  <c r="D155" i="26"/>
  <c r="I155" i="26"/>
  <c r="D156" i="26"/>
  <c r="I156" i="26"/>
  <c r="D157" i="26"/>
  <c r="I157" i="26"/>
  <c r="D158" i="26"/>
  <c r="I158" i="26"/>
  <c r="D159" i="26"/>
  <c r="I159" i="26"/>
  <c r="D160" i="26"/>
  <c r="I160" i="26"/>
  <c r="D161" i="26"/>
  <c r="I161" i="26"/>
  <c r="D162" i="26"/>
  <c r="I162" i="26"/>
  <c r="D163" i="26"/>
  <c r="I163" i="26"/>
  <c r="D164" i="26"/>
  <c r="I164" i="26"/>
  <c r="D165" i="26"/>
  <c r="I165" i="26"/>
  <c r="D166" i="26"/>
  <c r="I166" i="26"/>
  <c r="D167" i="26"/>
  <c r="I167" i="26"/>
  <c r="D168" i="26"/>
  <c r="I168" i="26"/>
  <c r="D169" i="26"/>
  <c r="I169" i="26"/>
  <c r="D170" i="26"/>
  <c r="I170" i="26"/>
  <c r="D171" i="26"/>
  <c r="I171" i="26"/>
  <c r="D172" i="26"/>
  <c r="I172" i="26"/>
  <c r="D173" i="26"/>
  <c r="I173" i="26"/>
  <c r="D174" i="26"/>
  <c r="I174" i="26"/>
  <c r="D175" i="26"/>
  <c r="I175" i="26"/>
  <c r="D176" i="26"/>
  <c r="I176" i="26"/>
  <c r="D177" i="26"/>
  <c r="I177" i="26"/>
  <c r="D178" i="26"/>
  <c r="I178" i="26"/>
  <c r="D179" i="26"/>
  <c r="I179" i="26"/>
  <c r="D180" i="26"/>
  <c r="I180" i="26"/>
  <c r="D181" i="26"/>
  <c r="I181" i="26"/>
  <c r="D182" i="26"/>
  <c r="I182" i="26"/>
  <c r="D183" i="26"/>
  <c r="I183" i="26"/>
  <c r="D184" i="26"/>
  <c r="I184" i="26"/>
  <c r="D185" i="26"/>
  <c r="I185" i="26"/>
  <c r="D186" i="26"/>
  <c r="I186" i="26"/>
  <c r="D187" i="26"/>
  <c r="I187" i="26"/>
  <c r="D188" i="26"/>
  <c r="I188" i="26"/>
  <c r="D189" i="26"/>
  <c r="I189" i="26"/>
  <c r="D190" i="26"/>
  <c r="I190" i="26"/>
  <c r="D191" i="26"/>
  <c r="I191" i="26"/>
  <c r="D192" i="26"/>
  <c r="I192" i="26"/>
  <c r="D193" i="26"/>
  <c r="I193" i="26"/>
  <c r="D194" i="26"/>
  <c r="I194" i="26"/>
  <c r="D195" i="26"/>
  <c r="I195" i="26"/>
  <c r="D196" i="26"/>
  <c r="I196" i="26"/>
  <c r="D197" i="26"/>
  <c r="I197" i="26"/>
  <c r="D198" i="26"/>
  <c r="I198" i="26"/>
  <c r="D199" i="26"/>
  <c r="I199" i="26"/>
  <c r="D200" i="26"/>
  <c r="I200" i="26"/>
  <c r="D201" i="26"/>
  <c r="I201" i="26"/>
  <c r="D202" i="26"/>
  <c r="I202" i="26"/>
  <c r="D203" i="26"/>
  <c r="I203" i="26"/>
  <c r="D204" i="26"/>
  <c r="I204" i="26"/>
  <c r="D205" i="26"/>
  <c r="I205" i="26"/>
  <c r="D206" i="26"/>
  <c r="I206" i="26"/>
  <c r="I208" i="26"/>
  <c r="I220" i="26"/>
  <c r="J220" i="26"/>
  <c r="K220" i="26"/>
  <c r="B222" i="26"/>
  <c r="C222" i="26"/>
  <c r="D222" i="26"/>
  <c r="E222" i="26"/>
  <c r="I222" i="26"/>
  <c r="J222" i="26"/>
  <c r="K222" i="26"/>
  <c r="B223" i="26"/>
  <c r="C223" i="26"/>
  <c r="D223" i="26"/>
  <c r="E223" i="26"/>
  <c r="I223" i="26"/>
  <c r="J223" i="26"/>
  <c r="K223" i="26"/>
  <c r="B224" i="26"/>
  <c r="C224" i="26"/>
  <c r="D224" i="26"/>
  <c r="E224" i="26"/>
  <c r="I224" i="26"/>
  <c r="J224" i="26"/>
  <c r="K224" i="26"/>
  <c r="B225" i="26"/>
  <c r="C225" i="26"/>
  <c r="D225" i="26"/>
  <c r="E225" i="26"/>
  <c r="I225" i="26"/>
  <c r="J225" i="26"/>
  <c r="K225" i="26"/>
  <c r="B226" i="26"/>
  <c r="C226" i="26"/>
  <c r="D226" i="26"/>
  <c r="E226" i="26"/>
  <c r="I226" i="26"/>
  <c r="J226" i="26"/>
  <c r="K226" i="26"/>
  <c r="B228" i="26"/>
  <c r="I228" i="26"/>
  <c r="J228" i="26"/>
  <c r="I230" i="26"/>
  <c r="J230" i="26"/>
  <c r="D134" i="23"/>
  <c r="I134" i="23"/>
  <c r="J134" i="23"/>
  <c r="K134" i="23"/>
  <c r="D147" i="23"/>
  <c r="I147" i="23"/>
  <c r="D148" i="23"/>
  <c r="I148" i="23"/>
  <c r="D149" i="23"/>
  <c r="I149" i="23"/>
  <c r="D150" i="23"/>
  <c r="I150" i="23"/>
  <c r="D151" i="23"/>
  <c r="I151" i="23"/>
  <c r="D152" i="23"/>
  <c r="I152" i="23"/>
  <c r="D153" i="23"/>
  <c r="I153" i="23"/>
  <c r="D154" i="23"/>
  <c r="I154" i="23"/>
  <c r="D155" i="23"/>
  <c r="I155" i="23"/>
  <c r="D156" i="23"/>
  <c r="I156" i="23"/>
  <c r="D157" i="23"/>
  <c r="I157" i="23"/>
  <c r="D158" i="23"/>
  <c r="I158" i="23"/>
  <c r="D159" i="23"/>
  <c r="I159" i="23"/>
  <c r="D160" i="23"/>
  <c r="I160" i="23"/>
  <c r="D161" i="23"/>
  <c r="I161" i="23"/>
  <c r="D162" i="23"/>
  <c r="I162" i="23"/>
  <c r="D163" i="23"/>
  <c r="I163" i="23"/>
  <c r="D164" i="23"/>
  <c r="I164" i="23"/>
  <c r="D165" i="23"/>
  <c r="I165" i="23"/>
  <c r="D166" i="23"/>
  <c r="I166" i="23"/>
  <c r="D167" i="23"/>
  <c r="I167" i="23"/>
  <c r="D168" i="23"/>
  <c r="I168" i="23"/>
  <c r="D169" i="23"/>
  <c r="I169" i="23"/>
  <c r="D170" i="23"/>
  <c r="I170" i="23"/>
  <c r="D171" i="23"/>
  <c r="I171" i="23"/>
  <c r="D172" i="23"/>
  <c r="I172" i="23"/>
  <c r="D173" i="23"/>
  <c r="I173" i="23"/>
  <c r="D174" i="23"/>
  <c r="I174" i="23"/>
  <c r="D175" i="23"/>
  <c r="I175" i="23"/>
  <c r="D176" i="23"/>
  <c r="I176" i="23"/>
  <c r="D177" i="23"/>
  <c r="I177" i="23"/>
  <c r="D178" i="23"/>
  <c r="I178" i="23"/>
  <c r="D179" i="23"/>
  <c r="I179" i="23"/>
  <c r="D180" i="23"/>
  <c r="I180" i="23"/>
  <c r="D181" i="23"/>
  <c r="I181" i="23"/>
  <c r="D182" i="23"/>
  <c r="I182" i="23"/>
  <c r="D183" i="23"/>
  <c r="I183" i="23"/>
  <c r="D184" i="23"/>
  <c r="I184" i="23"/>
  <c r="D185" i="23"/>
  <c r="I185" i="23"/>
  <c r="D186" i="23"/>
  <c r="I186" i="23"/>
  <c r="D187" i="23"/>
  <c r="I187" i="23"/>
  <c r="D188" i="23"/>
  <c r="I188" i="23"/>
  <c r="D189" i="23"/>
  <c r="I189" i="23"/>
  <c r="D190" i="23"/>
  <c r="I190" i="23"/>
  <c r="D191" i="23"/>
  <c r="I191" i="23"/>
  <c r="D192" i="23"/>
  <c r="I192" i="23"/>
  <c r="D193" i="23"/>
  <c r="I193" i="23"/>
  <c r="D194" i="23"/>
  <c r="I194" i="23"/>
  <c r="D195" i="23"/>
  <c r="I195" i="23"/>
  <c r="D196" i="23"/>
  <c r="I196" i="23"/>
  <c r="D197" i="23"/>
  <c r="I197" i="23"/>
  <c r="D198" i="23"/>
  <c r="I198" i="23"/>
  <c r="D199" i="23"/>
  <c r="I199" i="23"/>
  <c r="D200" i="23"/>
  <c r="I200" i="23"/>
  <c r="D201" i="23"/>
  <c r="I201" i="23"/>
  <c r="D202" i="23"/>
  <c r="I202" i="23"/>
  <c r="D203" i="23"/>
  <c r="I203" i="23"/>
  <c r="D204" i="23"/>
  <c r="I204" i="23"/>
  <c r="D205" i="23"/>
  <c r="I205" i="23"/>
  <c r="D206" i="23"/>
  <c r="I206" i="23"/>
  <c r="I208" i="23"/>
  <c r="I220" i="23"/>
  <c r="J220" i="23"/>
  <c r="K220" i="23"/>
  <c r="B222" i="23"/>
  <c r="C222" i="23"/>
  <c r="D222" i="23"/>
  <c r="E222" i="23"/>
  <c r="I222" i="23"/>
  <c r="J222" i="23"/>
  <c r="K222" i="23"/>
  <c r="B223" i="23"/>
  <c r="C223" i="23"/>
  <c r="D223" i="23"/>
  <c r="E223" i="23"/>
  <c r="I223" i="23"/>
  <c r="J223" i="23"/>
  <c r="K223" i="23"/>
  <c r="B224" i="23"/>
  <c r="C224" i="23"/>
  <c r="D224" i="23"/>
  <c r="E224" i="23"/>
  <c r="I224" i="23"/>
  <c r="J224" i="23"/>
  <c r="K224" i="23"/>
  <c r="B225" i="23"/>
  <c r="C225" i="23"/>
  <c r="D225" i="23"/>
  <c r="E225" i="23"/>
  <c r="I225" i="23"/>
  <c r="J225" i="23"/>
  <c r="K225" i="23"/>
  <c r="B226" i="23"/>
  <c r="C226" i="23"/>
  <c r="D226" i="23"/>
  <c r="E226" i="23"/>
  <c r="I226" i="23"/>
  <c r="J226" i="23"/>
  <c r="K226" i="23"/>
  <c r="B228" i="23"/>
  <c r="I228" i="23"/>
  <c r="J228" i="23"/>
  <c r="I230" i="23"/>
  <c r="J230" i="23"/>
  <c r="C6" i="41"/>
  <c r="D6" i="41"/>
  <c r="G6" i="41"/>
  <c r="I6" i="41"/>
  <c r="K6" i="41"/>
  <c r="M6" i="41"/>
  <c r="C7" i="41"/>
  <c r="D7" i="41"/>
  <c r="G7" i="41"/>
  <c r="I7" i="41"/>
  <c r="K7" i="41"/>
  <c r="M7" i="41"/>
  <c r="C8" i="41"/>
  <c r="D8" i="41"/>
  <c r="G8" i="41"/>
  <c r="I8" i="41"/>
  <c r="K8" i="41"/>
  <c r="M8" i="41"/>
  <c r="C9" i="41"/>
  <c r="D9" i="41"/>
  <c r="G9" i="41"/>
  <c r="I9" i="41"/>
  <c r="K9" i="41"/>
  <c r="M9" i="41"/>
  <c r="C10" i="41"/>
  <c r="D10" i="41"/>
  <c r="G10" i="41"/>
  <c r="I10" i="41"/>
  <c r="K10" i="41"/>
  <c r="M10" i="41"/>
  <c r="C16" i="41"/>
  <c r="D16" i="41"/>
  <c r="E16" i="41"/>
  <c r="F16" i="41"/>
  <c r="G16" i="41"/>
  <c r="H16" i="41"/>
  <c r="I16" i="41"/>
  <c r="C17" i="41"/>
  <c r="D17" i="41"/>
  <c r="E17" i="41"/>
  <c r="F17" i="41"/>
  <c r="G17" i="41"/>
  <c r="H17" i="41"/>
  <c r="I17" i="41"/>
  <c r="C18" i="41"/>
  <c r="D18" i="41"/>
  <c r="E18" i="41"/>
  <c r="F18" i="41"/>
  <c r="G18" i="41"/>
  <c r="H18" i="41"/>
  <c r="I18" i="41"/>
  <c r="C19" i="41"/>
  <c r="D19" i="41"/>
  <c r="E19" i="41"/>
  <c r="F19" i="41"/>
  <c r="G19" i="41"/>
  <c r="H19" i="41"/>
  <c r="I19" i="41"/>
  <c r="C20" i="41"/>
  <c r="D20" i="41"/>
  <c r="E20" i="41"/>
  <c r="F20" i="41"/>
  <c r="G20" i="41"/>
  <c r="H20" i="41"/>
  <c r="I20" i="41"/>
  <c r="C44" i="41"/>
  <c r="D44" i="41"/>
  <c r="G44" i="41"/>
  <c r="I44" i="41"/>
  <c r="C45" i="41"/>
  <c r="D45" i="41"/>
  <c r="G45" i="41"/>
  <c r="I45" i="41"/>
  <c r="C46" i="41"/>
  <c r="D46" i="41"/>
  <c r="G46" i="41"/>
  <c r="I46" i="41"/>
  <c r="C47" i="41"/>
  <c r="D47" i="41"/>
  <c r="G47" i="41"/>
  <c r="I47" i="41"/>
  <c r="C48" i="41"/>
  <c r="D48" i="41"/>
  <c r="G48" i="41"/>
  <c r="I48" i="41"/>
  <c r="C53" i="41"/>
  <c r="D53" i="41"/>
  <c r="E53" i="41"/>
  <c r="C54" i="41"/>
  <c r="D54" i="41"/>
  <c r="E54" i="41"/>
  <c r="C55" i="41"/>
  <c r="D55" i="41"/>
  <c r="E55" i="41"/>
  <c r="C56" i="41"/>
  <c r="D56" i="41"/>
  <c r="E56" i="41"/>
  <c r="C57" i="41"/>
  <c r="D57" i="41"/>
  <c r="E57" i="41"/>
  <c r="D134" i="19"/>
  <c r="H134" i="19"/>
  <c r="I134" i="19"/>
  <c r="J134" i="19"/>
  <c r="D147" i="19"/>
  <c r="H147" i="19"/>
  <c r="D148" i="19"/>
  <c r="H148" i="19"/>
  <c r="D149" i="19"/>
  <c r="H149" i="19"/>
  <c r="D150" i="19"/>
  <c r="H150" i="19"/>
  <c r="D151" i="19"/>
  <c r="H151" i="19"/>
  <c r="D152" i="19"/>
  <c r="H152" i="19"/>
  <c r="D153" i="19"/>
  <c r="H153" i="19"/>
  <c r="D154" i="19"/>
  <c r="H154" i="19"/>
  <c r="D155" i="19"/>
  <c r="H155" i="19"/>
  <c r="D156" i="19"/>
  <c r="H156" i="19"/>
  <c r="D157" i="19"/>
  <c r="H157" i="19"/>
  <c r="D158" i="19"/>
  <c r="H158" i="19"/>
  <c r="D159" i="19"/>
  <c r="H159" i="19"/>
  <c r="D160" i="19"/>
  <c r="H160" i="19"/>
  <c r="D161" i="19"/>
  <c r="H161" i="19"/>
  <c r="D162" i="19"/>
  <c r="H162" i="19"/>
  <c r="D163" i="19"/>
  <c r="H163" i="19"/>
  <c r="D164" i="19"/>
  <c r="H164" i="19"/>
  <c r="D165" i="19"/>
  <c r="H165" i="19"/>
  <c r="D166" i="19"/>
  <c r="H166" i="19"/>
  <c r="D167" i="19"/>
  <c r="H167" i="19"/>
  <c r="D168" i="19"/>
  <c r="H168" i="19"/>
  <c r="D169" i="19"/>
  <c r="H169" i="19"/>
  <c r="D170" i="19"/>
  <c r="H170" i="19"/>
  <c r="D171" i="19"/>
  <c r="H171" i="19"/>
  <c r="D172" i="19"/>
  <c r="H172" i="19"/>
  <c r="D173" i="19"/>
  <c r="H173" i="19"/>
  <c r="D174" i="19"/>
  <c r="H174" i="19"/>
  <c r="D175" i="19"/>
  <c r="H175" i="19"/>
  <c r="D176" i="19"/>
  <c r="H176" i="19"/>
  <c r="D177" i="19"/>
  <c r="H177" i="19"/>
  <c r="D178" i="19"/>
  <c r="H178" i="19"/>
  <c r="D179" i="19"/>
  <c r="H179" i="19"/>
  <c r="D180" i="19"/>
  <c r="H180" i="19"/>
  <c r="D181" i="19"/>
  <c r="H181" i="19"/>
  <c r="D182" i="19"/>
  <c r="H182" i="19"/>
  <c r="D183" i="19"/>
  <c r="H183" i="19"/>
  <c r="D184" i="19"/>
  <c r="H184" i="19"/>
  <c r="D185" i="19"/>
  <c r="H185" i="19"/>
  <c r="D186" i="19"/>
  <c r="H186" i="19"/>
  <c r="D187" i="19"/>
  <c r="H187" i="19"/>
  <c r="D188" i="19"/>
  <c r="H188" i="19"/>
  <c r="D189" i="19"/>
  <c r="H189" i="19"/>
  <c r="D190" i="19"/>
  <c r="H190" i="19"/>
  <c r="D191" i="19"/>
  <c r="H191" i="19"/>
  <c r="D192" i="19"/>
  <c r="H192" i="19"/>
  <c r="D193" i="19"/>
  <c r="H193" i="19"/>
  <c r="D194" i="19"/>
  <c r="H194" i="19"/>
  <c r="D195" i="19"/>
  <c r="H195" i="19"/>
  <c r="D196" i="19"/>
  <c r="H196" i="19"/>
  <c r="D197" i="19"/>
  <c r="H197" i="19"/>
  <c r="D198" i="19"/>
  <c r="H198" i="19"/>
  <c r="D199" i="19"/>
  <c r="H199" i="19"/>
  <c r="D200" i="19"/>
  <c r="H200" i="19"/>
  <c r="D201" i="19"/>
  <c r="H201" i="19"/>
  <c r="D202" i="19"/>
  <c r="H202" i="19"/>
  <c r="D203" i="19"/>
  <c r="H203" i="19"/>
  <c r="D204" i="19"/>
  <c r="H204" i="19"/>
  <c r="D205" i="19"/>
  <c r="H205" i="19"/>
  <c r="D206" i="19"/>
  <c r="H206" i="19"/>
  <c r="H208" i="19"/>
  <c r="H220" i="19"/>
  <c r="I220" i="19"/>
  <c r="J220" i="19"/>
  <c r="M220" i="19"/>
  <c r="O220" i="19"/>
  <c r="Q220" i="19"/>
  <c r="B222" i="19"/>
  <c r="C222" i="19"/>
  <c r="D222" i="19"/>
  <c r="E222" i="19"/>
  <c r="H222" i="19"/>
  <c r="I222" i="19"/>
  <c r="J222" i="19"/>
  <c r="L222" i="19"/>
  <c r="M222" i="19"/>
  <c r="N222" i="19"/>
  <c r="O222" i="19"/>
  <c r="P222" i="19"/>
  <c r="Q222" i="19"/>
  <c r="B223" i="19"/>
  <c r="C223" i="19"/>
  <c r="D223" i="19"/>
  <c r="E223" i="19"/>
  <c r="H223" i="19"/>
  <c r="I223" i="19"/>
  <c r="J223" i="19"/>
  <c r="L223" i="19"/>
  <c r="M223" i="19"/>
  <c r="N223" i="19"/>
  <c r="O223" i="19"/>
  <c r="P223" i="19"/>
  <c r="Q223" i="19"/>
  <c r="B224" i="19"/>
  <c r="C224" i="19"/>
  <c r="D224" i="19"/>
  <c r="E224" i="19"/>
  <c r="H224" i="19"/>
  <c r="I224" i="19"/>
  <c r="J224" i="19"/>
  <c r="L224" i="19"/>
  <c r="M224" i="19"/>
  <c r="N224" i="19"/>
  <c r="O224" i="19"/>
  <c r="P224" i="19"/>
  <c r="Q224" i="19"/>
  <c r="B225" i="19"/>
  <c r="C225" i="19"/>
  <c r="D225" i="19"/>
  <c r="E225" i="19"/>
  <c r="H225" i="19"/>
  <c r="I225" i="19"/>
  <c r="J225" i="19"/>
  <c r="L225" i="19"/>
  <c r="M225" i="19"/>
  <c r="N225" i="19"/>
  <c r="O225" i="19"/>
  <c r="P225" i="19"/>
  <c r="Q225" i="19"/>
  <c r="B226" i="19"/>
  <c r="C226" i="19"/>
  <c r="D226" i="19"/>
  <c r="E226" i="19"/>
  <c r="H226" i="19"/>
  <c r="I226" i="19"/>
  <c r="J226" i="19"/>
  <c r="L226" i="19"/>
  <c r="M226" i="19"/>
  <c r="N226" i="19"/>
  <c r="O226" i="19"/>
  <c r="P226" i="19"/>
  <c r="Q226" i="19"/>
  <c r="B228" i="19"/>
  <c r="H228" i="19"/>
  <c r="I228" i="19"/>
  <c r="H230" i="19"/>
  <c r="I230" i="19"/>
  <c r="C17" i="9"/>
  <c r="D17" i="9"/>
  <c r="E17" i="9"/>
  <c r="B19" i="9"/>
  <c r="C19" i="9"/>
  <c r="D19" i="9"/>
  <c r="G19" i="9"/>
  <c r="H19" i="9"/>
  <c r="I19" i="9"/>
  <c r="J19" i="9"/>
  <c r="K19" i="9"/>
  <c r="L19" i="9"/>
  <c r="M19" i="9"/>
  <c r="N19" i="9"/>
  <c r="O19" i="9"/>
  <c r="P19" i="9"/>
  <c r="Q19" i="9"/>
  <c r="B20" i="9"/>
  <c r="C20" i="9"/>
  <c r="D20" i="9"/>
  <c r="G20" i="9"/>
  <c r="H20" i="9"/>
  <c r="I20" i="9"/>
  <c r="J20" i="9"/>
  <c r="K20" i="9"/>
  <c r="L20" i="9"/>
  <c r="M20" i="9"/>
  <c r="N20" i="9"/>
  <c r="O20" i="9"/>
  <c r="P20" i="9"/>
  <c r="Q20" i="9"/>
  <c r="B21" i="9"/>
  <c r="C21" i="9"/>
  <c r="D21" i="9"/>
  <c r="G21" i="9"/>
  <c r="H21" i="9"/>
  <c r="I21" i="9"/>
  <c r="J21" i="9"/>
  <c r="K21" i="9"/>
  <c r="L21" i="9"/>
  <c r="M21" i="9"/>
  <c r="N21" i="9"/>
  <c r="O21" i="9"/>
  <c r="P21" i="9"/>
  <c r="Q21" i="9"/>
  <c r="B22" i="9"/>
  <c r="C22" i="9"/>
  <c r="D22" i="9"/>
  <c r="G22" i="9"/>
  <c r="H22" i="9"/>
  <c r="I22" i="9"/>
  <c r="J22" i="9"/>
  <c r="K22" i="9"/>
  <c r="L22" i="9"/>
  <c r="M22" i="9"/>
  <c r="N22" i="9"/>
  <c r="O22" i="9"/>
  <c r="P22" i="9"/>
  <c r="Q22" i="9"/>
  <c r="B23" i="9"/>
  <c r="C23" i="9"/>
  <c r="D23" i="9"/>
  <c r="G23" i="9"/>
  <c r="H23" i="9"/>
  <c r="I23" i="9"/>
  <c r="J23" i="9"/>
  <c r="K23" i="9"/>
  <c r="L23" i="9"/>
  <c r="M23" i="9"/>
  <c r="N23" i="9"/>
  <c r="O23" i="9"/>
  <c r="P23" i="9"/>
  <c r="Q23" i="9"/>
  <c r="G42" i="9"/>
  <c r="G43" i="9"/>
  <c r="G44" i="9"/>
  <c r="G45" i="9"/>
  <c r="G46" i="9"/>
  <c r="G73" i="9"/>
  <c r="H73" i="9"/>
  <c r="I73" i="9"/>
  <c r="J73" i="9"/>
  <c r="K73" i="9"/>
  <c r="L73" i="9"/>
  <c r="M73" i="9"/>
  <c r="N73" i="9"/>
  <c r="O73" i="9"/>
  <c r="P73" i="9"/>
  <c r="G74" i="9"/>
  <c r="H74" i="9"/>
  <c r="I74" i="9"/>
  <c r="J74" i="9"/>
  <c r="K74" i="9"/>
  <c r="L74" i="9"/>
  <c r="M74" i="9"/>
  <c r="N74" i="9"/>
  <c r="O74" i="9"/>
  <c r="P74" i="9"/>
  <c r="G75" i="9"/>
  <c r="H75" i="9"/>
  <c r="I75" i="9"/>
  <c r="J75" i="9"/>
  <c r="K75" i="9"/>
  <c r="L75" i="9"/>
  <c r="M75" i="9"/>
  <c r="N75" i="9"/>
  <c r="O75" i="9"/>
  <c r="P75" i="9"/>
  <c r="G76" i="9"/>
  <c r="H76" i="9"/>
  <c r="I76" i="9"/>
  <c r="J76" i="9"/>
  <c r="K76" i="9"/>
  <c r="L76" i="9"/>
  <c r="M76" i="9"/>
  <c r="N76" i="9"/>
  <c r="O76" i="9"/>
  <c r="P76" i="9"/>
  <c r="G77" i="9"/>
  <c r="H77" i="9"/>
  <c r="I77" i="9"/>
  <c r="J77" i="9"/>
  <c r="K77" i="9"/>
  <c r="L77" i="9"/>
  <c r="M77" i="9"/>
  <c r="N77" i="9"/>
  <c r="O77" i="9"/>
  <c r="P77" i="9"/>
  <c r="G80" i="9"/>
  <c r="G81" i="9"/>
  <c r="G82" i="9"/>
  <c r="G83" i="9"/>
  <c r="G84" i="9"/>
  <c r="H87" i="9"/>
  <c r="I87" i="9"/>
  <c r="J87" i="9"/>
  <c r="K87" i="9"/>
  <c r="L87" i="9"/>
  <c r="M87" i="9"/>
  <c r="N87" i="9"/>
  <c r="O87" i="9"/>
  <c r="P87" i="9"/>
  <c r="H88" i="9"/>
  <c r="I88" i="9"/>
  <c r="J88" i="9"/>
  <c r="K88" i="9"/>
  <c r="L88" i="9"/>
  <c r="M88" i="9"/>
  <c r="N88" i="9"/>
  <c r="O88" i="9"/>
  <c r="P88" i="9"/>
  <c r="H89" i="9"/>
  <c r="I89" i="9"/>
  <c r="J89" i="9"/>
  <c r="K89" i="9"/>
  <c r="L89" i="9"/>
  <c r="M89" i="9"/>
  <c r="N89" i="9"/>
  <c r="O89" i="9"/>
  <c r="P89" i="9"/>
  <c r="H90" i="9"/>
  <c r="I90" i="9"/>
  <c r="J90" i="9"/>
  <c r="K90" i="9"/>
  <c r="L90" i="9"/>
  <c r="M90" i="9"/>
  <c r="N90" i="9"/>
  <c r="O90" i="9"/>
  <c r="P90" i="9"/>
  <c r="H91" i="9"/>
  <c r="I91" i="9"/>
  <c r="J91" i="9"/>
  <c r="K91" i="9"/>
  <c r="L91" i="9"/>
  <c r="M91" i="9"/>
  <c r="N91" i="9"/>
  <c r="O91" i="9"/>
  <c r="P91" i="9"/>
  <c r="H94" i="9"/>
  <c r="I94" i="9"/>
  <c r="J94" i="9"/>
  <c r="K94" i="9"/>
  <c r="L94" i="9"/>
  <c r="M94" i="9"/>
  <c r="N94" i="9"/>
  <c r="O94" i="9"/>
  <c r="P94" i="9"/>
  <c r="H95" i="9"/>
  <c r="I95" i="9"/>
  <c r="J95" i="9"/>
  <c r="K95" i="9"/>
  <c r="L95" i="9"/>
  <c r="M95" i="9"/>
  <c r="N95" i="9"/>
  <c r="O95" i="9"/>
  <c r="P95" i="9"/>
  <c r="H96" i="9"/>
  <c r="I96" i="9"/>
  <c r="J96" i="9"/>
  <c r="K96" i="9"/>
  <c r="L96" i="9"/>
  <c r="M96" i="9"/>
  <c r="N96" i="9"/>
  <c r="O96" i="9"/>
  <c r="P96" i="9"/>
  <c r="H97" i="9"/>
  <c r="I97" i="9"/>
  <c r="J97" i="9"/>
  <c r="K97" i="9"/>
  <c r="L97" i="9"/>
  <c r="M97" i="9"/>
  <c r="N97" i="9"/>
  <c r="O97" i="9"/>
  <c r="P97" i="9"/>
  <c r="H98" i="9"/>
  <c r="I98" i="9"/>
  <c r="J98" i="9"/>
  <c r="K98" i="9"/>
  <c r="L98" i="9"/>
  <c r="M98" i="9"/>
  <c r="N98" i="9"/>
  <c r="O98" i="9"/>
  <c r="P98" i="9"/>
  <c r="B14" i="18"/>
  <c r="C14" i="18"/>
  <c r="D14" i="18"/>
  <c r="E14" i="18"/>
  <c r="F14" i="18"/>
  <c r="G14" i="18"/>
  <c r="B15" i="18"/>
  <c r="C15" i="18"/>
  <c r="D15" i="18"/>
  <c r="E15" i="18"/>
  <c r="F15" i="18"/>
  <c r="G15" i="18"/>
  <c r="B16" i="18"/>
  <c r="C16" i="18"/>
  <c r="D16" i="18"/>
  <c r="E16" i="18"/>
  <c r="F16" i="18"/>
  <c r="G16" i="18"/>
  <c r="B17" i="18"/>
  <c r="C17" i="18"/>
  <c r="D17" i="18"/>
  <c r="E17" i="18"/>
  <c r="F17" i="18"/>
  <c r="G17" i="18"/>
  <c r="B18" i="18"/>
  <c r="C18" i="18"/>
  <c r="D18" i="18"/>
  <c r="E18" i="18"/>
  <c r="F18" i="18"/>
  <c r="G18" i="18"/>
  <c r="B48" i="18"/>
  <c r="C48" i="18"/>
  <c r="D48" i="18"/>
  <c r="E48" i="18"/>
  <c r="F48" i="18"/>
  <c r="G48" i="18"/>
  <c r="H48" i="18"/>
  <c r="B49" i="18"/>
  <c r="C49" i="18"/>
  <c r="D49" i="18"/>
  <c r="E49" i="18"/>
  <c r="F49" i="18"/>
  <c r="G49" i="18"/>
  <c r="H49" i="18"/>
  <c r="B50" i="18"/>
  <c r="C50" i="18"/>
  <c r="D50" i="18"/>
  <c r="E50" i="18"/>
  <c r="F50" i="18"/>
  <c r="G50" i="18"/>
  <c r="H50" i="18"/>
  <c r="B51" i="18"/>
  <c r="C51" i="18"/>
  <c r="D51" i="18"/>
  <c r="E51" i="18"/>
  <c r="F51" i="18"/>
  <c r="G51" i="18"/>
  <c r="H51" i="18"/>
  <c r="B52" i="18"/>
  <c r="C52" i="18"/>
  <c r="D52" i="18"/>
  <c r="E52" i="18"/>
  <c r="F52" i="18"/>
  <c r="G52" i="18"/>
  <c r="H52" i="18"/>
  <c r="D134" i="20"/>
  <c r="I134" i="20"/>
  <c r="J134" i="20"/>
  <c r="K134" i="20"/>
  <c r="D147" i="20"/>
  <c r="I147" i="20"/>
  <c r="D148" i="20"/>
  <c r="I148" i="20"/>
  <c r="D149" i="20"/>
  <c r="I149" i="20"/>
  <c r="D150" i="20"/>
  <c r="I150" i="20"/>
  <c r="D151" i="20"/>
  <c r="I151" i="20"/>
  <c r="D152" i="20"/>
  <c r="I152" i="20"/>
  <c r="D153" i="20"/>
  <c r="I153" i="20"/>
  <c r="D154" i="20"/>
  <c r="I154" i="20"/>
  <c r="D155" i="20"/>
  <c r="I155" i="20"/>
  <c r="D156" i="20"/>
  <c r="I156" i="20"/>
  <c r="D157" i="20"/>
  <c r="I157" i="20"/>
  <c r="D158" i="20"/>
  <c r="I158" i="20"/>
  <c r="D159" i="20"/>
  <c r="I159" i="20"/>
  <c r="D160" i="20"/>
  <c r="I160" i="20"/>
  <c r="D161" i="20"/>
  <c r="I161" i="20"/>
  <c r="D162" i="20"/>
  <c r="I162" i="20"/>
  <c r="D163" i="20"/>
  <c r="I163" i="20"/>
  <c r="D164" i="20"/>
  <c r="I164" i="20"/>
  <c r="D165" i="20"/>
  <c r="I165" i="20"/>
  <c r="D166" i="20"/>
  <c r="I166" i="20"/>
  <c r="D167" i="20"/>
  <c r="I167" i="20"/>
  <c r="D168" i="20"/>
  <c r="I168" i="20"/>
  <c r="D169" i="20"/>
  <c r="I169" i="20"/>
  <c r="D170" i="20"/>
  <c r="I170" i="20"/>
  <c r="D171" i="20"/>
  <c r="I171" i="20"/>
  <c r="D172" i="20"/>
  <c r="I172" i="20"/>
  <c r="D173" i="20"/>
  <c r="I173" i="20"/>
  <c r="D174" i="20"/>
  <c r="I174" i="20"/>
  <c r="D175" i="20"/>
  <c r="I175" i="20"/>
  <c r="D176" i="20"/>
  <c r="I176" i="20"/>
  <c r="D177" i="20"/>
  <c r="I177" i="20"/>
  <c r="D178" i="20"/>
  <c r="I178" i="20"/>
  <c r="D179" i="20"/>
  <c r="I179" i="20"/>
  <c r="D180" i="20"/>
  <c r="I180" i="20"/>
  <c r="D181" i="20"/>
  <c r="I181" i="20"/>
  <c r="D182" i="20"/>
  <c r="I182" i="20"/>
  <c r="D183" i="20"/>
  <c r="I183" i="20"/>
  <c r="D184" i="20"/>
  <c r="I184" i="20"/>
  <c r="D185" i="20"/>
  <c r="I185" i="20"/>
  <c r="D186" i="20"/>
  <c r="I186" i="20"/>
  <c r="D187" i="20"/>
  <c r="I187" i="20"/>
  <c r="D188" i="20"/>
  <c r="I188" i="20"/>
  <c r="D189" i="20"/>
  <c r="I189" i="20"/>
  <c r="D190" i="20"/>
  <c r="I190" i="20"/>
  <c r="D191" i="20"/>
  <c r="I191" i="20"/>
  <c r="D192" i="20"/>
  <c r="I192" i="20"/>
  <c r="D193" i="20"/>
  <c r="I193" i="20"/>
  <c r="D194" i="20"/>
  <c r="I194" i="20"/>
  <c r="D195" i="20"/>
  <c r="I195" i="20"/>
  <c r="D196" i="20"/>
  <c r="I196" i="20"/>
  <c r="D197" i="20"/>
  <c r="I197" i="20"/>
  <c r="D198" i="20"/>
  <c r="I198" i="20"/>
  <c r="D199" i="20"/>
  <c r="I199" i="20"/>
  <c r="D200" i="20"/>
  <c r="I200" i="20"/>
  <c r="D201" i="20"/>
  <c r="I201" i="20"/>
  <c r="D202" i="20"/>
  <c r="I202" i="20"/>
  <c r="D203" i="20"/>
  <c r="I203" i="20"/>
  <c r="D204" i="20"/>
  <c r="I204" i="20"/>
  <c r="D205" i="20"/>
  <c r="I205" i="20"/>
  <c r="D206" i="20"/>
  <c r="I206" i="20"/>
  <c r="I208" i="20"/>
  <c r="I220" i="20"/>
  <c r="J220" i="20"/>
  <c r="K220" i="20"/>
  <c r="B222" i="20"/>
  <c r="C222" i="20"/>
  <c r="D222" i="20"/>
  <c r="E222" i="20"/>
  <c r="I222" i="20"/>
  <c r="J222" i="20"/>
  <c r="K222" i="20"/>
  <c r="B223" i="20"/>
  <c r="C223" i="20"/>
  <c r="D223" i="20"/>
  <c r="E223" i="20"/>
  <c r="I223" i="20"/>
  <c r="J223" i="20"/>
  <c r="K223" i="20"/>
  <c r="B224" i="20"/>
  <c r="C224" i="20"/>
  <c r="D224" i="20"/>
  <c r="E224" i="20"/>
  <c r="I224" i="20"/>
  <c r="J224" i="20"/>
  <c r="K224" i="20"/>
  <c r="B225" i="20"/>
  <c r="C225" i="20"/>
  <c r="D225" i="20"/>
  <c r="E225" i="20"/>
  <c r="I225" i="20"/>
  <c r="J225" i="20"/>
  <c r="K225" i="20"/>
  <c r="B226" i="20"/>
  <c r="C226" i="20"/>
  <c r="D226" i="20"/>
  <c r="E226" i="20"/>
  <c r="I226" i="20"/>
  <c r="J226" i="20"/>
  <c r="K226" i="20"/>
  <c r="B228" i="20"/>
  <c r="I228" i="20"/>
  <c r="J228" i="20"/>
  <c r="I230" i="20"/>
  <c r="J230" i="20"/>
  <c r="D134" i="27"/>
  <c r="I134" i="27"/>
  <c r="J134" i="27"/>
  <c r="K134" i="27"/>
  <c r="D147" i="27"/>
  <c r="I147" i="27"/>
  <c r="D148" i="27"/>
  <c r="I148" i="27"/>
  <c r="D149" i="27"/>
  <c r="I149" i="27"/>
  <c r="D150" i="27"/>
  <c r="I150" i="27"/>
  <c r="D151" i="27"/>
  <c r="I151" i="27"/>
  <c r="D152" i="27"/>
  <c r="I152" i="27"/>
  <c r="D153" i="27"/>
  <c r="I153" i="27"/>
  <c r="D154" i="27"/>
  <c r="I154" i="27"/>
  <c r="D155" i="27"/>
  <c r="I155" i="27"/>
  <c r="D156" i="27"/>
  <c r="I156" i="27"/>
  <c r="D157" i="27"/>
  <c r="I157" i="27"/>
  <c r="D158" i="27"/>
  <c r="I158" i="27"/>
  <c r="D159" i="27"/>
  <c r="I159" i="27"/>
  <c r="D160" i="27"/>
  <c r="I160" i="27"/>
  <c r="D161" i="27"/>
  <c r="I161" i="27"/>
  <c r="D162" i="27"/>
  <c r="I162" i="27"/>
  <c r="D163" i="27"/>
  <c r="I163" i="27"/>
  <c r="D164" i="27"/>
  <c r="I164" i="27"/>
  <c r="D165" i="27"/>
  <c r="I165" i="27"/>
  <c r="D166" i="27"/>
  <c r="I166" i="27"/>
  <c r="D167" i="27"/>
  <c r="I167" i="27"/>
  <c r="D168" i="27"/>
  <c r="I168" i="27"/>
  <c r="D169" i="27"/>
  <c r="I169" i="27"/>
  <c r="D170" i="27"/>
  <c r="I170" i="27"/>
  <c r="D171" i="27"/>
  <c r="I171" i="27"/>
  <c r="D172" i="27"/>
  <c r="I172" i="27"/>
  <c r="D173" i="27"/>
  <c r="I173" i="27"/>
  <c r="D174" i="27"/>
  <c r="I174" i="27"/>
  <c r="D175" i="27"/>
  <c r="I175" i="27"/>
  <c r="D176" i="27"/>
  <c r="I176" i="27"/>
  <c r="D177" i="27"/>
  <c r="I177" i="27"/>
  <c r="D178" i="27"/>
  <c r="I178" i="27"/>
  <c r="D179" i="27"/>
  <c r="I179" i="27"/>
  <c r="D180" i="27"/>
  <c r="I180" i="27"/>
  <c r="D181" i="27"/>
  <c r="I181" i="27"/>
  <c r="D182" i="27"/>
  <c r="I182" i="27"/>
  <c r="D183" i="27"/>
  <c r="I183" i="27"/>
  <c r="D184" i="27"/>
  <c r="I184" i="27"/>
  <c r="D185" i="27"/>
  <c r="I185" i="27"/>
  <c r="D186" i="27"/>
  <c r="I186" i="27"/>
  <c r="D187" i="27"/>
  <c r="I187" i="27"/>
  <c r="D188" i="27"/>
  <c r="I188" i="27"/>
  <c r="D189" i="27"/>
  <c r="I189" i="27"/>
  <c r="D190" i="27"/>
  <c r="I190" i="27"/>
  <c r="D191" i="27"/>
  <c r="I191" i="27"/>
  <c r="D192" i="27"/>
  <c r="I192" i="27"/>
  <c r="D193" i="27"/>
  <c r="I193" i="27"/>
  <c r="D194" i="27"/>
  <c r="I194" i="27"/>
  <c r="D195" i="27"/>
  <c r="I195" i="27"/>
  <c r="D196" i="27"/>
  <c r="I196" i="27"/>
  <c r="D197" i="27"/>
  <c r="I197" i="27"/>
  <c r="D198" i="27"/>
  <c r="I198" i="27"/>
  <c r="D199" i="27"/>
  <c r="I199" i="27"/>
  <c r="D200" i="27"/>
  <c r="I200" i="27"/>
  <c r="D201" i="27"/>
  <c r="I201" i="27"/>
  <c r="D202" i="27"/>
  <c r="I202" i="27"/>
  <c r="D203" i="27"/>
  <c r="I203" i="27"/>
  <c r="D204" i="27"/>
  <c r="I204" i="27"/>
  <c r="D205" i="27"/>
  <c r="I205" i="27"/>
  <c r="D206" i="27"/>
  <c r="I206" i="27"/>
  <c r="I208" i="27"/>
  <c r="I220" i="27"/>
  <c r="J220" i="27"/>
  <c r="K220" i="27"/>
  <c r="B222" i="27"/>
  <c r="C222" i="27"/>
  <c r="D222" i="27"/>
  <c r="E222" i="27"/>
  <c r="I222" i="27"/>
  <c r="J222" i="27"/>
  <c r="K222" i="27"/>
  <c r="B223" i="27"/>
  <c r="C223" i="27"/>
  <c r="D223" i="27"/>
  <c r="E223" i="27"/>
  <c r="I223" i="27"/>
  <c r="J223" i="27"/>
  <c r="K223" i="27"/>
  <c r="B224" i="27"/>
  <c r="C224" i="27"/>
  <c r="D224" i="27"/>
  <c r="E224" i="27"/>
  <c r="I224" i="27"/>
  <c r="J224" i="27"/>
  <c r="K224" i="27"/>
  <c r="B225" i="27"/>
  <c r="C225" i="27"/>
  <c r="D225" i="27"/>
  <c r="E225" i="27"/>
  <c r="I225" i="27"/>
  <c r="J225" i="27"/>
  <c r="K225" i="27"/>
  <c r="B226" i="27"/>
  <c r="C226" i="27"/>
  <c r="D226" i="27"/>
  <c r="E226" i="27"/>
  <c r="I226" i="27"/>
  <c r="J226" i="27"/>
  <c r="K226" i="27"/>
  <c r="B228" i="27"/>
  <c r="I228" i="27"/>
  <c r="J228" i="27"/>
  <c r="I230" i="27"/>
  <c r="J230" i="27"/>
  <c r="L6" i="11"/>
  <c r="N6" i="11"/>
  <c r="O6" i="11"/>
  <c r="P6" i="11"/>
  <c r="Q6" i="11"/>
  <c r="R6" i="11"/>
  <c r="Z6" i="11"/>
  <c r="AA6" i="11"/>
  <c r="L7" i="11"/>
  <c r="N9" i="11"/>
  <c r="O9" i="11"/>
  <c r="P9" i="11"/>
  <c r="Q9" i="11"/>
  <c r="R9" i="11"/>
  <c r="Z9" i="11"/>
  <c r="AA9" i="11"/>
  <c r="N10" i="11"/>
  <c r="O10" i="11"/>
  <c r="P10" i="11"/>
  <c r="Q10" i="11"/>
  <c r="R10" i="11"/>
  <c r="N15" i="11"/>
  <c r="O15" i="11"/>
  <c r="P15" i="11"/>
  <c r="Q15" i="11"/>
  <c r="R15" i="11"/>
  <c r="Z15" i="11"/>
  <c r="AA15" i="11"/>
  <c r="N19" i="11"/>
  <c r="O19" i="11"/>
  <c r="P19" i="11"/>
  <c r="Q19" i="11"/>
  <c r="R19" i="11"/>
  <c r="Z19" i="11"/>
  <c r="AA19" i="11"/>
  <c r="N23" i="11"/>
  <c r="O23" i="11"/>
  <c r="P23" i="11"/>
  <c r="Q23" i="11"/>
  <c r="R23" i="11"/>
  <c r="Z23" i="11"/>
  <c r="AA23" i="11"/>
  <c r="N24" i="11"/>
  <c r="O24" i="11"/>
  <c r="P24" i="11"/>
  <c r="Q24" i="11"/>
  <c r="R24" i="11"/>
  <c r="Z24" i="11"/>
  <c r="AA24" i="11"/>
  <c r="N28" i="11"/>
  <c r="O28" i="11"/>
  <c r="P28" i="11"/>
  <c r="Q28" i="11"/>
  <c r="R28" i="11"/>
  <c r="Z28" i="11"/>
  <c r="AA28" i="11"/>
  <c r="N29" i="11"/>
  <c r="O29" i="11"/>
  <c r="P29" i="11"/>
  <c r="Q29" i="11"/>
  <c r="R29" i="11"/>
  <c r="Z29" i="11"/>
  <c r="AA29" i="11"/>
  <c r="N33" i="11"/>
  <c r="O33" i="11"/>
  <c r="P33" i="11"/>
  <c r="Q33" i="11"/>
  <c r="R33" i="11"/>
  <c r="Z33" i="11"/>
  <c r="AA33" i="11"/>
  <c r="N34" i="11"/>
  <c r="O34" i="11"/>
  <c r="P34" i="11"/>
  <c r="Q34" i="11"/>
  <c r="R34" i="11"/>
  <c r="Z34" i="11"/>
  <c r="AA34" i="11"/>
  <c r="N43" i="11"/>
  <c r="O43" i="11"/>
  <c r="P43" i="11"/>
  <c r="Q43" i="11"/>
  <c r="R43" i="11"/>
  <c r="Z43" i="11"/>
  <c r="AA43" i="11"/>
  <c r="N44" i="11"/>
  <c r="O44" i="11"/>
  <c r="P44" i="11"/>
  <c r="Q44" i="11"/>
  <c r="R44" i="11"/>
  <c r="Z44" i="11"/>
  <c r="AA44" i="11"/>
  <c r="N48" i="11"/>
  <c r="O48" i="11"/>
  <c r="P48" i="11"/>
  <c r="Q48" i="11"/>
  <c r="R48" i="11"/>
  <c r="Z48" i="11"/>
  <c r="AA48" i="11"/>
  <c r="N52" i="11"/>
  <c r="O52" i="11"/>
  <c r="P52" i="11"/>
  <c r="Q52" i="11"/>
  <c r="R52" i="11"/>
  <c r="Z52" i="11"/>
  <c r="AA52" i="11"/>
  <c r="N53" i="11"/>
  <c r="O53" i="11"/>
  <c r="P53" i="11"/>
  <c r="Q53" i="11"/>
  <c r="R53" i="11"/>
  <c r="Z53" i="11"/>
  <c r="AA53" i="11"/>
  <c r="N57" i="11"/>
  <c r="O57" i="11"/>
  <c r="P57" i="11"/>
  <c r="Q57" i="11"/>
  <c r="R57" i="11"/>
  <c r="Z57" i="11"/>
  <c r="AA57" i="11"/>
  <c r="N58" i="11"/>
  <c r="O58" i="11"/>
  <c r="P58" i="11"/>
  <c r="Q58" i="11"/>
  <c r="R58" i="11"/>
  <c r="Z58" i="11"/>
  <c r="AA58" i="11"/>
  <c r="N62" i="11"/>
  <c r="O62" i="11"/>
  <c r="P62" i="11"/>
  <c r="Q62" i="11"/>
  <c r="R62" i="11"/>
  <c r="Z62" i="11"/>
  <c r="AA62" i="11"/>
  <c r="N63" i="11"/>
  <c r="O63" i="11"/>
  <c r="P63" i="11"/>
  <c r="Q63" i="11"/>
  <c r="R63" i="11"/>
  <c r="Z63" i="11"/>
  <c r="AA63" i="11"/>
  <c r="Q67" i="11"/>
  <c r="R67" i="11"/>
  <c r="Z67" i="11"/>
  <c r="AA67" i="11"/>
  <c r="Q68" i="11"/>
  <c r="R68" i="11"/>
  <c r="Z68" i="11"/>
  <c r="AA68" i="11"/>
  <c r="C12" i="30"/>
  <c r="C14" i="30"/>
  <c r="C15" i="30"/>
  <c r="C16" i="30"/>
  <c r="C17" i="30"/>
  <c r="C18" i="30"/>
  <c r="C20" i="30"/>
  <c r="D134" i="28"/>
  <c r="I134" i="28"/>
  <c r="J134" i="28"/>
  <c r="K134" i="28"/>
  <c r="D147" i="28"/>
  <c r="I147" i="28"/>
  <c r="D148" i="28"/>
  <c r="I148" i="28"/>
  <c r="D149" i="28"/>
  <c r="I149" i="28"/>
  <c r="D150" i="28"/>
  <c r="I150" i="28"/>
  <c r="D151" i="28"/>
  <c r="I151" i="28"/>
  <c r="D152" i="28"/>
  <c r="I152" i="28"/>
  <c r="D153" i="28"/>
  <c r="I153" i="28"/>
  <c r="D154" i="28"/>
  <c r="I154" i="28"/>
  <c r="D155" i="28"/>
  <c r="I155" i="28"/>
  <c r="D156" i="28"/>
  <c r="I156" i="28"/>
  <c r="D157" i="28"/>
  <c r="I157" i="28"/>
  <c r="D158" i="28"/>
  <c r="I158" i="28"/>
  <c r="D159" i="28"/>
  <c r="I159" i="28"/>
  <c r="D160" i="28"/>
  <c r="I160" i="28"/>
  <c r="D161" i="28"/>
  <c r="I161" i="28"/>
  <c r="D162" i="28"/>
  <c r="I162" i="28"/>
  <c r="D163" i="28"/>
  <c r="I163" i="28"/>
  <c r="D164" i="28"/>
  <c r="I164" i="28"/>
  <c r="D165" i="28"/>
  <c r="I165" i="28"/>
  <c r="D166" i="28"/>
  <c r="I166" i="28"/>
  <c r="D167" i="28"/>
  <c r="I167" i="28"/>
  <c r="D168" i="28"/>
  <c r="I168" i="28"/>
  <c r="D169" i="28"/>
  <c r="I169" i="28"/>
  <c r="D170" i="28"/>
  <c r="I170" i="28"/>
  <c r="D171" i="28"/>
  <c r="I171" i="28"/>
  <c r="D172" i="28"/>
  <c r="I172" i="28"/>
  <c r="D173" i="28"/>
  <c r="I173" i="28"/>
  <c r="D174" i="28"/>
  <c r="I174" i="28"/>
  <c r="D175" i="28"/>
  <c r="I175" i="28"/>
  <c r="D176" i="28"/>
  <c r="I176" i="28"/>
  <c r="D177" i="28"/>
  <c r="I177" i="28"/>
  <c r="D178" i="28"/>
  <c r="I178" i="28"/>
  <c r="D179" i="28"/>
  <c r="I179" i="28"/>
  <c r="D180" i="28"/>
  <c r="I180" i="28"/>
  <c r="D181" i="28"/>
  <c r="I181" i="28"/>
  <c r="D182" i="28"/>
  <c r="I182" i="28"/>
  <c r="D183" i="28"/>
  <c r="I183" i="28"/>
  <c r="D184" i="28"/>
  <c r="I184" i="28"/>
  <c r="D185" i="28"/>
  <c r="I185" i="28"/>
  <c r="D186" i="28"/>
  <c r="I186" i="28"/>
  <c r="D187" i="28"/>
  <c r="I187" i="28"/>
  <c r="D188" i="28"/>
  <c r="I188" i="28"/>
  <c r="D189" i="28"/>
  <c r="I189" i="28"/>
  <c r="D190" i="28"/>
  <c r="I190" i="28"/>
  <c r="D191" i="28"/>
  <c r="I191" i="28"/>
  <c r="D192" i="28"/>
  <c r="I192" i="28"/>
  <c r="D193" i="28"/>
  <c r="I193" i="28"/>
  <c r="D194" i="28"/>
  <c r="I194" i="28"/>
  <c r="D195" i="28"/>
  <c r="I195" i="28"/>
  <c r="D196" i="28"/>
  <c r="I196" i="28"/>
  <c r="D197" i="28"/>
  <c r="I197" i="28"/>
  <c r="D198" i="28"/>
  <c r="I198" i="28"/>
  <c r="D199" i="28"/>
  <c r="I199" i="28"/>
  <c r="D200" i="28"/>
  <c r="I200" i="28"/>
  <c r="D201" i="28"/>
  <c r="I201" i="28"/>
  <c r="D202" i="28"/>
  <c r="I202" i="28"/>
  <c r="D203" i="28"/>
  <c r="I203" i="28"/>
  <c r="D204" i="28"/>
  <c r="I204" i="28"/>
  <c r="D205" i="28"/>
  <c r="I205" i="28"/>
  <c r="D206" i="28"/>
  <c r="I206" i="28"/>
  <c r="I208" i="28"/>
  <c r="I220" i="28"/>
  <c r="J220" i="28"/>
  <c r="K220" i="28"/>
  <c r="B222" i="28"/>
  <c r="C222" i="28"/>
  <c r="D222" i="28"/>
  <c r="E222" i="28"/>
  <c r="I222" i="28"/>
  <c r="J222" i="28"/>
  <c r="K222" i="28"/>
  <c r="B223" i="28"/>
  <c r="C223" i="28"/>
  <c r="D223" i="28"/>
  <c r="E223" i="28"/>
  <c r="I223" i="28"/>
  <c r="J223" i="28"/>
  <c r="K223" i="28"/>
  <c r="B224" i="28"/>
  <c r="C224" i="28"/>
  <c r="D224" i="28"/>
  <c r="E224" i="28"/>
  <c r="I224" i="28"/>
  <c r="J224" i="28"/>
  <c r="K224" i="28"/>
  <c r="B225" i="28"/>
  <c r="C225" i="28"/>
  <c r="D225" i="28"/>
  <c r="E225" i="28"/>
  <c r="I225" i="28"/>
  <c r="J225" i="28"/>
  <c r="K225" i="28"/>
  <c r="B226" i="28"/>
  <c r="C226" i="28"/>
  <c r="D226" i="28"/>
  <c r="E226" i="28"/>
  <c r="I226" i="28"/>
  <c r="J226" i="28"/>
  <c r="K226" i="28"/>
  <c r="B228" i="28"/>
  <c r="I228" i="28"/>
  <c r="J228" i="28"/>
  <c r="I230" i="28"/>
  <c r="J230" i="28"/>
</calcChain>
</file>

<file path=xl/comments1.xml><?xml version="1.0" encoding="utf-8"?>
<comments xmlns="http://schemas.openxmlformats.org/spreadsheetml/2006/main">
  <authors>
    <author>Phil Martin</author>
  </authors>
  <commentList>
    <comment ref="I228" author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  <comment ref="I230" author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</commentList>
</comments>
</file>

<file path=xl/comments2.xml><?xml version="1.0" encoding="utf-8"?>
<comments xmlns="http://schemas.openxmlformats.org/spreadsheetml/2006/main">
  <authors>
    <author>Phil Martin</author>
  </authors>
  <commentList>
    <comment ref="I228" author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  <comment ref="I230" author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</commentList>
</comments>
</file>

<file path=xl/comments3.xml><?xml version="1.0" encoding="utf-8"?>
<comments xmlns="http://schemas.openxmlformats.org/spreadsheetml/2006/main">
  <authors>
    <author>Phil Martin</author>
  </authors>
  <commentList>
    <comment ref="I228" author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  <comment ref="I230" author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</commentList>
</comments>
</file>

<file path=xl/comments4.xml><?xml version="1.0" encoding="utf-8"?>
<comments xmlns="http://schemas.openxmlformats.org/spreadsheetml/2006/main">
  <authors>
    <author>dsavage</author>
  </authors>
  <commentList>
    <comment ref="K61" author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Adjusted to reflect trend now only has 1 customer </t>
        </r>
      </text>
    </comment>
  </commentList>
</comments>
</file>

<file path=xl/comments5.xml><?xml version="1.0" encoding="utf-8"?>
<comments xmlns="http://schemas.openxmlformats.org/spreadsheetml/2006/main">
  <authors>
    <author>Phil Martin</author>
  </authors>
  <commentList>
    <comment ref="C67" authorId="0">
      <text>
        <r>
          <rPr>
            <b/>
            <sz val="8"/>
            <color indexed="81"/>
            <rFont val="Tahoma"/>
            <family val="2"/>
          </rPr>
          <t>Phil Martin:</t>
        </r>
        <r>
          <rPr>
            <sz val="8"/>
            <color indexed="81"/>
            <rFont val="Tahoma"/>
            <family val="2"/>
          </rPr>
          <t xml:space="preserve">
Allocate annual CDM to months (pro-rata per PP).</t>
        </r>
      </text>
    </comment>
    <comment ref="G128" authorId="0">
      <text>
        <r>
          <rPr>
            <b/>
            <sz val="8"/>
            <color indexed="81"/>
            <rFont val="Tahoma"/>
            <family val="2"/>
          </rPr>
          <t>Phil Martin:</t>
        </r>
        <r>
          <rPr>
            <sz val="8"/>
            <color indexed="81"/>
            <rFont val="Tahoma"/>
            <family val="2"/>
          </rPr>
          <t xml:space="preserve">
Not sure?</t>
        </r>
      </text>
    </comment>
  </commentList>
</comments>
</file>

<file path=xl/sharedStrings.xml><?xml version="1.0" encoding="utf-8"?>
<sst xmlns="http://schemas.openxmlformats.org/spreadsheetml/2006/main" count="1790" uniqueCount="338">
  <si>
    <t>Purchased</t>
  </si>
  <si>
    <t>Loss Factor</t>
  </si>
  <si>
    <t>Total Billed</t>
  </si>
  <si>
    <t>Heating Degree Days</t>
  </si>
  <si>
    <t>Cooling Degree Days</t>
  </si>
  <si>
    <t>Number of Days in Month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</si>
  <si>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</si>
  <si>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</si>
  <si>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</si>
  <si>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</si>
  <si>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</si>
  <si>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</si>
  <si>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</si>
  <si>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</si>
  <si>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</si>
  <si>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</si>
  <si>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</si>
  <si>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</si>
  <si>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</si>
  <si>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</si>
  <si>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</si>
  <si>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</si>
  <si>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</si>
  <si>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</si>
  <si>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</si>
  <si>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</si>
  <si>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</si>
  <si>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</si>
  <si>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</si>
  <si>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</si>
  <si>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</si>
  <si>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</si>
  <si>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</si>
  <si>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</si>
  <si>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</si>
  <si>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</si>
  <si>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</si>
  <si>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</si>
  <si>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</si>
  <si>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</si>
  <si>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</si>
  <si>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</si>
  <si>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</si>
  <si>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</si>
  <si>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</si>
  <si>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</si>
  <si>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</si>
  <si>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</si>
  <si>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</si>
  <si>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</si>
  <si>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</si>
  <si>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</si>
  <si>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</si>
  <si>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</si>
  <si>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</si>
  <si>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</si>
  <si>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</si>
  <si>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t>kW/kWh</t>
  </si>
  <si>
    <t>2008 Actual</t>
  </si>
  <si>
    <t>Number of Customers</t>
  </si>
  <si>
    <t>Weather Normal</t>
  </si>
  <si>
    <t xml:space="preserve">2009 Actual </t>
  </si>
  <si>
    <t>2011 Weather Normal</t>
  </si>
  <si>
    <t xml:space="preserve">  Connections</t>
  </si>
  <si>
    <t>Total of Above</t>
  </si>
  <si>
    <t>Total from Model</t>
  </si>
  <si>
    <t>Check should all be zero</t>
  </si>
  <si>
    <t xml:space="preserve">2010 Actual </t>
  </si>
  <si>
    <t>2012 Weather Normal</t>
  </si>
  <si>
    <t>Check totals above should be zero</t>
  </si>
  <si>
    <t>Weather Normal Projection</t>
  </si>
  <si>
    <t>Residential</t>
  </si>
  <si>
    <t>GS&lt;50</t>
  </si>
  <si>
    <t>GS&gt;50</t>
  </si>
  <si>
    <t>Large User</t>
  </si>
  <si>
    <t>Streetlights</t>
  </si>
  <si>
    <t>USL</t>
  </si>
  <si>
    <t>I2</t>
  </si>
  <si>
    <t>Sentinels</t>
  </si>
  <si>
    <t>Heating</t>
  </si>
  <si>
    <t>Cooling</t>
  </si>
  <si>
    <t>Trend</t>
  </si>
  <si>
    <t>Oshawa PUC Networks Inc.</t>
  </si>
  <si>
    <t>OPA Report (Final)</t>
  </si>
  <si>
    <t>Net Energy Savings (MWh)</t>
  </si>
  <si>
    <t>#</t>
  </si>
  <si>
    <t>Program Year</t>
  </si>
  <si>
    <t>Results Status</t>
  </si>
  <si>
    <t>2006 Programs</t>
  </si>
  <si>
    <t>Final</t>
  </si>
  <si>
    <t>2007 Programs</t>
  </si>
  <si>
    <t>2008 Programs</t>
  </si>
  <si>
    <t>2009 Programs</t>
  </si>
  <si>
    <t>Net Energy Savings (kWh)</t>
  </si>
  <si>
    <t>2010 Programs</t>
  </si>
  <si>
    <t>Interim</t>
  </si>
  <si>
    <t>CDM Historical Program Results</t>
  </si>
  <si>
    <t>CDM Projected Program Results</t>
  </si>
  <si>
    <t>Forecast</t>
  </si>
  <si>
    <t>2011 Programs</t>
  </si>
  <si>
    <t>2012 Programs</t>
  </si>
  <si>
    <t>2013 Programs</t>
  </si>
  <si>
    <t>2014 Programs</t>
  </si>
  <si>
    <t>2015 Programs</t>
  </si>
  <si>
    <t>Target</t>
  </si>
  <si>
    <t>4 years</t>
  </si>
  <si>
    <t>Geomean  (ignored 2004)</t>
  </si>
  <si>
    <t>Ignored 2003 - doesn't look reliable.</t>
  </si>
  <si>
    <t>OPA</t>
  </si>
  <si>
    <t>Future Target</t>
  </si>
  <si>
    <t>kWh</t>
  </si>
  <si>
    <t>kW</t>
  </si>
  <si>
    <t>CAGR</t>
  </si>
  <si>
    <t>Purchased Energy (kWh) - Year</t>
  </si>
  <si>
    <t>Actual Purchases</t>
  </si>
  <si>
    <t>Predicted Purchases</t>
  </si>
  <si>
    <t>Historical</t>
  </si>
  <si>
    <t>Description</t>
  </si>
  <si>
    <t>Table 15 - Exhibit 3</t>
  </si>
  <si>
    <t>2008 Board Approved</t>
  </si>
  <si>
    <t>Avg (Actual)</t>
  </si>
  <si>
    <t>Connections</t>
  </si>
  <si>
    <t>Personal Income - Oshawa (Millions $)</t>
  </si>
  <si>
    <t xml:space="preserve">2000.01  </t>
  </si>
  <si>
    <t xml:space="preserve">2000.02  </t>
  </si>
  <si>
    <t xml:space="preserve">2000.03  </t>
  </si>
  <si>
    <t xml:space="preserve">2000.04  </t>
  </si>
  <si>
    <t xml:space="preserve">2001.01  </t>
  </si>
  <si>
    <t xml:space="preserve">2001.02  </t>
  </si>
  <si>
    <t xml:space="preserve">2001.03  </t>
  </si>
  <si>
    <t xml:space="preserve">2001.04  </t>
  </si>
  <si>
    <t xml:space="preserve">2002.01  </t>
  </si>
  <si>
    <t xml:space="preserve">2002.02  </t>
  </si>
  <si>
    <t xml:space="preserve">2002.03  </t>
  </si>
  <si>
    <t xml:space="preserve">2002.04  </t>
  </si>
  <si>
    <t xml:space="preserve">2003.01  </t>
  </si>
  <si>
    <t xml:space="preserve">2003.02  </t>
  </si>
  <si>
    <t xml:space="preserve">2003.03  </t>
  </si>
  <si>
    <t xml:space="preserve">2003.04  </t>
  </si>
  <si>
    <t xml:space="preserve">2004.01  </t>
  </si>
  <si>
    <t xml:space="preserve">2004.02  </t>
  </si>
  <si>
    <t xml:space="preserve">2004.03  </t>
  </si>
  <si>
    <t xml:space="preserve">2004.04  </t>
  </si>
  <si>
    <t xml:space="preserve">2005.01  </t>
  </si>
  <si>
    <t xml:space="preserve">2005.02  </t>
  </si>
  <si>
    <t xml:space="preserve">2005.03  </t>
  </si>
  <si>
    <t xml:space="preserve">2005.04  </t>
  </si>
  <si>
    <t xml:space="preserve">2006.01  </t>
  </si>
  <si>
    <t xml:space="preserve">2006.02  </t>
  </si>
  <si>
    <t xml:space="preserve">2006.03  </t>
  </si>
  <si>
    <t xml:space="preserve">2006.04  </t>
  </si>
  <si>
    <t xml:space="preserve">2007.01  </t>
  </si>
  <si>
    <t xml:space="preserve">2007.02  </t>
  </si>
  <si>
    <t xml:space="preserve">2007.03  </t>
  </si>
  <si>
    <t xml:space="preserve">2007.04  </t>
  </si>
  <si>
    <t xml:space="preserve">2008.01  </t>
  </si>
  <si>
    <t xml:space="preserve">2008.02  </t>
  </si>
  <si>
    <t xml:space="preserve">2008.03  </t>
  </si>
  <si>
    <t xml:space="preserve">2008.04  </t>
  </si>
  <si>
    <t xml:space="preserve">2009.01  </t>
  </si>
  <si>
    <t xml:space="preserve">2009.02  </t>
  </si>
  <si>
    <t xml:space="preserve">2009.03  </t>
  </si>
  <si>
    <t xml:space="preserve">2009.04  </t>
  </si>
  <si>
    <t xml:space="preserve">2010.01  </t>
  </si>
  <si>
    <t xml:space="preserve">2010.02  </t>
  </si>
  <si>
    <t xml:space="preserve">2010.03  </t>
  </si>
  <si>
    <t xml:space="preserve">2010.04  </t>
  </si>
  <si>
    <t xml:space="preserve">2011.01  </t>
  </si>
  <si>
    <t xml:space="preserve">2011.02  </t>
  </si>
  <si>
    <t xml:space="preserve">2011.03  </t>
  </si>
  <si>
    <t xml:space="preserve">2011.04  </t>
  </si>
  <si>
    <t xml:space="preserve">2012.01  </t>
  </si>
  <si>
    <t xml:space="preserve">2012.02  </t>
  </si>
  <si>
    <t xml:space="preserve">2012.03  </t>
  </si>
  <si>
    <t xml:space="preserve">2012.04  </t>
  </si>
  <si>
    <t xml:space="preserve">2013.01  </t>
  </si>
  <si>
    <t xml:space="preserve">2013.02  </t>
  </si>
  <si>
    <t xml:space="preserve">2013.03  </t>
  </si>
  <si>
    <t xml:space="preserve">2013.04  </t>
  </si>
  <si>
    <t xml:space="preserve">2014.01  </t>
  </si>
  <si>
    <t xml:space="preserve">2014.02  </t>
  </si>
  <si>
    <t xml:space="preserve">2014.03  </t>
  </si>
  <si>
    <t xml:space="preserve">2014.04  </t>
  </si>
  <si>
    <t xml:space="preserve">2015.01  </t>
  </si>
  <si>
    <t xml:space="preserve">2015.02  </t>
  </si>
  <si>
    <t xml:space="preserve">2015.03  </t>
  </si>
  <si>
    <t xml:space="preserve">2015.04  </t>
  </si>
  <si>
    <t xml:space="preserve">2016.01  </t>
  </si>
  <si>
    <t xml:space="preserve">2016.02  </t>
  </si>
  <si>
    <t xml:space="preserve">2016.03  </t>
  </si>
  <si>
    <t xml:space="preserve">2016.04  </t>
  </si>
  <si>
    <t xml:space="preserve">2017.01  </t>
  </si>
  <si>
    <t xml:space="preserve">2017.02  </t>
  </si>
  <si>
    <t xml:space="preserve">2017.03  </t>
  </si>
  <si>
    <t xml:space="preserve">2017.04  </t>
  </si>
  <si>
    <t xml:space="preserve">2018.01  </t>
  </si>
  <si>
    <t xml:space="preserve">2018.02  </t>
  </si>
  <si>
    <t xml:space="preserve">2018.03  </t>
  </si>
  <si>
    <t xml:space="preserve">2018.04  </t>
  </si>
  <si>
    <t>Billed (Before LF)</t>
  </si>
  <si>
    <t>% Change</t>
  </si>
  <si>
    <t>Variance</t>
  </si>
  <si>
    <t>10 year average</t>
  </si>
  <si>
    <t>20 year trend</t>
  </si>
  <si>
    <t>N/A</t>
  </si>
  <si>
    <t>Year.Quarter</t>
  </si>
  <si>
    <t>Natural Increase in Population - Oshawa</t>
  </si>
  <si>
    <t>Unemployment Rate - Oshawa</t>
  </si>
  <si>
    <t>Monthly Average</t>
  </si>
  <si>
    <t>Estimate for now.</t>
  </si>
  <si>
    <t>To be consistent with proposed loss factor (Chapter 2 Appendices).</t>
  </si>
  <si>
    <t>Actual Results</t>
  </si>
  <si>
    <t>Weather Normal Forecast</t>
  </si>
  <si>
    <t>2014 Normalized Bridge Year</t>
  </si>
  <si>
    <t>2015 Normalized Test Year</t>
  </si>
  <si>
    <t>2016 Normalized Test Year</t>
  </si>
  <si>
    <t>2017 Normalized Test Year</t>
  </si>
  <si>
    <t>2018 Normalized Test Year</t>
  </si>
  <si>
    <t>2019 Normalized Test Year</t>
  </si>
  <si>
    <t>Normalized 10 Year Average</t>
  </si>
  <si>
    <t>Normalized Test</t>
  </si>
  <si>
    <t>Normalized 20 Year Trend</t>
  </si>
  <si>
    <t>Hydro Weather Normal Load Forecast for 2012 Rate Application</t>
  </si>
  <si>
    <t>Oshawa Qtrly Unemployment Rate</t>
  </si>
  <si>
    <t>2016 Programs</t>
  </si>
  <si>
    <t>Actual</t>
  </si>
  <si>
    <t>2017 Programs</t>
  </si>
  <si>
    <t>2018 Programs</t>
  </si>
  <si>
    <t>2019 Programs</t>
  </si>
  <si>
    <t>2020 Programs</t>
  </si>
  <si>
    <t>Purchased kWh's per IESO</t>
  </si>
  <si>
    <t>Change</t>
  </si>
  <si>
    <t>Cumulative Average Rate of Change</t>
  </si>
  <si>
    <t>2012 Board Approved</t>
  </si>
  <si>
    <t>2014 Bridge Year (Regression)</t>
  </si>
  <si>
    <t>2015 Test Year (Regression)</t>
  </si>
  <si>
    <t>2016 Test Year (Regression)</t>
  </si>
  <si>
    <t>2017 Test Year (Regression)</t>
  </si>
  <si>
    <t>2018 Test Year (Regression)</t>
  </si>
  <si>
    <t>2019 Test Year (Regression)</t>
  </si>
  <si>
    <t>Customer Connection Count</t>
  </si>
  <si>
    <t>GS 50 to 999 kW</t>
  </si>
  <si>
    <t>GS&lt;50 kW</t>
  </si>
  <si>
    <t>GS&gt;1,000 kW</t>
  </si>
  <si>
    <t>Streetlight</t>
  </si>
  <si>
    <t>Sentinel Light</t>
  </si>
  <si>
    <t>kWh Billed</t>
  </si>
  <si>
    <t>Annual Percent Change</t>
  </si>
  <si>
    <t>Geometric Mean</t>
  </si>
  <si>
    <t>Year-end Customer Connection Count</t>
  </si>
  <si>
    <t>Rate Applied</t>
  </si>
  <si>
    <t>Annual Average Customer Count</t>
  </si>
  <si>
    <t>SUMMARY OF ANNUAL ENERGY PURCHASES AND CUSTOMER CONNECTIONS</t>
  </si>
  <si>
    <t>BILLED ENERGY BY RATE CLASS</t>
  </si>
  <si>
    <t>Annual Average Consumption per Average Customer Connection</t>
  </si>
  <si>
    <t>ANNUAL BILLED ENERGY PER AVERAGE CUSTOMER CONNECTIONS BY RATE CLASS</t>
  </si>
  <si>
    <t>% CHANGE IN ANNUAL BILLED ENERGY PER AVERAGE CUSTOMER CONNECTION BY RATE CLASS</t>
  </si>
  <si>
    <t>Non-Normalized Billed Energy</t>
  </si>
  <si>
    <t>Adjustment</t>
  </si>
  <si>
    <t>Normalized Billed Energy</t>
  </si>
  <si>
    <t>Billed Demand (kW)</t>
  </si>
  <si>
    <t>Billed Energy (kWh)</t>
  </si>
  <si>
    <t>Ratio kW to kWh</t>
  </si>
  <si>
    <t>Board Approved</t>
  </si>
  <si>
    <t>Bridge Year</t>
  </si>
  <si>
    <t>Test Years</t>
  </si>
  <si>
    <t>Month</t>
  </si>
  <si>
    <t>Annual Billed Energy per Average Customer Connection</t>
  </si>
  <si>
    <t>Average Annual Customer Connection Count</t>
  </si>
  <si>
    <t>Annual Average Consumption per Average Customer Connection (Not Normalized)</t>
  </si>
  <si>
    <t>Annual Average Consumption per Average Customer Connection (Normalized)</t>
  </si>
  <si>
    <t>CDM Savings</t>
  </si>
  <si>
    <t>Average Connections</t>
  </si>
  <si>
    <t>Adjusted Purchases</t>
  </si>
  <si>
    <t>Billed kW</t>
  </si>
  <si>
    <t>10 year trend</t>
  </si>
  <si>
    <t>20 year average</t>
  </si>
  <si>
    <t>Normal</t>
  </si>
  <si>
    <t>10 Year Trend</t>
  </si>
  <si>
    <t>20 Year Trend</t>
  </si>
  <si>
    <t>2nd Run - Oct 15th</t>
  </si>
  <si>
    <t>Average Customer Connection Count</t>
  </si>
  <si>
    <t>City Expansion</t>
  </si>
  <si>
    <t>Annual Weather Normalized Billed Energy per Average Customer Connection</t>
  </si>
  <si>
    <t>Power Purchased</t>
  </si>
  <si>
    <t>see note 1</t>
  </si>
  <si>
    <t>Source:</t>
  </si>
  <si>
    <t>OPA's  Draft Historic Target and Budget Analysis_Oshawa PUC Networks Inc.</t>
  </si>
  <si>
    <t xml:space="preserve">Actual </t>
  </si>
  <si>
    <t>see note 2</t>
  </si>
  <si>
    <t>Pre-2011</t>
  </si>
  <si>
    <t>OPA Program Year</t>
  </si>
  <si>
    <t>Note 1: assumes energy savings in 2011-2014 persist until end 2019</t>
  </si>
  <si>
    <t>Sub-total</t>
  </si>
  <si>
    <t>LED Streetlights</t>
  </si>
  <si>
    <t>Net</t>
  </si>
  <si>
    <t>AVERAGE CUSTOMER CONNECTIONS BY RATE CLASS</t>
  </si>
  <si>
    <t>Billed Energy (kW)</t>
  </si>
  <si>
    <t>Annual Weather Non-Normalized Billed Energy per Average Customer Connection</t>
  </si>
  <si>
    <t>Predicted (net of CDM)</t>
  </si>
  <si>
    <t>Predicted (net of LED)</t>
  </si>
  <si>
    <t>CDM (All Customers)</t>
  </si>
  <si>
    <t>Predicted (City Population Growth)</t>
  </si>
  <si>
    <t>Population Growth (Select Customers)</t>
  </si>
  <si>
    <t>CDM (LED Streetlights)</t>
  </si>
  <si>
    <t>Includes CDM</t>
  </si>
  <si>
    <t>Includes LED</t>
  </si>
  <si>
    <t>CDM</t>
  </si>
  <si>
    <t>General</t>
  </si>
  <si>
    <t>Calculated</t>
  </si>
  <si>
    <t>Energy Model</t>
  </si>
  <si>
    <t>Difference re</t>
  </si>
  <si>
    <t>Population</t>
  </si>
  <si>
    <t xml:space="preserve">2019.01  </t>
  </si>
  <si>
    <t xml:space="preserve">2019.02  </t>
  </si>
  <si>
    <t xml:space="preserve">2019.03  </t>
  </si>
  <si>
    <t xml:space="preserve">2019.04  </t>
  </si>
  <si>
    <t>3rd Run - Apr 28, 2015</t>
  </si>
  <si>
    <t>2014 Bridge Year (Actual)</t>
  </si>
  <si>
    <t>2015 Test Year</t>
  </si>
  <si>
    <t>2016 Test Year</t>
  </si>
  <si>
    <t>2017 Test Year</t>
  </si>
  <si>
    <t>2018 Test Year</t>
  </si>
  <si>
    <t>2019 Test Year</t>
  </si>
  <si>
    <t>Annual Purchases per Average Customer Connection</t>
  </si>
  <si>
    <t>Using Rate Applied</t>
  </si>
  <si>
    <t>Billed Before LED</t>
  </si>
  <si>
    <t>Billed With LED</t>
  </si>
  <si>
    <t>Purchased kWh</t>
  </si>
  <si>
    <t>Before LED</t>
  </si>
  <si>
    <t>With LED</t>
  </si>
  <si>
    <t>New Version</t>
  </si>
  <si>
    <t>Old Version</t>
  </si>
  <si>
    <t>Persistance</t>
  </si>
  <si>
    <t>Lights Subject to Conversion</t>
  </si>
  <si>
    <t>New Connections</t>
  </si>
  <si>
    <t>Billed</t>
  </si>
  <si>
    <t>Total Lights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</si>
</sst>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#,##0;\(#,##0\)"/>
    <numFmt numFmtId="166" formatCode="0.0000"/>
    <numFmt numFmtId="167" formatCode="#,##0.0000"/>
    <numFmt numFmtId="168" formatCode="0.0000%"/>
    <numFmt numFmtId="169" formatCode="_(* #,##0_);_(* \(#,##0\);_(* &quot;-&quot;??_);_(@_)"/>
    <numFmt numFmtId="170" formatCode="#,##0\ ;[Red]\(#,##0\)"/>
    <numFmt numFmtId="171" formatCode="_-* #,##0_-;\-* #,##0_-;_-* &quot;-&quot;??_-;_-@_-"/>
    <numFmt numFmtId="172" formatCode="#,##0.00000"/>
    <numFmt numFmtId="173" formatCode="_(* #,##0.0_);_(* \(#,##0.0\);_(* &quot;-&quot;??_);_(@_)"/>
    <numFmt numFmtId="174" formatCode="#,##0.000000"/>
    <numFmt numFmtId="175" formatCode="_(* #,##0.000_);_(* \(#,##0.0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i/>
      <sz val="9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rgb="FF00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Down"/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4" fillId="10" borderId="51" applyNumberFormat="0" applyFont="0" applyAlignment="0" applyProtection="0"/>
    <xf numFmtId="44" fontId="15" fillId="0" borderId="0" applyFont="0" applyFill="0" applyBorder="0" applyAlignment="0" applyProtection="0"/>
  </cellStyleXfs>
  <cellXfs count="51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7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3" fontId="1" fillId="0" borderId="0" xfId="1" applyNumberFormat="1" applyAlignment="1">
      <alignment horizontal="center"/>
    </xf>
    <xf numFmtId="0" fontId="2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2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/>
    <xf numFmtId="0" fontId="4" fillId="0" borderId="0" xfId="0" applyFont="1" applyAlignment="1"/>
    <xf numFmtId="3" fontId="0" fillId="2" borderId="0" xfId="0" applyNumberFormat="1" applyFill="1" applyAlignment="1">
      <alignment horizontal="center"/>
    </xf>
    <xf numFmtId="17" fontId="4" fillId="0" borderId="0" xfId="0" applyNumberFormat="1" applyFont="1"/>
    <xf numFmtId="0" fontId="0" fillId="0" borderId="0" xfId="0" applyFill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1" xfId="0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0" fontId="0" fillId="0" borderId="0" xfId="0" applyFill="1"/>
    <xf numFmtId="4" fontId="3" fillId="0" borderId="0" xfId="0" applyNumberFormat="1" applyFont="1" applyAlignment="1">
      <alignment horizontal="center" wrapText="1"/>
    </xf>
    <xf numFmtId="4" fontId="2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Border="1" applyAlignment="1"/>
    <xf numFmtId="165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0" fontId="5" fillId="0" borderId="0" xfId="0" applyFont="1"/>
    <xf numFmtId="3" fontId="1" fillId="3" borderId="0" xfId="1" applyNumberFormat="1" applyFill="1" applyAlignment="1">
      <alignment horizontal="center"/>
    </xf>
    <xf numFmtId="37" fontId="2" fillId="3" borderId="0" xfId="0" applyNumberFormat="1" applyFont="1" applyFill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1" fillId="0" borderId="0" xfId="0" applyFont="1" applyFill="1"/>
    <xf numFmtId="166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Continuous"/>
    </xf>
    <xf numFmtId="3" fontId="1" fillId="3" borderId="0" xfId="0" applyNumberFormat="1" applyFon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37" fontId="1" fillId="3" borderId="0" xfId="0" applyNumberFormat="1" applyFont="1" applyFill="1" applyAlignment="1">
      <alignment horizontal="center"/>
    </xf>
    <xf numFmtId="170" fontId="1" fillId="3" borderId="0" xfId="1" applyNumberFormat="1" applyFill="1" applyAlignment="1">
      <alignment horizontal="center"/>
    </xf>
    <xf numFmtId="170" fontId="0" fillId="3" borderId="0" xfId="0" applyNumberFormat="1" applyFill="1" applyAlignment="1">
      <alignment horizontal="center"/>
    </xf>
    <xf numFmtId="170" fontId="2" fillId="3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3" borderId="0" xfId="0" applyNumberFormat="1" applyFont="1" applyFill="1" applyAlignment="1">
      <alignment horizontal="center" wrapText="1"/>
    </xf>
    <xf numFmtId="0" fontId="1" fillId="0" borderId="0" xfId="0" applyFont="1"/>
    <xf numFmtId="169" fontId="0" fillId="0" borderId="0" xfId="1" applyNumberFormat="1" applyFont="1"/>
    <xf numFmtId="43" fontId="0" fillId="0" borderId="0" xfId="1" applyFont="1" applyFill="1" applyBorder="1" applyAlignment="1"/>
    <xf numFmtId="43" fontId="0" fillId="0" borderId="2" xfId="1" applyFont="1" applyFill="1" applyBorder="1" applyAlignment="1"/>
    <xf numFmtId="3" fontId="1" fillId="0" borderId="0" xfId="0" applyNumberFormat="1" applyFont="1" applyAlignment="1">
      <alignment horizontal="center" wrapText="1"/>
    </xf>
    <xf numFmtId="171" fontId="0" fillId="0" borderId="0" xfId="1" applyNumberFormat="1" applyFont="1"/>
    <xf numFmtId="164" fontId="0" fillId="0" borderId="0" xfId="2" applyNumberFormat="1" applyFont="1"/>
    <xf numFmtId="164" fontId="0" fillId="0" borderId="0" xfId="1" applyNumberFormat="1" applyFont="1"/>
    <xf numFmtId="0" fontId="5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4" fillId="5" borderId="1" xfId="0" applyFont="1" applyFill="1" applyBorder="1" applyAlignment="1">
      <alignment vertical="top" wrapText="1"/>
    </xf>
    <xf numFmtId="0" fontId="0" fillId="0" borderId="0" xfId="0" applyNumberFormat="1" applyFill="1" applyBorder="1" applyAlignment="1">
      <alignment vertical="top"/>
    </xf>
    <xf numFmtId="0" fontId="4" fillId="5" borderId="1" xfId="0" applyFont="1" applyFill="1" applyBorder="1" applyAlignment="1">
      <alignment vertical="top"/>
    </xf>
    <xf numFmtId="0" fontId="8" fillId="0" borderId="0" xfId="0" applyNumberFormat="1" applyFont="1" applyFill="1" applyBorder="1" applyAlignment="1">
      <alignment vertical="top"/>
    </xf>
    <xf numFmtId="0" fontId="0" fillId="0" borderId="5" xfId="0" applyFill="1" applyBorder="1" applyAlignment="1">
      <alignment vertical="top"/>
    </xf>
    <xf numFmtId="0" fontId="0" fillId="0" borderId="6" xfId="0" applyFill="1" applyBorder="1" applyAlignment="1">
      <alignment vertical="top"/>
    </xf>
    <xf numFmtId="0" fontId="1" fillId="0" borderId="7" xfId="0" applyFont="1" applyFill="1" applyBorder="1" applyAlignment="1">
      <alignment vertical="top"/>
    </xf>
    <xf numFmtId="3" fontId="0" fillId="0" borderId="5" xfId="0" applyNumberFormat="1" applyFill="1" applyBorder="1" applyAlignment="1">
      <alignment vertical="top"/>
    </xf>
    <xf numFmtId="3" fontId="0" fillId="0" borderId="6" xfId="0" applyNumberFormat="1" applyFill="1" applyBorder="1" applyAlignment="1">
      <alignment vertical="top"/>
    </xf>
    <xf numFmtId="3" fontId="0" fillId="0" borderId="8" xfId="0" applyNumberFormat="1" applyFill="1" applyBorder="1" applyAlignment="1">
      <alignment vertical="top"/>
    </xf>
    <xf numFmtId="3" fontId="0" fillId="0" borderId="7" xfId="0" applyNumberFormat="1" applyFill="1" applyBorder="1" applyAlignment="1">
      <alignment vertical="top"/>
    </xf>
    <xf numFmtId="0" fontId="0" fillId="6" borderId="9" xfId="0" applyFill="1" applyBorder="1" applyAlignment="1">
      <alignment vertical="top"/>
    </xf>
    <xf numFmtId="0" fontId="0" fillId="6" borderId="10" xfId="0" applyFill="1" applyBorder="1" applyAlignment="1">
      <alignment vertical="top"/>
    </xf>
    <xf numFmtId="0" fontId="1" fillId="6" borderId="11" xfId="0" applyFont="1" applyFill="1" applyBorder="1" applyAlignment="1">
      <alignment vertical="top"/>
    </xf>
    <xf numFmtId="3" fontId="0" fillId="6" borderId="9" xfId="0" applyNumberFormat="1" applyFill="1" applyBorder="1" applyAlignment="1">
      <alignment vertical="top"/>
    </xf>
    <xf numFmtId="3" fontId="0" fillId="6" borderId="10" xfId="0" applyNumberFormat="1" applyFill="1" applyBorder="1" applyAlignment="1">
      <alignment vertical="top"/>
    </xf>
    <xf numFmtId="3" fontId="0" fillId="6" borderId="12" xfId="0" applyNumberFormat="1" applyFill="1" applyBorder="1" applyAlignment="1">
      <alignment vertical="top"/>
    </xf>
    <xf numFmtId="3" fontId="0" fillId="6" borderId="11" xfId="0" applyNumberFormat="1" applyFill="1" applyBorder="1" applyAlignment="1">
      <alignment vertical="top"/>
    </xf>
    <xf numFmtId="0" fontId="0" fillId="0" borderId="9" xfId="0" applyFill="1" applyBorder="1" applyAlignment="1">
      <alignment vertical="top"/>
    </xf>
    <xf numFmtId="0" fontId="0" fillId="0" borderId="10" xfId="0" applyFill="1" applyBorder="1" applyAlignment="1">
      <alignment vertical="top"/>
    </xf>
    <xf numFmtId="0" fontId="1" fillId="0" borderId="11" xfId="0" applyFont="1" applyFill="1" applyBorder="1" applyAlignment="1">
      <alignment vertical="top"/>
    </xf>
    <xf numFmtId="3" fontId="0" fillId="0" borderId="9" xfId="0" applyNumberFormat="1" applyFill="1" applyBorder="1" applyAlignment="1">
      <alignment vertical="top"/>
    </xf>
    <xf numFmtId="3" fontId="0" fillId="0" borderId="10" xfId="0" applyNumberFormat="1" applyFill="1" applyBorder="1" applyAlignment="1">
      <alignment vertical="top"/>
    </xf>
    <xf numFmtId="3" fontId="0" fillId="0" borderId="12" xfId="0" applyNumberFormat="1" applyFill="1" applyBorder="1" applyAlignment="1">
      <alignment vertical="top"/>
    </xf>
    <xf numFmtId="3" fontId="0" fillId="0" borderId="11" xfId="0" applyNumberFormat="1" applyFill="1" applyBorder="1" applyAlignment="1">
      <alignment vertical="top"/>
    </xf>
    <xf numFmtId="0" fontId="0" fillId="6" borderId="13" xfId="0" applyFill="1" applyBorder="1" applyAlignment="1">
      <alignment vertical="top"/>
    </xf>
    <xf numFmtId="0" fontId="0" fillId="6" borderId="14" xfId="0" applyFill="1" applyBorder="1" applyAlignment="1">
      <alignment vertical="top"/>
    </xf>
    <xf numFmtId="0" fontId="1" fillId="6" borderId="15" xfId="0" applyFont="1" applyFill="1" applyBorder="1" applyAlignment="1">
      <alignment vertical="top"/>
    </xf>
    <xf numFmtId="3" fontId="0" fillId="6" borderId="13" xfId="0" applyNumberFormat="1" applyFill="1" applyBorder="1" applyAlignment="1">
      <alignment vertical="top"/>
    </xf>
    <xf numFmtId="3" fontId="0" fillId="6" borderId="14" xfId="0" applyNumberFormat="1" applyFill="1" applyBorder="1" applyAlignment="1">
      <alignment vertical="top"/>
    </xf>
    <xf numFmtId="3" fontId="0" fillId="6" borderId="16" xfId="0" applyNumberFormat="1" applyFill="1" applyBorder="1" applyAlignment="1">
      <alignment vertical="top"/>
    </xf>
    <xf numFmtId="3" fontId="0" fillId="6" borderId="15" xfId="0" applyNumberFormat="1" applyFill="1" applyBorder="1" applyAlignment="1">
      <alignment vertical="top"/>
    </xf>
    <xf numFmtId="0" fontId="4" fillId="5" borderId="17" xfId="0" applyFont="1" applyFill="1" applyBorder="1" applyAlignment="1">
      <alignment vertical="top"/>
    </xf>
    <xf numFmtId="0" fontId="4" fillId="5" borderId="4" xfId="0" applyFont="1" applyFill="1" applyBorder="1" applyAlignment="1">
      <alignment vertical="top"/>
    </xf>
    <xf numFmtId="0" fontId="4" fillId="5" borderId="18" xfId="0" applyFont="1" applyFill="1" applyBorder="1" applyAlignment="1">
      <alignment vertical="top"/>
    </xf>
    <xf numFmtId="3" fontId="4" fillId="5" borderId="1" xfId="0" applyNumberFormat="1" applyFont="1" applyFill="1" applyBorder="1" applyAlignment="1">
      <alignment vertical="top"/>
    </xf>
    <xf numFmtId="0" fontId="1" fillId="6" borderId="14" xfId="0" applyFont="1" applyFill="1" applyBorder="1" applyAlignment="1">
      <alignment vertical="top"/>
    </xf>
    <xf numFmtId="0" fontId="1" fillId="6" borderId="20" xfId="0" applyFont="1" applyFill="1" applyBorder="1" applyAlignment="1">
      <alignment vertical="top"/>
    </xf>
    <xf numFmtId="3" fontId="0" fillId="6" borderId="19" xfId="0" applyNumberFormat="1" applyFill="1" applyBorder="1" applyAlignment="1">
      <alignment vertical="top"/>
    </xf>
    <xf numFmtId="0" fontId="1" fillId="7" borderId="0" xfId="0" applyFont="1" applyFill="1"/>
    <xf numFmtId="169" fontId="0" fillId="7" borderId="0" xfId="1" applyNumberFormat="1" applyFont="1" applyFill="1"/>
    <xf numFmtId="0" fontId="1" fillId="7" borderId="0" xfId="0" applyFont="1" applyFill="1" applyBorder="1" applyAlignment="1">
      <alignment vertical="top"/>
    </xf>
    <xf numFmtId="164" fontId="0" fillId="0" borderId="0" xfId="2" applyNumberFormat="1" applyFont="1" applyFill="1" applyBorder="1" applyAlignment="1"/>
    <xf numFmtId="43" fontId="0" fillId="3" borderId="0" xfId="1" applyFont="1" applyFill="1" applyAlignment="1">
      <alignment horizontal="center"/>
    </xf>
    <xf numFmtId="43" fontId="2" fillId="3" borderId="0" xfId="1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167" fontId="0" fillId="7" borderId="0" xfId="0" applyNumberFormat="1" applyFill="1" applyAlignment="1">
      <alignment horizontal="center"/>
    </xf>
    <xf numFmtId="168" fontId="0" fillId="7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167" fontId="1" fillId="7" borderId="0" xfId="0" applyNumberFormat="1" applyFont="1" applyFill="1" applyAlignment="1">
      <alignment horizontal="center"/>
    </xf>
    <xf numFmtId="10" fontId="0" fillId="0" borderId="0" xfId="2" applyNumberFormat="1" applyFont="1" applyAlignment="1">
      <alignment horizontal="center"/>
    </xf>
    <xf numFmtId="0" fontId="1" fillId="0" borderId="0" xfId="0" applyFont="1" applyAlignment="1">
      <alignment horizontal="right"/>
    </xf>
    <xf numFmtId="164" fontId="0" fillId="7" borderId="0" xfId="2" applyNumberFormat="1" applyFont="1" applyFill="1" applyAlignment="1">
      <alignment horizontal="center"/>
    </xf>
    <xf numFmtId="3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170" fontId="0" fillId="0" borderId="0" xfId="0" applyNumberForma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164" fontId="0" fillId="0" borderId="0" xfId="2" applyNumberFormat="1" applyFont="1" applyFill="1" applyAlignment="1">
      <alignment horizontal="center"/>
    </xf>
    <xf numFmtId="0" fontId="1" fillId="0" borderId="0" xfId="3"/>
    <xf numFmtId="3" fontId="1" fillId="0" borderId="0" xfId="3" applyNumberFormat="1" applyAlignment="1">
      <alignment horizontal="center"/>
    </xf>
    <xf numFmtId="0" fontId="1" fillId="0" borderId="0" xfId="3" applyAlignment="1">
      <alignment horizontal="center"/>
    </xf>
    <xf numFmtId="4" fontId="1" fillId="0" borderId="0" xfId="3" applyNumberFormat="1" applyAlignment="1">
      <alignment horizontal="center"/>
    </xf>
    <xf numFmtId="0" fontId="3" fillId="0" borderId="0" xfId="3" applyFont="1" applyAlignment="1">
      <alignment horizontal="center" wrapText="1"/>
    </xf>
    <xf numFmtId="3" fontId="3" fillId="0" borderId="0" xfId="3" applyNumberFormat="1" applyFont="1" applyAlignment="1">
      <alignment horizontal="center" wrapText="1"/>
    </xf>
    <xf numFmtId="17" fontId="1" fillId="0" borderId="0" xfId="3" applyNumberFormat="1"/>
    <xf numFmtId="37" fontId="1" fillId="0" borderId="0" xfId="3" applyNumberFormat="1" applyFont="1" applyAlignment="1">
      <alignment horizontal="center"/>
    </xf>
    <xf numFmtId="165" fontId="1" fillId="0" borderId="0" xfId="3" applyNumberFormat="1" applyAlignment="1">
      <alignment horizontal="center"/>
    </xf>
    <xf numFmtId="164" fontId="1" fillId="0" borderId="0" xfId="3" applyNumberFormat="1" applyAlignment="1">
      <alignment horizontal="center"/>
    </xf>
    <xf numFmtId="3" fontId="1" fillId="0" borderId="0" xfId="3" applyNumberFormat="1" applyFont="1" applyAlignment="1">
      <alignment horizontal="center"/>
    </xf>
    <xf numFmtId="3" fontId="1" fillId="0" borderId="0" xfId="3" applyNumberFormat="1" applyFill="1" applyAlignment="1">
      <alignment horizontal="center"/>
    </xf>
    <xf numFmtId="1" fontId="12" fillId="0" borderId="1" xfId="3" applyNumberFormat="1" applyFont="1" applyBorder="1"/>
    <xf numFmtId="3" fontId="12" fillId="0" borderId="1" xfId="3" applyNumberFormat="1" applyFont="1" applyBorder="1" applyAlignment="1">
      <alignment horizontal="center"/>
    </xf>
    <xf numFmtId="164" fontId="12" fillId="0" borderId="26" xfId="2" applyNumberFormat="1" applyFont="1" applyBorder="1"/>
    <xf numFmtId="0" fontId="12" fillId="0" borderId="1" xfId="3" applyFont="1" applyBorder="1"/>
    <xf numFmtId="0" fontId="12" fillId="0" borderId="29" xfId="3" applyFont="1" applyBorder="1"/>
    <xf numFmtId="0" fontId="12" fillId="0" borderId="36" xfId="3" applyFont="1" applyBorder="1"/>
    <xf numFmtId="0" fontId="12" fillId="0" borderId="37" xfId="3" applyFont="1" applyBorder="1"/>
    <xf numFmtId="3" fontId="12" fillId="0" borderId="37" xfId="3" applyNumberFormat="1" applyFont="1" applyBorder="1" applyAlignment="1">
      <alignment horizontal="center"/>
    </xf>
    <xf numFmtId="0" fontId="12" fillId="0" borderId="0" xfId="3" applyFont="1"/>
    <xf numFmtId="3" fontId="12" fillId="0" borderId="0" xfId="3" applyNumberFormat="1" applyFont="1" applyAlignment="1">
      <alignment horizontal="center"/>
    </xf>
    <xf numFmtId="0" fontId="11" fillId="8" borderId="22" xfId="3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Fill="1" applyAlignment="1">
      <alignment horizontal="right"/>
    </xf>
    <xf numFmtId="0" fontId="0" fillId="7" borderId="0" xfId="0" applyFill="1" applyAlignment="1">
      <alignment horizontal="right"/>
    </xf>
    <xf numFmtId="164" fontId="0" fillId="7" borderId="0" xfId="2" applyNumberFormat="1" applyFont="1" applyFill="1" applyAlignment="1">
      <alignment horizontal="right"/>
    </xf>
    <xf numFmtId="3" fontId="0" fillId="7" borderId="0" xfId="0" applyNumberFormat="1" applyFill="1" applyAlignment="1">
      <alignment horizontal="right"/>
    </xf>
    <xf numFmtId="3" fontId="4" fillId="7" borderId="0" xfId="0" applyNumberFormat="1" applyFont="1" applyFill="1"/>
    <xf numFmtId="0" fontId="0" fillId="7" borderId="0" xfId="0" applyFill="1"/>
    <xf numFmtId="0" fontId="4" fillId="0" borderId="33" xfId="0" applyFont="1" applyBorder="1"/>
    <xf numFmtId="3" fontId="0" fillId="0" borderId="33" xfId="0" applyNumberFormat="1" applyBorder="1" applyAlignment="1">
      <alignment horizontal="right" wrapText="1"/>
    </xf>
    <xf numFmtId="3" fontId="0" fillId="0" borderId="33" xfId="0" applyNumberFormat="1" applyFill="1" applyBorder="1" applyAlignment="1">
      <alignment horizontal="right" wrapText="1"/>
    </xf>
    <xf numFmtId="3" fontId="0" fillId="0" borderId="33" xfId="0" applyNumberFormat="1" applyBorder="1" applyAlignment="1">
      <alignment horizontal="right"/>
    </xf>
    <xf numFmtId="10" fontId="0" fillId="0" borderId="33" xfId="2" applyNumberFormat="1" applyFont="1" applyBorder="1" applyAlignment="1">
      <alignment horizontal="right" wrapText="1"/>
    </xf>
    <xf numFmtId="10" fontId="0" fillId="0" borderId="33" xfId="2" applyNumberFormat="1" applyFont="1" applyFill="1" applyBorder="1" applyAlignment="1">
      <alignment horizontal="right" wrapText="1"/>
    </xf>
    <xf numFmtId="10" fontId="7" fillId="0" borderId="33" xfId="2" applyNumberFormat="1" applyFont="1" applyBorder="1" applyAlignment="1">
      <alignment horizontal="right"/>
    </xf>
    <xf numFmtId="0" fontId="0" fillId="0" borderId="33" xfId="0" applyBorder="1" applyAlignment="1">
      <alignment horizontal="right" wrapText="1"/>
    </xf>
    <xf numFmtId="3" fontId="0" fillId="0" borderId="33" xfId="0" applyNumberFormat="1" applyFill="1" applyBorder="1" applyAlignment="1">
      <alignment horizontal="right"/>
    </xf>
    <xf numFmtId="0" fontId="5" fillId="0" borderId="33" xfId="0" applyFont="1" applyBorder="1"/>
    <xf numFmtId="0" fontId="0" fillId="0" borderId="33" xfId="0" applyBorder="1" applyAlignment="1">
      <alignment horizontal="right"/>
    </xf>
    <xf numFmtId="3" fontId="4" fillId="0" borderId="33" xfId="0" applyNumberFormat="1" applyFont="1" applyBorder="1"/>
    <xf numFmtId="0" fontId="0" fillId="0" borderId="33" xfId="0" applyBorder="1"/>
    <xf numFmtId="3" fontId="7" fillId="0" borderId="33" xfId="0" applyNumberFormat="1" applyFont="1" applyBorder="1" applyAlignment="1">
      <alignment horizontal="right"/>
    </xf>
    <xf numFmtId="169" fontId="0" fillId="0" borderId="33" xfId="1" applyNumberFormat="1" applyFont="1" applyBorder="1" applyAlignment="1">
      <alignment horizontal="right"/>
    </xf>
    <xf numFmtId="0" fontId="1" fillId="0" borderId="33" xfId="0" applyFont="1" applyBorder="1"/>
    <xf numFmtId="3" fontId="0" fillId="0" borderId="33" xfId="1" applyNumberFormat="1" applyFont="1" applyBorder="1" applyAlignment="1">
      <alignment horizontal="right"/>
    </xf>
    <xf numFmtId="0" fontId="0" fillId="0" borderId="41" xfId="0" applyBorder="1"/>
    <xf numFmtId="3" fontId="0" fillId="0" borderId="41" xfId="0" applyNumberFormat="1" applyBorder="1" applyAlignment="1">
      <alignment horizontal="right"/>
    </xf>
    <xf numFmtId="0" fontId="4" fillId="8" borderId="1" xfId="0" applyFont="1" applyFill="1" applyBorder="1" applyAlignment="1">
      <alignment vertical="top"/>
    </xf>
    <xf numFmtId="0" fontId="4" fillId="8" borderId="1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right" vertical="top"/>
    </xf>
    <xf numFmtId="3" fontId="13" fillId="0" borderId="0" xfId="0" applyNumberFormat="1" applyFont="1" applyAlignment="1">
      <alignment horizontal="center"/>
    </xf>
    <xf numFmtId="0" fontId="5" fillId="0" borderId="42" xfId="0" applyFont="1" applyBorder="1"/>
    <xf numFmtId="0" fontId="0" fillId="0" borderId="43" xfId="0" applyBorder="1"/>
    <xf numFmtId="0" fontId="0" fillId="0" borderId="44" xfId="0" applyBorder="1"/>
    <xf numFmtId="0" fontId="4" fillId="5" borderId="29" xfId="0" applyFont="1" applyFill="1" applyBorder="1" applyAlignment="1">
      <alignment vertical="top" wrapText="1"/>
    </xf>
    <xf numFmtId="0" fontId="4" fillId="5" borderId="26" xfId="0" applyFont="1" applyFill="1" applyBorder="1" applyAlignment="1">
      <alignment horizontal="right" vertical="top"/>
    </xf>
    <xf numFmtId="0" fontId="0" fillId="6" borderId="45" xfId="0" applyFill="1" applyBorder="1" applyAlignment="1">
      <alignment vertical="top"/>
    </xf>
    <xf numFmtId="0" fontId="0" fillId="0" borderId="0" xfId="0" applyBorder="1"/>
    <xf numFmtId="3" fontId="0" fillId="6" borderId="46" xfId="0" applyNumberFormat="1" applyFill="1" applyBorder="1" applyAlignment="1">
      <alignment vertical="top"/>
    </xf>
    <xf numFmtId="0" fontId="4" fillId="5" borderId="47" xfId="0" applyFont="1" applyFill="1" applyBorder="1" applyAlignment="1">
      <alignment vertical="top"/>
    </xf>
    <xf numFmtId="0" fontId="4" fillId="5" borderId="48" xfId="0" applyFont="1" applyFill="1" applyBorder="1" applyAlignment="1">
      <alignment vertical="top"/>
    </xf>
    <xf numFmtId="0" fontId="4" fillId="5" borderId="49" xfId="0" applyFont="1" applyFill="1" applyBorder="1" applyAlignment="1">
      <alignment vertical="top"/>
    </xf>
    <xf numFmtId="0" fontId="0" fillId="0" borderId="2" xfId="0" applyNumberFormat="1" applyFill="1" applyBorder="1" applyAlignment="1">
      <alignment vertical="top"/>
    </xf>
    <xf numFmtId="3" fontId="4" fillId="5" borderId="37" xfId="0" applyNumberFormat="1" applyFont="1" applyFill="1" applyBorder="1" applyAlignment="1">
      <alignment vertical="top"/>
    </xf>
    <xf numFmtId="3" fontId="4" fillId="5" borderId="50" xfId="0" applyNumberFormat="1" applyFont="1" applyFill="1" applyBorder="1" applyAlignment="1">
      <alignment vertical="top"/>
    </xf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2" fillId="7" borderId="0" xfId="1" applyFont="1" applyFill="1" applyAlignment="1">
      <alignment horizontal="center"/>
    </xf>
    <xf numFmtId="172" fontId="0" fillId="0" borderId="0" xfId="0" applyNumberFormat="1" applyAlignment="1">
      <alignment horizontal="center"/>
    </xf>
    <xf numFmtId="171" fontId="0" fillId="7" borderId="0" xfId="1" applyNumberFormat="1" applyFont="1" applyFill="1"/>
    <xf numFmtId="166" fontId="0" fillId="0" borderId="0" xfId="0" applyNumberFormat="1"/>
    <xf numFmtId="0" fontId="0" fillId="0" borderId="0" xfId="0" applyAlignment="1">
      <alignment horizontal="center"/>
    </xf>
    <xf numFmtId="0" fontId="11" fillId="8" borderId="22" xfId="3" applyFont="1" applyFill="1" applyBorder="1" applyAlignment="1">
      <alignment horizontal="center" vertical="center" wrapText="1"/>
    </xf>
    <xf numFmtId="0" fontId="11" fillId="8" borderId="23" xfId="3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9" fontId="1" fillId="2" borderId="0" xfId="1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173" fontId="0" fillId="3" borderId="0" xfId="1" applyNumberFormat="1" applyFont="1" applyFill="1" applyAlignment="1">
      <alignment horizontal="center"/>
    </xf>
    <xf numFmtId="173" fontId="2" fillId="3" borderId="0" xfId="1" applyNumberFormat="1" applyFont="1" applyFill="1" applyAlignment="1">
      <alignment horizontal="center"/>
    </xf>
    <xf numFmtId="173" fontId="2" fillId="2" borderId="0" xfId="1" applyNumberFormat="1" applyFont="1" applyFill="1" applyAlignment="1">
      <alignment horizontal="center"/>
    </xf>
    <xf numFmtId="3" fontId="1" fillId="7" borderId="0" xfId="1" applyNumberFormat="1" applyFill="1" applyAlignment="1">
      <alignment horizontal="center"/>
    </xf>
    <xf numFmtId="173" fontId="2" fillId="7" borderId="0" xfId="1" applyNumberFormat="1" applyFont="1" applyFill="1" applyAlignment="1">
      <alignment horizontal="center"/>
    </xf>
    <xf numFmtId="37" fontId="1" fillId="0" borderId="0" xfId="0" applyNumberFormat="1" applyFont="1" applyFill="1" applyAlignment="1">
      <alignment horizontal="center"/>
    </xf>
    <xf numFmtId="170" fontId="2" fillId="0" borderId="0" xfId="0" applyNumberFormat="1" applyFont="1" applyFill="1" applyAlignment="1">
      <alignment horizontal="center"/>
    </xf>
    <xf numFmtId="43" fontId="2" fillId="0" borderId="0" xfId="0" applyNumberFormat="1" applyFont="1" applyAlignment="1">
      <alignment horizontal="center"/>
    </xf>
    <xf numFmtId="44" fontId="0" fillId="0" borderId="0" xfId="11" applyFont="1"/>
    <xf numFmtId="43" fontId="0" fillId="0" borderId="0" xfId="1" applyFont="1"/>
    <xf numFmtId="0" fontId="0" fillId="2" borderId="0" xfId="0" applyFill="1" applyAlignment="1">
      <alignment horizontal="left"/>
    </xf>
    <xf numFmtId="10" fontId="0" fillId="4" borderId="0" xfId="2" applyNumberFormat="1" applyFont="1" applyFill="1" applyAlignment="1">
      <alignment horizontal="center"/>
    </xf>
    <xf numFmtId="3" fontId="0" fillId="11" borderId="0" xfId="0" applyNumberFormat="1" applyFill="1" applyAlignment="1">
      <alignment horizontal="center"/>
    </xf>
    <xf numFmtId="3" fontId="2" fillId="11" borderId="0" xfId="0" applyNumberFormat="1" applyFont="1" applyFill="1" applyAlignment="1">
      <alignment horizontal="center"/>
    </xf>
    <xf numFmtId="166" fontId="0" fillId="11" borderId="0" xfId="0" applyNumberFormat="1" applyFill="1" applyAlignment="1">
      <alignment horizontal="center"/>
    </xf>
    <xf numFmtId="166" fontId="0" fillId="0" borderId="53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167" fontId="0" fillId="0" borderId="53" xfId="0" applyNumberFormat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168" fontId="0" fillId="0" borderId="53" xfId="0" applyNumberFormat="1" applyBorder="1" applyAlignment="1">
      <alignment horizontal="center"/>
    </xf>
    <xf numFmtId="0" fontId="4" fillId="9" borderId="19" xfId="0" applyFont="1" applyFill="1" applyBorder="1" applyAlignment="1">
      <alignment horizontal="center" wrapText="1"/>
    </xf>
    <xf numFmtId="0" fontId="4" fillId="9" borderId="55" xfId="0" applyFont="1" applyFill="1" applyBorder="1" applyAlignment="1">
      <alignment horizontal="center" wrapText="1"/>
    </xf>
    <xf numFmtId="0" fontId="4" fillId="9" borderId="20" xfId="0" applyFont="1" applyFill="1" applyBorder="1" applyAlignment="1">
      <alignment horizontal="center" wrapText="1"/>
    </xf>
    <xf numFmtId="0" fontId="11" fillId="8" borderId="52" xfId="3" applyFont="1" applyFill="1" applyBorder="1" applyAlignment="1">
      <alignment horizontal="center" vertical="center" wrapText="1"/>
    </xf>
    <xf numFmtId="3" fontId="12" fillId="0" borderId="26" xfId="3" applyNumberFormat="1" applyFont="1" applyBorder="1" applyAlignment="1">
      <alignment horizontal="center"/>
    </xf>
    <xf numFmtId="3" fontId="12" fillId="0" borderId="50" xfId="3" applyNumberFormat="1" applyFont="1" applyBorder="1" applyAlignment="1">
      <alignment horizontal="center"/>
    </xf>
    <xf numFmtId="3" fontId="0" fillId="0" borderId="31" xfId="0" applyNumberFormat="1" applyBorder="1" applyAlignment="1">
      <alignment horizontal="center" wrapText="1"/>
    </xf>
    <xf numFmtId="3" fontId="0" fillId="0" borderId="54" xfId="0" applyNumberFormat="1" applyBorder="1" applyAlignment="1">
      <alignment horizontal="center" wrapText="1"/>
    </xf>
    <xf numFmtId="3" fontId="0" fillId="0" borderId="34" xfId="0" applyNumberFormat="1" applyBorder="1" applyAlignment="1">
      <alignment horizontal="center" wrapText="1"/>
    </xf>
    <xf numFmtId="3" fontId="0" fillId="0" borderId="0" xfId="0" applyNumberFormat="1" applyBorder="1" applyAlignment="1">
      <alignment horizontal="center" wrapText="1"/>
    </xf>
    <xf numFmtId="164" fontId="0" fillId="0" borderId="34" xfId="0" applyNumberFormat="1" applyBorder="1" applyAlignment="1">
      <alignment horizontal="center" wrapText="1"/>
    </xf>
    <xf numFmtId="164" fontId="0" fillId="0" borderId="0" xfId="0" applyNumberFormat="1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3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34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4" fillId="9" borderId="42" xfId="0" applyFont="1" applyFill="1" applyBorder="1"/>
    <xf numFmtId="0" fontId="4" fillId="9" borderId="58" xfId="0" applyFont="1" applyFill="1" applyBorder="1"/>
    <xf numFmtId="0" fontId="4" fillId="9" borderId="59" xfId="0" applyFont="1" applyFill="1" applyBorder="1" applyAlignment="1">
      <alignment horizontal="center" wrapText="1"/>
    </xf>
    <xf numFmtId="0" fontId="4" fillId="0" borderId="58" xfId="0" applyFont="1" applyBorder="1"/>
    <xf numFmtId="3" fontId="0" fillId="0" borderId="32" xfId="0" applyNumberFormat="1" applyBorder="1" applyAlignment="1">
      <alignment horizontal="center" wrapText="1"/>
    </xf>
    <xf numFmtId="3" fontId="0" fillId="0" borderId="35" xfId="0" applyNumberFormat="1" applyBorder="1" applyAlignment="1">
      <alignment horizontal="center" wrapText="1"/>
    </xf>
    <xf numFmtId="164" fontId="0" fillId="0" borderId="35" xfId="0" applyNumberFormat="1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35" xfId="0" applyFill="1" applyBorder="1" applyAlignment="1">
      <alignment horizontal="center"/>
    </xf>
    <xf numFmtId="0" fontId="5" fillId="0" borderId="58" xfId="0" applyFont="1" applyBorder="1"/>
    <xf numFmtId="0" fontId="0" fillId="0" borderId="35" xfId="0" applyBorder="1" applyAlignment="1">
      <alignment horizontal="center"/>
    </xf>
    <xf numFmtId="3" fontId="4" fillId="0" borderId="58" xfId="0" applyNumberFormat="1" applyFont="1" applyBorder="1"/>
    <xf numFmtId="0" fontId="0" fillId="0" borderId="58" xfId="0" applyBorder="1"/>
    <xf numFmtId="3" fontId="0" fillId="0" borderId="35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3" fontId="0" fillId="0" borderId="35" xfId="0" applyNumberFormat="1" applyFill="1" applyBorder="1" applyAlignment="1">
      <alignment horizontal="center"/>
    </xf>
    <xf numFmtId="0" fontId="1" fillId="0" borderId="58" xfId="0" applyFont="1" applyBorder="1"/>
    <xf numFmtId="0" fontId="0" fillId="0" borderId="60" xfId="0" applyBorder="1"/>
    <xf numFmtId="3" fontId="0" fillId="0" borderId="2" xfId="0" applyNumberFormat="1" applyBorder="1" applyAlignment="1">
      <alignment horizontal="center"/>
    </xf>
    <xf numFmtId="3" fontId="0" fillId="0" borderId="39" xfId="0" applyNumberFormat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1" fontId="18" fillId="0" borderId="0" xfId="3" applyNumberFormat="1" applyFont="1" applyAlignment="1">
      <alignment horizontal="center"/>
    </xf>
    <xf numFmtId="0" fontId="11" fillId="8" borderId="62" xfId="3" applyFont="1" applyFill="1" applyBorder="1" applyAlignment="1">
      <alignment horizontal="center" vertical="center" wrapText="1"/>
    </xf>
    <xf numFmtId="0" fontId="11" fillId="8" borderId="63" xfId="3" applyFont="1" applyFill="1" applyBorder="1" applyAlignment="1">
      <alignment horizontal="center" vertical="center" wrapText="1"/>
    </xf>
    <xf numFmtId="3" fontId="12" fillId="0" borderId="1" xfId="3" applyNumberFormat="1" applyFont="1" applyBorder="1" applyAlignment="1">
      <alignment horizontal="right"/>
    </xf>
    <xf numFmtId="164" fontId="12" fillId="0" borderId="1" xfId="2" applyNumberFormat="1" applyFont="1" applyBorder="1" applyAlignment="1">
      <alignment horizontal="right"/>
    </xf>
    <xf numFmtId="1" fontId="12" fillId="0" borderId="1" xfId="3" applyNumberFormat="1" applyFont="1" applyBorder="1" applyAlignment="1">
      <alignment horizontal="right"/>
    </xf>
    <xf numFmtId="3" fontId="12" fillId="12" borderId="1" xfId="3" applyNumberFormat="1" applyFont="1" applyFill="1" applyBorder="1" applyAlignment="1">
      <alignment horizontal="right"/>
    </xf>
    <xf numFmtId="164" fontId="12" fillId="12" borderId="1" xfId="2" applyNumberFormat="1" applyFont="1" applyFill="1" applyBorder="1" applyAlignment="1">
      <alignment horizontal="right"/>
    </xf>
    <xf numFmtId="0" fontId="11" fillId="8" borderId="61" xfId="3" applyFont="1" applyFill="1" applyBorder="1" applyAlignment="1">
      <alignment horizontal="center" vertical="center" wrapText="1"/>
    </xf>
    <xf numFmtId="1" fontId="12" fillId="12" borderId="21" xfId="3" applyNumberFormat="1" applyFont="1" applyFill="1" applyBorder="1"/>
    <xf numFmtId="3" fontId="12" fillId="12" borderId="22" xfId="3" applyNumberFormat="1" applyFont="1" applyFill="1" applyBorder="1" applyAlignment="1">
      <alignment horizontal="right"/>
    </xf>
    <xf numFmtId="164" fontId="12" fillId="12" borderId="22" xfId="2" applyNumberFormat="1" applyFont="1" applyFill="1" applyBorder="1" applyAlignment="1">
      <alignment horizontal="right"/>
    </xf>
    <xf numFmtId="3" fontId="12" fillId="12" borderId="52" xfId="3" applyNumberFormat="1" applyFont="1" applyFill="1" applyBorder="1" applyAlignment="1">
      <alignment horizontal="right"/>
    </xf>
    <xf numFmtId="3" fontId="12" fillId="12" borderId="26" xfId="3" applyNumberFormat="1" applyFont="1" applyFill="1" applyBorder="1" applyAlignment="1">
      <alignment horizontal="right"/>
    </xf>
    <xf numFmtId="3" fontId="12" fillId="0" borderId="26" xfId="3" applyNumberFormat="1" applyFont="1" applyBorder="1" applyAlignment="1">
      <alignment horizontal="right"/>
    </xf>
    <xf numFmtId="164" fontId="12" fillId="0" borderId="26" xfId="2" applyNumberFormat="1" applyFont="1" applyBorder="1" applyAlignment="1">
      <alignment horizontal="right"/>
    </xf>
    <xf numFmtId="3" fontId="12" fillId="0" borderId="37" xfId="3" applyNumberFormat="1" applyFont="1" applyBorder="1" applyAlignment="1">
      <alignment horizontal="right"/>
    </xf>
    <xf numFmtId="164" fontId="12" fillId="0" borderId="37" xfId="2" applyNumberFormat="1" applyFont="1" applyBorder="1" applyAlignment="1">
      <alignment horizontal="right"/>
    </xf>
    <xf numFmtId="164" fontId="12" fillId="0" borderId="50" xfId="2" applyNumberFormat="1" applyFont="1" applyBorder="1" applyAlignment="1">
      <alignment horizontal="right"/>
    </xf>
    <xf numFmtId="1" fontId="12" fillId="0" borderId="28" xfId="3" applyNumberFormat="1" applyFont="1" applyBorder="1"/>
    <xf numFmtId="1" fontId="12" fillId="0" borderId="41" xfId="3" applyNumberFormat="1" applyFont="1" applyBorder="1" applyAlignment="1">
      <alignment horizontal="right"/>
    </xf>
    <xf numFmtId="3" fontId="12" fillId="0" borderId="41" xfId="3" applyNumberFormat="1" applyFont="1" applyBorder="1" applyAlignment="1">
      <alignment horizontal="right"/>
    </xf>
    <xf numFmtId="164" fontId="12" fillId="0" borderId="41" xfId="2" applyNumberFormat="1" applyFont="1" applyBorder="1" applyAlignment="1">
      <alignment horizontal="right"/>
    </xf>
    <xf numFmtId="3" fontId="12" fillId="0" borderId="46" xfId="3" applyNumberFormat="1" applyFont="1" applyBorder="1" applyAlignment="1">
      <alignment horizontal="right"/>
    </xf>
    <xf numFmtId="1" fontId="12" fillId="12" borderId="36" xfId="3" applyNumberFormat="1" applyFont="1" applyFill="1" applyBorder="1"/>
    <xf numFmtId="3" fontId="12" fillId="12" borderId="37" xfId="3" applyNumberFormat="1" applyFont="1" applyFill="1" applyBorder="1" applyAlignment="1">
      <alignment horizontal="right"/>
    </xf>
    <xf numFmtId="164" fontId="12" fillId="12" borderId="37" xfId="2" applyNumberFormat="1" applyFont="1" applyFill="1" applyBorder="1" applyAlignment="1">
      <alignment horizontal="right"/>
    </xf>
    <xf numFmtId="3" fontId="12" fillId="12" borderId="50" xfId="3" applyNumberFormat="1" applyFont="1" applyFill="1" applyBorder="1" applyAlignment="1">
      <alignment horizontal="right"/>
    </xf>
    <xf numFmtId="1" fontId="12" fillId="0" borderId="29" xfId="3" applyNumberFormat="1" applyFont="1" applyBorder="1" applyAlignment="1">
      <alignment horizontal="left" indent="1"/>
    </xf>
    <xf numFmtId="0" fontId="12" fillId="0" borderId="29" xfId="3" applyFont="1" applyBorder="1" applyAlignment="1">
      <alignment horizontal="left" indent="1"/>
    </xf>
    <xf numFmtId="0" fontId="12" fillId="0" borderId="36" xfId="3" applyFont="1" applyBorder="1" applyAlignment="1">
      <alignment horizontal="left" indent="1"/>
    </xf>
    <xf numFmtId="0" fontId="12" fillId="0" borderId="21" xfId="3" applyFont="1" applyBorder="1"/>
    <xf numFmtId="0" fontId="12" fillId="0" borderId="22" xfId="3" applyFont="1" applyBorder="1"/>
    <xf numFmtId="0" fontId="12" fillId="0" borderId="52" xfId="3" applyFont="1" applyBorder="1"/>
    <xf numFmtId="1" fontId="12" fillId="12" borderId="29" xfId="3" applyNumberFormat="1" applyFont="1" applyFill="1" applyBorder="1" applyAlignment="1">
      <alignment horizontal="left" indent="1"/>
    </xf>
    <xf numFmtId="0" fontId="0" fillId="0" borderId="1" xfId="0" applyBorder="1"/>
    <xf numFmtId="0" fontId="0" fillId="0" borderId="26" xfId="0" applyBorder="1"/>
    <xf numFmtId="3" fontId="12" fillId="0" borderId="26" xfId="0" applyNumberFormat="1" applyFont="1" applyBorder="1"/>
    <xf numFmtId="3" fontId="12" fillId="0" borderId="50" xfId="0" applyNumberFormat="1" applyFont="1" applyBorder="1"/>
    <xf numFmtId="0" fontId="12" fillId="12" borderId="29" xfId="3" applyFont="1" applyFill="1" applyBorder="1" applyAlignment="1">
      <alignment horizontal="left"/>
    </xf>
    <xf numFmtId="164" fontId="12" fillId="12" borderId="26" xfId="2" applyNumberFormat="1" applyFont="1" applyFill="1" applyBorder="1" applyAlignment="1">
      <alignment horizontal="right"/>
    </xf>
    <xf numFmtId="0" fontId="12" fillId="12" borderId="36" xfId="3" applyFont="1" applyFill="1" applyBorder="1" applyAlignment="1">
      <alignment horizontal="left"/>
    </xf>
    <xf numFmtId="164" fontId="12" fillId="12" borderId="50" xfId="2" applyNumberFormat="1" applyFont="1" applyFill="1" applyBorder="1" applyAlignment="1">
      <alignment horizontal="right"/>
    </xf>
    <xf numFmtId="3" fontId="12" fillId="0" borderId="30" xfId="3" applyNumberFormat="1" applyFont="1" applyBorder="1" applyAlignment="1">
      <alignment horizontal="right"/>
    </xf>
    <xf numFmtId="3" fontId="12" fillId="0" borderId="64" xfId="0" applyNumberFormat="1" applyFont="1" applyBorder="1"/>
    <xf numFmtId="0" fontId="4" fillId="9" borderId="68" xfId="0" applyFont="1" applyFill="1" applyBorder="1"/>
    <xf numFmtId="0" fontId="4" fillId="0" borderId="27" xfId="0" applyFont="1" applyBorder="1"/>
    <xf numFmtId="0" fontId="5" fillId="0" borderId="27" xfId="0" applyFont="1" applyBorder="1"/>
    <xf numFmtId="3" fontId="4" fillId="0" borderId="27" xfId="0" applyNumberFormat="1" applyFont="1" applyBorder="1"/>
    <xf numFmtId="0" fontId="0" fillId="0" borderId="27" xfId="0" applyBorder="1"/>
    <xf numFmtId="0" fontId="1" fillId="0" borderId="27" xfId="0" applyFont="1" applyBorder="1"/>
    <xf numFmtId="0" fontId="0" fillId="0" borderId="65" xfId="0" applyBorder="1"/>
    <xf numFmtId="0" fontId="4" fillId="9" borderId="65" xfId="0" applyFont="1" applyFill="1" applyBorder="1"/>
    <xf numFmtId="0" fontId="4" fillId="9" borderId="2" xfId="0" applyFont="1" applyFill="1" applyBorder="1" applyAlignment="1">
      <alignment horizontal="center" wrapText="1"/>
    </xf>
    <xf numFmtId="0" fontId="4" fillId="9" borderId="69" xfId="0" applyFont="1" applyFill="1" applyBorder="1" applyAlignment="1">
      <alignment horizontal="center" wrapText="1"/>
    </xf>
    <xf numFmtId="0" fontId="4" fillId="9" borderId="39" xfId="0" applyFont="1" applyFill="1" applyBorder="1" applyAlignment="1">
      <alignment horizontal="center" wrapText="1"/>
    </xf>
    <xf numFmtId="0" fontId="4" fillId="9" borderId="40" xfId="0" applyFont="1" applyFill="1" applyBorder="1" applyAlignment="1">
      <alignment horizontal="center" wrapText="1"/>
    </xf>
    <xf numFmtId="3" fontId="0" fillId="0" borderId="56" xfId="0" applyNumberFormat="1" applyBorder="1" applyAlignment="1">
      <alignment horizontal="center" wrapText="1"/>
    </xf>
    <xf numFmtId="3" fontId="0" fillId="0" borderId="43" xfId="0" applyNumberFormat="1" applyBorder="1" applyAlignment="1">
      <alignment horizontal="center" wrapText="1"/>
    </xf>
    <xf numFmtId="3" fontId="0" fillId="0" borderId="44" xfId="0" applyNumberFormat="1" applyBorder="1" applyAlignment="1">
      <alignment horizontal="center" wrapText="1"/>
    </xf>
    <xf numFmtId="0" fontId="11" fillId="8" borderId="68" xfId="3" applyFont="1" applyFill="1" applyBorder="1" applyAlignment="1">
      <alignment horizontal="center" vertical="center" wrapText="1"/>
    </xf>
    <xf numFmtId="0" fontId="11" fillId="8" borderId="70" xfId="3" applyFont="1" applyFill="1" applyBorder="1" applyAlignment="1">
      <alignment horizontal="center" vertical="center" wrapText="1"/>
    </xf>
    <xf numFmtId="0" fontId="11" fillId="8" borderId="65" xfId="3" applyFont="1" applyFill="1" applyBorder="1" applyAlignment="1">
      <alignment horizontal="center" vertical="center" wrapText="1"/>
    </xf>
    <xf numFmtId="1" fontId="11" fillId="12" borderId="70" xfId="3" applyNumberFormat="1" applyFont="1" applyFill="1" applyBorder="1" applyAlignment="1">
      <alignment horizontal="center" vertical="top"/>
    </xf>
    <xf numFmtId="3" fontId="0" fillId="0" borderId="33" xfId="0" applyNumberFormat="1" applyBorder="1"/>
    <xf numFmtId="3" fontId="0" fillId="0" borderId="67" xfId="0" applyNumberFormat="1" applyBorder="1"/>
    <xf numFmtId="164" fontId="0" fillId="0" borderId="33" xfId="0" applyNumberFormat="1" applyBorder="1" applyAlignment="1">
      <alignment horizontal="center" wrapText="1"/>
    </xf>
    <xf numFmtId="164" fontId="0" fillId="0" borderId="33" xfId="0" applyNumberFormat="1" applyBorder="1"/>
    <xf numFmtId="164" fontId="0" fillId="0" borderId="67" xfId="0" applyNumberFormat="1" applyBorder="1"/>
    <xf numFmtId="0" fontId="0" fillId="0" borderId="67" xfId="0" applyBorder="1"/>
    <xf numFmtId="3" fontId="0" fillId="0" borderId="38" xfId="0" applyNumberFormat="1" applyBorder="1"/>
    <xf numFmtId="3" fontId="0" fillId="0" borderId="66" xfId="0" applyNumberFormat="1" applyBorder="1"/>
    <xf numFmtId="1" fontId="11" fillId="12" borderId="37" xfId="3" applyNumberFormat="1" applyFont="1" applyFill="1" applyBorder="1" applyAlignment="1">
      <alignment horizontal="center" vertical="top"/>
    </xf>
    <xf numFmtId="0" fontId="11" fillId="8" borderId="37" xfId="3" applyFont="1" applyFill="1" applyBorder="1" applyAlignment="1">
      <alignment horizontal="center" vertical="center" wrapText="1"/>
    </xf>
    <xf numFmtId="0" fontId="11" fillId="8" borderId="50" xfId="3" applyFont="1" applyFill="1" applyBorder="1" applyAlignment="1">
      <alignment horizontal="center" vertical="center" wrapText="1"/>
    </xf>
    <xf numFmtId="17" fontId="12" fillId="0" borderId="27" xfId="0" applyNumberFormat="1" applyFont="1" applyFill="1" applyBorder="1"/>
    <xf numFmtId="3" fontId="12" fillId="0" borderId="33" xfId="1" applyNumberFormat="1" applyFont="1" applyFill="1" applyBorder="1" applyAlignment="1">
      <alignment horizontal="center"/>
    </xf>
    <xf numFmtId="43" fontId="12" fillId="0" borderId="33" xfId="1" applyFont="1" applyFill="1" applyBorder="1" applyAlignment="1">
      <alignment horizontal="center"/>
    </xf>
    <xf numFmtId="10" fontId="12" fillId="0" borderId="33" xfId="2" applyNumberFormat="1" applyFont="1" applyFill="1" applyBorder="1" applyAlignment="1">
      <alignment horizontal="center"/>
    </xf>
    <xf numFmtId="37" fontId="12" fillId="0" borderId="33" xfId="0" applyNumberFormat="1" applyFont="1" applyFill="1" applyBorder="1" applyAlignment="1">
      <alignment horizontal="center"/>
    </xf>
    <xf numFmtId="37" fontId="12" fillId="0" borderId="67" xfId="0" applyNumberFormat="1" applyFont="1" applyFill="1" applyBorder="1" applyAlignment="1">
      <alignment horizontal="center"/>
    </xf>
    <xf numFmtId="3" fontId="12" fillId="0" borderId="33" xfId="0" applyNumberFormat="1" applyFont="1" applyFill="1" applyBorder="1" applyAlignment="1">
      <alignment horizontal="center"/>
    </xf>
    <xf numFmtId="3" fontId="12" fillId="13" borderId="33" xfId="0" applyNumberFormat="1" applyFont="1" applyFill="1" applyBorder="1" applyAlignment="1">
      <alignment horizontal="center"/>
    </xf>
    <xf numFmtId="17" fontId="12" fillId="0" borderId="65" xfId="0" applyNumberFormat="1" applyFont="1" applyFill="1" applyBorder="1"/>
    <xf numFmtId="3" fontId="12" fillId="13" borderId="38" xfId="0" applyNumberFormat="1" applyFont="1" applyFill="1" applyBorder="1" applyAlignment="1">
      <alignment horizontal="center"/>
    </xf>
    <xf numFmtId="43" fontId="12" fillId="0" borderId="38" xfId="1" applyFont="1" applyFill="1" applyBorder="1" applyAlignment="1">
      <alignment horizontal="center"/>
    </xf>
    <xf numFmtId="10" fontId="12" fillId="0" borderId="38" xfId="2" applyNumberFormat="1" applyFont="1" applyFill="1" applyBorder="1" applyAlignment="1">
      <alignment horizontal="center"/>
    </xf>
    <xf numFmtId="37" fontId="12" fillId="0" borderId="38" xfId="0" applyNumberFormat="1" applyFont="1" applyFill="1" applyBorder="1" applyAlignment="1">
      <alignment horizontal="center"/>
    </xf>
    <xf numFmtId="37" fontId="12" fillId="0" borderId="66" xfId="0" applyNumberFormat="1" applyFont="1" applyFill="1" applyBorder="1" applyAlignment="1">
      <alignment horizontal="center"/>
    </xf>
    <xf numFmtId="0" fontId="11" fillId="8" borderId="36" xfId="3" applyFont="1" applyFill="1" applyBorder="1" applyAlignment="1">
      <alignment horizontal="center" vertical="center" wrapText="1"/>
    </xf>
    <xf numFmtId="3" fontId="12" fillId="0" borderId="50" xfId="3" applyNumberFormat="1" applyFont="1" applyBorder="1" applyAlignment="1">
      <alignment horizontal="right"/>
    </xf>
    <xf numFmtId="37" fontId="1" fillId="7" borderId="0" xfId="0" applyNumberFormat="1" applyFont="1" applyFill="1" applyAlignment="1">
      <alignment horizontal="center"/>
    </xf>
    <xf numFmtId="0" fontId="0" fillId="7" borderId="0" xfId="0" applyFill="1" applyAlignment="1">
      <alignment wrapText="1"/>
    </xf>
    <xf numFmtId="0" fontId="11" fillId="8" borderId="22" xfId="3" applyFont="1" applyFill="1" applyBorder="1" applyAlignment="1">
      <alignment horizontal="center" vertical="center" wrapText="1"/>
    </xf>
    <xf numFmtId="0" fontId="11" fillId="8" borderId="23" xfId="3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right" vertical="top"/>
    </xf>
    <xf numFmtId="0" fontId="1" fillId="7" borderId="20" xfId="0" applyFont="1" applyFill="1" applyBorder="1" applyAlignment="1">
      <alignment vertical="top"/>
    </xf>
    <xf numFmtId="3" fontId="0" fillId="7" borderId="19" xfId="0" applyNumberFormat="1" applyFill="1" applyBorder="1" applyAlignment="1">
      <alignment vertical="top"/>
    </xf>
    <xf numFmtId="0" fontId="19" fillId="0" borderId="0" xfId="0" applyFont="1"/>
    <xf numFmtId="0" fontId="11" fillId="8" borderId="38" xfId="3" applyFont="1" applyFill="1" applyBorder="1" applyAlignment="1">
      <alignment horizontal="center" vertical="center" wrapText="1"/>
    </xf>
    <xf numFmtId="0" fontId="11" fillId="8" borderId="39" xfId="3" applyFont="1" applyFill="1" applyBorder="1" applyAlignment="1">
      <alignment horizontal="center" vertical="center" wrapText="1"/>
    </xf>
    <xf numFmtId="0" fontId="11" fillId="8" borderId="66" xfId="3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vertical="top" wrapText="1"/>
    </xf>
    <xf numFmtId="0" fontId="4" fillId="5" borderId="22" xfId="0" applyFont="1" applyFill="1" applyBorder="1" applyAlignment="1">
      <alignment vertical="top" wrapText="1"/>
    </xf>
    <xf numFmtId="0" fontId="0" fillId="0" borderId="43" xfId="0" applyNumberFormat="1" applyFill="1" applyBorder="1" applyAlignment="1">
      <alignment vertical="top"/>
    </xf>
    <xf numFmtId="0" fontId="4" fillId="5" borderId="22" xfId="0" applyFont="1" applyFill="1" applyBorder="1" applyAlignment="1">
      <alignment vertical="top"/>
    </xf>
    <xf numFmtId="0" fontId="4" fillId="5" borderId="52" xfId="0" applyFont="1" applyFill="1" applyBorder="1" applyAlignment="1">
      <alignment vertical="top"/>
    </xf>
    <xf numFmtId="0" fontId="0" fillId="0" borderId="71" xfId="0" applyFill="1" applyBorder="1" applyAlignment="1">
      <alignment vertical="top"/>
    </xf>
    <xf numFmtId="3" fontId="0" fillId="0" borderId="72" xfId="0" applyNumberFormat="1" applyFill="1" applyBorder="1" applyAlignment="1">
      <alignment vertical="top"/>
    </xf>
    <xf numFmtId="0" fontId="0" fillId="6" borderId="73" xfId="0" applyFill="1" applyBorder="1" applyAlignment="1">
      <alignment vertical="top"/>
    </xf>
    <xf numFmtId="3" fontId="0" fillId="6" borderId="74" xfId="0" applyNumberFormat="1" applyFill="1" applyBorder="1" applyAlignment="1">
      <alignment vertical="top"/>
    </xf>
    <xf numFmtId="0" fontId="0" fillId="0" borderId="73" xfId="0" applyFill="1" applyBorder="1" applyAlignment="1">
      <alignment vertical="top"/>
    </xf>
    <xf numFmtId="3" fontId="0" fillId="0" borderId="74" xfId="0" applyNumberFormat="1" applyFill="1" applyBorder="1" applyAlignment="1">
      <alignment vertical="top"/>
    </xf>
    <xf numFmtId="3" fontId="0" fillId="6" borderId="75" xfId="0" applyNumberFormat="1" applyFill="1" applyBorder="1" applyAlignment="1">
      <alignment vertical="top"/>
    </xf>
    <xf numFmtId="0" fontId="8" fillId="0" borderId="58" xfId="0" applyNumberFormat="1" applyFont="1" applyFill="1" applyBorder="1" applyAlignment="1">
      <alignment vertical="top"/>
    </xf>
    <xf numFmtId="0" fontId="0" fillId="0" borderId="35" xfId="0" applyFill="1" applyBorder="1" applyAlignment="1">
      <alignment vertical="top"/>
    </xf>
    <xf numFmtId="3" fontId="0" fillId="0" borderId="76" xfId="0" applyNumberFormat="1" applyFill="1" applyBorder="1" applyAlignment="1">
      <alignment vertical="top"/>
    </xf>
    <xf numFmtId="3" fontId="0" fillId="6" borderId="77" xfId="0" applyNumberFormat="1" applyFill="1" applyBorder="1" applyAlignment="1">
      <alignment vertical="top"/>
    </xf>
    <xf numFmtId="3" fontId="0" fillId="0" borderId="77" xfId="0" applyNumberFormat="1" applyFill="1" applyBorder="1" applyAlignment="1">
      <alignment vertical="top"/>
    </xf>
    <xf numFmtId="3" fontId="0" fillId="6" borderId="78" xfId="0" applyNumberFormat="1" applyFill="1" applyBorder="1" applyAlignment="1">
      <alignment vertical="top"/>
    </xf>
    <xf numFmtId="0" fontId="4" fillId="5" borderId="0" xfId="0" applyFont="1" applyFill="1" applyBorder="1" applyAlignment="1">
      <alignment horizontal="right" vertical="top"/>
    </xf>
    <xf numFmtId="0" fontId="4" fillId="5" borderId="22" xfId="0" applyFont="1" applyFill="1" applyBorder="1" applyAlignment="1">
      <alignment horizontal="right" vertical="top"/>
    </xf>
    <xf numFmtId="3" fontId="0" fillId="7" borderId="46" xfId="0" applyNumberFormat="1" applyFill="1" applyBorder="1" applyAlignment="1">
      <alignment vertical="top"/>
    </xf>
    <xf numFmtId="0" fontId="5" fillId="0" borderId="60" xfId="0" applyFont="1" applyBorder="1"/>
    <xf numFmtId="0" fontId="0" fillId="0" borderId="2" xfId="0" applyBorder="1"/>
    <xf numFmtId="0" fontId="19" fillId="0" borderId="2" xfId="0" applyFont="1" applyBorder="1"/>
    <xf numFmtId="0" fontId="0" fillId="6" borderId="79" xfId="0" applyFill="1" applyBorder="1" applyAlignment="1">
      <alignment vertical="top"/>
    </xf>
    <xf numFmtId="0" fontId="1" fillId="6" borderId="80" xfId="0" applyFont="1" applyFill="1" applyBorder="1" applyAlignment="1">
      <alignment vertical="top"/>
    </xf>
    <xf numFmtId="0" fontId="1" fillId="6" borderId="69" xfId="0" applyFont="1" applyFill="1" applyBorder="1" applyAlignment="1">
      <alignment vertical="top"/>
    </xf>
    <xf numFmtId="3" fontId="0" fillId="6" borderId="39" xfId="0" applyNumberFormat="1" applyFill="1" applyBorder="1" applyAlignment="1">
      <alignment vertical="top"/>
    </xf>
    <xf numFmtId="3" fontId="0" fillId="7" borderId="39" xfId="0" applyNumberFormat="1" applyFill="1" applyBorder="1" applyAlignment="1">
      <alignment vertical="top"/>
    </xf>
    <xf numFmtId="3" fontId="0" fillId="6" borderId="66" xfId="0" applyNumberFormat="1" applyFill="1" applyBorder="1" applyAlignment="1">
      <alignment vertical="top"/>
    </xf>
    <xf numFmtId="0" fontId="4" fillId="5" borderId="52" xfId="0" applyFont="1" applyFill="1" applyBorder="1" applyAlignment="1">
      <alignment horizontal="right" vertical="top"/>
    </xf>
    <xf numFmtId="0" fontId="12" fillId="8" borderId="29" xfId="3" applyFont="1" applyFill="1" applyBorder="1" applyAlignment="1">
      <alignment horizontal="center"/>
    </xf>
    <xf numFmtId="3" fontId="12" fillId="8" borderId="1" xfId="3" applyNumberFormat="1" applyFont="1" applyFill="1" applyBorder="1" applyAlignment="1">
      <alignment horizontal="right"/>
    </xf>
    <xf numFmtId="0" fontId="12" fillId="8" borderId="25" xfId="3" applyFont="1" applyFill="1" applyBorder="1" applyAlignment="1">
      <alignment horizontal="center"/>
    </xf>
    <xf numFmtId="3" fontId="12" fillId="8" borderId="30" xfId="3" applyNumberFormat="1" applyFont="1" applyFill="1" applyBorder="1" applyAlignment="1">
      <alignment horizontal="right"/>
    </xf>
    <xf numFmtId="3" fontId="12" fillId="8" borderId="61" xfId="3" applyNumberFormat="1" applyFont="1" applyFill="1" applyBorder="1" applyAlignment="1">
      <alignment horizontal="center"/>
    </xf>
    <xf numFmtId="3" fontId="12" fillId="0" borderId="26" xfId="3" applyNumberFormat="1" applyFont="1" applyFill="1" applyBorder="1" applyAlignment="1">
      <alignment horizontal="right"/>
    </xf>
    <xf numFmtId="3" fontId="12" fillId="0" borderId="64" xfId="3" applyNumberFormat="1" applyFont="1" applyFill="1" applyBorder="1" applyAlignment="1">
      <alignment horizontal="right"/>
    </xf>
    <xf numFmtId="3" fontId="12" fillId="8" borderId="22" xfId="3" applyNumberFormat="1" applyFont="1" applyFill="1" applyBorder="1" applyAlignment="1">
      <alignment horizontal="right"/>
    </xf>
    <xf numFmtId="3" fontId="12" fillId="0" borderId="22" xfId="3" applyNumberFormat="1" applyFont="1" applyBorder="1" applyAlignment="1">
      <alignment horizontal="right"/>
    </xf>
    <xf numFmtId="3" fontId="12" fillId="8" borderId="37" xfId="3" applyNumberFormat="1" applyFont="1" applyFill="1" applyBorder="1" applyAlignment="1">
      <alignment horizontal="right"/>
    </xf>
    <xf numFmtId="3" fontId="12" fillId="0" borderId="52" xfId="3" applyNumberFormat="1" applyFont="1" applyFill="1" applyBorder="1" applyAlignment="1">
      <alignment horizontal="right"/>
    </xf>
    <xf numFmtId="3" fontId="12" fillId="0" borderId="50" xfId="3" applyNumberFormat="1" applyFont="1" applyFill="1" applyBorder="1" applyAlignment="1">
      <alignment horizontal="right"/>
    </xf>
    <xf numFmtId="168" fontId="0" fillId="0" borderId="0" xfId="2" applyNumberFormat="1" applyFont="1" applyAlignment="1">
      <alignment horizontal="center"/>
    </xf>
    <xf numFmtId="0" fontId="0" fillId="14" borderId="0" xfId="0" applyFill="1" applyAlignment="1">
      <alignment horizontal="center" wrapText="1"/>
    </xf>
    <xf numFmtId="0" fontId="1" fillId="14" borderId="0" xfId="0" applyFont="1" applyFill="1" applyAlignment="1">
      <alignment horizontal="center" wrapText="1"/>
    </xf>
    <xf numFmtId="169" fontId="0" fillId="14" borderId="0" xfId="1" applyNumberFormat="1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2" fillId="0" borderId="0" xfId="3" applyFont="1" applyBorder="1"/>
    <xf numFmtId="3" fontId="12" fillId="0" borderId="0" xfId="3" applyNumberFormat="1" applyFont="1" applyBorder="1" applyAlignment="1">
      <alignment horizontal="center"/>
    </xf>
    <xf numFmtId="3" fontId="0" fillId="0" borderId="0" xfId="0" applyNumberFormat="1" applyFill="1" applyBorder="1"/>
    <xf numFmtId="167" fontId="0" fillId="0" borderId="0" xfId="0" applyNumberFormat="1" applyFill="1" applyBorder="1"/>
    <xf numFmtId="174" fontId="0" fillId="0" borderId="0" xfId="0" applyNumberFormat="1" applyFill="1" applyBorder="1"/>
    <xf numFmtId="174" fontId="0" fillId="0" borderId="0" xfId="0" applyNumberFormat="1"/>
    <xf numFmtId="169" fontId="18" fillId="0" borderId="0" xfId="1" applyNumberFormat="1" applyFont="1"/>
    <xf numFmtId="175" fontId="0" fillId="0" borderId="0" xfId="0" applyNumberFormat="1"/>
    <xf numFmtId="3" fontId="12" fillId="0" borderId="26" xfId="0" applyNumberFormat="1" applyFont="1" applyFill="1" applyBorder="1"/>
    <xf numFmtId="3" fontId="12" fillId="0" borderId="50" xfId="0" applyNumberFormat="1" applyFont="1" applyFill="1" applyBorder="1"/>
    <xf numFmtId="3" fontId="0" fillId="15" borderId="0" xfId="0" applyNumberFormat="1" applyFill="1" applyAlignment="1">
      <alignment horizontal="center"/>
    </xf>
    <xf numFmtId="0" fontId="0" fillId="15" borderId="0" xfId="0" applyFill="1"/>
    <xf numFmtId="0" fontId="0" fillId="15" borderId="0" xfId="0" applyFill="1" applyAlignment="1">
      <alignment horizontal="center"/>
    </xf>
    <xf numFmtId="0" fontId="0" fillId="0" borderId="0" xfId="0" applyAlignment="1">
      <alignment horizontal="left"/>
    </xf>
    <xf numFmtId="3" fontId="12" fillId="0" borderId="1" xfId="3" applyNumberFormat="1" applyFont="1" applyFill="1" applyBorder="1" applyAlignment="1">
      <alignment horizontal="right"/>
    </xf>
    <xf numFmtId="3" fontId="12" fillId="0" borderId="37" xfId="3" applyNumberFormat="1" applyFont="1" applyFill="1" applyBorder="1" applyAlignment="1">
      <alignment horizontal="right"/>
    </xf>
    <xf numFmtId="164" fontId="12" fillId="0" borderId="58" xfId="2" applyNumberFormat="1" applyFont="1" applyFill="1" applyBorder="1" applyAlignment="1">
      <alignment horizontal="right"/>
    </xf>
    <xf numFmtId="164" fontId="12" fillId="0" borderId="0" xfId="2" applyNumberFormat="1" applyFont="1" applyFill="1" applyBorder="1" applyAlignment="1">
      <alignment horizontal="right"/>
    </xf>
    <xf numFmtId="3" fontId="12" fillId="8" borderId="26" xfId="3" applyNumberFormat="1" applyFont="1" applyFill="1" applyBorder="1" applyAlignment="1">
      <alignment horizontal="right"/>
    </xf>
    <xf numFmtId="0" fontId="20" fillId="0" borderId="21" xfId="3" applyFont="1" applyBorder="1"/>
    <xf numFmtId="3" fontId="12" fillId="0" borderId="0" xfId="3" applyNumberFormat="1" applyFont="1" applyFill="1" applyBorder="1" applyAlignment="1">
      <alignment horizontal="right"/>
    </xf>
    <xf numFmtId="3" fontId="12" fillId="0" borderId="0" xfId="0" applyNumberFormat="1" applyFont="1"/>
    <xf numFmtId="0" fontId="13" fillId="0" borderId="0" xfId="0" applyFont="1"/>
    <xf numFmtId="0" fontId="13" fillId="16" borderId="0" xfId="0" applyFont="1" applyFill="1" applyAlignment="1">
      <alignment horizontal="center"/>
    </xf>
    <xf numFmtId="3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0" fontId="12" fillId="0" borderId="1" xfId="2" applyNumberFormat="1" applyFont="1" applyBorder="1" applyAlignment="1">
      <alignment horizontal="right"/>
    </xf>
    <xf numFmtId="10" fontId="12" fillId="0" borderId="26" xfId="2" applyNumberFormat="1" applyFont="1" applyBorder="1"/>
    <xf numFmtId="10" fontId="12" fillId="0" borderId="30" xfId="2" applyNumberFormat="1" applyFont="1" applyBorder="1" applyAlignment="1">
      <alignment horizontal="right"/>
    </xf>
    <xf numFmtId="10" fontId="12" fillId="0" borderId="64" xfId="2" applyNumberFormat="1" applyFont="1" applyBorder="1"/>
    <xf numFmtId="10" fontId="12" fillId="12" borderId="1" xfId="2" applyNumberFormat="1" applyFont="1" applyFill="1" applyBorder="1" applyAlignment="1">
      <alignment horizontal="right"/>
    </xf>
    <xf numFmtId="10" fontId="12" fillId="12" borderId="26" xfId="2" applyNumberFormat="1" applyFont="1" applyFill="1" applyBorder="1" applyAlignment="1">
      <alignment horizontal="right"/>
    </xf>
    <xf numFmtId="10" fontId="12" fillId="12" borderId="37" xfId="2" applyNumberFormat="1" applyFont="1" applyFill="1" applyBorder="1" applyAlignment="1">
      <alignment horizontal="right"/>
    </xf>
    <xf numFmtId="10" fontId="12" fillId="12" borderId="50" xfId="2" applyNumberFormat="1" applyFont="1" applyFill="1" applyBorder="1" applyAlignment="1">
      <alignment horizontal="right"/>
    </xf>
    <xf numFmtId="3" fontId="12" fillId="0" borderId="38" xfId="0" applyNumberFormat="1" applyFont="1" applyFill="1" applyBorder="1" applyAlignment="1">
      <alignment horizontal="center"/>
    </xf>
    <xf numFmtId="0" fontId="11" fillId="8" borderId="68" xfId="3" applyFont="1" applyFill="1" applyBorder="1" applyAlignment="1">
      <alignment horizontal="center" vertical="center" wrapText="1"/>
    </xf>
    <xf numFmtId="0" fontId="11" fillId="8" borderId="65" xfId="3" applyFont="1" applyFill="1" applyBorder="1" applyAlignment="1">
      <alignment horizontal="center" vertical="center" wrapText="1"/>
    </xf>
    <xf numFmtId="0" fontId="12" fillId="0" borderId="25" xfId="3" applyFont="1" applyBorder="1" applyAlignment="1">
      <alignment horizontal="left" indent="1"/>
    </xf>
    <xf numFmtId="3" fontId="2" fillId="7" borderId="0" xfId="0" applyNumberFormat="1" applyFont="1" applyFill="1" applyAlignment="1">
      <alignment horizontal="center"/>
    </xf>
    <xf numFmtId="43" fontId="2" fillId="0" borderId="0" xfId="1" applyFont="1" applyFill="1" applyAlignment="1">
      <alignment horizontal="center"/>
    </xf>
    <xf numFmtId="164" fontId="0" fillId="7" borderId="0" xfId="2" applyNumberFormat="1" applyFont="1" applyFill="1"/>
    <xf numFmtId="0" fontId="0" fillId="17" borderId="0" xfId="0" applyFill="1" applyAlignment="1">
      <alignment wrapText="1"/>
    </xf>
    <xf numFmtId="10" fontId="0" fillId="0" borderId="0" xfId="2" applyNumberFormat="1" applyFont="1" applyFill="1" applyBorder="1" applyAlignment="1"/>
    <xf numFmtId="0" fontId="12" fillId="0" borderId="0" xfId="3" applyFont="1" applyBorder="1" applyAlignment="1">
      <alignment horizontal="left" indent="1"/>
    </xf>
    <xf numFmtId="3" fontId="12" fillId="0" borderId="0" xfId="3" applyNumberFormat="1" applyFont="1" applyBorder="1" applyAlignment="1">
      <alignment horizontal="right"/>
    </xf>
    <xf numFmtId="0" fontId="11" fillId="8" borderId="81" xfId="3" applyFont="1" applyFill="1" applyBorder="1" applyAlignment="1">
      <alignment horizontal="center" vertical="center" wrapText="1"/>
    </xf>
    <xf numFmtId="0" fontId="11" fillId="8" borderId="82" xfId="3" applyFont="1" applyFill="1" applyBorder="1" applyAlignment="1">
      <alignment horizontal="center" vertical="center" wrapText="1"/>
    </xf>
    <xf numFmtId="0" fontId="11" fillId="8" borderId="83" xfId="3" applyFont="1" applyFill="1" applyBorder="1" applyAlignment="1">
      <alignment horizontal="center" vertical="center" wrapText="1"/>
    </xf>
    <xf numFmtId="0" fontId="11" fillId="8" borderId="84" xfId="3" applyFont="1" applyFill="1" applyBorder="1" applyAlignment="1">
      <alignment horizontal="center" vertical="center" wrapText="1"/>
    </xf>
    <xf numFmtId="0" fontId="12" fillId="0" borderId="0" xfId="3" applyFont="1" applyBorder="1" applyAlignment="1"/>
    <xf numFmtId="3" fontId="0" fillId="6" borderId="0" xfId="0" applyNumberFormat="1" applyFill="1" applyBorder="1" applyAlignment="1">
      <alignment vertical="top"/>
    </xf>
    <xf numFmtId="3" fontId="18" fillId="0" borderId="0" xfId="0" applyNumberFormat="1" applyFont="1"/>
    <xf numFmtId="0" fontId="11" fillId="8" borderId="21" xfId="3" applyFont="1" applyFill="1" applyBorder="1" applyAlignment="1">
      <alignment horizontal="center" vertical="center" wrapText="1"/>
    </xf>
    <xf numFmtId="0" fontId="11" fillId="8" borderId="22" xfId="3" applyFont="1" applyFill="1" applyBorder="1" applyAlignment="1">
      <alignment horizontal="center" vertical="center" wrapText="1"/>
    </xf>
    <xf numFmtId="0" fontId="11" fillId="8" borderId="23" xfId="3" applyFont="1" applyFill="1" applyBorder="1" applyAlignment="1">
      <alignment horizontal="center" vertical="center" wrapText="1"/>
    </xf>
    <xf numFmtId="0" fontId="11" fillId="8" borderId="24" xfId="3" applyFont="1" applyFill="1" applyBorder="1" applyAlignment="1">
      <alignment horizontal="center" vertical="center" wrapText="1"/>
    </xf>
    <xf numFmtId="0" fontId="12" fillId="0" borderId="25" xfId="3" applyFont="1" applyBorder="1" applyAlignment="1">
      <alignment horizontal="center" vertical="center"/>
    </xf>
    <xf numFmtId="0" fontId="12" fillId="0" borderId="27" xfId="3" applyFont="1" applyBorder="1" applyAlignment="1">
      <alignment horizontal="center" vertical="center"/>
    </xf>
    <xf numFmtId="0" fontId="12" fillId="0" borderId="28" xfId="3" applyFont="1" applyBorder="1" applyAlignment="1">
      <alignment horizontal="center" vertical="center"/>
    </xf>
    <xf numFmtId="3" fontId="12" fillId="13" borderId="30" xfId="3" applyNumberFormat="1" applyFont="1" applyFill="1" applyBorder="1" applyAlignment="1">
      <alignment horizontal="center"/>
    </xf>
    <xf numFmtId="3" fontId="12" fillId="13" borderId="33" xfId="3" applyNumberFormat="1" applyFont="1" applyFill="1" applyBorder="1" applyAlignment="1">
      <alignment horizontal="center"/>
    </xf>
    <xf numFmtId="3" fontId="12" fillId="13" borderId="38" xfId="3" applyNumberFormat="1" applyFont="1" applyFill="1" applyBorder="1" applyAlignment="1">
      <alignment horizontal="center"/>
    </xf>
    <xf numFmtId="3" fontId="12" fillId="13" borderId="31" xfId="3" applyNumberFormat="1" applyFont="1" applyFill="1" applyBorder="1" applyAlignment="1">
      <alignment horizontal="center"/>
    </xf>
    <xf numFmtId="3" fontId="12" fillId="13" borderId="32" xfId="3" applyNumberFormat="1" applyFont="1" applyFill="1" applyBorder="1" applyAlignment="1">
      <alignment horizontal="center"/>
    </xf>
    <xf numFmtId="3" fontId="12" fillId="13" borderId="34" xfId="3" applyNumberFormat="1" applyFont="1" applyFill="1" applyBorder="1" applyAlignment="1">
      <alignment horizontal="center"/>
    </xf>
    <xf numFmtId="3" fontId="12" fillId="13" borderId="35" xfId="3" applyNumberFormat="1" applyFont="1" applyFill="1" applyBorder="1" applyAlignment="1">
      <alignment horizontal="center"/>
    </xf>
    <xf numFmtId="3" fontId="12" fillId="13" borderId="39" xfId="3" applyNumberFormat="1" applyFont="1" applyFill="1" applyBorder="1" applyAlignment="1">
      <alignment horizontal="center"/>
    </xf>
    <xf numFmtId="3" fontId="12" fillId="13" borderId="40" xfId="3" applyNumberFormat="1" applyFont="1" applyFill="1" applyBorder="1" applyAlignment="1">
      <alignment horizontal="center"/>
    </xf>
    <xf numFmtId="0" fontId="4" fillId="9" borderId="43" xfId="0" applyFont="1" applyFill="1" applyBorder="1" applyAlignment="1">
      <alignment horizontal="center"/>
    </xf>
    <xf numFmtId="0" fontId="4" fillId="9" borderId="57" xfId="0" applyFont="1" applyFill="1" applyBorder="1" applyAlignment="1">
      <alignment horizontal="center"/>
    </xf>
    <xf numFmtId="0" fontId="4" fillId="9" borderId="56" xfId="0" applyFont="1" applyFill="1" applyBorder="1" applyAlignment="1">
      <alignment horizontal="center"/>
    </xf>
    <xf numFmtId="0" fontId="4" fillId="9" borderId="44" xfId="0" applyFont="1" applyFill="1" applyBorder="1" applyAlignment="1">
      <alignment horizontal="center"/>
    </xf>
    <xf numFmtId="0" fontId="11" fillId="8" borderId="56" xfId="3" applyFont="1" applyFill="1" applyBorder="1" applyAlignment="1">
      <alignment horizontal="center" vertical="center" wrapText="1"/>
    </xf>
    <xf numFmtId="0" fontId="11" fillId="8" borderId="43" xfId="3" applyFont="1" applyFill="1" applyBorder="1" applyAlignment="1">
      <alignment horizontal="center" vertical="center" wrapText="1"/>
    </xf>
    <xf numFmtId="0" fontId="11" fillId="8" borderId="57" xfId="3" applyFont="1" applyFill="1" applyBorder="1" applyAlignment="1">
      <alignment horizontal="center" vertical="center" wrapText="1"/>
    </xf>
    <xf numFmtId="0" fontId="11" fillId="8" borderId="44" xfId="3" applyFont="1" applyFill="1" applyBorder="1" applyAlignment="1">
      <alignment horizontal="center" vertical="center" wrapText="1"/>
    </xf>
    <xf numFmtId="0" fontId="11" fillId="8" borderId="85" xfId="3" applyFont="1" applyFill="1" applyBorder="1" applyAlignment="1">
      <alignment horizontal="center" vertical="center" wrapText="1"/>
    </xf>
    <xf numFmtId="0" fontId="11" fillId="8" borderId="66" xfId="3" applyFont="1" applyFill="1" applyBorder="1" applyAlignment="1">
      <alignment horizontal="center" vertical="center" wrapText="1"/>
    </xf>
    <xf numFmtId="0" fontId="11" fillId="8" borderId="68" xfId="3" applyFont="1" applyFill="1" applyBorder="1" applyAlignment="1">
      <alignment horizontal="center" vertical="center" wrapText="1"/>
    </xf>
    <xf numFmtId="0" fontId="11" fillId="8" borderId="65" xfId="3" applyFont="1" applyFill="1" applyBorder="1" applyAlignment="1">
      <alignment horizontal="center" vertical="center" wrapText="1"/>
    </xf>
    <xf numFmtId="0" fontId="11" fillId="8" borderId="81" xfId="3" applyFont="1" applyFill="1" applyBorder="1" applyAlignment="1">
      <alignment horizontal="center" vertical="center" wrapText="1"/>
    </xf>
    <xf numFmtId="0" fontId="11" fillId="8" borderId="83" xfId="3" applyFont="1" applyFill="1" applyBorder="1" applyAlignment="1">
      <alignment horizontal="center" vertical="center" wrapText="1"/>
    </xf>
    <xf numFmtId="0" fontId="11" fillId="8" borderId="70" xfId="3" applyFont="1" applyFill="1" applyBorder="1" applyAlignment="1">
      <alignment horizontal="center" vertical="center" wrapText="1"/>
    </xf>
    <xf numFmtId="0" fontId="11" fillId="8" borderId="38" xfId="3" applyFont="1" applyFill="1" applyBorder="1" applyAlignment="1">
      <alignment horizontal="center" vertical="center" wrapText="1"/>
    </xf>
    <xf numFmtId="0" fontId="11" fillId="8" borderId="23" xfId="3" applyFont="1" applyFill="1" applyBorder="1" applyAlignment="1">
      <alignment horizontal="center" vertical="center"/>
    </xf>
    <xf numFmtId="0" fontId="11" fillId="8" borderId="3" xfId="3" applyFont="1" applyFill="1" applyBorder="1" applyAlignment="1">
      <alignment horizontal="center" vertical="center"/>
    </xf>
    <xf numFmtId="0" fontId="11" fillId="8" borderId="24" xfId="3" applyFont="1" applyFill="1" applyBorder="1" applyAlignment="1">
      <alignment horizontal="center" vertical="center"/>
    </xf>
  </cellXfs>
  <cellStyles count="12">
    <cellStyle name="Comma" xfId="1" builtinId="3"/>
    <cellStyle name="Comma 2" xfId="4"/>
    <cellStyle name="Comma 3" xfId="5"/>
    <cellStyle name="Comma0" xfId="6"/>
    <cellStyle name="Currency" xfId="11" builtinId="4"/>
    <cellStyle name="Currency0" xfId="7"/>
    <cellStyle name="Date" xfId="8"/>
    <cellStyle name="Fixed" xfId="9"/>
    <cellStyle name="Normal" xfId="0" builtinId="0"/>
    <cellStyle name="Normal 2" xfId="3"/>
    <cellStyle name="Note 2" xfId="1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54602800884022"/>
          <c:y val="5.1400554097404488E-2"/>
          <c:w val="0.8697749593712637"/>
          <c:h val="0.76084098862642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Chart!$C$6</c:f>
              <c:strCache>
                <c:ptCount val="1"/>
                <c:pt idx="0">
                  <c:v>Actual Purchases</c:v>
                </c:pt>
              </c:strCache>
            </c:strRef>
          </c:tx>
          <c:invertIfNegative val="0"/>
          <c:cat>
            <c:numRef>
              <c:f>Chart!$B$7:$B$18</c:f>
              <c:numCache>
                <c:formatCode>General</c:formatCode>
                <c:ptCount val="12"/>
                <c:pt idx="0" formatCode="0">
                  <c:v>2003</c:v>
                </c:pt>
                <c:pt idx="1">
                  <c:v>2004</c:v>
                </c:pt>
                <c:pt idx="2" formatCode="0">
                  <c:v>2005</c:v>
                </c:pt>
                <c:pt idx="3">
                  <c:v>2006</c:v>
                </c:pt>
                <c:pt idx="4" formatCode="0">
                  <c:v>2007</c:v>
                </c:pt>
                <c:pt idx="5">
                  <c:v>2008</c:v>
                </c:pt>
                <c:pt idx="6" formatCode="0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Chart!$C$7:$C$18</c:f>
              <c:numCache>
                <c:formatCode>#,##0</c:formatCode>
                <c:ptCount val="12"/>
                <c:pt idx="0">
                  <c:v>1232724170</c:v>
                </c:pt>
                <c:pt idx="1">
                  <c:v>1178441190</c:v>
                </c:pt>
                <c:pt idx="2">
                  <c:v>1174501350</c:v>
                </c:pt>
                <c:pt idx="3">
                  <c:v>1151360440</c:v>
                </c:pt>
                <c:pt idx="4">
                  <c:v>1191153590</c:v>
                </c:pt>
                <c:pt idx="5">
                  <c:v>1158881926</c:v>
                </c:pt>
                <c:pt idx="6">
                  <c:v>1128390784.5107694</c:v>
                </c:pt>
                <c:pt idx="7">
                  <c:v>1148489331.8146157</c:v>
                </c:pt>
                <c:pt idx="8">
                  <c:v>1148632387.3953846</c:v>
                </c:pt>
                <c:pt idx="9">
                  <c:v>1136211952.670979</c:v>
                </c:pt>
                <c:pt idx="10">
                  <c:v>1130407041.6666667</c:v>
                </c:pt>
                <c:pt idx="11">
                  <c:v>1134970142.7733078</c:v>
                </c:pt>
              </c:numCache>
            </c:numRef>
          </c:val>
        </c:ser>
        <c:ser>
          <c:idx val="1"/>
          <c:order val="1"/>
          <c:tx>
            <c:strRef>
              <c:f>Chart!$D$6</c:f>
              <c:strCache>
                <c:ptCount val="1"/>
                <c:pt idx="0">
                  <c:v>Predicted Purchases</c:v>
                </c:pt>
              </c:strCache>
            </c:strRef>
          </c:tx>
          <c:invertIfNegative val="0"/>
          <c:cat>
            <c:numRef>
              <c:f>Chart!$B$7:$B$18</c:f>
              <c:numCache>
                <c:formatCode>General</c:formatCode>
                <c:ptCount val="12"/>
                <c:pt idx="0" formatCode="0">
                  <c:v>2003</c:v>
                </c:pt>
                <c:pt idx="1">
                  <c:v>2004</c:v>
                </c:pt>
                <c:pt idx="2" formatCode="0">
                  <c:v>2005</c:v>
                </c:pt>
                <c:pt idx="3">
                  <c:v>2006</c:v>
                </c:pt>
                <c:pt idx="4" formatCode="0">
                  <c:v>2007</c:v>
                </c:pt>
                <c:pt idx="5">
                  <c:v>2008</c:v>
                </c:pt>
                <c:pt idx="6" formatCode="0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Chart!$D$7:$D$18</c:f>
              <c:numCache>
                <c:formatCode>#,##0</c:formatCode>
                <c:ptCount val="12"/>
                <c:pt idx="0">
                  <c:v>1208483234.4312544</c:v>
                </c:pt>
                <c:pt idx="1">
                  <c:v>1193278221.7053266</c:v>
                </c:pt>
                <c:pt idx="2">
                  <c:v>1203281045.2314129</c:v>
                </c:pt>
                <c:pt idx="3">
                  <c:v>1166568192.2886453</c:v>
                </c:pt>
                <c:pt idx="4">
                  <c:v>1142506607.2224176</c:v>
                </c:pt>
                <c:pt idx="5">
                  <c:v>1105605337.8738799</c:v>
                </c:pt>
                <c:pt idx="6">
                  <c:v>1123816338.2115908</c:v>
                </c:pt>
                <c:pt idx="7">
                  <c:v>1128203375.0065463</c:v>
                </c:pt>
                <c:pt idx="8">
                  <c:v>1162405206.2491772</c:v>
                </c:pt>
                <c:pt idx="9">
                  <c:v>1148412454.4669952</c:v>
                </c:pt>
                <c:pt idx="10">
                  <c:v>1162091422.8514135</c:v>
                </c:pt>
                <c:pt idx="11">
                  <c:v>1169512871.2930617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032256"/>
        <c:axId val="222033792"/>
      </c:barChart>
      <c:catAx>
        <c:axId val="22203225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1860000" vert="horz" anchor="t" anchorCtr="0"/>
          <a:lstStyle/>
          <a:p>
            <a:pPr>
              <a:defRPr b="1" i="1" baseline="0"/>
            </a:pPr>
            <a:endParaRPr lang="en-US"/>
          </a:p>
        </c:txPr>
        <c:crossAx val="222033792"/>
        <c:crosses val="autoZero"/>
        <c:auto val="1"/>
        <c:lblAlgn val="ctr"/>
        <c:lblOffset val="100"/>
        <c:noMultiLvlLbl val="0"/>
      </c:catAx>
      <c:valAx>
        <c:axId val="222033792"/>
        <c:scaling>
          <c:orientation val="minMax"/>
          <c:max val="1300000000"/>
          <c:min val="900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 i="1" baseline="0"/>
            </a:pPr>
            <a:endParaRPr lang="en-US"/>
          </a:p>
        </c:txPr>
        <c:crossAx val="22203225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6794457462915876E-2"/>
                <c:y val="0.34306724590460885"/>
              </c:manualLayout>
            </c:layout>
          </c:dispUnitsLbl>
        </c:dispUnits>
      </c:valAx>
    </c:plotArea>
    <c:legend>
      <c:legendPos val="r"/>
      <c:layout>
        <c:manualLayout>
          <c:xMode val="edge"/>
          <c:yMode val="edge"/>
          <c:x val="0.76700983604130601"/>
          <c:y val="0.1289265996922799"/>
          <c:w val="0.17051542041024939"/>
          <c:h val="0.12931124988686882"/>
        </c:manualLayout>
      </c:layout>
      <c:overlay val="0"/>
      <c:txPr>
        <a:bodyPr/>
        <a:lstStyle/>
        <a:p>
          <a:pPr>
            <a:defRPr sz="900" b="1" i="1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366" l="0.70000000000000062" r="0.70000000000000062" t="0.75000000000000366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0945625546806649"/>
          <c:y val="0.17823801870305053"/>
          <c:w val="0.8268622047244093"/>
          <c:h val="0.6811310099573733"/>
        </c:manualLayout>
      </c:layout>
      <c:lineChart>
        <c:grouping val="standard"/>
        <c:varyColors val="0"/>
        <c:ser>
          <c:idx val="0"/>
          <c:order val="0"/>
          <c:tx>
            <c:strRef>
              <c:f>Trends!$B$1</c:f>
              <c:strCache>
                <c:ptCount val="1"/>
                <c:pt idx="0">
                  <c:v>Heating</c:v>
                </c:pt>
              </c:strCache>
            </c:strRef>
          </c:tx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cat>
            <c:numRef>
              <c:f>Trends!$A$2:$A$18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Trends!$B$2:$B$18</c:f>
              <c:numCache>
                <c:formatCode>_-* #,##0_-;\-* #,##0_-;_-* "-"??_-;_-@_-</c:formatCode>
                <c:ptCount val="17"/>
                <c:pt idx="0">
                  <c:v>3992.7999999999993</c:v>
                </c:pt>
                <c:pt idx="1">
                  <c:v>3838.6999999999994</c:v>
                </c:pt>
                <c:pt idx="2">
                  <c:v>3770.6999999999994</c:v>
                </c:pt>
                <c:pt idx="3">
                  <c:v>3410.1999999999994</c:v>
                </c:pt>
                <c:pt idx="4">
                  <c:v>2890.1</c:v>
                </c:pt>
                <c:pt idx="5">
                  <c:v>2408.6999999999998</c:v>
                </c:pt>
                <c:pt idx="6">
                  <c:v>3612.7000000000003</c:v>
                </c:pt>
                <c:pt idx="7">
                  <c:v>3437.7</c:v>
                </c:pt>
                <c:pt idx="8">
                  <c:v>3649.0999999999995</c:v>
                </c:pt>
                <c:pt idx="9">
                  <c:v>3217.3999999999996</c:v>
                </c:pt>
                <c:pt idx="10">
                  <c:v>3579.1000000000004</c:v>
                </c:pt>
                <c:pt idx="11">
                  <c:v>3973.8999999999996</c:v>
                </c:pt>
                <c:pt idx="12">
                  <c:v>3427.7560606060615</c:v>
                </c:pt>
                <c:pt idx="13">
                  <c:v>3419.4480186480214</c:v>
                </c:pt>
                <c:pt idx="14">
                  <c:v>3411.1399766899776</c:v>
                </c:pt>
                <c:pt idx="15">
                  <c:v>3402.8319347319375</c:v>
                </c:pt>
                <c:pt idx="16">
                  <c:v>3394.5238927738937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38336"/>
        <c:axId val="243359744"/>
      </c:lineChart>
      <c:catAx>
        <c:axId val="2418383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2880000" vert="horz"/>
          <a:lstStyle/>
          <a:p>
            <a:pPr>
              <a:defRPr sz="900" baseline="0"/>
            </a:pPr>
            <a:endParaRPr lang="en-US"/>
          </a:p>
        </c:txPr>
        <c:crossAx val="243359744"/>
        <c:crosses val="autoZero"/>
        <c:auto val="1"/>
        <c:lblAlgn val="ctr"/>
        <c:lblOffset val="100"/>
        <c:noMultiLvlLbl val="0"/>
      </c:catAx>
      <c:valAx>
        <c:axId val="243359744"/>
        <c:scaling>
          <c:orientation val="minMax"/>
          <c:min val="2000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241838336"/>
        <c:crossesAt val="1"/>
        <c:crossBetween val="midCat"/>
        <c:majorUnit val="100"/>
      </c:valAx>
    </c:plotArea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7478817821569096E-2"/>
          <c:y val="0.18238525462242625"/>
          <c:w val="0.89444402337408357"/>
          <c:h val="0.65768056462373337"/>
        </c:manualLayout>
      </c:layout>
      <c:lineChart>
        <c:grouping val="standard"/>
        <c:varyColors val="0"/>
        <c:ser>
          <c:idx val="0"/>
          <c:order val="0"/>
          <c:tx>
            <c:strRef>
              <c:f>Trends!$C$1</c:f>
              <c:strCache>
                <c:ptCount val="1"/>
                <c:pt idx="0">
                  <c:v>Cooling</c:v>
                </c:pt>
              </c:strCache>
            </c:strRef>
          </c:tx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cat>
            <c:numRef>
              <c:f>Trends!$A$2:$A$18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Trends!$C$2:$C$18</c:f>
              <c:numCache>
                <c:formatCode>_-* #,##0_-;\-* #,##0_-;_-* "-"??_-;_-@_-</c:formatCode>
                <c:ptCount val="17"/>
                <c:pt idx="0">
                  <c:v>208.7</c:v>
                </c:pt>
                <c:pt idx="1">
                  <c:v>165.2</c:v>
                </c:pt>
                <c:pt idx="2">
                  <c:v>384.5</c:v>
                </c:pt>
                <c:pt idx="3">
                  <c:v>243.79999999999998</c:v>
                </c:pt>
                <c:pt idx="4">
                  <c:v>179</c:v>
                </c:pt>
                <c:pt idx="5">
                  <c:v>130</c:v>
                </c:pt>
                <c:pt idx="6">
                  <c:v>138.60000000000002</c:v>
                </c:pt>
                <c:pt idx="7">
                  <c:v>309.10000000000002</c:v>
                </c:pt>
                <c:pt idx="8">
                  <c:v>295.99999999999994</c:v>
                </c:pt>
                <c:pt idx="9">
                  <c:v>368.59999999999997</c:v>
                </c:pt>
                <c:pt idx="10">
                  <c:v>221.79999999999995</c:v>
                </c:pt>
                <c:pt idx="11">
                  <c:v>177</c:v>
                </c:pt>
                <c:pt idx="12">
                  <c:v>251.31212121212138</c:v>
                </c:pt>
                <c:pt idx="13">
                  <c:v>253.79219114219086</c:v>
                </c:pt>
                <c:pt idx="14">
                  <c:v>256.27226107226124</c:v>
                </c:pt>
                <c:pt idx="15">
                  <c:v>258.75233100233072</c:v>
                </c:pt>
                <c:pt idx="16">
                  <c:v>261.23240093240111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380608"/>
        <c:axId val="243382144"/>
      </c:lineChart>
      <c:catAx>
        <c:axId val="243380608"/>
        <c:scaling>
          <c:orientation val="minMax"/>
        </c:scaling>
        <c:delete val="0"/>
        <c:axPos val="b"/>
        <c:majorGridlines/>
        <c:numFmt formatCode="General" sourceLinked="1"/>
        <c:majorTickMark val="cross"/>
        <c:minorTickMark val="none"/>
        <c:tickLblPos val="nextTo"/>
        <c:txPr>
          <a:bodyPr rot="2880000" vert="horz"/>
          <a:lstStyle/>
          <a:p>
            <a:pPr>
              <a:defRPr sz="900" baseline="0"/>
            </a:pPr>
            <a:endParaRPr lang="en-US"/>
          </a:p>
        </c:txPr>
        <c:crossAx val="243382144"/>
        <c:crosses val="autoZero"/>
        <c:auto val="1"/>
        <c:lblAlgn val="ctr"/>
        <c:lblOffset val="100"/>
        <c:noMultiLvlLbl val="0"/>
      </c:catAx>
      <c:valAx>
        <c:axId val="24338214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243380608"/>
        <c:crosses val="autoZero"/>
        <c:crossBetween val="midCat"/>
        <c:majorUnit val="25"/>
      </c:valAx>
    </c:plotArea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1609492563429571"/>
          <c:y val="0.22750698845571132"/>
          <c:w val="0.84820866141732287"/>
          <c:h val="0.59298849838892087"/>
        </c:manualLayout>
      </c:layout>
      <c:lineChart>
        <c:grouping val="standard"/>
        <c:varyColors val="0"/>
        <c:ser>
          <c:idx val="0"/>
          <c:order val="0"/>
          <c:tx>
            <c:strRef>
              <c:f>Trends!$D$1</c:f>
              <c:strCache>
                <c:ptCount val="1"/>
                <c:pt idx="0">
                  <c:v>Connections</c:v>
                </c:pt>
              </c:strCache>
            </c:strRef>
          </c:tx>
          <c:trendline>
            <c:trendlineType val="linear"/>
            <c:dispRSqr val="0"/>
            <c:dispEq val="0"/>
          </c:trendline>
          <c:cat>
            <c:numRef>
              <c:f>Trends!$A$2:$A$18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Trends!$D$2:$D$18</c:f>
              <c:numCache>
                <c:formatCode>0.0%</c:formatCode>
                <c:ptCount val="17"/>
                <c:pt idx="0">
                  <c:v>1.0186171336798953</c:v>
                </c:pt>
                <c:pt idx="1">
                  <c:v>1.0132849095504697</c:v>
                </c:pt>
                <c:pt idx="2">
                  <c:v>1.015051804428704</c:v>
                </c:pt>
                <c:pt idx="3">
                  <c:v>1.0211022486140118</c:v>
                </c:pt>
                <c:pt idx="4">
                  <c:v>1.0219885826933344</c:v>
                </c:pt>
                <c:pt idx="5">
                  <c:v>1.0182202504380253</c:v>
                </c:pt>
                <c:pt idx="6">
                  <c:v>1.0123688718041819</c:v>
                </c:pt>
                <c:pt idx="7">
                  <c:v>1.0119448602794412</c:v>
                </c:pt>
                <c:pt idx="8">
                  <c:v>1.0097158442999352</c:v>
                </c:pt>
                <c:pt idx="9">
                  <c:v>1.0061427405016443</c:v>
                </c:pt>
                <c:pt idx="10">
                  <c:v>1.0099655679767015</c:v>
                </c:pt>
                <c:pt idx="11">
                  <c:v>1.0130586927790459</c:v>
                </c:pt>
                <c:pt idx="12">
                  <c:v>1.0144488980396373</c:v>
                </c:pt>
                <c:pt idx="13">
                  <c:v>1.0144735809810508</c:v>
                </c:pt>
                <c:pt idx="14">
                  <c:v>1.0144982639224644</c:v>
                </c:pt>
                <c:pt idx="15">
                  <c:v>1.0145229468638779</c:v>
                </c:pt>
                <c:pt idx="16">
                  <c:v>1.0145476298052916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451584"/>
        <c:axId val="244453376"/>
      </c:lineChart>
      <c:catAx>
        <c:axId val="24445158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2880000" vert="horz"/>
          <a:lstStyle/>
          <a:p>
            <a:pPr>
              <a:defRPr sz="900" baseline="0"/>
            </a:pPr>
            <a:endParaRPr lang="en-US"/>
          </a:p>
        </c:txPr>
        <c:crossAx val="244453376"/>
        <c:crosses val="autoZero"/>
        <c:auto val="1"/>
        <c:lblAlgn val="ctr"/>
        <c:lblOffset val="100"/>
        <c:noMultiLvlLbl val="0"/>
      </c:catAx>
      <c:valAx>
        <c:axId val="244453376"/>
        <c:scaling>
          <c:orientation val="minMax"/>
          <c:min val="0.98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244451584"/>
        <c:crosses val="autoZero"/>
        <c:crossBetween val="midCat"/>
        <c:majorUnit val="5.0000000000000114E-3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5</xdr:row>
      <xdr:rowOff>9525</xdr:rowOff>
    </xdr:from>
    <xdr:to>
      <xdr:col>17</xdr:col>
      <xdr:colOff>219075</xdr:colOff>
      <xdr:row>25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0.36812</cdr:x>
      <cdr:y>0.06322</cdr:y>
    </cdr:from>
    <cdr:to>
      <cdr:x>0.70945</cdr:x>
      <cdr:y>0.14943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86025" y="209550"/>
          <a:ext cx="23050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CA" sz="1000" b="1" i="1" u="sng">
              <a:latin typeface="Times New Roman" pitchFamily="18" charset="0"/>
              <a:cs typeface="Times New Roman" pitchFamily="18" charset="0"/>
            </a:rPr>
            <a:t>OPUCN Purchases</a:t>
          </a:r>
          <a:r>
            <a:rPr lang="en-CA" sz="1000" b="1" i="1" u="sng" baseline="0">
              <a:latin typeface="Times New Roman" pitchFamily="18" charset="0"/>
              <a:cs typeface="Times New Roman" pitchFamily="18" charset="0"/>
            </a:rPr>
            <a:t> </a:t>
          </a:r>
          <a:r>
            <a:rPr lang="en-CA" sz="1000" b="1" i="1" u="sng">
              <a:latin typeface="Times New Roman" pitchFamily="18" charset="0"/>
              <a:cs typeface="Times New Roman" pitchFamily="18" charset="0"/>
            </a:rPr>
            <a:t>(Millions of kWH)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3</xdr:row>
      <xdr:rowOff>38100</xdr:rowOff>
    </xdr:from>
    <xdr:to>
      <xdr:col>13</xdr:col>
      <xdr:colOff>466724</xdr:colOff>
      <xdr:row>21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66675</xdr:colOff>
      <xdr:row>3</xdr:row>
      <xdr:rowOff>47626</xdr:rowOff>
    </xdr:from>
    <xdr:to>
      <xdr:col>22</xdr:col>
      <xdr:colOff>476250</xdr:colOff>
      <xdr:row>21</xdr:row>
      <xdr:rowOff>123826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9524</xdr:colOff>
      <xdr:row>44</xdr:row>
      <xdr:rowOff>38100</xdr:rowOff>
    </xdr:from>
    <xdr:to>
      <xdr:col>13</xdr:col>
      <xdr:colOff>476249</xdr:colOff>
      <xdr:row>62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ost%20of%20Service%20Rate%20Application\Weather%20Normalization%20Regression%20Model%202003-2010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DC%20FTY%20-%20LF\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4:H84"/>
  <sheetViews>
    <sheetView showGridLines="0" tabSelected="1" workbookViewId="0">
      <selection activeCell="D23" sqref="D23"/>
    </sheetView>
  </sheetViews>
  <sheetFormatPr defaultRowHeight="12.75" x14ac:dyDescent="0.2"/>
  <cols>
    <col min="1" max="1" width="45" style="134" bestFit="1" customWidth="1"/>
    <col min="2" max="2" width="7.85546875" style="134" customWidth="1"/>
    <col min="3" max="3" width="19" style="134" customWidth="1"/>
    <col min="4" max="6" width="18.140625" style="134" customWidth="1"/>
    <col min="7" max="7" width="10.7109375" style="134" customWidth="1"/>
    <col min="8" max="8" width="10.5703125" style="134" customWidth="1"/>
    <col min="9" max="16384" width="9.140625" style="134"/>
  </cols>
  <sheetData>
    <row r="4" spans="1:6" x14ac:dyDescent="0.2">
      <c r="A4" s="134" t="s">
        <v>305</v>
      </c>
    </row>
    <row r="5" spans="1:6" ht="13.5" thickBot="1" x14ac:dyDescent="0.25"/>
    <row r="6" spans="1:6" x14ac:dyDescent="0.2">
      <c r="A6" s="480" t="s">
        <v>113</v>
      </c>
      <c r="B6" s="481"/>
      <c r="C6" s="156" t="s">
        <v>114</v>
      </c>
      <c r="D6" s="156" t="s">
        <v>115</v>
      </c>
      <c r="E6" s="482" t="s">
        <v>41</v>
      </c>
      <c r="F6" s="483"/>
    </row>
    <row r="7" spans="1:6" x14ac:dyDescent="0.2">
      <c r="A7" s="484" t="s">
        <v>116</v>
      </c>
      <c r="B7" s="146">
        <v>2003</v>
      </c>
      <c r="C7" s="147">
        <f>+'Purchased Power Model '!B210</f>
        <v>1232724170</v>
      </c>
      <c r="D7" s="147">
        <f>+'Purchased Power Model '!Q210</f>
        <v>1208483234.4312544</v>
      </c>
      <c r="E7" s="147">
        <f t="shared" ref="E7:E17" si="0">+D7-C7</f>
        <v>-24240935.568745613</v>
      </c>
      <c r="F7" s="148">
        <f t="shared" ref="F7:F17" si="1">+E7/C7</f>
        <v>-1.9664525251213021E-2</v>
      </c>
    </row>
    <row r="8" spans="1:6" x14ac:dyDescent="0.2">
      <c r="A8" s="485"/>
      <c r="B8" s="149">
        <v>2004</v>
      </c>
      <c r="C8" s="147">
        <f>+'Purchased Power Model '!B211</f>
        <v>1178441190</v>
      </c>
      <c r="D8" s="147">
        <f>+'Purchased Power Model '!Q211</f>
        <v>1193278221.7053266</v>
      </c>
      <c r="E8" s="147">
        <f t="shared" si="0"/>
        <v>14837031.705326557</v>
      </c>
      <c r="F8" s="148">
        <f t="shared" si="1"/>
        <v>1.2590387904997242E-2</v>
      </c>
    </row>
    <row r="9" spans="1:6" x14ac:dyDescent="0.2">
      <c r="A9" s="485"/>
      <c r="B9" s="146">
        <v>2005</v>
      </c>
      <c r="C9" s="147">
        <f>+'Purchased Power Model '!B212</f>
        <v>1174501350</v>
      </c>
      <c r="D9" s="147">
        <f>+'Purchased Power Model '!Q212</f>
        <v>1203281045.2314129</v>
      </c>
      <c r="E9" s="147">
        <f t="shared" si="0"/>
        <v>28779695.231412888</v>
      </c>
      <c r="F9" s="148">
        <f t="shared" si="1"/>
        <v>2.4503756620980373E-2</v>
      </c>
    </row>
    <row r="10" spans="1:6" x14ac:dyDescent="0.2">
      <c r="A10" s="485"/>
      <c r="B10" s="149">
        <v>2006</v>
      </c>
      <c r="C10" s="147">
        <f>+'Purchased Power Model '!B213</f>
        <v>1151360440</v>
      </c>
      <c r="D10" s="147">
        <f>+'Purchased Power Model '!Q213</f>
        <v>1166568192.2886453</v>
      </c>
      <c r="E10" s="147">
        <f t="shared" si="0"/>
        <v>15207752.288645267</v>
      </c>
      <c r="F10" s="148">
        <f t="shared" si="1"/>
        <v>1.3208506876131046E-2</v>
      </c>
    </row>
    <row r="11" spans="1:6" x14ac:dyDescent="0.2">
      <c r="A11" s="485"/>
      <c r="B11" s="146">
        <v>2007</v>
      </c>
      <c r="C11" s="147">
        <f>+'Purchased Power Model '!B214</f>
        <v>1191153590</v>
      </c>
      <c r="D11" s="147">
        <f>+'Purchased Power Model '!Q214</f>
        <v>1142506607.2224176</v>
      </c>
      <c r="E11" s="147">
        <f t="shared" si="0"/>
        <v>-48646982.777582407</v>
      </c>
      <c r="F11" s="148">
        <f t="shared" si="1"/>
        <v>-4.0840226807008495E-2</v>
      </c>
    </row>
    <row r="12" spans="1:6" x14ac:dyDescent="0.2">
      <c r="A12" s="485"/>
      <c r="B12" s="149">
        <v>2008</v>
      </c>
      <c r="C12" s="147">
        <f>+'Purchased Power Model '!B215</f>
        <v>1158881926</v>
      </c>
      <c r="D12" s="147">
        <f>+'Purchased Power Model '!Q215</f>
        <v>1105605337.8738799</v>
      </c>
      <c r="E12" s="147">
        <f t="shared" si="0"/>
        <v>-53276588.12612009</v>
      </c>
      <c r="F12" s="148">
        <f t="shared" si="1"/>
        <v>-4.5972404030848686E-2</v>
      </c>
    </row>
    <row r="13" spans="1:6" x14ac:dyDescent="0.2">
      <c r="A13" s="485"/>
      <c r="B13" s="146">
        <v>2009</v>
      </c>
      <c r="C13" s="147">
        <f>+'Purchased Power Model '!B216</f>
        <v>1128390784.5107694</v>
      </c>
      <c r="D13" s="147">
        <f>+'Purchased Power Model '!Q216</f>
        <v>1123816338.2115908</v>
      </c>
      <c r="E13" s="147">
        <f t="shared" si="0"/>
        <v>-4574446.2991786003</v>
      </c>
      <c r="F13" s="148">
        <f t="shared" si="1"/>
        <v>-4.0539557411946783E-3</v>
      </c>
    </row>
    <row r="14" spans="1:6" x14ac:dyDescent="0.2">
      <c r="A14" s="485"/>
      <c r="B14" s="149">
        <v>2010</v>
      </c>
      <c r="C14" s="147">
        <f>+'Purchased Power Model '!B217</f>
        <v>1148489331.8146157</v>
      </c>
      <c r="D14" s="147">
        <f>+'Purchased Power Model '!Q217</f>
        <v>1128203375.0065463</v>
      </c>
      <c r="E14" s="147">
        <f t="shared" si="0"/>
        <v>-20285956.808069468</v>
      </c>
      <c r="F14" s="148">
        <f t="shared" si="1"/>
        <v>-1.7663165208524498E-2</v>
      </c>
    </row>
    <row r="15" spans="1:6" x14ac:dyDescent="0.2">
      <c r="A15" s="485"/>
      <c r="B15" s="149">
        <v>2011</v>
      </c>
      <c r="C15" s="147">
        <f>+'Purchased Power Model '!B218</f>
        <v>1148632387.3953846</v>
      </c>
      <c r="D15" s="147">
        <f>+'Purchased Power Model '!Q218</f>
        <v>1162405206.2491772</v>
      </c>
      <c r="E15" s="147">
        <f t="shared" si="0"/>
        <v>13772818.853792667</v>
      </c>
      <c r="F15" s="148">
        <f t="shared" si="1"/>
        <v>1.1990623810480942E-2</v>
      </c>
    </row>
    <row r="16" spans="1:6" x14ac:dyDescent="0.2">
      <c r="A16" s="485"/>
      <c r="B16" s="149">
        <v>2012</v>
      </c>
      <c r="C16" s="147">
        <f>+'Purchased Power Model '!B219</f>
        <v>1136211952.670979</v>
      </c>
      <c r="D16" s="147">
        <f>+'Purchased Power Model '!Q219</f>
        <v>1148412454.4669952</v>
      </c>
      <c r="E16" s="147">
        <f t="shared" si="0"/>
        <v>12200501.796016216</v>
      </c>
      <c r="F16" s="148">
        <f t="shared" si="1"/>
        <v>1.0737874889747092E-2</v>
      </c>
    </row>
    <row r="17" spans="1:8" x14ac:dyDescent="0.2">
      <c r="A17" s="486"/>
      <c r="B17" s="149">
        <v>2013</v>
      </c>
      <c r="C17" s="147">
        <f>+'Purchased Power Model '!B220</f>
        <v>1130407041.6666667</v>
      </c>
      <c r="D17" s="147">
        <f ca="1">+'Purchased Power Model '!Q220</f>
        <v>1162091422.8514135</v>
      </c>
      <c r="E17" s="147">
        <f t="shared" ca="1" si="0"/>
        <v>31684381.184746742</v>
      </c>
      <c r="F17" s="148">
        <f t="shared" ca="1" si="1"/>
        <v>2.8029178885891796E-2</v>
      </c>
    </row>
    <row r="18" spans="1:8" x14ac:dyDescent="0.2">
      <c r="A18" s="150" t="s">
        <v>213</v>
      </c>
      <c r="B18" s="149">
        <v>2014</v>
      </c>
      <c r="C18" s="147">
        <f>+'Purchased Power Model '!B221</f>
        <v>1134970142.7733078</v>
      </c>
      <c r="D18" s="147">
        <f>+'Purchased Power Model '!Q221</f>
        <v>1169512871.2930617</v>
      </c>
      <c r="E18" s="147">
        <f t="shared" ref="E18" si="2">+D18-C18</f>
        <v>34542728.519753933</v>
      </c>
      <c r="F18" s="148">
        <f t="shared" ref="F18" si="3">+E18/C18</f>
        <v>3.0434922662677739E-2</v>
      </c>
    </row>
    <row r="19" spans="1:8" x14ac:dyDescent="0.2">
      <c r="A19" s="150" t="s">
        <v>214</v>
      </c>
      <c r="B19" s="149">
        <v>2015</v>
      </c>
      <c r="C19" s="487"/>
      <c r="D19" s="147">
        <f ca="1">+'Purchased Power Model '!Q222</f>
        <v>1170789222.604636</v>
      </c>
      <c r="E19" s="490"/>
      <c r="F19" s="491"/>
    </row>
    <row r="20" spans="1:8" x14ac:dyDescent="0.2">
      <c r="A20" s="150" t="s">
        <v>215</v>
      </c>
      <c r="B20" s="149">
        <v>2016</v>
      </c>
      <c r="C20" s="488"/>
      <c r="D20" s="147">
        <f ca="1">+'Purchased Power Model '!Q223</f>
        <v>1186826722.6269789</v>
      </c>
      <c r="E20" s="492"/>
      <c r="F20" s="493"/>
    </row>
    <row r="21" spans="1:8" x14ac:dyDescent="0.2">
      <c r="A21" s="150" t="s">
        <v>216</v>
      </c>
      <c r="B21" s="149">
        <v>2017</v>
      </c>
      <c r="C21" s="488"/>
      <c r="D21" s="147">
        <f ca="1">+'Purchased Power Model '!Q224</f>
        <v>1201655752.4623165</v>
      </c>
      <c r="E21" s="492"/>
      <c r="F21" s="493"/>
    </row>
    <row r="22" spans="1:8" x14ac:dyDescent="0.2">
      <c r="A22" s="150" t="s">
        <v>217</v>
      </c>
      <c r="B22" s="149">
        <v>2018</v>
      </c>
      <c r="C22" s="488"/>
      <c r="D22" s="147">
        <f ca="1">+'Purchased Power Model '!Q225</f>
        <v>1217915398.7826724</v>
      </c>
      <c r="E22" s="492"/>
      <c r="F22" s="493"/>
    </row>
    <row r="23" spans="1:8" ht="13.5" thickBot="1" x14ac:dyDescent="0.25">
      <c r="A23" s="151" t="s">
        <v>218</v>
      </c>
      <c r="B23" s="152">
        <v>2019</v>
      </c>
      <c r="C23" s="489"/>
      <c r="D23" s="153">
        <f ca="1">+'Purchased Power Model '!Q226</f>
        <v>1226740333.9186592</v>
      </c>
      <c r="E23" s="494"/>
      <c r="F23" s="495"/>
    </row>
    <row r="24" spans="1:8" ht="13.5" thickBot="1" x14ac:dyDescent="0.25">
      <c r="B24" s="154"/>
      <c r="C24" s="155"/>
      <c r="D24" s="155"/>
      <c r="E24" s="155"/>
      <c r="F24" s="155"/>
      <c r="G24" s="154"/>
      <c r="H24" s="154"/>
    </row>
    <row r="25" spans="1:8" ht="24" x14ac:dyDescent="0.2">
      <c r="A25" s="480" t="s">
        <v>113</v>
      </c>
      <c r="B25" s="481"/>
      <c r="C25" s="210" t="s">
        <v>114</v>
      </c>
      <c r="D25" s="210" t="s">
        <v>220</v>
      </c>
      <c r="E25" s="211" t="s">
        <v>219</v>
      </c>
      <c r="F25" s="238" t="s">
        <v>221</v>
      </c>
      <c r="G25"/>
      <c r="H25"/>
    </row>
    <row r="26" spans="1:8" x14ac:dyDescent="0.2">
      <c r="A26" s="484" t="s">
        <v>116</v>
      </c>
      <c r="B26" s="146">
        <v>2003</v>
      </c>
      <c r="C26" s="147">
        <f>+C7</f>
        <v>1232724170</v>
      </c>
      <c r="D26" s="147">
        <f t="shared" ref="D26:D42" si="4">+D7</f>
        <v>1208483234.4312544</v>
      </c>
      <c r="E26" s="147">
        <f>+'10 Year Average'!Q210</f>
        <v>1208483234.4312544</v>
      </c>
      <c r="F26" s="239">
        <f>+'20 Year Trend'!Q210</f>
        <v>1208483234.4312544</v>
      </c>
      <c r="G26"/>
      <c r="H26"/>
    </row>
    <row r="27" spans="1:8" x14ac:dyDescent="0.2">
      <c r="A27" s="485"/>
      <c r="B27" s="149">
        <v>2004</v>
      </c>
      <c r="C27" s="147">
        <f t="shared" ref="C27:C37" si="5">+C8</f>
        <v>1178441190</v>
      </c>
      <c r="D27" s="147">
        <f t="shared" si="4"/>
        <v>1193278221.7053266</v>
      </c>
      <c r="E27" s="147">
        <f>+'10 Year Average'!Q211</f>
        <v>1193278221.7053266</v>
      </c>
      <c r="F27" s="239">
        <f>+'20 Year Trend'!Q211</f>
        <v>1193278221.7053266</v>
      </c>
      <c r="G27"/>
      <c r="H27"/>
    </row>
    <row r="28" spans="1:8" x14ac:dyDescent="0.2">
      <c r="A28" s="485"/>
      <c r="B28" s="146">
        <v>2005</v>
      </c>
      <c r="C28" s="147">
        <f t="shared" si="5"/>
        <v>1174501350</v>
      </c>
      <c r="D28" s="147">
        <f t="shared" si="4"/>
        <v>1203281045.2314129</v>
      </c>
      <c r="E28" s="147">
        <f>+'10 Year Average'!Q212</f>
        <v>1203281045.2314129</v>
      </c>
      <c r="F28" s="239">
        <f>+'20 Year Trend'!Q212</f>
        <v>1203281045.2314129</v>
      </c>
      <c r="G28"/>
      <c r="H28"/>
    </row>
    <row r="29" spans="1:8" x14ac:dyDescent="0.2">
      <c r="A29" s="485"/>
      <c r="B29" s="149">
        <v>2006</v>
      </c>
      <c r="C29" s="147">
        <f t="shared" si="5"/>
        <v>1151360440</v>
      </c>
      <c r="D29" s="147">
        <f t="shared" si="4"/>
        <v>1166568192.2886453</v>
      </c>
      <c r="E29" s="147">
        <f>+'10 Year Average'!Q213</f>
        <v>1166568192.2886453</v>
      </c>
      <c r="F29" s="239">
        <f>+'20 Year Trend'!Q213</f>
        <v>1166568192.2886453</v>
      </c>
      <c r="G29"/>
      <c r="H29"/>
    </row>
    <row r="30" spans="1:8" x14ac:dyDescent="0.2">
      <c r="A30" s="485"/>
      <c r="B30" s="146">
        <v>2007</v>
      </c>
      <c r="C30" s="147">
        <f t="shared" si="5"/>
        <v>1191153590</v>
      </c>
      <c r="D30" s="147">
        <f t="shared" si="4"/>
        <v>1142506607.2224176</v>
      </c>
      <c r="E30" s="147">
        <f>+'10 Year Average'!Q214</f>
        <v>1142506607.2224176</v>
      </c>
      <c r="F30" s="239">
        <f>+'20 Year Trend'!Q214</f>
        <v>1142506607.2224176</v>
      </c>
      <c r="G30"/>
      <c r="H30"/>
    </row>
    <row r="31" spans="1:8" x14ac:dyDescent="0.2">
      <c r="A31" s="485"/>
      <c r="B31" s="149">
        <v>2008</v>
      </c>
      <c r="C31" s="147">
        <f t="shared" si="5"/>
        <v>1158881926</v>
      </c>
      <c r="D31" s="147">
        <f t="shared" si="4"/>
        <v>1105605337.8738799</v>
      </c>
      <c r="E31" s="147">
        <f>+'10 Year Average'!Q215</f>
        <v>1105605337.8738799</v>
      </c>
      <c r="F31" s="239">
        <f>+'20 Year Trend'!Q215</f>
        <v>1105605337.8738799</v>
      </c>
      <c r="G31"/>
      <c r="H31"/>
    </row>
    <row r="32" spans="1:8" x14ac:dyDescent="0.2">
      <c r="A32" s="485"/>
      <c r="B32" s="146">
        <v>2009</v>
      </c>
      <c r="C32" s="147">
        <f t="shared" si="5"/>
        <v>1128390784.5107694</v>
      </c>
      <c r="D32" s="147">
        <f t="shared" si="4"/>
        <v>1123816338.2115908</v>
      </c>
      <c r="E32" s="147">
        <f>+'10 Year Average'!Q216</f>
        <v>1123816338.2115908</v>
      </c>
      <c r="F32" s="239">
        <f>+'20 Year Trend'!Q216</f>
        <v>1123816338.2115908</v>
      </c>
      <c r="G32"/>
      <c r="H32"/>
    </row>
    <row r="33" spans="1:8" x14ac:dyDescent="0.2">
      <c r="A33" s="485"/>
      <c r="B33" s="149">
        <v>2010</v>
      </c>
      <c r="C33" s="147">
        <f t="shared" si="5"/>
        <v>1148489331.8146157</v>
      </c>
      <c r="D33" s="147">
        <f t="shared" si="4"/>
        <v>1128203375.0065463</v>
      </c>
      <c r="E33" s="147">
        <f>+'10 Year Average'!Q217</f>
        <v>1128203375.0065463</v>
      </c>
      <c r="F33" s="239">
        <f>+'20 Year Trend'!Q217</f>
        <v>1128203375.0065463</v>
      </c>
      <c r="G33"/>
      <c r="H33"/>
    </row>
    <row r="34" spans="1:8" x14ac:dyDescent="0.2">
      <c r="A34" s="485"/>
      <c r="B34" s="149">
        <v>2011</v>
      </c>
      <c r="C34" s="147">
        <f t="shared" si="5"/>
        <v>1148632387.3953846</v>
      </c>
      <c r="D34" s="147">
        <f t="shared" si="4"/>
        <v>1162405206.2491772</v>
      </c>
      <c r="E34" s="147">
        <f>+'10 Year Average'!Q218</f>
        <v>1162405206.2491772</v>
      </c>
      <c r="F34" s="239">
        <f>+'20 Year Trend'!Q218</f>
        <v>1162405206.2491772</v>
      </c>
      <c r="G34"/>
      <c r="H34"/>
    </row>
    <row r="35" spans="1:8" x14ac:dyDescent="0.2">
      <c r="A35" s="485"/>
      <c r="B35" s="149">
        <v>2012</v>
      </c>
      <c r="C35" s="147">
        <f t="shared" si="5"/>
        <v>1136211952.670979</v>
      </c>
      <c r="D35" s="147">
        <f t="shared" si="4"/>
        <v>1148412454.4669952</v>
      </c>
      <c r="E35" s="147">
        <f>+'10 Year Average'!Q219</f>
        <v>1148412454.4669952</v>
      </c>
      <c r="F35" s="239">
        <f>+'20 Year Trend'!Q219</f>
        <v>1148412454.4669952</v>
      </c>
      <c r="G35"/>
      <c r="H35"/>
    </row>
    <row r="36" spans="1:8" x14ac:dyDescent="0.2">
      <c r="A36" s="486"/>
      <c r="B36" s="149">
        <v>2013</v>
      </c>
      <c r="C36" s="147">
        <f t="shared" si="5"/>
        <v>1130407041.6666667</v>
      </c>
      <c r="D36" s="147">
        <f t="shared" ca="1" si="4"/>
        <v>1162091422.8514135</v>
      </c>
      <c r="E36" s="147">
        <f ca="1">+'10 Year Average'!Q220</f>
        <v>1162091422.8514135</v>
      </c>
      <c r="F36" s="239">
        <f ca="1">+'20 Year Trend'!Q220</f>
        <v>1162091422.8514135</v>
      </c>
      <c r="G36"/>
      <c r="H36"/>
    </row>
    <row r="37" spans="1:8" x14ac:dyDescent="0.2">
      <c r="A37" s="150" t="s">
        <v>213</v>
      </c>
      <c r="B37" s="149">
        <v>2014</v>
      </c>
      <c r="C37" s="147">
        <f t="shared" si="5"/>
        <v>1134970142.7733078</v>
      </c>
      <c r="D37" s="147">
        <f t="shared" si="4"/>
        <v>1169512871.2930617</v>
      </c>
      <c r="E37" s="147">
        <f>+'10 Year Average'!Q221</f>
        <v>1169512871.2930617</v>
      </c>
      <c r="F37" s="239">
        <f>+'20 Year Trend'!Q221</f>
        <v>1169512871.2930617</v>
      </c>
      <c r="G37"/>
      <c r="H37"/>
    </row>
    <row r="38" spans="1:8" x14ac:dyDescent="0.2">
      <c r="A38" s="150" t="s">
        <v>214</v>
      </c>
      <c r="B38" s="149">
        <v>2015</v>
      </c>
      <c r="C38" s="487"/>
      <c r="D38" s="147">
        <f t="shared" ca="1" si="4"/>
        <v>1170789222.604636</v>
      </c>
      <c r="E38" s="147">
        <f ca="1">+'10 Year Average'!Q222</f>
        <v>1179352653.1424644</v>
      </c>
      <c r="F38" s="239">
        <f ca="1">+'20 Year Trend'!Q222</f>
        <v>1168934935.3040068</v>
      </c>
      <c r="G38"/>
      <c r="H38"/>
    </row>
    <row r="39" spans="1:8" x14ac:dyDescent="0.2">
      <c r="A39" s="150" t="s">
        <v>215</v>
      </c>
      <c r="B39" s="149">
        <v>2016</v>
      </c>
      <c r="C39" s="488"/>
      <c r="D39" s="147">
        <f t="shared" ca="1" si="4"/>
        <v>1186826722.6269789</v>
      </c>
      <c r="E39" s="147">
        <f ca="1">+'10 Year Average'!Q223</f>
        <v>1197242217.6608162</v>
      </c>
      <c r="F39" s="239">
        <f ca="1">+'20 Year Trend'!Q223</f>
        <v>1186824499.8223584</v>
      </c>
      <c r="G39"/>
      <c r="H39"/>
    </row>
    <row r="40" spans="1:8" x14ac:dyDescent="0.2">
      <c r="A40" s="150" t="s">
        <v>216</v>
      </c>
      <c r="B40" s="149">
        <v>2017</v>
      </c>
      <c r="C40" s="488"/>
      <c r="D40" s="147">
        <f t="shared" ca="1" si="4"/>
        <v>1201655752.4623165</v>
      </c>
      <c r="E40" s="147">
        <f ca="1">+'10 Year Average'!Q224</f>
        <v>1213666646.3641269</v>
      </c>
      <c r="F40" s="239">
        <f ca="1">+'20 Year Trend'!Q224</f>
        <v>1203248928.5256693</v>
      </c>
      <c r="G40"/>
      <c r="H40"/>
    </row>
    <row r="41" spans="1:8" x14ac:dyDescent="0.2">
      <c r="A41" s="150" t="s">
        <v>217</v>
      </c>
      <c r="B41" s="149">
        <v>2018</v>
      </c>
      <c r="C41" s="488"/>
      <c r="D41" s="147">
        <f t="shared" ca="1" si="4"/>
        <v>1217915398.7826724</v>
      </c>
      <c r="E41" s="147">
        <f ca="1">+'10 Year Average'!Q225</f>
        <v>1231718015.80163</v>
      </c>
      <c r="F41" s="239">
        <f ca="1">+'20 Year Trend'!Q225</f>
        <v>1221300297.9631724</v>
      </c>
      <c r="G41"/>
      <c r="H41"/>
    </row>
    <row r="42" spans="1:8" ht="13.5" thickBot="1" x14ac:dyDescent="0.25">
      <c r="A42" s="151" t="s">
        <v>218</v>
      </c>
      <c r="B42" s="152">
        <v>2019</v>
      </c>
      <c r="C42" s="489"/>
      <c r="D42" s="153">
        <f t="shared" ca="1" si="4"/>
        <v>1226740333.9186592</v>
      </c>
      <c r="E42" s="153">
        <f ca="1">+'10 Year Average'!Q226</f>
        <v>1242718095.457262</v>
      </c>
      <c r="F42" s="240">
        <f ca="1">+'20 Year Trend'!Q226</f>
        <v>1232300377.6188045</v>
      </c>
      <c r="G42"/>
      <c r="H42"/>
    </row>
    <row r="43" spans="1:8" x14ac:dyDescent="0.2">
      <c r="A43" s="428"/>
      <c r="B43" s="428"/>
      <c r="C43"/>
      <c r="D43" s="429"/>
      <c r="E43" s="429"/>
      <c r="F43" s="429"/>
      <c r="G43"/>
      <c r="H43"/>
    </row>
    <row r="44" spans="1:8" x14ac:dyDescent="0.2">
      <c r="A44" s="428"/>
      <c r="B44" s="428"/>
      <c r="C44"/>
      <c r="D44" s="429"/>
      <c r="E44" s="429"/>
      <c r="F44" s="429"/>
      <c r="G44"/>
      <c r="H44"/>
    </row>
    <row r="45" spans="1:8" x14ac:dyDescent="0.2">
      <c r="A45" s="428"/>
      <c r="B45" s="428"/>
      <c r="C45"/>
      <c r="D45" s="429"/>
      <c r="E45" s="429"/>
      <c r="F45" s="429"/>
      <c r="G45"/>
      <c r="H45"/>
    </row>
    <row r="46" spans="1:8" x14ac:dyDescent="0.2">
      <c r="A46" s="428" t="s">
        <v>306</v>
      </c>
      <c r="B46" s="428"/>
      <c r="C46"/>
      <c r="D46" s="429"/>
      <c r="E46" s="429"/>
      <c r="F46" s="429"/>
      <c r="G46"/>
      <c r="H46"/>
    </row>
    <row r="47" spans="1:8" ht="13.5" thickBot="1" x14ac:dyDescent="0.25"/>
    <row r="48" spans="1:8" x14ac:dyDescent="0.2">
      <c r="A48" s="480" t="s">
        <v>113</v>
      </c>
      <c r="B48" s="481"/>
      <c r="C48" s="371" t="s">
        <v>114</v>
      </c>
      <c r="D48" s="371" t="s">
        <v>115</v>
      </c>
      <c r="E48" s="482" t="s">
        <v>41</v>
      </c>
      <c r="F48" s="483"/>
    </row>
    <row r="49" spans="1:6" x14ac:dyDescent="0.2">
      <c r="A49" s="484" t="s">
        <v>116</v>
      </c>
      <c r="B49" s="146">
        <v>2003</v>
      </c>
      <c r="C49" s="147">
        <f>+'Purchased Power Model '!B210</f>
        <v>1232724170</v>
      </c>
      <c r="D49" s="147">
        <f>+'Purchased Power Model '!O210</f>
        <v>1208483234.4312544</v>
      </c>
      <c r="E49" s="147">
        <f t="shared" ref="E49:E59" si="6">+D49-C49</f>
        <v>-24240935.568745613</v>
      </c>
      <c r="F49" s="148">
        <f t="shared" ref="F49:F59" si="7">+E49/C49</f>
        <v>-1.9664525251213021E-2</v>
      </c>
    </row>
    <row r="50" spans="1:6" x14ac:dyDescent="0.2">
      <c r="A50" s="485"/>
      <c r="B50" s="149">
        <v>2004</v>
      </c>
      <c r="C50" s="147">
        <f>+'Purchased Power Model '!B211</f>
        <v>1178441190</v>
      </c>
      <c r="D50" s="147">
        <f>+'Purchased Power Model '!O211</f>
        <v>1193278221.7053266</v>
      </c>
      <c r="E50" s="147">
        <f t="shared" si="6"/>
        <v>14837031.705326557</v>
      </c>
      <c r="F50" s="148">
        <f t="shared" si="7"/>
        <v>1.2590387904997242E-2</v>
      </c>
    </row>
    <row r="51" spans="1:6" x14ac:dyDescent="0.2">
      <c r="A51" s="485"/>
      <c r="B51" s="146">
        <v>2005</v>
      </c>
      <c r="C51" s="147">
        <f>+'Purchased Power Model '!B212</f>
        <v>1174501350</v>
      </c>
      <c r="D51" s="147">
        <f>+'Purchased Power Model '!O212</f>
        <v>1203281045.2314129</v>
      </c>
      <c r="E51" s="147">
        <f t="shared" si="6"/>
        <v>28779695.231412888</v>
      </c>
      <c r="F51" s="148">
        <f t="shared" si="7"/>
        <v>2.4503756620980373E-2</v>
      </c>
    </row>
    <row r="52" spans="1:6" x14ac:dyDescent="0.2">
      <c r="A52" s="485"/>
      <c r="B52" s="149">
        <v>2006</v>
      </c>
      <c r="C52" s="147">
        <f>+'Purchased Power Model '!B213</f>
        <v>1151360440</v>
      </c>
      <c r="D52" s="147">
        <f>+'Purchased Power Model '!O213</f>
        <v>1166568192.2886453</v>
      </c>
      <c r="E52" s="147">
        <f t="shared" si="6"/>
        <v>15207752.288645267</v>
      </c>
      <c r="F52" s="148">
        <f t="shared" si="7"/>
        <v>1.3208506876131046E-2</v>
      </c>
    </row>
    <row r="53" spans="1:6" x14ac:dyDescent="0.2">
      <c r="A53" s="485"/>
      <c r="B53" s="146">
        <v>2007</v>
      </c>
      <c r="C53" s="147">
        <f>+'Purchased Power Model '!B214</f>
        <v>1191153590</v>
      </c>
      <c r="D53" s="147">
        <f>+'Purchased Power Model '!O214</f>
        <v>1142506607.2224176</v>
      </c>
      <c r="E53" s="147">
        <f t="shared" si="6"/>
        <v>-48646982.777582407</v>
      </c>
      <c r="F53" s="148">
        <f t="shared" si="7"/>
        <v>-4.0840226807008495E-2</v>
      </c>
    </row>
    <row r="54" spans="1:6" x14ac:dyDescent="0.2">
      <c r="A54" s="485"/>
      <c r="B54" s="149">
        <v>2008</v>
      </c>
      <c r="C54" s="147">
        <f>+'Purchased Power Model '!B215</f>
        <v>1158881926</v>
      </c>
      <c r="D54" s="147">
        <f>+'Purchased Power Model '!O215</f>
        <v>1105605337.8738799</v>
      </c>
      <c r="E54" s="147">
        <f t="shared" si="6"/>
        <v>-53276588.12612009</v>
      </c>
      <c r="F54" s="148">
        <f t="shared" si="7"/>
        <v>-4.5972404030848686E-2</v>
      </c>
    </row>
    <row r="55" spans="1:6" x14ac:dyDescent="0.2">
      <c r="A55" s="485"/>
      <c r="B55" s="146">
        <v>2009</v>
      </c>
      <c r="C55" s="147">
        <f>+'Purchased Power Model '!B216</f>
        <v>1128390784.5107694</v>
      </c>
      <c r="D55" s="147">
        <f>+'Purchased Power Model '!O216</f>
        <v>1123816338.2115908</v>
      </c>
      <c r="E55" s="147">
        <f t="shared" si="6"/>
        <v>-4574446.2991786003</v>
      </c>
      <c r="F55" s="148">
        <f t="shared" si="7"/>
        <v>-4.0539557411946783E-3</v>
      </c>
    </row>
    <row r="56" spans="1:6" x14ac:dyDescent="0.2">
      <c r="A56" s="485"/>
      <c r="B56" s="149">
        <v>2010</v>
      </c>
      <c r="C56" s="147">
        <f>+'Purchased Power Model '!B217</f>
        <v>1148489331.8146157</v>
      </c>
      <c r="D56" s="147">
        <f>+'Purchased Power Model '!O217</f>
        <v>1128203375.0065463</v>
      </c>
      <c r="E56" s="147">
        <f t="shared" si="6"/>
        <v>-20285956.808069468</v>
      </c>
      <c r="F56" s="148">
        <f t="shared" si="7"/>
        <v>-1.7663165208524498E-2</v>
      </c>
    </row>
    <row r="57" spans="1:6" x14ac:dyDescent="0.2">
      <c r="A57" s="485"/>
      <c r="B57" s="149">
        <v>2011</v>
      </c>
      <c r="C57" s="147">
        <f>+'Purchased Power Model '!B218</f>
        <v>1148632387.3953846</v>
      </c>
      <c r="D57" s="147">
        <f>+'Purchased Power Model '!O218</f>
        <v>1162405206.2491772</v>
      </c>
      <c r="E57" s="147">
        <f t="shared" si="6"/>
        <v>13772818.853792667</v>
      </c>
      <c r="F57" s="148">
        <f t="shared" si="7"/>
        <v>1.1990623810480942E-2</v>
      </c>
    </row>
    <row r="58" spans="1:6" x14ac:dyDescent="0.2">
      <c r="A58" s="485"/>
      <c r="B58" s="149">
        <v>2012</v>
      </c>
      <c r="C58" s="147">
        <f>+'Purchased Power Model '!B219</f>
        <v>1136211952.670979</v>
      </c>
      <c r="D58" s="147">
        <f>+'Purchased Power Model '!O219</f>
        <v>1148412454.4669952</v>
      </c>
      <c r="E58" s="147">
        <f t="shared" si="6"/>
        <v>12200501.796016216</v>
      </c>
      <c r="F58" s="148">
        <f t="shared" si="7"/>
        <v>1.0737874889747092E-2</v>
      </c>
    </row>
    <row r="59" spans="1:6" x14ac:dyDescent="0.2">
      <c r="A59" s="486"/>
      <c r="B59" s="149">
        <v>2013</v>
      </c>
      <c r="C59" s="147">
        <f>+'Purchased Power Model '!B220</f>
        <v>1130407041.6666667</v>
      </c>
      <c r="D59" s="147">
        <f ca="1">+'Purchased Power Model '!O220</f>
        <v>1162091422.8514135</v>
      </c>
      <c r="E59" s="147">
        <f t="shared" ca="1" si="6"/>
        <v>31684381.184746742</v>
      </c>
      <c r="F59" s="148">
        <f t="shared" ca="1" si="7"/>
        <v>2.8029178885891796E-2</v>
      </c>
    </row>
    <row r="60" spans="1:6" x14ac:dyDescent="0.2">
      <c r="A60" s="150" t="s">
        <v>213</v>
      </c>
      <c r="B60" s="149">
        <v>2014</v>
      </c>
      <c r="C60" s="147">
        <f>+'Purchased Power Model '!B221</f>
        <v>1134970142.7733078</v>
      </c>
      <c r="D60" s="147">
        <f>+'Purchased Power Model '!O221</f>
        <v>1169512871.2930617</v>
      </c>
      <c r="E60" s="147">
        <f t="shared" ref="E60" si="8">+D60-C60</f>
        <v>34542728.519753933</v>
      </c>
      <c r="F60" s="148">
        <f t="shared" ref="F60" si="9">+E60/C60</f>
        <v>3.0434922662677739E-2</v>
      </c>
    </row>
    <row r="61" spans="1:6" x14ac:dyDescent="0.2">
      <c r="A61" s="150" t="s">
        <v>214</v>
      </c>
      <c r="B61" s="149">
        <v>2015</v>
      </c>
      <c r="C61" s="487"/>
      <c r="D61" s="147">
        <f ca="1">+'Purchased Power Model '!O222</f>
        <v>1145908741.4111073</v>
      </c>
      <c r="E61" s="490"/>
      <c r="F61" s="491"/>
    </row>
    <row r="62" spans="1:6" x14ac:dyDescent="0.2">
      <c r="A62" s="150" t="s">
        <v>215</v>
      </c>
      <c r="B62" s="149">
        <v>2016</v>
      </c>
      <c r="C62" s="488"/>
      <c r="D62" s="147">
        <f ca="1">+'Purchased Power Model '!O223</f>
        <v>1135738105.3145616</v>
      </c>
      <c r="E62" s="492"/>
      <c r="F62" s="493"/>
    </row>
    <row r="63" spans="1:6" x14ac:dyDescent="0.2">
      <c r="A63" s="150" t="s">
        <v>216</v>
      </c>
      <c r="B63" s="149">
        <v>2017</v>
      </c>
      <c r="C63" s="488"/>
      <c r="D63" s="147">
        <f ca="1">+'Purchased Power Model '!O224</f>
        <v>1124907789.4186153</v>
      </c>
      <c r="E63" s="492"/>
      <c r="F63" s="493"/>
    </row>
    <row r="64" spans="1:6" x14ac:dyDescent="0.2">
      <c r="A64" s="150" t="s">
        <v>217</v>
      </c>
      <c r="B64" s="149">
        <v>2018</v>
      </c>
      <c r="C64" s="488"/>
      <c r="D64" s="147">
        <f ca="1">+'Purchased Power Model '!O225</f>
        <v>1114114211.4837828</v>
      </c>
      <c r="E64" s="492"/>
      <c r="F64" s="493"/>
    </row>
    <row r="65" spans="1:6" ht="13.5" thickBot="1" x14ac:dyDescent="0.25">
      <c r="A65" s="151" t="s">
        <v>218</v>
      </c>
      <c r="B65" s="152">
        <v>2019</v>
      </c>
      <c r="C65" s="489"/>
      <c r="D65" s="153">
        <f ca="1">+'Purchased Power Model '!O226</f>
        <v>1095476843.2434063</v>
      </c>
      <c r="E65" s="494"/>
      <c r="F65" s="495"/>
    </row>
    <row r="66" spans="1:6" ht="13.5" thickBot="1" x14ac:dyDescent="0.25">
      <c r="B66" s="154"/>
      <c r="C66" s="155"/>
      <c r="D66" s="155"/>
      <c r="E66" s="155"/>
      <c r="F66" s="155"/>
    </row>
    <row r="67" spans="1:6" ht="24" x14ac:dyDescent="0.2">
      <c r="A67" s="480" t="s">
        <v>113</v>
      </c>
      <c r="B67" s="481"/>
      <c r="C67" s="371" t="s">
        <v>114</v>
      </c>
      <c r="D67" s="371" t="s">
        <v>220</v>
      </c>
      <c r="E67" s="372" t="s">
        <v>219</v>
      </c>
      <c r="F67" s="238" t="s">
        <v>221</v>
      </c>
    </row>
    <row r="68" spans="1:6" x14ac:dyDescent="0.2">
      <c r="A68" s="484" t="s">
        <v>116</v>
      </c>
      <c r="B68" s="146">
        <v>2003</v>
      </c>
      <c r="C68" s="147">
        <f>+C49</f>
        <v>1232724170</v>
      </c>
      <c r="D68" s="147">
        <f t="shared" ref="D68:D84" si="10">+D49</f>
        <v>1208483234.4312544</v>
      </c>
      <c r="E68" s="147">
        <f>+'10 Year Average'!O210</f>
        <v>1208483234.4312544</v>
      </c>
      <c r="F68" s="239">
        <f>+'20 Year Trend'!O210</f>
        <v>1208483234.4312544</v>
      </c>
    </row>
    <row r="69" spans="1:6" x14ac:dyDescent="0.2">
      <c r="A69" s="485"/>
      <c r="B69" s="149">
        <v>2004</v>
      </c>
      <c r="C69" s="147">
        <f t="shared" ref="C69:C79" si="11">+C50</f>
        <v>1178441190</v>
      </c>
      <c r="D69" s="147">
        <f t="shared" si="10"/>
        <v>1193278221.7053266</v>
      </c>
      <c r="E69" s="147">
        <f>+'10 Year Average'!O211</f>
        <v>1193278221.7053266</v>
      </c>
      <c r="F69" s="239">
        <f>+'20 Year Trend'!O211</f>
        <v>1193278221.7053266</v>
      </c>
    </row>
    <row r="70" spans="1:6" x14ac:dyDescent="0.2">
      <c r="A70" s="485"/>
      <c r="B70" s="146">
        <v>2005</v>
      </c>
      <c r="C70" s="147">
        <f t="shared" si="11"/>
        <v>1174501350</v>
      </c>
      <c r="D70" s="147">
        <f t="shared" si="10"/>
        <v>1203281045.2314129</v>
      </c>
      <c r="E70" s="147">
        <f>+'10 Year Average'!O212</f>
        <v>1203281045.2314129</v>
      </c>
      <c r="F70" s="239">
        <f>+'20 Year Trend'!O212</f>
        <v>1203281045.2314129</v>
      </c>
    </row>
    <row r="71" spans="1:6" x14ac:dyDescent="0.2">
      <c r="A71" s="485"/>
      <c r="B71" s="149">
        <v>2006</v>
      </c>
      <c r="C71" s="147">
        <f t="shared" si="11"/>
        <v>1151360440</v>
      </c>
      <c r="D71" s="147">
        <f t="shared" si="10"/>
        <v>1166568192.2886453</v>
      </c>
      <c r="E71" s="147">
        <f>+'10 Year Average'!O213</f>
        <v>1166568192.2886453</v>
      </c>
      <c r="F71" s="239">
        <f>+'20 Year Trend'!O213</f>
        <v>1166568192.2886453</v>
      </c>
    </row>
    <row r="72" spans="1:6" x14ac:dyDescent="0.2">
      <c r="A72" s="485"/>
      <c r="B72" s="146">
        <v>2007</v>
      </c>
      <c r="C72" s="147">
        <f t="shared" si="11"/>
        <v>1191153590</v>
      </c>
      <c r="D72" s="147">
        <f t="shared" si="10"/>
        <v>1142506607.2224176</v>
      </c>
      <c r="E72" s="147">
        <f>+'10 Year Average'!O214</f>
        <v>1142506607.2224176</v>
      </c>
      <c r="F72" s="239">
        <f>+'20 Year Trend'!O214</f>
        <v>1142506607.2224176</v>
      </c>
    </row>
    <row r="73" spans="1:6" x14ac:dyDescent="0.2">
      <c r="A73" s="485"/>
      <c r="B73" s="149">
        <v>2008</v>
      </c>
      <c r="C73" s="147">
        <f t="shared" si="11"/>
        <v>1158881926</v>
      </c>
      <c r="D73" s="147">
        <f t="shared" si="10"/>
        <v>1105605337.8738799</v>
      </c>
      <c r="E73" s="147">
        <f>+'10 Year Average'!O215</f>
        <v>1105605337.8738799</v>
      </c>
      <c r="F73" s="239">
        <f>+'20 Year Trend'!O215</f>
        <v>1105605337.8738799</v>
      </c>
    </row>
    <row r="74" spans="1:6" x14ac:dyDescent="0.2">
      <c r="A74" s="485"/>
      <c r="B74" s="146">
        <v>2009</v>
      </c>
      <c r="C74" s="147">
        <f t="shared" si="11"/>
        <v>1128390784.5107694</v>
      </c>
      <c r="D74" s="147">
        <f t="shared" si="10"/>
        <v>1123816338.2115908</v>
      </c>
      <c r="E74" s="147">
        <f>+'10 Year Average'!O216</f>
        <v>1123816338.2115908</v>
      </c>
      <c r="F74" s="239">
        <f>+'20 Year Trend'!O216</f>
        <v>1123816338.2115908</v>
      </c>
    </row>
    <row r="75" spans="1:6" x14ac:dyDescent="0.2">
      <c r="A75" s="485"/>
      <c r="B75" s="149">
        <v>2010</v>
      </c>
      <c r="C75" s="147">
        <f t="shared" si="11"/>
        <v>1148489331.8146157</v>
      </c>
      <c r="D75" s="147">
        <f t="shared" si="10"/>
        <v>1128203375.0065463</v>
      </c>
      <c r="E75" s="147">
        <f>+'10 Year Average'!O217</f>
        <v>1128203375.0065463</v>
      </c>
      <c r="F75" s="239">
        <f>+'20 Year Trend'!O217</f>
        <v>1128203375.0065463</v>
      </c>
    </row>
    <row r="76" spans="1:6" x14ac:dyDescent="0.2">
      <c r="A76" s="485"/>
      <c r="B76" s="149">
        <v>2011</v>
      </c>
      <c r="C76" s="147">
        <f t="shared" si="11"/>
        <v>1148632387.3953846</v>
      </c>
      <c r="D76" s="147">
        <f t="shared" si="10"/>
        <v>1162405206.2491772</v>
      </c>
      <c r="E76" s="147">
        <f>+'10 Year Average'!O218</f>
        <v>1162405206.2491772</v>
      </c>
      <c r="F76" s="239">
        <f>+'20 Year Trend'!O218</f>
        <v>1162405206.2491772</v>
      </c>
    </row>
    <row r="77" spans="1:6" x14ac:dyDescent="0.2">
      <c r="A77" s="485"/>
      <c r="B77" s="149">
        <v>2012</v>
      </c>
      <c r="C77" s="147">
        <f t="shared" si="11"/>
        <v>1136211952.670979</v>
      </c>
      <c r="D77" s="147">
        <f t="shared" si="10"/>
        <v>1148412454.4669952</v>
      </c>
      <c r="E77" s="147">
        <f>+'10 Year Average'!O219</f>
        <v>1148412454.4669952</v>
      </c>
      <c r="F77" s="239">
        <f>+'20 Year Trend'!O219</f>
        <v>1148412454.4669952</v>
      </c>
    </row>
    <row r="78" spans="1:6" x14ac:dyDescent="0.2">
      <c r="A78" s="486"/>
      <c r="B78" s="149">
        <v>2013</v>
      </c>
      <c r="C78" s="147">
        <f t="shared" si="11"/>
        <v>1130407041.6666667</v>
      </c>
      <c r="D78" s="147">
        <f t="shared" ca="1" si="10"/>
        <v>1162091422.8514135</v>
      </c>
      <c r="E78" s="147">
        <f ca="1">+'10 Year Average'!O220</f>
        <v>1162091422.8514135</v>
      </c>
      <c r="F78" s="239">
        <f ca="1">+'20 Year Trend'!O220</f>
        <v>1162091422.8514135</v>
      </c>
    </row>
    <row r="79" spans="1:6" x14ac:dyDescent="0.2">
      <c r="A79" s="150" t="s">
        <v>213</v>
      </c>
      <c r="B79" s="149">
        <v>2014</v>
      </c>
      <c r="C79" s="147">
        <f t="shared" si="11"/>
        <v>1134970142.7733078</v>
      </c>
      <c r="D79" s="147">
        <f t="shared" si="10"/>
        <v>1169512871.2930617</v>
      </c>
      <c r="E79" s="147">
        <f>+'10 Year Average'!O221</f>
        <v>1169512871.2930617</v>
      </c>
      <c r="F79" s="239">
        <f>+'20 Year Trend'!O221</f>
        <v>1169512871.2930617</v>
      </c>
    </row>
    <row r="80" spans="1:6" x14ac:dyDescent="0.2">
      <c r="A80" s="150" t="s">
        <v>214</v>
      </c>
      <c r="B80" s="149">
        <v>2015</v>
      </c>
      <c r="C80" s="487"/>
      <c r="D80" s="147">
        <f t="shared" ca="1" si="10"/>
        <v>1145908741.4111073</v>
      </c>
      <c r="E80" s="147">
        <f ca="1">+'10 Year Average'!O222</f>
        <v>1153262980.5629303</v>
      </c>
      <c r="F80" s="239">
        <f ca="1">+'20 Year Trend'!O222</f>
        <v>1142845262.7244728</v>
      </c>
    </row>
    <row r="81" spans="1:6" x14ac:dyDescent="0.2">
      <c r="A81" s="150" t="s">
        <v>215</v>
      </c>
      <c r="B81" s="149">
        <v>2016</v>
      </c>
      <c r="C81" s="488"/>
      <c r="D81" s="147">
        <f t="shared" ca="1" si="10"/>
        <v>1135738105.3145616</v>
      </c>
      <c r="E81" s="147">
        <f ca="1">+'10 Year Average'!O223</f>
        <v>1143670693.5470154</v>
      </c>
      <c r="F81" s="239">
        <f ca="1">+'20 Year Trend'!O223</f>
        <v>1133252975.7085576</v>
      </c>
    </row>
    <row r="82" spans="1:6" x14ac:dyDescent="0.2">
      <c r="A82" s="150" t="s">
        <v>216</v>
      </c>
      <c r="B82" s="149">
        <v>2017</v>
      </c>
      <c r="C82" s="488"/>
      <c r="D82" s="147">
        <f t="shared" ca="1" si="10"/>
        <v>1124907789.4186153</v>
      </c>
      <c r="E82" s="147">
        <f ca="1">+'10 Year Average'!O224</f>
        <v>1133188732.3165019</v>
      </c>
      <c r="F82" s="239">
        <f ca="1">+'20 Year Trend'!O224</f>
        <v>1122771014.4780443</v>
      </c>
    </row>
    <row r="83" spans="1:6" x14ac:dyDescent="0.2">
      <c r="A83" s="150" t="s">
        <v>217</v>
      </c>
      <c r="B83" s="149">
        <v>2018</v>
      </c>
      <c r="C83" s="488"/>
      <c r="D83" s="147">
        <f t="shared" ca="1" si="10"/>
        <v>1114114211.4837828</v>
      </c>
      <c r="E83" s="147">
        <f ca="1">+'10 Year Average'!O225</f>
        <v>1122872090.8000143</v>
      </c>
      <c r="F83" s="239">
        <f ca="1">+'20 Year Trend'!O225</f>
        <v>1112454372.9615567</v>
      </c>
    </row>
    <row r="84" spans="1:6" ht="13.5" thickBot="1" x14ac:dyDescent="0.25">
      <c r="A84" s="151" t="s">
        <v>218</v>
      </c>
      <c r="B84" s="152">
        <v>2019</v>
      </c>
      <c r="C84" s="489"/>
      <c r="D84" s="153">
        <f t="shared" ca="1" si="10"/>
        <v>1095476843.2434063</v>
      </c>
      <c r="E84" s="153">
        <f ca="1">+'10 Year Average'!O226</f>
        <v>1105075199.1351919</v>
      </c>
      <c r="F84" s="240">
        <f ca="1">+'20 Year Trend'!O226</f>
        <v>1094657481.2967343</v>
      </c>
    </row>
  </sheetData>
  <mergeCells count="16">
    <mergeCell ref="C80:C84"/>
    <mergeCell ref="C38:C42"/>
    <mergeCell ref="A67:B67"/>
    <mergeCell ref="A68:A78"/>
    <mergeCell ref="A48:B48"/>
    <mergeCell ref="E48:F48"/>
    <mergeCell ref="A49:A59"/>
    <mergeCell ref="C61:C65"/>
    <mergeCell ref="E61:F65"/>
    <mergeCell ref="A25:B25"/>
    <mergeCell ref="A26:A36"/>
    <mergeCell ref="A6:B6"/>
    <mergeCell ref="E6:F6"/>
    <mergeCell ref="A7:A17"/>
    <mergeCell ref="C19:C23"/>
    <mergeCell ref="E19:F2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J386"/>
  <sheetViews>
    <sheetView workbookViewId="0">
      <pane xSplit="1" ySplit="2" topLeftCell="J198" activePane="bottomRight" state="frozen"/>
      <selection pane="topRight"/>
      <selection pane="bottomLeft"/>
      <selection pane="bottomRight" activeCell="N226" sqref="N226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3.85546875" style="34" customWidth="1"/>
    <col min="6" max="6" width="13.5703125" style="1" customWidth="1"/>
    <col min="7" max="7" width="12.42578125" style="1" customWidth="1"/>
    <col min="8" max="8" width="17.5703125" style="1" bestFit="1" customWidth="1"/>
    <col min="9" max="9" width="17" style="1" customWidth="1"/>
    <col min="10" max="10" width="13" style="1" customWidth="1"/>
    <col min="11" max="11" width="2.5703125" customWidth="1"/>
    <col min="12" max="12" width="30.42578125" bestFit="1" customWidth="1"/>
    <col min="13" max="13" width="15.5703125" bestFit="1" customWidth="1"/>
    <col min="14" max="14" width="25" bestFit="1" customWidth="1"/>
    <col min="15" max="15" width="24" bestFit="1" customWidth="1"/>
    <col min="16" max="16" width="15.85546875" bestFit="1" customWidth="1"/>
    <col min="17" max="17" width="24" bestFit="1" customWidth="1"/>
    <col min="18" max="18" width="14.5703125" bestFit="1" customWidth="1"/>
    <col min="19" max="19" width="15.5703125" bestFit="1" customWidth="1"/>
    <col min="20" max="20" width="14.5703125" style="6" bestFit="1" customWidth="1"/>
    <col min="21" max="21" width="10.140625" bestFit="1" customWidth="1"/>
  </cols>
  <sheetData>
    <row r="2" spans="1:20" ht="42" customHeight="1" x14ac:dyDescent="0.2">
      <c r="B2" s="7" t="s">
        <v>0</v>
      </c>
      <c r="C2" s="12" t="s">
        <v>3</v>
      </c>
      <c r="D2" s="12" t="s">
        <v>4</v>
      </c>
      <c r="E2" s="32" t="s">
        <v>223</v>
      </c>
      <c r="F2" s="12" t="s">
        <v>5</v>
      </c>
      <c r="G2" s="12" t="s">
        <v>17</v>
      </c>
      <c r="H2" s="12" t="s">
        <v>10</v>
      </c>
      <c r="I2" s="12" t="s">
        <v>11</v>
      </c>
      <c r="L2" t="s">
        <v>18</v>
      </c>
      <c r="T2"/>
    </row>
    <row r="3" spans="1:20" ht="13.5" thickBot="1" x14ac:dyDescent="0.25">
      <c r="A3" s="3">
        <v>37622</v>
      </c>
      <c r="B3" s="41">
        <v>126011890</v>
      </c>
      <c r="C3" s="119">
        <v>786</v>
      </c>
      <c r="D3" s="119">
        <v>0</v>
      </c>
      <c r="E3" s="126">
        <f>+'Economic Indices'!M15</f>
        <v>4.7E-2</v>
      </c>
      <c r="F3" s="10">
        <v>31</v>
      </c>
      <c r="G3" s="10">
        <v>0</v>
      </c>
      <c r="H3" s="10">
        <f t="shared" ref="H3:H66" si="0">$M$18+C3*$M$19+D3*$M$20+E3*$M$21+F3*$M$22+G3*$M$23</f>
        <v>122016654.03972816</v>
      </c>
      <c r="I3" s="36">
        <f t="shared" ref="I3:I34" si="1">H3-B3</f>
        <v>-3995235.9602718353</v>
      </c>
      <c r="J3" s="5">
        <f t="shared" ref="J3:J29" si="2">I3/B3</f>
        <v>-3.1705230040370277E-2</v>
      </c>
      <c r="T3"/>
    </row>
    <row r="4" spans="1:20" x14ac:dyDescent="0.2">
      <c r="A4" s="3">
        <v>37653</v>
      </c>
      <c r="B4" s="41">
        <v>112581000</v>
      </c>
      <c r="C4" s="119">
        <v>686.5</v>
      </c>
      <c r="D4" s="119">
        <v>0</v>
      </c>
      <c r="E4" s="126">
        <f>+E3</f>
        <v>4.7E-2</v>
      </c>
      <c r="F4" s="10">
        <v>28</v>
      </c>
      <c r="G4" s="10">
        <v>0</v>
      </c>
      <c r="H4" s="10">
        <f t="shared" si="0"/>
        <v>109578060.98553585</v>
      </c>
      <c r="I4" s="36">
        <f t="shared" si="1"/>
        <v>-3002939.0144641548</v>
      </c>
      <c r="J4" s="5">
        <f t="shared" si="2"/>
        <v>-2.6673586257575922E-2</v>
      </c>
      <c r="L4" s="53" t="s">
        <v>19</v>
      </c>
      <c r="M4" s="53"/>
      <c r="T4"/>
    </row>
    <row r="5" spans="1:20" x14ac:dyDescent="0.2">
      <c r="A5" s="3">
        <v>37681</v>
      </c>
      <c r="B5" s="41">
        <v>110536430</v>
      </c>
      <c r="C5" s="119">
        <v>572.5</v>
      </c>
      <c r="D5" s="119">
        <v>0</v>
      </c>
      <c r="E5" s="126">
        <f>+E4</f>
        <v>4.7E-2</v>
      </c>
      <c r="F5" s="10">
        <v>31</v>
      </c>
      <c r="G5" s="10">
        <v>1</v>
      </c>
      <c r="H5" s="10">
        <f t="shared" si="0"/>
        <v>106400245.18741813</v>
      </c>
      <c r="I5" s="36">
        <f t="shared" si="1"/>
        <v>-4136184.812581867</v>
      </c>
      <c r="J5" s="5">
        <f t="shared" si="2"/>
        <v>-3.7419200281589217E-2</v>
      </c>
      <c r="L5" s="35" t="s">
        <v>20</v>
      </c>
      <c r="M5" s="470">
        <v>0.93163631503424083</v>
      </c>
      <c r="T5"/>
    </row>
    <row r="6" spans="1:20" x14ac:dyDescent="0.2">
      <c r="A6" s="3">
        <v>37712</v>
      </c>
      <c r="B6" s="41">
        <v>97712940</v>
      </c>
      <c r="C6" s="119">
        <v>403.9</v>
      </c>
      <c r="D6" s="119">
        <v>0</v>
      </c>
      <c r="E6" s="126">
        <f>+'Economic Indices'!M16</f>
        <v>5.5999999999999994E-2</v>
      </c>
      <c r="F6" s="10">
        <v>30</v>
      </c>
      <c r="G6" s="10">
        <v>1</v>
      </c>
      <c r="H6" s="10">
        <f t="shared" si="0"/>
        <v>95698523.005941063</v>
      </c>
      <c r="I6" s="36">
        <f t="shared" si="1"/>
        <v>-2014416.9940589368</v>
      </c>
      <c r="J6" s="5">
        <f t="shared" si="2"/>
        <v>-2.0615662511627803E-2</v>
      </c>
      <c r="L6" s="35" t="s">
        <v>21</v>
      </c>
      <c r="M6" s="470">
        <v>0.86794622349057915</v>
      </c>
      <c r="T6"/>
    </row>
    <row r="7" spans="1:20" x14ac:dyDescent="0.2">
      <c r="A7" s="3">
        <v>37742</v>
      </c>
      <c r="B7" s="41">
        <v>90261150</v>
      </c>
      <c r="C7" s="119">
        <v>192</v>
      </c>
      <c r="D7" s="119">
        <v>0</v>
      </c>
      <c r="E7" s="126">
        <f>+E6</f>
        <v>5.5999999999999994E-2</v>
      </c>
      <c r="F7" s="10">
        <v>31</v>
      </c>
      <c r="G7" s="10">
        <v>1</v>
      </c>
      <c r="H7" s="10">
        <f t="shared" si="0"/>
        <v>89979275.897824094</v>
      </c>
      <c r="I7" s="36">
        <f t="shared" si="1"/>
        <v>-281874.1021759063</v>
      </c>
      <c r="J7" s="5">
        <f t="shared" si="2"/>
        <v>-3.1228729323292061E-3</v>
      </c>
      <c r="L7" s="35" t="s">
        <v>22</v>
      </c>
      <c r="M7" s="470">
        <v>0.8631616663706726</v>
      </c>
      <c r="T7"/>
    </row>
    <row r="8" spans="1:20" x14ac:dyDescent="0.2">
      <c r="A8" s="3">
        <v>37773</v>
      </c>
      <c r="B8" s="41">
        <v>92476040</v>
      </c>
      <c r="C8" s="119">
        <v>55.1</v>
      </c>
      <c r="D8" s="119">
        <v>31</v>
      </c>
      <c r="E8" s="126">
        <f>+E7</f>
        <v>5.5999999999999994E-2</v>
      </c>
      <c r="F8" s="10">
        <v>30</v>
      </c>
      <c r="G8" s="10">
        <v>0</v>
      </c>
      <c r="H8" s="10">
        <f t="shared" si="0"/>
        <v>93165040.95415099</v>
      </c>
      <c r="I8" s="36">
        <f t="shared" si="1"/>
        <v>689000.95415098965</v>
      </c>
      <c r="J8" s="5">
        <f t="shared" si="2"/>
        <v>7.4505888676784779E-3</v>
      </c>
      <c r="L8" s="35" t="s">
        <v>23</v>
      </c>
      <c r="M8" s="68">
        <v>3859208.8665064001</v>
      </c>
      <c r="T8"/>
    </row>
    <row r="9" spans="1:20" ht="13.5" thickBot="1" x14ac:dyDescent="0.25">
      <c r="A9" s="3">
        <v>37803</v>
      </c>
      <c r="B9" s="41">
        <v>100371630</v>
      </c>
      <c r="C9" s="119">
        <v>5.7</v>
      </c>
      <c r="D9" s="119">
        <v>59.1</v>
      </c>
      <c r="E9" s="126">
        <f>+'Economic Indices'!M17</f>
        <v>5.2000000000000005E-2</v>
      </c>
      <c r="F9" s="10">
        <v>31</v>
      </c>
      <c r="G9" s="10">
        <v>0</v>
      </c>
      <c r="H9" s="10">
        <f t="shared" si="0"/>
        <v>98544344.234893277</v>
      </c>
      <c r="I9" s="36">
        <f t="shared" si="1"/>
        <v>-1827285.7651067227</v>
      </c>
      <c r="J9" s="5">
        <f t="shared" si="2"/>
        <v>-1.8205201660137657E-2</v>
      </c>
      <c r="L9" s="51" t="s">
        <v>24</v>
      </c>
      <c r="M9" s="69">
        <v>144</v>
      </c>
      <c r="T9"/>
    </row>
    <row r="10" spans="1:20" x14ac:dyDescent="0.2">
      <c r="A10" s="3">
        <v>37834</v>
      </c>
      <c r="B10" s="41">
        <v>101507680</v>
      </c>
      <c r="C10" s="119">
        <v>10.4</v>
      </c>
      <c r="D10" s="119">
        <v>106.5</v>
      </c>
      <c r="E10" s="126">
        <f>+E9</f>
        <v>5.2000000000000005E-2</v>
      </c>
      <c r="F10" s="10">
        <v>31</v>
      </c>
      <c r="G10" s="10">
        <v>0</v>
      </c>
      <c r="H10" s="10">
        <f t="shared" si="0"/>
        <v>105593019.50707024</v>
      </c>
      <c r="I10" s="36">
        <f t="shared" si="1"/>
        <v>4085339.5070702434</v>
      </c>
      <c r="J10" s="5">
        <f t="shared" si="2"/>
        <v>4.0246605055600161E-2</v>
      </c>
      <c r="T10"/>
    </row>
    <row r="11" spans="1:20" ht="13.5" thickBot="1" x14ac:dyDescent="0.25">
      <c r="A11" s="3">
        <v>37865</v>
      </c>
      <c r="B11" s="41">
        <v>91341000</v>
      </c>
      <c r="C11" s="119">
        <v>55.2</v>
      </c>
      <c r="D11" s="119">
        <v>12.1</v>
      </c>
      <c r="E11" s="126">
        <f>+E10</f>
        <v>5.2000000000000005E-2</v>
      </c>
      <c r="F11" s="10">
        <v>30</v>
      </c>
      <c r="G11" s="10">
        <v>1</v>
      </c>
      <c r="H11" s="10">
        <f t="shared" si="0"/>
        <v>83902687.201119527</v>
      </c>
      <c r="I11" s="36">
        <f t="shared" si="1"/>
        <v>-7438312.7988804728</v>
      </c>
      <c r="J11" s="5">
        <f t="shared" si="2"/>
        <v>-8.1434545263140021E-2</v>
      </c>
      <c r="L11" t="s">
        <v>25</v>
      </c>
      <c r="T11"/>
    </row>
    <row r="12" spans="1:20" x14ac:dyDescent="0.2">
      <c r="A12" s="3">
        <v>37895</v>
      </c>
      <c r="B12" s="41">
        <v>95672250</v>
      </c>
      <c r="C12" s="119">
        <v>289.7</v>
      </c>
      <c r="D12" s="119">
        <v>0</v>
      </c>
      <c r="E12" s="126">
        <f>+'Economic Indices'!M18</f>
        <v>4.7E-2</v>
      </c>
      <c r="F12" s="10">
        <v>31</v>
      </c>
      <c r="G12" s="10">
        <v>1</v>
      </c>
      <c r="H12" s="10">
        <f t="shared" si="0"/>
        <v>95015801.005900159</v>
      </c>
      <c r="I12" s="36">
        <f t="shared" si="1"/>
        <v>-656448.99409984052</v>
      </c>
      <c r="J12" s="5">
        <f t="shared" si="2"/>
        <v>-6.8614357256136498E-3</v>
      </c>
      <c r="L12" s="52"/>
      <c r="M12" s="52" t="s">
        <v>29</v>
      </c>
      <c r="N12" s="52" t="s">
        <v>30</v>
      </c>
      <c r="O12" s="52" t="s">
        <v>31</v>
      </c>
      <c r="P12" s="52" t="s">
        <v>32</v>
      </c>
      <c r="Q12" s="52" t="s">
        <v>33</v>
      </c>
      <c r="T12"/>
    </row>
    <row r="13" spans="1:20" x14ac:dyDescent="0.2">
      <c r="A13" s="3">
        <v>37926</v>
      </c>
      <c r="B13" s="41">
        <v>101404920</v>
      </c>
      <c r="C13" s="119">
        <v>387.6</v>
      </c>
      <c r="D13" s="119">
        <v>0</v>
      </c>
      <c r="E13" s="126">
        <f>+E12</f>
        <v>4.7E-2</v>
      </c>
      <c r="F13" s="10">
        <v>30</v>
      </c>
      <c r="G13" s="10">
        <v>1</v>
      </c>
      <c r="H13" s="10">
        <f t="shared" si="0"/>
        <v>96145845.013970971</v>
      </c>
      <c r="I13" s="36">
        <f t="shared" si="1"/>
        <v>-5259074.9860290289</v>
      </c>
      <c r="J13" s="5">
        <f t="shared" si="2"/>
        <v>-5.1862128445336074E-2</v>
      </c>
      <c r="L13" s="35" t="s">
        <v>26</v>
      </c>
      <c r="M13" s="68">
        <v>5</v>
      </c>
      <c r="N13" s="68">
        <v>1.3508827196905696E+16</v>
      </c>
      <c r="O13" s="68">
        <v>2701765439381139</v>
      </c>
      <c r="P13" s="68">
        <v>181.40576060413528</v>
      </c>
      <c r="Q13" s="68">
        <v>7.7141439968961941E-59</v>
      </c>
      <c r="T13"/>
    </row>
    <row r="14" spans="1:20" x14ac:dyDescent="0.2">
      <c r="A14" s="3">
        <v>37956</v>
      </c>
      <c r="B14" s="41">
        <v>112847240</v>
      </c>
      <c r="C14" s="119">
        <v>548.20000000000005</v>
      </c>
      <c r="D14" s="119">
        <v>0</v>
      </c>
      <c r="E14" s="126">
        <f>+E13</f>
        <v>4.7E-2</v>
      </c>
      <c r="F14" s="10">
        <v>31</v>
      </c>
      <c r="G14" s="10">
        <v>0</v>
      </c>
      <c r="H14" s="10">
        <f t="shared" si="0"/>
        <v>112443737.3977021</v>
      </c>
      <c r="I14" s="36">
        <f t="shared" si="1"/>
        <v>-403502.60229790211</v>
      </c>
      <c r="J14" s="5">
        <f t="shared" si="2"/>
        <v>-3.5756532662908026E-3</v>
      </c>
      <c r="L14" s="35" t="s">
        <v>27</v>
      </c>
      <c r="M14" s="68">
        <v>138</v>
      </c>
      <c r="N14" s="68">
        <v>2055302044394382.7</v>
      </c>
      <c r="O14" s="68">
        <v>14893493075321.613</v>
      </c>
      <c r="P14" s="68"/>
      <c r="Q14" s="68"/>
      <c r="T14"/>
    </row>
    <row r="15" spans="1:20" ht="13.5" thickBot="1" x14ac:dyDescent="0.25">
      <c r="A15" s="3">
        <v>37987</v>
      </c>
      <c r="B15" s="41">
        <v>127196340</v>
      </c>
      <c r="C15" s="119">
        <v>828.8</v>
      </c>
      <c r="D15" s="119">
        <v>0</v>
      </c>
      <c r="E15" s="126">
        <f>+'Economic Indices'!M19</f>
        <v>0.05</v>
      </c>
      <c r="F15" s="10">
        <v>31</v>
      </c>
      <c r="G15" s="10">
        <v>0</v>
      </c>
      <c r="H15" s="10">
        <f t="shared" si="0"/>
        <v>123371785.49762222</v>
      </c>
      <c r="I15" s="36">
        <f t="shared" si="1"/>
        <v>-3824554.5023777783</v>
      </c>
      <c r="J15" s="5">
        <f t="shared" si="2"/>
        <v>-3.0068117544716919E-2</v>
      </c>
      <c r="L15" s="51" t="s">
        <v>9</v>
      </c>
      <c r="M15" s="69">
        <v>143</v>
      </c>
      <c r="N15" s="69">
        <v>1.5564129241300078E+16</v>
      </c>
      <c r="O15" s="69"/>
      <c r="P15" s="69"/>
      <c r="Q15" s="69"/>
      <c r="T15"/>
    </row>
    <row r="16" spans="1:20" ht="13.5" thickBot="1" x14ac:dyDescent="0.25">
      <c r="A16" s="3">
        <v>38018</v>
      </c>
      <c r="B16" s="41">
        <v>108928270</v>
      </c>
      <c r="C16" s="119">
        <v>615.6</v>
      </c>
      <c r="D16" s="119">
        <v>0</v>
      </c>
      <c r="E16" s="126">
        <f>+E15</f>
        <v>0.05</v>
      </c>
      <c r="F16" s="10">
        <v>29</v>
      </c>
      <c r="G16" s="10">
        <v>0</v>
      </c>
      <c r="H16" s="10">
        <f t="shared" si="0"/>
        <v>109167100.98815969</v>
      </c>
      <c r="I16" s="36">
        <f t="shared" si="1"/>
        <v>238830.98815968633</v>
      </c>
      <c r="J16" s="5">
        <f t="shared" si="2"/>
        <v>2.1925528438089242E-3</v>
      </c>
      <c r="T16"/>
    </row>
    <row r="17" spans="1:20" x14ac:dyDescent="0.2">
      <c r="A17" s="3">
        <v>38047</v>
      </c>
      <c r="B17" s="41">
        <v>105064150</v>
      </c>
      <c r="C17" s="119">
        <v>487.1</v>
      </c>
      <c r="D17" s="119">
        <v>0</v>
      </c>
      <c r="E17" s="126">
        <f>+E16</f>
        <v>0.05</v>
      </c>
      <c r="F17" s="10">
        <v>31</v>
      </c>
      <c r="G17" s="10">
        <v>1</v>
      </c>
      <c r="H17" s="10">
        <f t="shared" si="0"/>
        <v>102594535.96613748</v>
      </c>
      <c r="I17" s="36">
        <f t="shared" si="1"/>
        <v>-2469614.0338625163</v>
      </c>
      <c r="J17" s="5">
        <f t="shared" si="2"/>
        <v>-2.3505772748006967E-2</v>
      </c>
      <c r="L17" s="52"/>
      <c r="M17" s="52" t="s">
        <v>34</v>
      </c>
      <c r="N17" s="52" t="s">
        <v>23</v>
      </c>
      <c r="O17" s="52" t="s">
        <v>35</v>
      </c>
      <c r="P17" s="52" t="s">
        <v>36</v>
      </c>
      <c r="Q17" s="52" t="s">
        <v>37</v>
      </c>
      <c r="R17" s="52" t="s">
        <v>38</v>
      </c>
      <c r="S17" s="52" t="s">
        <v>39</v>
      </c>
      <c r="T17" s="52" t="s">
        <v>40</v>
      </c>
    </row>
    <row r="18" spans="1:20" x14ac:dyDescent="0.2">
      <c r="A18" s="3">
        <v>38078</v>
      </c>
      <c r="B18" s="41">
        <v>91322380</v>
      </c>
      <c r="C18" s="119">
        <v>345</v>
      </c>
      <c r="D18" s="119">
        <v>0</v>
      </c>
      <c r="E18" s="126">
        <f>+'Economic Indices'!M20</f>
        <v>5.4000000000000006E-2</v>
      </c>
      <c r="F18" s="10">
        <v>30</v>
      </c>
      <c r="G18" s="10">
        <v>1</v>
      </c>
      <c r="H18" s="10">
        <f t="shared" si="0"/>
        <v>93572656.412917539</v>
      </c>
      <c r="I18" s="36">
        <f t="shared" si="1"/>
        <v>2250276.4129175395</v>
      </c>
      <c r="J18" s="5">
        <f t="shared" si="2"/>
        <v>2.464101803870573E-2</v>
      </c>
      <c r="L18" s="35" t="s">
        <v>28</v>
      </c>
      <c r="M18" s="68">
        <v>8995937.0903842468</v>
      </c>
      <c r="N18" s="68">
        <v>12604326.836800277</v>
      </c>
      <c r="O18" s="68">
        <v>0.71371817050310216</v>
      </c>
      <c r="P18" s="68">
        <v>0.47660680663414789</v>
      </c>
      <c r="Q18" s="68">
        <v>-15926643.008895164</v>
      </c>
      <c r="R18" s="68">
        <v>33918517.189663656</v>
      </c>
      <c r="S18" s="68">
        <v>-15926643.008895164</v>
      </c>
      <c r="T18" s="68">
        <v>33918517.189663656</v>
      </c>
    </row>
    <row r="19" spans="1:20" x14ac:dyDescent="0.2">
      <c r="A19" s="3">
        <v>38108</v>
      </c>
      <c r="B19" s="41">
        <v>86885250</v>
      </c>
      <c r="C19" s="119">
        <v>177.5</v>
      </c>
      <c r="D19" s="119">
        <v>0</v>
      </c>
      <c r="E19" s="126">
        <f>+E18</f>
        <v>5.4000000000000006E-2</v>
      </c>
      <c r="F19" s="10">
        <v>31</v>
      </c>
      <c r="G19" s="10">
        <v>1</v>
      </c>
      <c r="H19" s="10">
        <f t="shared" si="0"/>
        <v>89640783.143765911</v>
      </c>
      <c r="I19" s="36">
        <f t="shared" si="1"/>
        <v>2755533.1437659115</v>
      </c>
      <c r="J19" s="5">
        <f t="shared" si="2"/>
        <v>3.1714625253030995E-2</v>
      </c>
      <c r="L19" s="35" t="s">
        <v>3</v>
      </c>
      <c r="M19" s="68">
        <v>40256.167544264434</v>
      </c>
      <c r="N19" s="68">
        <v>1964.2098838898439</v>
      </c>
      <c r="O19" s="68">
        <v>20.494840126016832</v>
      </c>
      <c r="P19" s="68">
        <v>1.0561344081437557E-43</v>
      </c>
      <c r="Q19" s="68">
        <v>36372.328383563319</v>
      </c>
      <c r="R19" s="68">
        <v>44140.006704965548</v>
      </c>
      <c r="S19" s="68">
        <v>36372.328383563319</v>
      </c>
      <c r="T19" s="68">
        <v>44140.006704965548</v>
      </c>
    </row>
    <row r="20" spans="1:20" x14ac:dyDescent="0.2">
      <c r="A20" s="3">
        <v>38139</v>
      </c>
      <c r="B20" s="41">
        <v>86876500</v>
      </c>
      <c r="C20" s="119">
        <v>73.2</v>
      </c>
      <c r="D20" s="119">
        <v>15.6</v>
      </c>
      <c r="E20" s="126">
        <f>+E19</f>
        <v>5.4000000000000006E-2</v>
      </c>
      <c r="F20" s="10">
        <v>30</v>
      </c>
      <c r="G20" s="10">
        <v>0</v>
      </c>
      <c r="H20" s="10">
        <f t="shared" si="0"/>
        <v>91910294.667422518</v>
      </c>
      <c r="I20" s="36">
        <f t="shared" si="1"/>
        <v>5033794.6674225181</v>
      </c>
      <c r="J20" s="5">
        <f t="shared" si="2"/>
        <v>5.7941959763831624E-2</v>
      </c>
      <c r="L20" s="35" t="s">
        <v>4</v>
      </c>
      <c r="M20" s="68">
        <v>144714.58406579983</v>
      </c>
      <c r="N20" s="68">
        <v>15219.431331249714</v>
      </c>
      <c r="O20" s="68">
        <v>9.5085408196993964</v>
      </c>
      <c r="P20" s="68">
        <v>8.4693779603347646E-17</v>
      </c>
      <c r="Q20" s="68">
        <v>114621.14858687311</v>
      </c>
      <c r="R20" s="68">
        <v>174808.01954472656</v>
      </c>
      <c r="S20" s="68">
        <v>114621.14858687311</v>
      </c>
      <c r="T20" s="68">
        <v>174808.01954472656</v>
      </c>
    </row>
    <row r="21" spans="1:20" x14ac:dyDescent="0.2">
      <c r="A21" s="3">
        <v>38169</v>
      </c>
      <c r="B21" s="41">
        <v>92903530</v>
      </c>
      <c r="C21" s="119">
        <v>2</v>
      </c>
      <c r="D21" s="119">
        <v>69.3</v>
      </c>
      <c r="E21" s="126">
        <f>+'Economic Indices'!M21</f>
        <v>5.5E-2</v>
      </c>
      <c r="F21" s="10">
        <v>31</v>
      </c>
      <c r="G21" s="10">
        <v>0</v>
      </c>
      <c r="H21" s="10">
        <f t="shared" si="0"/>
        <v>99503652.659450188</v>
      </c>
      <c r="I21" s="36">
        <f t="shared" si="1"/>
        <v>6600122.6594501883</v>
      </c>
      <c r="J21" s="5">
        <f t="shared" si="2"/>
        <v>7.1042754343674436E-2</v>
      </c>
      <c r="L21" s="35" t="s">
        <v>223</v>
      </c>
      <c r="M21" s="68">
        <v>-122610837.66682497</v>
      </c>
      <c r="N21" s="68">
        <v>21424710.346092973</v>
      </c>
      <c r="O21" s="68">
        <v>-5.722870259909226</v>
      </c>
      <c r="P21" s="68">
        <v>6.2533239253444078E-8</v>
      </c>
      <c r="Q21" s="68">
        <v>-164973993.32107115</v>
      </c>
      <c r="R21" s="68">
        <v>-80247682.012578785</v>
      </c>
      <c r="S21" s="68">
        <v>-164973993.32107115</v>
      </c>
      <c r="T21" s="68">
        <v>-80247682.012578785</v>
      </c>
    </row>
    <row r="22" spans="1:20" x14ac:dyDescent="0.2">
      <c r="A22" s="3">
        <v>38200</v>
      </c>
      <c r="B22" s="41">
        <v>94121760</v>
      </c>
      <c r="C22" s="119">
        <v>19.600000000000001</v>
      </c>
      <c r="D22" s="119">
        <v>53.6</v>
      </c>
      <c r="E22" s="126">
        <f>+E21</f>
        <v>5.5E-2</v>
      </c>
      <c r="F22" s="10">
        <v>31</v>
      </c>
      <c r="G22" s="10">
        <v>0</v>
      </c>
      <c r="H22" s="10">
        <f t="shared" si="0"/>
        <v>97940142.238396183</v>
      </c>
      <c r="I22" s="36">
        <f t="shared" si="1"/>
        <v>3818382.2383961827</v>
      </c>
      <c r="J22" s="5">
        <f t="shared" si="2"/>
        <v>4.0568538437829704E-2</v>
      </c>
      <c r="L22" s="35" t="s">
        <v>5</v>
      </c>
      <c r="M22" s="68">
        <v>2811034.7945126728</v>
      </c>
      <c r="N22" s="68">
        <v>412295.42286162882</v>
      </c>
      <c r="O22" s="68">
        <v>6.818011160546134</v>
      </c>
      <c r="P22" s="68">
        <v>2.6427977981079473E-10</v>
      </c>
      <c r="Q22" s="68">
        <v>1995801.5945265845</v>
      </c>
      <c r="R22" s="68">
        <v>3626267.9944987614</v>
      </c>
      <c r="S22" s="68">
        <v>1995801.5945265845</v>
      </c>
      <c r="T22" s="68">
        <v>3626267.9944987614</v>
      </c>
    </row>
    <row r="23" spans="1:20" ht="13.5" thickBot="1" x14ac:dyDescent="0.25">
      <c r="A23" s="3">
        <v>38231</v>
      </c>
      <c r="B23" s="41">
        <v>88536700</v>
      </c>
      <c r="C23" s="119">
        <v>41.7</v>
      </c>
      <c r="D23" s="119">
        <v>26.7</v>
      </c>
      <c r="E23" s="126">
        <f>+E22</f>
        <v>5.5E-2</v>
      </c>
      <c r="F23" s="10">
        <v>30</v>
      </c>
      <c r="G23" s="10">
        <v>1</v>
      </c>
      <c r="H23" s="10">
        <f t="shared" si="0"/>
        <v>85104229.353632167</v>
      </c>
      <c r="I23" s="36">
        <f t="shared" si="1"/>
        <v>-3432470.646367833</v>
      </c>
      <c r="J23" s="5">
        <f t="shared" si="2"/>
        <v>-3.8768902007504609E-2</v>
      </c>
      <c r="L23" s="51" t="s">
        <v>17</v>
      </c>
      <c r="M23" s="69">
        <v>-7021717.0816095807</v>
      </c>
      <c r="N23" s="69">
        <v>831562.49823754164</v>
      </c>
      <c r="O23" s="69">
        <v>-8.4440040243418704</v>
      </c>
      <c r="P23" s="69">
        <v>3.7813485135784314E-14</v>
      </c>
      <c r="Q23" s="69">
        <v>-8665968.5547920372</v>
      </c>
      <c r="R23" s="69">
        <v>-5377465.6084271241</v>
      </c>
      <c r="S23" s="69">
        <v>-8665968.5547920372</v>
      </c>
      <c r="T23" s="69">
        <v>-5377465.6084271241</v>
      </c>
    </row>
    <row r="24" spans="1:20" x14ac:dyDescent="0.2">
      <c r="A24" s="3">
        <v>38261</v>
      </c>
      <c r="B24" s="41">
        <v>88377710</v>
      </c>
      <c r="C24" s="119">
        <v>235</v>
      </c>
      <c r="D24" s="119">
        <v>0</v>
      </c>
      <c r="E24" s="126">
        <f>+'Economic Indices'!M22</f>
        <v>5.7999999999999996E-2</v>
      </c>
      <c r="F24" s="10">
        <v>31</v>
      </c>
      <c r="G24" s="10">
        <v>1</v>
      </c>
      <c r="H24" s="10">
        <f t="shared" si="0"/>
        <v>91465069.426893815</v>
      </c>
      <c r="I24" s="36">
        <f t="shared" si="1"/>
        <v>3087359.4268938154</v>
      </c>
      <c r="J24" s="5">
        <f t="shared" si="2"/>
        <v>3.4933688900672076E-2</v>
      </c>
      <c r="T24"/>
    </row>
    <row r="25" spans="1:20" x14ac:dyDescent="0.2">
      <c r="A25" s="3">
        <v>38292</v>
      </c>
      <c r="B25" s="41">
        <v>94905100</v>
      </c>
      <c r="C25" s="119">
        <v>385.7</v>
      </c>
      <c r="D25" s="119">
        <v>0</v>
      </c>
      <c r="E25" s="126">
        <f>+E24</f>
        <v>5.7999999999999996E-2</v>
      </c>
      <c r="F25" s="10">
        <v>30</v>
      </c>
      <c r="G25" s="10">
        <v>1</v>
      </c>
      <c r="H25" s="10">
        <f t="shared" si="0"/>
        <v>94720639.081301793</v>
      </c>
      <c r="I25" s="36">
        <f t="shared" si="1"/>
        <v>-184460.91869820654</v>
      </c>
      <c r="J25" s="5">
        <f t="shared" si="2"/>
        <v>-1.9436354705722511E-3</v>
      </c>
      <c r="T25"/>
    </row>
    <row r="26" spans="1:20" x14ac:dyDescent="0.2">
      <c r="A26" s="3">
        <v>38322</v>
      </c>
      <c r="B26" s="41">
        <v>113323500</v>
      </c>
      <c r="C26" s="119">
        <v>627.5</v>
      </c>
      <c r="D26" s="119">
        <v>0</v>
      </c>
      <c r="E26" s="126">
        <f>+E25</f>
        <v>5.7999999999999996E-2</v>
      </c>
      <c r="F26" s="10">
        <v>31</v>
      </c>
      <c r="G26" s="10">
        <v>0</v>
      </c>
      <c r="H26" s="10">
        <f t="shared" si="0"/>
        <v>114287332.26962718</v>
      </c>
      <c r="I26" s="36">
        <f t="shared" si="1"/>
        <v>963832.26962718368</v>
      </c>
      <c r="J26" s="5">
        <f t="shared" si="2"/>
        <v>8.5051403250621781E-3</v>
      </c>
      <c r="T26"/>
    </row>
    <row r="27" spans="1:20" x14ac:dyDescent="0.2">
      <c r="A27" s="3">
        <v>38353</v>
      </c>
      <c r="B27" s="41">
        <v>118166820</v>
      </c>
      <c r="C27" s="119">
        <v>745.5</v>
      </c>
      <c r="D27" s="119">
        <v>0</v>
      </c>
      <c r="E27" s="126">
        <f>+'Economic Indices'!M23</f>
        <v>7.2000000000000008E-2</v>
      </c>
      <c r="F27" s="10">
        <v>31</v>
      </c>
      <c r="G27" s="10">
        <v>0</v>
      </c>
      <c r="H27" s="10">
        <f t="shared" si="0"/>
        <v>117321008.31251484</v>
      </c>
      <c r="I27" s="36">
        <f t="shared" si="1"/>
        <v>-845811.68748515844</v>
      </c>
      <c r="J27" s="5">
        <f t="shared" si="2"/>
        <v>-7.1577765017723114E-3</v>
      </c>
      <c r="T27"/>
    </row>
    <row r="28" spans="1:20" x14ac:dyDescent="0.2">
      <c r="A28" s="3">
        <v>38384</v>
      </c>
      <c r="B28" s="41">
        <v>100566840</v>
      </c>
      <c r="C28" s="119">
        <v>589.5</v>
      </c>
      <c r="D28" s="119">
        <v>0</v>
      </c>
      <c r="E28" s="126">
        <f>+E27</f>
        <v>7.2000000000000008E-2</v>
      </c>
      <c r="F28" s="10">
        <v>28</v>
      </c>
      <c r="G28" s="10">
        <v>0</v>
      </c>
      <c r="H28" s="10">
        <f t="shared" si="0"/>
        <v>102607941.79207157</v>
      </c>
      <c r="I28" s="36">
        <f t="shared" si="1"/>
        <v>2041101.792071566</v>
      </c>
      <c r="J28" s="5">
        <f t="shared" si="2"/>
        <v>2.0295972231717394E-2</v>
      </c>
      <c r="T28"/>
    </row>
    <row r="29" spans="1:20" x14ac:dyDescent="0.2">
      <c r="A29" s="3">
        <v>38412</v>
      </c>
      <c r="B29" s="41">
        <v>104158730</v>
      </c>
      <c r="C29" s="119">
        <v>578.29999999999995</v>
      </c>
      <c r="D29" s="119">
        <v>0</v>
      </c>
      <c r="E29" s="126">
        <f>+E28</f>
        <v>7.2000000000000008E-2</v>
      </c>
      <c r="F29" s="10">
        <v>31</v>
      </c>
      <c r="G29" s="10">
        <v>1</v>
      </c>
      <c r="H29" s="10">
        <f t="shared" si="0"/>
        <v>103568460.01750425</v>
      </c>
      <c r="I29" s="36">
        <f t="shared" si="1"/>
        <v>-590269.98249575496</v>
      </c>
      <c r="J29" s="5">
        <f t="shared" si="2"/>
        <v>-5.6670236138224323E-3</v>
      </c>
      <c r="T29"/>
    </row>
    <row r="30" spans="1:20" x14ac:dyDescent="0.2">
      <c r="A30" s="3">
        <v>38443</v>
      </c>
      <c r="B30" s="41">
        <v>84434840</v>
      </c>
      <c r="C30" s="119">
        <v>325.3</v>
      </c>
      <c r="D30" s="119">
        <v>0</v>
      </c>
      <c r="E30" s="126">
        <f>+'Economic Indices'!M24</f>
        <v>6.4000000000000001E-2</v>
      </c>
      <c r="F30" s="10">
        <v>30</v>
      </c>
      <c r="G30" s="10">
        <v>1</v>
      </c>
      <c r="H30" s="10">
        <f t="shared" si="0"/>
        <v>91553501.535627276</v>
      </c>
      <c r="I30" s="36">
        <f t="shared" si="1"/>
        <v>7118661.5356272757</v>
      </c>
      <c r="J30" s="5">
        <f t="shared" ref="J30:J61" si="3">I30/B30</f>
        <v>8.4309528337203885E-2</v>
      </c>
      <c r="T30"/>
    </row>
    <row r="31" spans="1:20" x14ac:dyDescent="0.2">
      <c r="A31" s="3">
        <v>38473</v>
      </c>
      <c r="B31" s="41">
        <v>81831370</v>
      </c>
      <c r="C31" s="119">
        <v>216.1</v>
      </c>
      <c r="D31" s="119">
        <v>0.3</v>
      </c>
      <c r="E31" s="126">
        <f>+E30</f>
        <v>6.4000000000000001E-2</v>
      </c>
      <c r="F31" s="10">
        <v>31</v>
      </c>
      <c r="G31" s="10">
        <v>1</v>
      </c>
      <c r="H31" s="10">
        <f t="shared" si="0"/>
        <v>90011977.209526002</v>
      </c>
      <c r="I31" s="36">
        <f t="shared" si="1"/>
        <v>8180607.2095260024</v>
      </c>
      <c r="J31" s="5">
        <f t="shared" si="3"/>
        <v>9.9969085321753776E-2</v>
      </c>
      <c r="T31"/>
    </row>
    <row r="32" spans="1:20" x14ac:dyDescent="0.2">
      <c r="A32" s="3">
        <v>38504</v>
      </c>
      <c r="B32" s="41">
        <v>98362500</v>
      </c>
      <c r="C32" s="119">
        <v>13.7</v>
      </c>
      <c r="D32" s="119">
        <v>89.9</v>
      </c>
      <c r="E32" s="126">
        <f>+E31</f>
        <v>6.4000000000000001E-2</v>
      </c>
      <c r="F32" s="10">
        <v>30</v>
      </c>
      <c r="G32" s="10">
        <v>0</v>
      </c>
      <c r="H32" s="10">
        <f t="shared" si="0"/>
        <v>99041237.917959452</v>
      </c>
      <c r="I32" s="36">
        <f t="shared" si="1"/>
        <v>678737.91795945168</v>
      </c>
      <c r="J32" s="5">
        <f t="shared" si="3"/>
        <v>6.900372783931393E-3</v>
      </c>
      <c r="T32"/>
    </row>
    <row r="33" spans="1:20" x14ac:dyDescent="0.2">
      <c r="A33" s="3">
        <v>38534</v>
      </c>
      <c r="B33" s="41">
        <v>103745750</v>
      </c>
      <c r="C33" s="119">
        <v>2.2000000000000002</v>
      </c>
      <c r="D33" s="119">
        <v>153</v>
      </c>
      <c r="E33" s="126">
        <f>+'Economic Indices'!M25</f>
        <v>5.7999999999999996E-2</v>
      </c>
      <c r="F33" s="10">
        <v>31</v>
      </c>
      <c r="G33" s="10">
        <v>0</v>
      </c>
      <c r="H33" s="10">
        <f t="shared" si="0"/>
        <v>111256482.06626602</v>
      </c>
      <c r="I33" s="36">
        <f t="shared" si="1"/>
        <v>7510732.0662660152</v>
      </c>
      <c r="J33" s="5">
        <f t="shared" si="3"/>
        <v>7.2395563830479945E-2</v>
      </c>
      <c r="T33"/>
    </row>
    <row r="34" spans="1:20" x14ac:dyDescent="0.2">
      <c r="A34" s="3">
        <v>38565</v>
      </c>
      <c r="B34" s="41">
        <v>101425330</v>
      </c>
      <c r="C34" s="119">
        <v>0</v>
      </c>
      <c r="D34" s="119">
        <v>108</v>
      </c>
      <c r="E34" s="126">
        <f>+E33</f>
        <v>5.7999999999999996E-2</v>
      </c>
      <c r="F34" s="10">
        <v>31</v>
      </c>
      <c r="G34" s="10">
        <v>0</v>
      </c>
      <c r="H34" s="10">
        <f t="shared" si="0"/>
        <v>104655762.21470764</v>
      </c>
      <c r="I34" s="36">
        <f t="shared" si="1"/>
        <v>3230432.2147076428</v>
      </c>
      <c r="J34" s="5">
        <f t="shared" si="3"/>
        <v>3.1850349559697198E-2</v>
      </c>
      <c r="T34"/>
    </row>
    <row r="35" spans="1:20" x14ac:dyDescent="0.2">
      <c r="A35" s="3">
        <v>38596</v>
      </c>
      <c r="B35" s="41">
        <v>87813850</v>
      </c>
      <c r="C35" s="119">
        <v>36.700000000000003</v>
      </c>
      <c r="D35" s="119">
        <v>32.799999999999997</v>
      </c>
      <c r="E35" s="126">
        <f>+E34</f>
        <v>5.7999999999999996E-2</v>
      </c>
      <c r="F35" s="10">
        <v>30</v>
      </c>
      <c r="G35" s="10">
        <v>1</v>
      </c>
      <c r="H35" s="10">
        <f t="shared" si="0"/>
        <v>85417874.965711743</v>
      </c>
      <c r="I35" s="36">
        <f t="shared" ref="I35:I66" si="4">H35-B35</f>
        <v>-2395975.0342882574</v>
      </c>
      <c r="J35" s="5">
        <f t="shared" si="3"/>
        <v>-2.7284705479696622E-2</v>
      </c>
      <c r="T35"/>
    </row>
    <row r="36" spans="1:20" x14ac:dyDescent="0.2">
      <c r="A36" s="3">
        <v>38626</v>
      </c>
      <c r="B36" s="41">
        <v>87350690</v>
      </c>
      <c r="C36" s="119">
        <v>223.8</v>
      </c>
      <c r="D36" s="119">
        <v>0.5</v>
      </c>
      <c r="E36" s="126">
        <f>+'Economic Indices'!M26</f>
        <v>6.7000000000000004E-2</v>
      </c>
      <c r="F36" s="10">
        <v>31</v>
      </c>
      <c r="G36" s="10">
        <v>1</v>
      </c>
      <c r="H36" s="10">
        <f t="shared" si="0"/>
        <v>89983060.103429526</v>
      </c>
      <c r="I36" s="36">
        <f t="shared" si="4"/>
        <v>2632370.1034295261</v>
      </c>
      <c r="J36" s="5">
        <f t="shared" si="3"/>
        <v>3.0135653232155647E-2</v>
      </c>
      <c r="T36"/>
    </row>
    <row r="37" spans="1:20" x14ac:dyDescent="0.2">
      <c r="A37" s="3">
        <v>38657</v>
      </c>
      <c r="B37" s="41">
        <v>94515140</v>
      </c>
      <c r="C37" s="119">
        <v>398.5</v>
      </c>
      <c r="D37" s="119">
        <v>0</v>
      </c>
      <c r="E37" s="126">
        <f>+E36</f>
        <v>6.7000000000000004E-2</v>
      </c>
      <c r="F37" s="10">
        <v>30</v>
      </c>
      <c r="G37" s="10">
        <v>1</v>
      </c>
      <c r="H37" s="10">
        <f t="shared" si="0"/>
        <v>94132420.486866951</v>
      </c>
      <c r="I37" s="36">
        <f t="shared" si="4"/>
        <v>-382719.51313304901</v>
      </c>
      <c r="J37" s="5">
        <f t="shared" si="3"/>
        <v>-4.0492931940115523E-3</v>
      </c>
      <c r="T37"/>
    </row>
    <row r="38" spans="1:20" x14ac:dyDescent="0.2">
      <c r="A38" s="3">
        <v>38687</v>
      </c>
      <c r="B38" s="41">
        <v>112129490</v>
      </c>
      <c r="C38" s="119">
        <v>641.1</v>
      </c>
      <c r="D38" s="119">
        <v>0</v>
      </c>
      <c r="E38" s="126">
        <f>+E37</f>
        <v>6.7000000000000004E-2</v>
      </c>
      <c r="F38" s="10">
        <v>31</v>
      </c>
      <c r="G38" s="10">
        <v>0</v>
      </c>
      <c r="H38" s="10">
        <f t="shared" si="0"/>
        <v>113731318.60922776</v>
      </c>
      <c r="I38" s="36">
        <f t="shared" si="4"/>
        <v>1601828.6092277616</v>
      </c>
      <c r="J38" s="5">
        <f t="shared" si="3"/>
        <v>1.4285524791272677E-2</v>
      </c>
      <c r="T38"/>
    </row>
    <row r="39" spans="1:20" x14ac:dyDescent="0.2">
      <c r="A39" s="3">
        <v>38718</v>
      </c>
      <c r="B39" s="38">
        <v>108586490</v>
      </c>
      <c r="C39" s="119">
        <v>558.20000000000005</v>
      </c>
      <c r="D39" s="119">
        <v>0</v>
      </c>
      <c r="E39" s="126">
        <f>+'Economic Indices'!M27</f>
        <v>6.6000000000000003E-2</v>
      </c>
      <c r="F39" s="10">
        <v>31</v>
      </c>
      <c r="G39" s="10">
        <v>0</v>
      </c>
      <c r="H39" s="10">
        <f t="shared" si="0"/>
        <v>110516693.15747507</v>
      </c>
      <c r="I39" s="36">
        <f t="shared" si="4"/>
        <v>1930203.1574750692</v>
      </c>
      <c r="J39" s="5">
        <f t="shared" si="3"/>
        <v>1.777572106322867E-2</v>
      </c>
      <c r="T39"/>
    </row>
    <row r="40" spans="1:20" x14ac:dyDescent="0.2">
      <c r="A40" s="3">
        <v>38749</v>
      </c>
      <c r="B40" s="38">
        <v>101769990</v>
      </c>
      <c r="C40" s="119">
        <v>608.79999999999995</v>
      </c>
      <c r="D40" s="119">
        <v>0</v>
      </c>
      <c r="E40" s="126">
        <f>+E39</f>
        <v>6.6000000000000003E-2</v>
      </c>
      <c r="F40" s="10">
        <v>28</v>
      </c>
      <c r="G40" s="10">
        <v>0</v>
      </c>
      <c r="H40" s="10">
        <f t="shared" si="0"/>
        <v>104120550.85167682</v>
      </c>
      <c r="I40" s="36">
        <f t="shared" si="4"/>
        <v>2350560.8516768217</v>
      </c>
      <c r="J40" s="5">
        <f t="shared" si="3"/>
        <v>2.3096797510511906E-2</v>
      </c>
      <c r="T40"/>
    </row>
    <row r="41" spans="1:20" x14ac:dyDescent="0.2">
      <c r="A41" s="3">
        <v>38777</v>
      </c>
      <c r="B41" s="38">
        <v>102729300</v>
      </c>
      <c r="C41" s="119">
        <v>534</v>
      </c>
      <c r="D41" s="119">
        <v>0</v>
      </c>
      <c r="E41" s="126">
        <f>+E40</f>
        <v>6.6000000000000003E-2</v>
      </c>
      <c r="F41" s="10">
        <v>31</v>
      </c>
      <c r="G41" s="10">
        <v>1</v>
      </c>
      <c r="H41" s="10">
        <f t="shared" si="0"/>
        <v>102520776.82129429</v>
      </c>
      <c r="I41" s="36">
        <f t="shared" si="4"/>
        <v>-208523.17870570719</v>
      </c>
      <c r="J41" s="5">
        <f t="shared" si="3"/>
        <v>-2.0298315933789794E-3</v>
      </c>
      <c r="T41"/>
    </row>
    <row r="42" spans="1:20" x14ac:dyDescent="0.2">
      <c r="A42" s="3">
        <v>38808</v>
      </c>
      <c r="B42" s="38">
        <v>85245280</v>
      </c>
      <c r="C42" s="119">
        <v>323.60000000000002</v>
      </c>
      <c r="D42" s="119">
        <v>0</v>
      </c>
      <c r="E42" s="126">
        <f>+'Economic Indices'!M28</f>
        <v>6.5000000000000002E-2</v>
      </c>
      <c r="F42" s="10">
        <v>30</v>
      </c>
      <c r="G42" s="10">
        <v>1</v>
      </c>
      <c r="H42" s="10">
        <f t="shared" si="0"/>
        <v>91362455.213135198</v>
      </c>
      <c r="I42" s="36">
        <f t="shared" si="4"/>
        <v>6117175.2131351978</v>
      </c>
      <c r="J42" s="5">
        <f t="shared" si="3"/>
        <v>7.1759694063239607E-2</v>
      </c>
      <c r="T42"/>
    </row>
    <row r="43" spans="1:20" x14ac:dyDescent="0.2">
      <c r="A43" s="3">
        <v>38838</v>
      </c>
      <c r="B43" s="38">
        <v>85191000</v>
      </c>
      <c r="C43" s="119">
        <v>172.6</v>
      </c>
      <c r="D43" s="119">
        <v>12.8</v>
      </c>
      <c r="E43" s="126">
        <f>+E42</f>
        <v>6.5000000000000002E-2</v>
      </c>
      <c r="F43" s="10">
        <v>31</v>
      </c>
      <c r="G43" s="10">
        <v>1</v>
      </c>
      <c r="H43" s="10">
        <f t="shared" si="0"/>
        <v>89947155.384506181</v>
      </c>
      <c r="I43" s="36">
        <f t="shared" si="4"/>
        <v>4756155.3845061809</v>
      </c>
      <c r="J43" s="5">
        <f t="shared" si="3"/>
        <v>5.5829317469054021E-2</v>
      </c>
      <c r="T43"/>
    </row>
    <row r="44" spans="1:20" x14ac:dyDescent="0.2">
      <c r="A44" s="3">
        <v>38869</v>
      </c>
      <c r="B44" s="38">
        <v>91808310</v>
      </c>
      <c r="C44" s="119">
        <v>22.6</v>
      </c>
      <c r="D44" s="119">
        <v>36.200000000000003</v>
      </c>
      <c r="E44" s="126">
        <f>+E43</f>
        <v>6.5000000000000002E-2</v>
      </c>
      <c r="F44" s="10">
        <v>30</v>
      </c>
      <c r="G44" s="10">
        <v>0</v>
      </c>
      <c r="H44" s="10">
        <f t="shared" si="0"/>
        <v>91505733.807103127</v>
      </c>
      <c r="I44" s="36">
        <f t="shared" si="4"/>
        <v>-302576.19289687276</v>
      </c>
      <c r="J44" s="5">
        <f t="shared" si="3"/>
        <v>-3.2957386199231067E-3</v>
      </c>
      <c r="T44"/>
    </row>
    <row r="45" spans="1:20" x14ac:dyDescent="0.2">
      <c r="A45" s="3">
        <v>38899</v>
      </c>
      <c r="B45" s="38">
        <v>103610940</v>
      </c>
      <c r="C45" s="119">
        <v>1.7</v>
      </c>
      <c r="D45" s="119">
        <v>107.6</v>
      </c>
      <c r="E45" s="126">
        <f>+'Economic Indices'!M29</f>
        <v>6.7000000000000004E-2</v>
      </c>
      <c r="F45" s="10">
        <v>31</v>
      </c>
      <c r="G45" s="10">
        <v>0</v>
      </c>
      <c r="H45" s="10">
        <f t="shared" si="0"/>
        <v>103562814.32690515</v>
      </c>
      <c r="I45" s="36">
        <f t="shared" si="4"/>
        <v>-48125.673094853759</v>
      </c>
      <c r="J45" s="5">
        <f t="shared" si="3"/>
        <v>-4.6448447523836535E-4</v>
      </c>
      <c r="T45"/>
    </row>
    <row r="46" spans="1:20" x14ac:dyDescent="0.2">
      <c r="A46" s="3">
        <v>38930</v>
      </c>
      <c r="B46" s="38">
        <v>98252830</v>
      </c>
      <c r="C46" s="119">
        <v>4.4000000000000004</v>
      </c>
      <c r="D46" s="119">
        <v>82.1</v>
      </c>
      <c r="E46" s="126">
        <f>+E45</f>
        <v>6.7000000000000004E-2</v>
      </c>
      <c r="F46" s="10">
        <v>31</v>
      </c>
      <c r="G46" s="10">
        <v>0</v>
      </c>
      <c r="H46" s="10">
        <f t="shared" si="0"/>
        <v>99981284.085596755</v>
      </c>
      <c r="I46" s="36">
        <f t="shared" si="4"/>
        <v>1728454.0855967551</v>
      </c>
      <c r="J46" s="5">
        <f t="shared" si="3"/>
        <v>1.7591901277517964E-2</v>
      </c>
      <c r="T46"/>
    </row>
    <row r="47" spans="1:20" x14ac:dyDescent="0.2">
      <c r="A47" s="3">
        <v>38961</v>
      </c>
      <c r="B47" s="38">
        <v>83090470</v>
      </c>
      <c r="C47" s="119">
        <v>70.7</v>
      </c>
      <c r="D47" s="119">
        <v>5.0999999999999996</v>
      </c>
      <c r="E47" s="126">
        <f>+E46</f>
        <v>6.7000000000000004E-2</v>
      </c>
      <c r="F47" s="10">
        <v>30</v>
      </c>
      <c r="G47" s="10">
        <v>1</v>
      </c>
      <c r="H47" s="10">
        <f t="shared" si="0"/>
        <v>81674493.144592658</v>
      </c>
      <c r="I47" s="36">
        <f t="shared" si="4"/>
        <v>-1415976.8554073423</v>
      </c>
      <c r="J47" s="5">
        <f t="shared" si="3"/>
        <v>-1.7041387001509829E-2</v>
      </c>
      <c r="T47"/>
    </row>
    <row r="48" spans="1:20" x14ac:dyDescent="0.2">
      <c r="A48" s="3">
        <v>38991</v>
      </c>
      <c r="B48" s="38">
        <v>90859410</v>
      </c>
      <c r="C48" s="119">
        <v>274.60000000000002</v>
      </c>
      <c r="D48" s="119">
        <v>0</v>
      </c>
      <c r="E48" s="126">
        <f>+'Economic Indices'!M30</f>
        <v>6.8000000000000005E-2</v>
      </c>
      <c r="F48" s="10">
        <v>31</v>
      </c>
      <c r="G48" s="10">
        <v>1</v>
      </c>
      <c r="H48" s="10">
        <f t="shared" si="0"/>
        <v>91833105.284978449</v>
      </c>
      <c r="I48" s="36">
        <f t="shared" si="4"/>
        <v>973695.28497844934</v>
      </c>
      <c r="J48" s="5">
        <f t="shared" si="3"/>
        <v>1.0716504597360354E-2</v>
      </c>
      <c r="T48"/>
    </row>
    <row r="49" spans="1:20" x14ac:dyDescent="0.2">
      <c r="A49" s="3">
        <v>39022</v>
      </c>
      <c r="B49" s="38">
        <v>95117460</v>
      </c>
      <c r="C49" s="119">
        <v>367.5</v>
      </c>
      <c r="D49" s="119">
        <v>0</v>
      </c>
      <c r="E49" s="126">
        <f>+E48</f>
        <v>6.8000000000000005E-2</v>
      </c>
      <c r="F49" s="10">
        <v>30</v>
      </c>
      <c r="G49" s="10">
        <v>1</v>
      </c>
      <c r="H49" s="10">
        <f t="shared" si="0"/>
        <v>92761868.455327928</v>
      </c>
      <c r="I49" s="36">
        <f t="shared" si="4"/>
        <v>-2355591.5446720719</v>
      </c>
      <c r="J49" s="5">
        <f t="shared" si="3"/>
        <v>-2.4765080403451396E-2</v>
      </c>
      <c r="T49"/>
    </row>
    <row r="50" spans="1:20" x14ac:dyDescent="0.2">
      <c r="A50" s="3">
        <v>39052</v>
      </c>
      <c r="B50" s="38">
        <v>105098960</v>
      </c>
      <c r="C50" s="119">
        <v>471.5</v>
      </c>
      <c r="D50" s="119">
        <v>0</v>
      </c>
      <c r="E50" s="126">
        <f>+E49</f>
        <v>6.8000000000000005E-2</v>
      </c>
      <c r="F50" s="10">
        <v>31</v>
      </c>
      <c r="G50" s="10">
        <v>0</v>
      </c>
      <c r="H50" s="10">
        <f t="shared" si="0"/>
        <v>106781261.75605369</v>
      </c>
      <c r="I50" s="36">
        <f t="shared" si="4"/>
        <v>1682301.7560536861</v>
      </c>
      <c r="J50" s="5">
        <f t="shared" si="3"/>
        <v>1.6006835424952695E-2</v>
      </c>
      <c r="T50"/>
    </row>
    <row r="51" spans="1:20" x14ac:dyDescent="0.2">
      <c r="A51" s="3">
        <v>39083</v>
      </c>
      <c r="B51" s="38">
        <v>112093789.99999999</v>
      </c>
      <c r="C51" s="119">
        <v>573.1</v>
      </c>
      <c r="D51" s="119">
        <v>0</v>
      </c>
      <c r="E51" s="126">
        <f>+'Economic Indices'!M31</f>
        <v>6.0999999999999999E-2</v>
      </c>
      <c r="F51" s="10">
        <v>31</v>
      </c>
      <c r="G51" s="10">
        <v>0</v>
      </c>
      <c r="H51" s="10">
        <f t="shared" si="0"/>
        <v>111729564.24221873</v>
      </c>
      <c r="I51" s="36">
        <f t="shared" si="4"/>
        <v>-364225.75778125226</v>
      </c>
      <c r="J51" s="5">
        <f t="shared" si="3"/>
        <v>-3.2492947002795811E-3</v>
      </c>
      <c r="T51"/>
    </row>
    <row r="52" spans="1:20" x14ac:dyDescent="0.2">
      <c r="A52" s="3">
        <v>39114</v>
      </c>
      <c r="B52" s="38">
        <v>109302770</v>
      </c>
      <c r="C52" s="119">
        <v>693.5</v>
      </c>
      <c r="D52" s="119">
        <v>0</v>
      </c>
      <c r="E52" s="126">
        <f>+E51</f>
        <v>6.0999999999999999E-2</v>
      </c>
      <c r="F52" s="10">
        <v>28</v>
      </c>
      <c r="G52" s="10">
        <v>0</v>
      </c>
      <c r="H52" s="10">
        <f t="shared" si="0"/>
        <v>108143302.43101014</v>
      </c>
      <c r="I52" s="36">
        <f t="shared" si="4"/>
        <v>-1159467.568989858</v>
      </c>
      <c r="J52" s="5">
        <f t="shared" si="3"/>
        <v>-1.0607851649046571E-2</v>
      </c>
      <c r="T52"/>
    </row>
    <row r="53" spans="1:20" x14ac:dyDescent="0.2">
      <c r="A53" s="3">
        <v>39142</v>
      </c>
      <c r="B53" s="38">
        <v>106781890</v>
      </c>
      <c r="C53" s="119">
        <v>477.9</v>
      </c>
      <c r="D53" s="119">
        <v>0</v>
      </c>
      <c r="E53" s="126">
        <f>+E52</f>
        <v>6.0999999999999999E-2</v>
      </c>
      <c r="F53" s="10">
        <v>31</v>
      </c>
      <c r="G53" s="10">
        <v>1</v>
      </c>
      <c r="H53" s="10">
        <f t="shared" si="0"/>
        <v>100875460.01039517</v>
      </c>
      <c r="I53" s="36">
        <f t="shared" si="4"/>
        <v>-5906429.9896048307</v>
      </c>
      <c r="J53" s="5">
        <f t="shared" si="3"/>
        <v>-5.5313030979362049E-2</v>
      </c>
      <c r="T53"/>
    </row>
    <row r="54" spans="1:20" x14ac:dyDescent="0.2">
      <c r="A54" s="3">
        <v>39173</v>
      </c>
      <c r="B54" s="38">
        <v>92267850</v>
      </c>
      <c r="C54" s="119">
        <v>280.39999999999998</v>
      </c>
      <c r="D54" s="119">
        <v>0</v>
      </c>
      <c r="E54" s="126">
        <f>+'Economic Indices'!M32</f>
        <v>0.06</v>
      </c>
      <c r="F54" s="10">
        <v>30</v>
      </c>
      <c r="G54" s="10">
        <v>1</v>
      </c>
      <c r="H54" s="10">
        <f t="shared" si="0"/>
        <v>90236442.963557094</v>
      </c>
      <c r="I54" s="36">
        <f t="shared" si="4"/>
        <v>-2031407.0364429057</v>
      </c>
      <c r="J54" s="5">
        <f t="shared" si="3"/>
        <v>-2.2016412395465004E-2</v>
      </c>
      <c r="T54"/>
    </row>
    <row r="55" spans="1:20" x14ac:dyDescent="0.2">
      <c r="A55" s="3">
        <v>39203</v>
      </c>
      <c r="B55" s="38">
        <v>86029130</v>
      </c>
      <c r="C55" s="119">
        <v>72.8</v>
      </c>
      <c r="D55" s="119">
        <v>4.5</v>
      </c>
      <c r="E55" s="126">
        <f>+E54</f>
        <v>0.06</v>
      </c>
      <c r="F55" s="10">
        <v>31</v>
      </c>
      <c r="G55" s="10">
        <v>1</v>
      </c>
      <c r="H55" s="10">
        <f t="shared" si="0"/>
        <v>85341513.004176587</v>
      </c>
      <c r="I55" s="36">
        <f t="shared" si="4"/>
        <v>-687616.99582341313</v>
      </c>
      <c r="J55" s="5">
        <f t="shared" si="3"/>
        <v>-7.9928391211606248E-3</v>
      </c>
      <c r="T55"/>
    </row>
    <row r="56" spans="1:20" x14ac:dyDescent="0.2">
      <c r="A56" s="3">
        <v>39234</v>
      </c>
      <c r="B56" s="38">
        <v>96829929.999999985</v>
      </c>
      <c r="C56" s="119">
        <v>6.2</v>
      </c>
      <c r="D56" s="119">
        <v>32.799999999999997</v>
      </c>
      <c r="E56" s="126">
        <f>+E55</f>
        <v>0.06</v>
      </c>
      <c r="F56" s="10">
        <v>30</v>
      </c>
      <c r="G56" s="10">
        <v>0</v>
      </c>
      <c r="H56" s="10">
        <f t="shared" si="0"/>
        <v>90966557.26188761</v>
      </c>
      <c r="I56" s="36">
        <f t="shared" si="4"/>
        <v>-5863372.7381123751</v>
      </c>
      <c r="J56" s="5">
        <f t="shared" si="3"/>
        <v>-6.0553309685469937E-2</v>
      </c>
      <c r="T56"/>
    </row>
    <row r="57" spans="1:20" x14ac:dyDescent="0.2">
      <c r="A57" s="3">
        <v>39264</v>
      </c>
      <c r="B57" s="38">
        <v>96919610</v>
      </c>
      <c r="C57" s="119">
        <v>8.6999999999999993</v>
      </c>
      <c r="D57" s="119">
        <v>41.6</v>
      </c>
      <c r="E57" s="126">
        <f>+'Economic Indices'!M33</f>
        <v>6.5000000000000002E-2</v>
      </c>
      <c r="F57" s="10">
        <v>31</v>
      </c>
      <c r="G57" s="10">
        <v>0</v>
      </c>
      <c r="H57" s="10">
        <f t="shared" si="0"/>
        <v>94538666.626705855</v>
      </c>
      <c r="I57" s="36">
        <f t="shared" si="4"/>
        <v>-2380943.3732941449</v>
      </c>
      <c r="J57" s="5">
        <f t="shared" si="3"/>
        <v>-2.4566167499994532E-2</v>
      </c>
      <c r="T57"/>
    </row>
    <row r="58" spans="1:20" x14ac:dyDescent="0.2">
      <c r="A58" s="3">
        <v>39295</v>
      </c>
      <c r="B58" s="38">
        <v>103644560</v>
      </c>
      <c r="C58" s="119">
        <v>4</v>
      </c>
      <c r="D58" s="119">
        <v>87.8</v>
      </c>
      <c r="E58" s="126">
        <f>+E57</f>
        <v>6.5000000000000002E-2</v>
      </c>
      <c r="F58" s="10">
        <v>31</v>
      </c>
      <c r="G58" s="10">
        <v>0</v>
      </c>
      <c r="H58" s="10">
        <f t="shared" si="0"/>
        <v>101035276.42308776</v>
      </c>
      <c r="I58" s="36">
        <f t="shared" si="4"/>
        <v>-2609283.5769122392</v>
      </c>
      <c r="J58" s="5">
        <f t="shared" si="3"/>
        <v>-2.5175306614377439E-2</v>
      </c>
      <c r="T58"/>
    </row>
    <row r="59" spans="1:20" x14ac:dyDescent="0.2">
      <c r="A59" s="3">
        <v>39326</v>
      </c>
      <c r="B59" s="38">
        <v>87760000</v>
      </c>
      <c r="C59" s="119">
        <v>20.100000000000001</v>
      </c>
      <c r="D59" s="119">
        <v>12.3</v>
      </c>
      <c r="E59" s="126">
        <f>+E58</f>
        <v>6.5000000000000002E-2</v>
      </c>
      <c r="F59" s="10">
        <v>30</v>
      </c>
      <c r="G59" s="10">
        <v>1</v>
      </c>
      <c r="H59" s="10">
        <f t="shared" si="0"/>
        <v>80924697.747460276</v>
      </c>
      <c r="I59" s="36">
        <f t="shared" si="4"/>
        <v>-6835302.2525397241</v>
      </c>
      <c r="J59" s="5">
        <f t="shared" si="3"/>
        <v>-7.7886306432768046E-2</v>
      </c>
      <c r="T59"/>
    </row>
    <row r="60" spans="1:20" x14ac:dyDescent="0.2">
      <c r="A60" s="3">
        <v>39356</v>
      </c>
      <c r="B60" s="38">
        <v>88883380</v>
      </c>
      <c r="C60" s="119">
        <v>101.5</v>
      </c>
      <c r="D60" s="119">
        <v>0</v>
      </c>
      <c r="E60" s="126">
        <f>+'Economic Indices'!M34</f>
        <v>6.3E-2</v>
      </c>
      <c r="F60" s="10">
        <v>31</v>
      </c>
      <c r="G60" s="10">
        <v>1</v>
      </c>
      <c r="H60" s="10">
        <f t="shared" si="0"/>
        <v>85477816.871400386</v>
      </c>
      <c r="I60" s="36">
        <f t="shared" si="4"/>
        <v>-3405563.1285996139</v>
      </c>
      <c r="J60" s="5">
        <f t="shared" si="3"/>
        <v>-3.831495976637718E-2</v>
      </c>
      <c r="T60"/>
    </row>
    <row r="61" spans="1:20" x14ac:dyDescent="0.2">
      <c r="A61" s="3">
        <v>39387</v>
      </c>
      <c r="B61" s="38">
        <v>97788230</v>
      </c>
      <c r="C61" s="119">
        <v>314.10000000000002</v>
      </c>
      <c r="D61" s="119">
        <v>0</v>
      </c>
      <c r="E61" s="126">
        <f>+E60</f>
        <v>6.3E-2</v>
      </c>
      <c r="F61" s="10">
        <v>30</v>
      </c>
      <c r="G61" s="10">
        <v>1</v>
      </c>
      <c r="H61" s="10">
        <f t="shared" si="0"/>
        <v>91225243.296798334</v>
      </c>
      <c r="I61" s="36">
        <f t="shared" si="4"/>
        <v>-6562986.7032016665</v>
      </c>
      <c r="J61" s="5">
        <f t="shared" si="3"/>
        <v>-6.7114280555049075E-2</v>
      </c>
      <c r="T61"/>
    </row>
    <row r="62" spans="1:20" x14ac:dyDescent="0.2">
      <c r="A62" s="3">
        <v>39417</v>
      </c>
      <c r="B62" s="38">
        <v>112852450</v>
      </c>
      <c r="C62" s="119">
        <v>337.8</v>
      </c>
      <c r="D62" s="119">
        <v>0</v>
      </c>
      <c r="E62" s="126">
        <f>+E61</f>
        <v>6.3E-2</v>
      </c>
      <c r="F62" s="10">
        <v>31</v>
      </c>
      <c r="G62" s="10">
        <v>0</v>
      </c>
      <c r="H62" s="10">
        <f t="shared" si="0"/>
        <v>102012066.34371966</v>
      </c>
      <c r="I62" s="36">
        <f t="shared" si="4"/>
        <v>-10840383.656280339</v>
      </c>
      <c r="J62" s="5">
        <f t="shared" ref="J62:J93" si="5">I62/B62</f>
        <v>-9.605802670903768E-2</v>
      </c>
      <c r="T62"/>
    </row>
    <row r="63" spans="1:20" x14ac:dyDescent="0.2">
      <c r="A63" s="3">
        <v>39448</v>
      </c>
      <c r="B63" s="42">
        <v>111423480</v>
      </c>
      <c r="C63" s="120">
        <v>432.8</v>
      </c>
      <c r="D63" s="120">
        <v>0</v>
      </c>
      <c r="E63" s="126">
        <f>+'Economic Indices'!M35</f>
        <v>6.4000000000000001E-2</v>
      </c>
      <c r="F63" s="10">
        <v>31</v>
      </c>
      <c r="G63" s="10">
        <v>0</v>
      </c>
      <c r="H63" s="10">
        <f t="shared" si="0"/>
        <v>105713791.42275795</v>
      </c>
      <c r="I63" s="36">
        <f t="shared" si="4"/>
        <v>-5709688.5772420466</v>
      </c>
      <c r="J63" s="5">
        <f t="shared" si="5"/>
        <v>-5.1243136341119905E-2</v>
      </c>
      <c r="T63"/>
    </row>
    <row r="64" spans="1:20" x14ac:dyDescent="0.2">
      <c r="A64" s="3">
        <v>39479</v>
      </c>
      <c r="B64" s="42">
        <v>106527560</v>
      </c>
      <c r="C64" s="120">
        <v>317.60000000000002</v>
      </c>
      <c r="D64" s="120">
        <v>0</v>
      </c>
      <c r="E64" s="126">
        <f>+E63</f>
        <v>6.4000000000000001E-2</v>
      </c>
      <c r="F64" s="10">
        <v>29</v>
      </c>
      <c r="G64" s="10">
        <v>0</v>
      </c>
      <c r="H64" s="10">
        <f t="shared" si="0"/>
        <v>95454211.332633346</v>
      </c>
      <c r="I64" s="36">
        <f t="shared" si="4"/>
        <v>-11073348.667366654</v>
      </c>
      <c r="J64" s="5">
        <f t="shared" si="5"/>
        <v>-0.10394820520968145</v>
      </c>
      <c r="T64"/>
    </row>
    <row r="65" spans="1:36" x14ac:dyDescent="0.2">
      <c r="A65" s="3">
        <v>39508</v>
      </c>
      <c r="B65" s="42">
        <v>105633899.99999999</v>
      </c>
      <c r="C65" s="120">
        <v>430</v>
      </c>
      <c r="D65" s="120">
        <v>0</v>
      </c>
      <c r="E65" s="126">
        <f>+E64</f>
        <v>6.4000000000000001E-2</v>
      </c>
      <c r="F65" s="10">
        <v>31</v>
      </c>
      <c r="G65" s="10">
        <v>1</v>
      </c>
      <c r="H65" s="10">
        <f t="shared" si="0"/>
        <v>98579357.072024435</v>
      </c>
      <c r="I65" s="36">
        <f t="shared" si="4"/>
        <v>-7054542.9279755503</v>
      </c>
      <c r="J65" s="5">
        <f t="shared" si="5"/>
        <v>-6.6782944944525871E-2</v>
      </c>
      <c r="T65"/>
    </row>
    <row r="66" spans="1:36" x14ac:dyDescent="0.2">
      <c r="A66" s="3">
        <v>39539</v>
      </c>
      <c r="B66" s="42">
        <v>86147429.999999985</v>
      </c>
      <c r="C66" s="120">
        <v>144.6</v>
      </c>
      <c r="D66" s="120">
        <v>0</v>
      </c>
      <c r="E66" s="126">
        <f>+'Economic Indices'!M36</f>
        <v>7.400000000000001E-2</v>
      </c>
      <c r="F66" s="10">
        <v>30</v>
      </c>
      <c r="G66" s="10">
        <v>1</v>
      </c>
      <c r="H66" s="10">
        <f t="shared" si="0"/>
        <v>83053103.683710441</v>
      </c>
      <c r="I66" s="36">
        <f t="shared" si="4"/>
        <v>-3094326.3162895441</v>
      </c>
      <c r="J66" s="5">
        <f t="shared" si="5"/>
        <v>-3.5918962600388016E-2</v>
      </c>
      <c r="T66"/>
    </row>
    <row r="67" spans="1:36" x14ac:dyDescent="0.2">
      <c r="A67" s="3">
        <v>39569</v>
      </c>
      <c r="B67" s="42">
        <v>82776310</v>
      </c>
      <c r="C67" s="120">
        <v>151</v>
      </c>
      <c r="D67" s="120">
        <v>0</v>
      </c>
      <c r="E67" s="126">
        <f>+E66</f>
        <v>7.400000000000001E-2</v>
      </c>
      <c r="F67" s="10">
        <v>31</v>
      </c>
      <c r="G67" s="10">
        <v>1</v>
      </c>
      <c r="H67" s="10">
        <f t="shared" ref="H67:H130" si="6">$M$18+C67*$M$19+D67*$M$20+E67*$M$21+F67*$M$22+G67*$M$23</f>
        <v>86121777.950506404</v>
      </c>
      <c r="I67" s="36">
        <f t="shared" ref="I67:I98" si="7">H67-B67</f>
        <v>3345467.950506404</v>
      </c>
      <c r="J67" s="5">
        <f t="shared" si="5"/>
        <v>4.041576570043294E-2</v>
      </c>
      <c r="T67"/>
    </row>
    <row r="68" spans="1:36" x14ac:dyDescent="0.2">
      <c r="A68" s="3">
        <v>39600</v>
      </c>
      <c r="B68" s="42">
        <v>90692793</v>
      </c>
      <c r="C68" s="120">
        <v>15.5</v>
      </c>
      <c r="D68" s="120">
        <v>23.6</v>
      </c>
      <c r="E68" s="126">
        <f>+E67</f>
        <v>7.400000000000001E-2</v>
      </c>
      <c r="F68" s="10">
        <v>30</v>
      </c>
      <c r="G68" s="10">
        <v>0</v>
      </c>
      <c r="H68" s="10">
        <f t="shared" si="6"/>
        <v>88293013.719308361</v>
      </c>
      <c r="I68" s="36">
        <f t="shared" si="7"/>
        <v>-2399779.2806916386</v>
      </c>
      <c r="J68" s="5">
        <f t="shared" si="5"/>
        <v>-2.6460529015702918E-2</v>
      </c>
      <c r="T68"/>
    </row>
    <row r="69" spans="1:36" x14ac:dyDescent="0.2">
      <c r="A69" s="3">
        <v>39630</v>
      </c>
      <c r="B69" s="42">
        <v>98868440</v>
      </c>
      <c r="C69" s="120">
        <v>1</v>
      </c>
      <c r="D69" s="120">
        <v>61.4</v>
      </c>
      <c r="E69" s="126">
        <f>+'Economic Indices'!M37</f>
        <v>6.8000000000000005E-2</v>
      </c>
      <c r="F69" s="10">
        <v>31</v>
      </c>
      <c r="G69" s="10">
        <v>0</v>
      </c>
      <c r="H69" s="10">
        <f t="shared" si="6"/>
        <v>96726210.388117373</v>
      </c>
      <c r="I69" s="36">
        <f t="shared" si="7"/>
        <v>-2142229.611882627</v>
      </c>
      <c r="J69" s="5">
        <f t="shared" si="5"/>
        <v>-2.1667476617236271E-2</v>
      </c>
      <c r="T69"/>
    </row>
    <row r="70" spans="1:36" x14ac:dyDescent="0.2">
      <c r="A70" s="3">
        <v>39661</v>
      </c>
      <c r="B70" s="42">
        <v>93432320</v>
      </c>
      <c r="C70" s="120">
        <v>13.8</v>
      </c>
      <c r="D70" s="120">
        <v>29.9</v>
      </c>
      <c r="E70" s="126">
        <f>+E69</f>
        <v>6.8000000000000005E-2</v>
      </c>
      <c r="F70" s="10">
        <v>31</v>
      </c>
      <c r="G70" s="10">
        <v>0</v>
      </c>
      <c r="H70" s="10">
        <f t="shared" si="6"/>
        <v>92682979.934611261</v>
      </c>
      <c r="I70" s="36">
        <f t="shared" si="7"/>
        <v>-749340.06538873911</v>
      </c>
      <c r="J70" s="5">
        <f t="shared" si="5"/>
        <v>-8.0201376289140529E-3</v>
      </c>
      <c r="T70"/>
    </row>
    <row r="71" spans="1:36" x14ac:dyDescent="0.2">
      <c r="A71" s="3">
        <v>39692</v>
      </c>
      <c r="B71" s="42">
        <v>86855072</v>
      </c>
      <c r="C71" s="120">
        <v>51.6</v>
      </c>
      <c r="D71" s="120">
        <v>15.1</v>
      </c>
      <c r="E71" s="126">
        <f>+E70</f>
        <v>6.8000000000000005E-2</v>
      </c>
      <c r="F71" s="10">
        <v>30</v>
      </c>
      <c r="G71" s="10">
        <v>1</v>
      </c>
      <c r="H71" s="10">
        <f t="shared" si="6"/>
        <v>82230135.347488374</v>
      </c>
      <c r="I71" s="36">
        <f t="shared" si="7"/>
        <v>-4624936.6525116265</v>
      </c>
      <c r="J71" s="5">
        <f t="shared" si="5"/>
        <v>-5.3248895499293659E-2</v>
      </c>
      <c r="T71"/>
    </row>
    <row r="72" spans="1:36" x14ac:dyDescent="0.2">
      <c r="A72" s="3">
        <v>39722</v>
      </c>
      <c r="B72" s="42">
        <v>88294618</v>
      </c>
      <c r="C72" s="120">
        <v>203.1</v>
      </c>
      <c r="D72" s="120">
        <v>0</v>
      </c>
      <c r="E72" s="126">
        <f>+'Economic Indices'!M38</f>
        <v>7.9000000000000001E-2</v>
      </c>
      <c r="F72" s="10">
        <v>31</v>
      </c>
      <c r="G72" s="10">
        <v>1</v>
      </c>
      <c r="H72" s="10">
        <f t="shared" si="6"/>
        <v>87606070.091228455</v>
      </c>
      <c r="I72" s="36">
        <f t="shared" si="7"/>
        <v>-688547.90877154469</v>
      </c>
      <c r="J72" s="5">
        <f t="shared" si="5"/>
        <v>-7.798299877933043E-3</v>
      </c>
      <c r="T72"/>
    </row>
    <row r="73" spans="1:36" x14ac:dyDescent="0.2">
      <c r="A73" s="3">
        <v>39753</v>
      </c>
      <c r="B73" s="42">
        <v>95870835</v>
      </c>
      <c r="C73" s="120">
        <v>268.8</v>
      </c>
      <c r="D73" s="120">
        <v>0</v>
      </c>
      <c r="E73" s="126">
        <f>+E72</f>
        <v>7.9000000000000001E-2</v>
      </c>
      <c r="F73" s="10">
        <v>30</v>
      </c>
      <c r="G73" s="10">
        <v>1</v>
      </c>
      <c r="H73" s="10">
        <f t="shared" si="6"/>
        <v>87439865.504373953</v>
      </c>
      <c r="I73" s="36">
        <f t="shared" si="7"/>
        <v>-8430969.4956260473</v>
      </c>
      <c r="J73" s="5">
        <f t="shared" si="5"/>
        <v>-8.7940920673383591E-2</v>
      </c>
      <c r="T73"/>
    </row>
    <row r="74" spans="1:36" x14ac:dyDescent="0.2">
      <c r="A74" s="3">
        <v>39783</v>
      </c>
      <c r="B74" s="42">
        <v>112359168</v>
      </c>
      <c r="C74" s="120">
        <v>378.9</v>
      </c>
      <c r="D74" s="120">
        <v>0</v>
      </c>
      <c r="E74" s="126">
        <f>+E73</f>
        <v>7.9000000000000001E-2</v>
      </c>
      <c r="F74" s="10">
        <v>31</v>
      </c>
      <c r="G74" s="10">
        <v>0</v>
      </c>
      <c r="H74" s="10">
        <f t="shared" si="6"/>
        <v>101704821.42711972</v>
      </c>
      <c r="I74" s="36">
        <f t="shared" si="7"/>
        <v>-10654346.572880283</v>
      </c>
      <c r="J74" s="5">
        <f t="shared" si="5"/>
        <v>-9.4824007355414769E-2</v>
      </c>
      <c r="T74"/>
    </row>
    <row r="75" spans="1:36" s="14" customFormat="1" x14ac:dyDescent="0.2">
      <c r="A75" s="3">
        <v>39814</v>
      </c>
      <c r="B75" s="38">
        <v>119321706</v>
      </c>
      <c r="C75" s="120">
        <v>684.3</v>
      </c>
      <c r="D75" s="120">
        <v>0</v>
      </c>
      <c r="E75" s="126">
        <f>+'Economic Indices'!M39</f>
        <v>8.5000000000000006E-2</v>
      </c>
      <c r="F75" s="10">
        <v>31</v>
      </c>
      <c r="G75" s="10">
        <v>0</v>
      </c>
      <c r="H75" s="10">
        <f t="shared" si="6"/>
        <v>113263389.96913713</v>
      </c>
      <c r="I75" s="36">
        <f t="shared" si="7"/>
        <v>-6058316.0308628678</v>
      </c>
      <c r="J75" s="5">
        <f t="shared" si="5"/>
        <v>-5.0772958533318889E-2</v>
      </c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x14ac:dyDescent="0.2">
      <c r="A76" s="3">
        <v>39845</v>
      </c>
      <c r="B76" s="38">
        <v>99385016</v>
      </c>
      <c r="C76" s="120">
        <v>595.29999999999995</v>
      </c>
      <c r="D76" s="120">
        <v>0</v>
      </c>
      <c r="E76" s="126">
        <f>+E75</f>
        <v>8.5000000000000006E-2</v>
      </c>
      <c r="F76" s="10">
        <v>28</v>
      </c>
      <c r="G76" s="10">
        <v>0</v>
      </c>
      <c r="H76" s="10">
        <f t="shared" si="6"/>
        <v>101247486.67415957</v>
      </c>
      <c r="I76" s="36">
        <f t="shared" si="7"/>
        <v>1862470.6741595715</v>
      </c>
      <c r="J76" s="5">
        <f t="shared" si="5"/>
        <v>1.8739954463151381E-2</v>
      </c>
      <c r="T76"/>
    </row>
    <row r="77" spans="1:36" x14ac:dyDescent="0.2">
      <c r="A77" s="3">
        <v>39873</v>
      </c>
      <c r="B77" s="38">
        <v>100852310</v>
      </c>
      <c r="C77" s="120">
        <v>442.2</v>
      </c>
      <c r="D77" s="120">
        <v>0</v>
      </c>
      <c r="E77" s="126">
        <f>+E76</f>
        <v>8.5000000000000006E-2</v>
      </c>
      <c r="F77" s="10">
        <v>31</v>
      </c>
      <c r="G77" s="10">
        <v>1</v>
      </c>
      <c r="H77" s="10">
        <f t="shared" si="6"/>
        <v>96495654.725061134</v>
      </c>
      <c r="I77" s="36">
        <f t="shared" si="7"/>
        <v>-4356655.2749388665</v>
      </c>
      <c r="J77" s="5">
        <f t="shared" si="5"/>
        <v>-4.3198368732841781E-2</v>
      </c>
      <c r="T77"/>
    </row>
    <row r="78" spans="1:36" x14ac:dyDescent="0.2">
      <c r="A78" s="3">
        <v>39904</v>
      </c>
      <c r="B78" s="38">
        <v>86741668</v>
      </c>
      <c r="C78" s="120">
        <v>313.8</v>
      </c>
      <c r="D78" s="120">
        <v>0</v>
      </c>
      <c r="E78" s="126">
        <f>+'Economic Indices'!M40</f>
        <v>8.6999999999999994E-2</v>
      </c>
      <c r="F78" s="10">
        <v>30</v>
      </c>
      <c r="G78" s="10">
        <v>1</v>
      </c>
      <c r="H78" s="10">
        <f t="shared" si="6"/>
        <v>88270506.342531264</v>
      </c>
      <c r="I78" s="36">
        <f t="shared" si="7"/>
        <v>1528838.3425312638</v>
      </c>
      <c r="J78" s="5">
        <f t="shared" si="5"/>
        <v>1.7625189574764274E-2</v>
      </c>
      <c r="T78"/>
    </row>
    <row r="79" spans="1:36" x14ac:dyDescent="0.2">
      <c r="A79" s="3">
        <v>39934</v>
      </c>
      <c r="B79" s="38">
        <v>80591893.384615391</v>
      </c>
      <c r="C79" s="120">
        <v>170.1</v>
      </c>
      <c r="D79" s="120">
        <v>0</v>
      </c>
      <c r="E79" s="126">
        <f>+E78</f>
        <v>8.6999999999999994E-2</v>
      </c>
      <c r="F79" s="10">
        <v>31</v>
      </c>
      <c r="G79" s="10">
        <v>1</v>
      </c>
      <c r="H79" s="10">
        <f t="shared" si="6"/>
        <v>85296729.86093314</v>
      </c>
      <c r="I79" s="36">
        <f t="shared" si="7"/>
        <v>4704836.4763177484</v>
      </c>
      <c r="J79" s="5">
        <f t="shared" si="5"/>
        <v>5.837853261325511E-2</v>
      </c>
      <c r="T79"/>
    </row>
    <row r="80" spans="1:36" x14ac:dyDescent="0.2">
      <c r="A80" s="3">
        <v>39965</v>
      </c>
      <c r="B80" s="38">
        <v>84198050.923076928</v>
      </c>
      <c r="C80" s="120">
        <v>57.9</v>
      </c>
      <c r="D80" s="120">
        <v>26.3</v>
      </c>
      <c r="E80" s="126">
        <f>+E79</f>
        <v>8.6999999999999994E-2</v>
      </c>
      <c r="F80" s="10">
        <v>30</v>
      </c>
      <c r="G80" s="10">
        <v>0</v>
      </c>
      <c r="H80" s="10">
        <f t="shared" si="6"/>
        <v>88796663.710494101</v>
      </c>
      <c r="I80" s="36">
        <f t="shared" si="7"/>
        <v>4598612.7874171734</v>
      </c>
      <c r="J80" s="5">
        <f t="shared" si="5"/>
        <v>5.4616618045214033E-2</v>
      </c>
      <c r="T80"/>
    </row>
    <row r="81" spans="1:20" x14ac:dyDescent="0.2">
      <c r="A81" s="3">
        <v>39995</v>
      </c>
      <c r="B81" s="38">
        <v>87831701.059230775</v>
      </c>
      <c r="C81" s="120">
        <v>16.8</v>
      </c>
      <c r="D81" s="120">
        <v>25.6</v>
      </c>
      <c r="E81" s="126">
        <f>+'Economic Indices'!M41</f>
        <v>9.1999999999999998E-2</v>
      </c>
      <c r="F81" s="10">
        <v>31</v>
      </c>
      <c r="G81" s="10">
        <v>0</v>
      </c>
      <c r="H81" s="10">
        <f t="shared" si="6"/>
        <v>89238815.621757329</v>
      </c>
      <c r="I81" s="36">
        <f t="shared" si="7"/>
        <v>1407114.5625265539</v>
      </c>
      <c r="J81" s="5">
        <f t="shared" si="5"/>
        <v>1.6020577371917716E-2</v>
      </c>
      <c r="T81"/>
    </row>
    <row r="82" spans="1:20" x14ac:dyDescent="0.2">
      <c r="A82" s="3">
        <v>40026</v>
      </c>
      <c r="B82" s="38">
        <v>97879755</v>
      </c>
      <c r="C82" s="120">
        <v>13.1</v>
      </c>
      <c r="D82" s="120">
        <v>77.7</v>
      </c>
      <c r="E82" s="126">
        <f>+E81</f>
        <v>9.1999999999999998E-2</v>
      </c>
      <c r="F82" s="10">
        <v>31</v>
      </c>
      <c r="G82" s="10">
        <v>0</v>
      </c>
      <c r="H82" s="10">
        <f t="shared" si="6"/>
        <v>96629497.631671712</v>
      </c>
      <c r="I82" s="36">
        <f t="shared" si="7"/>
        <v>-1250257.3683282882</v>
      </c>
      <c r="J82" s="5">
        <f t="shared" si="5"/>
        <v>-1.2773401081033439E-2</v>
      </c>
      <c r="T82"/>
    </row>
    <row r="83" spans="1:20" x14ac:dyDescent="0.2">
      <c r="A83" s="3">
        <v>40057</v>
      </c>
      <c r="B83" s="38">
        <v>83907661.687692314</v>
      </c>
      <c r="C83" s="120">
        <v>64.8</v>
      </c>
      <c r="D83" s="120">
        <v>9</v>
      </c>
      <c r="E83" s="126">
        <f>+E82</f>
        <v>9.1999999999999998E-2</v>
      </c>
      <c r="F83" s="10">
        <v>30</v>
      </c>
      <c r="G83" s="10">
        <v>1</v>
      </c>
      <c r="H83" s="10">
        <f t="shared" si="6"/>
        <v>78936097.692267492</v>
      </c>
      <c r="I83" s="36">
        <f t="shared" si="7"/>
        <v>-4971563.995424822</v>
      </c>
      <c r="J83" s="5">
        <f t="shared" si="5"/>
        <v>-5.9250417607025957E-2</v>
      </c>
      <c r="T83"/>
    </row>
    <row r="84" spans="1:20" x14ac:dyDescent="0.2">
      <c r="A84" s="3">
        <v>40087</v>
      </c>
      <c r="B84" s="38">
        <v>88097164.336923078</v>
      </c>
      <c r="C84" s="120">
        <v>287.89999999999998</v>
      </c>
      <c r="D84" s="120">
        <v>0</v>
      </c>
      <c r="E84" s="126">
        <f>+'Economic Indices'!M42</f>
        <v>9.9000000000000005E-2</v>
      </c>
      <c r="F84" s="10">
        <v>31</v>
      </c>
      <c r="G84" s="10">
        <v>1</v>
      </c>
      <c r="H84" s="10">
        <f t="shared" si="6"/>
        <v>88567576.345645592</v>
      </c>
      <c r="I84" s="36">
        <f t="shared" si="7"/>
        <v>470412.00872251391</v>
      </c>
      <c r="J84" s="5">
        <f t="shared" si="5"/>
        <v>5.3396952360855498E-3</v>
      </c>
      <c r="T84"/>
    </row>
    <row r="85" spans="1:20" x14ac:dyDescent="0.2">
      <c r="A85" s="3">
        <v>40118</v>
      </c>
      <c r="B85" s="38">
        <v>89873866.688461557</v>
      </c>
      <c r="C85" s="120">
        <v>347.4</v>
      </c>
      <c r="D85" s="120">
        <v>0</v>
      </c>
      <c r="E85" s="126">
        <f>+E84</f>
        <v>9.9000000000000005E-2</v>
      </c>
      <c r="F85" s="10">
        <v>30</v>
      </c>
      <c r="G85" s="10">
        <v>1</v>
      </c>
      <c r="H85" s="10">
        <f t="shared" si="6"/>
        <v>88151783.52001664</v>
      </c>
      <c r="I85" s="36">
        <f t="shared" si="7"/>
        <v>-1722083.1684449166</v>
      </c>
      <c r="J85" s="5">
        <f t="shared" si="5"/>
        <v>-1.9161111365268609E-2</v>
      </c>
      <c r="T85"/>
    </row>
    <row r="86" spans="1:20" s="31" customFormat="1" x14ac:dyDescent="0.2">
      <c r="A86" s="3">
        <v>40148</v>
      </c>
      <c r="B86" s="38">
        <v>109709991.43076923</v>
      </c>
      <c r="C86" s="120">
        <v>619.1</v>
      </c>
      <c r="D86" s="120">
        <v>0</v>
      </c>
      <c r="E86" s="126">
        <f>+E85</f>
        <v>9.9000000000000005E-2</v>
      </c>
      <c r="F86" s="10">
        <v>31</v>
      </c>
      <c r="G86" s="10">
        <v>0</v>
      </c>
      <c r="H86" s="10">
        <f t="shared" si="6"/>
        <v>108922136.11791554</v>
      </c>
      <c r="I86" s="36">
        <f t="shared" si="7"/>
        <v>-787855.31285369396</v>
      </c>
      <c r="J86" s="5">
        <f t="shared" si="5"/>
        <v>-7.1812539822396909E-3</v>
      </c>
      <c r="K86"/>
      <c r="L86"/>
      <c r="M86"/>
      <c r="N86"/>
      <c r="O86"/>
      <c r="P86"/>
      <c r="Q86"/>
      <c r="R86"/>
      <c r="S86"/>
      <c r="T86"/>
    </row>
    <row r="87" spans="1:20" x14ac:dyDescent="0.2">
      <c r="A87" s="3">
        <v>40179</v>
      </c>
      <c r="B87" s="38">
        <v>114148404.02769232</v>
      </c>
      <c r="C87" s="120">
        <v>699.9</v>
      </c>
      <c r="D87" s="120">
        <v>0</v>
      </c>
      <c r="E87" s="126">
        <f>+'Economic Indices'!M43</f>
        <v>0.10300000000000001</v>
      </c>
      <c r="F87" s="10">
        <v>31</v>
      </c>
      <c r="G87" s="10">
        <v>0</v>
      </c>
      <c r="H87" s="10">
        <f t="shared" si="6"/>
        <v>111684391.10482481</v>
      </c>
      <c r="I87" s="36">
        <f t="shared" si="7"/>
        <v>-2464012.9228675067</v>
      </c>
      <c r="J87" s="5">
        <f t="shared" si="5"/>
        <v>-2.1586047950961619E-2</v>
      </c>
      <c r="T87"/>
    </row>
    <row r="88" spans="1:20" x14ac:dyDescent="0.2">
      <c r="A88" s="3">
        <v>40210</v>
      </c>
      <c r="B88" s="38">
        <v>100280891.65769231</v>
      </c>
      <c r="C88" s="120">
        <v>583.79999999999995</v>
      </c>
      <c r="D88" s="120">
        <v>0</v>
      </c>
      <c r="E88" s="126">
        <f>+E87</f>
        <v>0.10300000000000001</v>
      </c>
      <c r="F88" s="10">
        <v>28</v>
      </c>
      <c r="G88" s="10">
        <v>0</v>
      </c>
      <c r="H88" s="10">
        <f t="shared" si="6"/>
        <v>98577545.669397682</v>
      </c>
      <c r="I88" s="36">
        <f t="shared" si="7"/>
        <v>-1703345.9882946312</v>
      </c>
      <c r="J88" s="5">
        <f t="shared" si="5"/>
        <v>-1.6985748332882633E-2</v>
      </c>
      <c r="T88"/>
    </row>
    <row r="89" spans="1:20" x14ac:dyDescent="0.2">
      <c r="A89" s="3">
        <v>40238</v>
      </c>
      <c r="B89" s="38">
        <v>95443611.384615391</v>
      </c>
      <c r="C89" s="120">
        <v>411</v>
      </c>
      <c r="D89" s="120">
        <v>0</v>
      </c>
      <c r="E89" s="126">
        <f>+E88</f>
        <v>0.10300000000000001</v>
      </c>
      <c r="F89" s="10">
        <v>31</v>
      </c>
      <c r="G89" s="10">
        <v>1</v>
      </c>
      <c r="H89" s="10">
        <f t="shared" si="6"/>
        <v>93032667.21967724</v>
      </c>
      <c r="I89" s="36">
        <f t="shared" si="7"/>
        <v>-2410944.1649381518</v>
      </c>
      <c r="J89" s="5">
        <f t="shared" si="5"/>
        <v>-2.5260403812913279E-2</v>
      </c>
      <c r="T89"/>
    </row>
    <row r="90" spans="1:20" x14ac:dyDescent="0.2">
      <c r="A90" s="3">
        <v>40269</v>
      </c>
      <c r="B90" s="38">
        <v>80941805.90538463</v>
      </c>
      <c r="C90" s="120">
        <v>244</v>
      </c>
      <c r="D90" s="120">
        <v>0</v>
      </c>
      <c r="E90" s="126">
        <f>+'Economic Indices'!M44</f>
        <v>9.9000000000000005E-2</v>
      </c>
      <c r="F90" s="10">
        <v>30</v>
      </c>
      <c r="G90" s="10">
        <v>1</v>
      </c>
      <c r="H90" s="10">
        <f t="shared" si="6"/>
        <v>83989295.795939699</v>
      </c>
      <c r="I90" s="36">
        <f t="shared" si="7"/>
        <v>3047489.8905550689</v>
      </c>
      <c r="J90" s="5">
        <f t="shared" si="5"/>
        <v>3.7650381733728228E-2</v>
      </c>
      <c r="T90"/>
    </row>
    <row r="91" spans="1:20" x14ac:dyDescent="0.2">
      <c r="A91" s="3">
        <v>40299</v>
      </c>
      <c r="B91" s="38">
        <v>87418768.25846155</v>
      </c>
      <c r="C91" s="120">
        <v>121.7</v>
      </c>
      <c r="D91" s="120">
        <v>23.2</v>
      </c>
      <c r="E91" s="126">
        <f>+E90</f>
        <v>9.9000000000000005E-2</v>
      </c>
      <c r="F91" s="10">
        <v>31</v>
      </c>
      <c r="G91" s="10">
        <v>1</v>
      </c>
      <c r="H91" s="10">
        <f t="shared" si="6"/>
        <v>85234379.650115386</v>
      </c>
      <c r="I91" s="36">
        <f t="shared" si="7"/>
        <v>-2184388.6083461642</v>
      </c>
      <c r="J91" s="5">
        <f t="shared" si="5"/>
        <v>-2.4987638831604448E-2</v>
      </c>
      <c r="T91"/>
    </row>
    <row r="92" spans="1:20" x14ac:dyDescent="0.2">
      <c r="A92" s="3">
        <v>40330</v>
      </c>
      <c r="B92" s="38">
        <v>89087288.937692314</v>
      </c>
      <c r="C92" s="120">
        <v>19.399999999999999</v>
      </c>
      <c r="D92" s="120">
        <v>46.6</v>
      </c>
      <c r="E92" s="126">
        <f>+E91</f>
        <v>9.9000000000000005E-2</v>
      </c>
      <c r="F92" s="10">
        <v>30</v>
      </c>
      <c r="G92" s="10">
        <v>0</v>
      </c>
      <c r="H92" s="10">
        <f t="shared" si="6"/>
        <v>88713177.264573753</v>
      </c>
      <c r="I92" s="36">
        <f t="shared" si="7"/>
        <v>-374111.67311856151</v>
      </c>
      <c r="J92" s="5">
        <f t="shared" si="5"/>
        <v>-4.199383296759826E-3</v>
      </c>
      <c r="T92"/>
    </row>
    <row r="93" spans="1:20" x14ac:dyDescent="0.2">
      <c r="A93" s="3">
        <v>40360</v>
      </c>
      <c r="B93" s="38">
        <v>107904059.08</v>
      </c>
      <c r="C93" s="120">
        <v>3.5</v>
      </c>
      <c r="D93" s="120">
        <v>124</v>
      </c>
      <c r="E93" s="126">
        <f>+'Economic Indices'!M45</f>
        <v>0.10400000000000001</v>
      </c>
      <c r="F93" s="10">
        <v>31</v>
      </c>
      <c r="G93" s="10">
        <v>0</v>
      </c>
      <c r="H93" s="10">
        <f t="shared" si="6"/>
        <v>101471993.61349142</v>
      </c>
      <c r="I93" s="36">
        <f t="shared" si="7"/>
        <v>-6432065.4665085822</v>
      </c>
      <c r="J93" s="5">
        <f t="shared" si="5"/>
        <v>-5.9609114998536369E-2</v>
      </c>
      <c r="T93"/>
    </row>
    <row r="94" spans="1:20" x14ac:dyDescent="0.2">
      <c r="A94" s="3">
        <v>40391</v>
      </c>
      <c r="B94" s="38">
        <v>102274426.19461538</v>
      </c>
      <c r="C94" s="120">
        <v>3.2</v>
      </c>
      <c r="D94" s="120">
        <v>96.8</v>
      </c>
      <c r="E94" s="126">
        <f>+E93</f>
        <v>0.10400000000000001</v>
      </c>
      <c r="F94" s="10">
        <v>31</v>
      </c>
      <c r="G94" s="10">
        <v>0</v>
      </c>
      <c r="H94" s="10">
        <f t="shared" si="6"/>
        <v>97523680.076638371</v>
      </c>
      <c r="I94" s="36">
        <f t="shared" si="7"/>
        <v>-4750746.1179770082</v>
      </c>
      <c r="J94" s="5">
        <f t="shared" ref="J94:J125" si="8">I94/B94</f>
        <v>-4.645096819156859E-2</v>
      </c>
      <c r="T94"/>
    </row>
    <row r="95" spans="1:20" x14ac:dyDescent="0.2">
      <c r="A95" s="3">
        <v>40422</v>
      </c>
      <c r="B95" s="38">
        <v>83491002.500769228</v>
      </c>
      <c r="C95" s="120">
        <v>85.5</v>
      </c>
      <c r="D95" s="120">
        <v>18.5</v>
      </c>
      <c r="E95" s="126">
        <f>+E94</f>
        <v>0.10400000000000001</v>
      </c>
      <c r="F95" s="10">
        <v>30</v>
      </c>
      <c r="G95" s="10">
        <v>1</v>
      </c>
      <c r="H95" s="10">
        <f t="shared" si="6"/>
        <v>79672858.85705696</v>
      </c>
      <c r="I95" s="36">
        <f t="shared" si="7"/>
        <v>-3818143.6437122673</v>
      </c>
      <c r="J95" s="5">
        <f t="shared" si="8"/>
        <v>-4.5731198923825232E-2</v>
      </c>
      <c r="T95"/>
    </row>
    <row r="96" spans="1:20" x14ac:dyDescent="0.2">
      <c r="A96" s="3">
        <v>40452</v>
      </c>
      <c r="B96" s="38">
        <v>84900189.230769232</v>
      </c>
      <c r="C96" s="120">
        <v>247.8</v>
      </c>
      <c r="D96" s="120">
        <v>0</v>
      </c>
      <c r="E96" s="126">
        <f>+'Economic Indices'!M46</f>
        <v>9.3000000000000013E-2</v>
      </c>
      <c r="F96" s="10">
        <v>31</v>
      </c>
      <c r="G96" s="10">
        <v>1</v>
      </c>
      <c r="H96" s="10">
        <f t="shared" si="6"/>
        <v>87688969.053121537</v>
      </c>
      <c r="I96" s="36">
        <f t="shared" si="7"/>
        <v>2788779.8223523051</v>
      </c>
      <c r="J96" s="5">
        <f t="shared" si="8"/>
        <v>3.2847745660166384E-2</v>
      </c>
      <c r="T96"/>
    </row>
    <row r="97" spans="1:20" x14ac:dyDescent="0.2">
      <c r="A97" s="3">
        <v>40483</v>
      </c>
      <c r="B97" s="38">
        <v>91736751.63692309</v>
      </c>
      <c r="C97" s="120">
        <v>389.2</v>
      </c>
      <c r="D97" s="120">
        <v>0</v>
      </c>
      <c r="E97" s="126">
        <f>+E96</f>
        <v>9.3000000000000013E-2</v>
      </c>
      <c r="F97" s="10">
        <v>30</v>
      </c>
      <c r="G97" s="10">
        <v>1</v>
      </c>
      <c r="H97" s="10">
        <f t="shared" si="6"/>
        <v>90570156.349367842</v>
      </c>
      <c r="I97" s="36">
        <f t="shared" si="7"/>
        <v>-1166595.2875552475</v>
      </c>
      <c r="J97" s="5">
        <f t="shared" si="8"/>
        <v>-1.2716771269299066E-2</v>
      </c>
      <c r="T97"/>
    </row>
    <row r="98" spans="1:20" x14ac:dyDescent="0.2">
      <c r="A98" s="3">
        <v>40513</v>
      </c>
      <c r="B98" s="38">
        <v>110862133</v>
      </c>
      <c r="C98" s="120">
        <v>628.70000000000005</v>
      </c>
      <c r="D98" s="120">
        <v>0</v>
      </c>
      <c r="E98" s="126">
        <f>+E97</f>
        <v>9.3000000000000013E-2</v>
      </c>
      <c r="F98" s="10">
        <v>31</v>
      </c>
      <c r="G98" s="10">
        <v>0</v>
      </c>
      <c r="H98" s="10">
        <f t="shared" si="6"/>
        <v>110044260.35234143</v>
      </c>
      <c r="I98" s="36">
        <f t="shared" si="7"/>
        <v>-817872.6476585716</v>
      </c>
      <c r="J98" s="5">
        <f t="shared" si="8"/>
        <v>-7.3773850955814787E-3</v>
      </c>
      <c r="T98"/>
    </row>
    <row r="99" spans="1:20" x14ac:dyDescent="0.2">
      <c r="A99" s="3">
        <v>40544</v>
      </c>
      <c r="B99" s="129">
        <v>113644387.32076925</v>
      </c>
      <c r="C99" s="205">
        <v>760.9</v>
      </c>
      <c r="D99" s="205">
        <v>0</v>
      </c>
      <c r="E99" s="126">
        <f>+'Economic Indices'!M47</f>
        <v>8.6999999999999994E-2</v>
      </c>
      <c r="F99" s="47">
        <v>31</v>
      </c>
      <c r="G99" s="10">
        <v>0</v>
      </c>
      <c r="H99" s="10">
        <f t="shared" si="6"/>
        <v>116101790.72769414</v>
      </c>
      <c r="I99" s="36">
        <f t="shared" ref="I99:I130" si="9">H99-B99</f>
        <v>2457403.4069248885</v>
      </c>
      <c r="J99" s="5">
        <f t="shared" si="8"/>
        <v>2.1623623171012355E-2</v>
      </c>
      <c r="T99"/>
    </row>
    <row r="100" spans="1:20" x14ac:dyDescent="0.2">
      <c r="A100" s="3">
        <v>40575</v>
      </c>
      <c r="B100" s="129">
        <v>100561048.38461539</v>
      </c>
      <c r="C100" s="205">
        <v>634.19999999999993</v>
      </c>
      <c r="D100" s="205">
        <v>0</v>
      </c>
      <c r="E100" s="126">
        <f>+E99</f>
        <v>8.6999999999999994E-2</v>
      </c>
      <c r="F100" s="47">
        <v>28</v>
      </c>
      <c r="G100" s="10">
        <v>0</v>
      </c>
      <c r="H100" s="10">
        <f t="shared" si="6"/>
        <v>102568229.91629781</v>
      </c>
      <c r="I100" s="36">
        <f t="shared" si="9"/>
        <v>2007181.5316824168</v>
      </c>
      <c r="J100" s="5">
        <f t="shared" si="8"/>
        <v>1.995983100738527E-2</v>
      </c>
      <c r="T100"/>
    </row>
    <row r="101" spans="1:20" x14ac:dyDescent="0.2">
      <c r="A101" s="3">
        <v>40603</v>
      </c>
      <c r="B101" s="129">
        <v>102613396.81846155</v>
      </c>
      <c r="C101" s="205">
        <v>559.80000000000007</v>
      </c>
      <c r="D101" s="205">
        <v>0</v>
      </c>
      <c r="E101" s="126">
        <f>+E100</f>
        <v>8.6999999999999994E-2</v>
      </c>
      <c r="F101" s="47">
        <v>31</v>
      </c>
      <c r="G101" s="10">
        <v>1</v>
      </c>
      <c r="H101" s="10">
        <f t="shared" si="6"/>
        <v>100984558.35293299</v>
      </c>
      <c r="I101" s="36">
        <f t="shared" si="9"/>
        <v>-1628838.4655285627</v>
      </c>
      <c r="J101" s="5">
        <f t="shared" si="8"/>
        <v>-1.5873545911458536E-2</v>
      </c>
      <c r="T101"/>
    </row>
    <row r="102" spans="1:20" x14ac:dyDescent="0.2">
      <c r="A102" s="3">
        <v>40634</v>
      </c>
      <c r="B102" s="129">
        <v>87015565.163076922</v>
      </c>
      <c r="C102" s="205">
        <v>350.79999999999995</v>
      </c>
      <c r="D102" s="205">
        <v>0</v>
      </c>
      <c r="E102" s="126">
        <f>+'Economic Indices'!M48</f>
        <v>9.3000000000000013E-2</v>
      </c>
      <c r="F102" s="47">
        <v>30</v>
      </c>
      <c r="G102" s="10">
        <v>1</v>
      </c>
      <c r="H102" s="10">
        <f t="shared" si="6"/>
        <v>89024319.515668094</v>
      </c>
      <c r="I102" s="36">
        <f t="shared" si="9"/>
        <v>2008754.3525911719</v>
      </c>
      <c r="J102" s="5">
        <f t="shared" si="8"/>
        <v>2.3085000353977373E-2</v>
      </c>
      <c r="T102"/>
    </row>
    <row r="103" spans="1:20" x14ac:dyDescent="0.2">
      <c r="A103" s="3">
        <v>40664</v>
      </c>
      <c r="B103" s="129">
        <v>82921009.75</v>
      </c>
      <c r="C103" s="205">
        <v>157.69999999999996</v>
      </c>
      <c r="D103" s="205">
        <v>2.8</v>
      </c>
      <c r="E103" s="126">
        <f>+E102</f>
        <v>9.3000000000000013E-2</v>
      </c>
      <c r="F103" s="47">
        <v>31</v>
      </c>
      <c r="G103" s="10">
        <v>1</v>
      </c>
      <c r="H103" s="10">
        <f t="shared" si="6"/>
        <v>84467089.192767546</v>
      </c>
      <c r="I103" s="36">
        <f t="shared" si="9"/>
        <v>1546079.4427675456</v>
      </c>
      <c r="J103" s="5">
        <f t="shared" si="8"/>
        <v>1.8645207619020169E-2</v>
      </c>
      <c r="T103"/>
    </row>
    <row r="104" spans="1:20" x14ac:dyDescent="0.2">
      <c r="A104" s="3">
        <v>40695</v>
      </c>
      <c r="B104" s="129">
        <v>88149132.009230778</v>
      </c>
      <c r="C104" s="205">
        <v>26.699999999999996</v>
      </c>
      <c r="D104" s="205">
        <v>36.900000000000006</v>
      </c>
      <c r="E104" s="126">
        <f>+E103</f>
        <v>9.3000000000000013E-2</v>
      </c>
      <c r="F104" s="47">
        <v>30</v>
      </c>
      <c r="G104" s="10">
        <v>0</v>
      </c>
      <c r="H104" s="10">
        <f t="shared" si="6"/>
        <v>88338980.848209575</v>
      </c>
      <c r="I104" s="36">
        <f t="shared" si="9"/>
        <v>189848.8389787972</v>
      </c>
      <c r="J104" s="5">
        <f t="shared" si="8"/>
        <v>2.153723294279479E-3</v>
      </c>
      <c r="T104"/>
    </row>
    <row r="105" spans="1:20" x14ac:dyDescent="0.2">
      <c r="A105" s="3">
        <v>40725</v>
      </c>
      <c r="B105" s="129">
        <v>108927664.71923079</v>
      </c>
      <c r="C105" s="205">
        <v>0.2</v>
      </c>
      <c r="D105" s="205">
        <v>141.19999999999999</v>
      </c>
      <c r="E105" s="126">
        <f>+'Economic Indices'!M49</f>
        <v>7.2000000000000008E-2</v>
      </c>
      <c r="F105" s="47">
        <v>31</v>
      </c>
      <c r="G105" s="10">
        <v>0</v>
      </c>
      <c r="H105" s="10">
        <f t="shared" si="6"/>
        <v>107751785.91186549</v>
      </c>
      <c r="I105" s="36">
        <f t="shared" si="9"/>
        <v>-1175878.8073652983</v>
      </c>
      <c r="J105" s="5">
        <f t="shared" si="8"/>
        <v>-1.0795042842387321E-2</v>
      </c>
      <c r="T105"/>
    </row>
    <row r="106" spans="1:20" x14ac:dyDescent="0.2">
      <c r="A106" s="3">
        <v>40756</v>
      </c>
      <c r="B106" s="129">
        <v>100307973.92692308</v>
      </c>
      <c r="C106" s="205">
        <v>3.7</v>
      </c>
      <c r="D106" s="205">
        <v>80.499999999999957</v>
      </c>
      <c r="E106" s="126">
        <f>+E105</f>
        <v>7.2000000000000008E-2</v>
      </c>
      <c r="F106" s="47">
        <v>31</v>
      </c>
      <c r="G106" s="10">
        <v>0</v>
      </c>
      <c r="H106" s="10">
        <f t="shared" si="6"/>
        <v>99108507.245476365</v>
      </c>
      <c r="I106" s="36">
        <f t="shared" si="9"/>
        <v>-1199466.6814467162</v>
      </c>
      <c r="J106" s="5">
        <f t="shared" si="8"/>
        <v>-1.1957839785703958E-2</v>
      </c>
      <c r="T106"/>
    </row>
    <row r="107" spans="1:20" x14ac:dyDescent="0.2">
      <c r="A107" s="3">
        <v>40787</v>
      </c>
      <c r="B107" s="129">
        <v>85805170.040769234</v>
      </c>
      <c r="C107" s="205">
        <v>48.900000000000006</v>
      </c>
      <c r="D107" s="205">
        <v>34.6</v>
      </c>
      <c r="E107" s="126">
        <f>+E106</f>
        <v>7.2000000000000008E-2</v>
      </c>
      <c r="F107" s="47">
        <v>30</v>
      </c>
      <c r="G107" s="10">
        <v>1</v>
      </c>
      <c r="H107" s="10">
        <f t="shared" si="6"/>
        <v>84452934.733734667</v>
      </c>
      <c r="I107" s="36">
        <f t="shared" si="9"/>
        <v>-1352235.307034567</v>
      </c>
      <c r="J107" s="5">
        <f t="shared" si="8"/>
        <v>-1.5759368653334872E-2</v>
      </c>
      <c r="T107"/>
    </row>
    <row r="108" spans="1:20" x14ac:dyDescent="0.2">
      <c r="A108" s="3">
        <v>40817</v>
      </c>
      <c r="B108" s="129">
        <v>85767949.723076925</v>
      </c>
      <c r="C108" s="205">
        <v>225.29999999999998</v>
      </c>
      <c r="D108" s="205">
        <v>0</v>
      </c>
      <c r="E108" s="126">
        <f>+'Economic Indices'!M50</f>
        <v>7.2000000000000008E-2</v>
      </c>
      <c r="F108" s="47">
        <v>31</v>
      </c>
      <c r="G108" s="10">
        <v>1</v>
      </c>
      <c r="H108" s="10">
        <f t="shared" si="6"/>
        <v>89358032.874378905</v>
      </c>
      <c r="I108" s="36">
        <f t="shared" si="9"/>
        <v>3590083.15130198</v>
      </c>
      <c r="J108" s="5">
        <f t="shared" si="8"/>
        <v>4.1858096910249727E-2</v>
      </c>
      <c r="T108"/>
    </row>
    <row r="109" spans="1:20" x14ac:dyDescent="0.2">
      <c r="A109" s="3">
        <v>40848</v>
      </c>
      <c r="B109" s="129">
        <v>89407468.154615387</v>
      </c>
      <c r="C109" s="205">
        <v>349.69999999999993</v>
      </c>
      <c r="D109" s="205">
        <v>0</v>
      </c>
      <c r="E109" s="126">
        <f>+E108</f>
        <v>7.2000000000000008E-2</v>
      </c>
      <c r="F109" s="47">
        <v>30</v>
      </c>
      <c r="G109" s="10">
        <v>1</v>
      </c>
      <c r="H109" s="10">
        <f t="shared" si="6"/>
        <v>91554865.32237272</v>
      </c>
      <c r="I109" s="36">
        <f t="shared" si="9"/>
        <v>2147397.1677573323</v>
      </c>
      <c r="J109" s="5">
        <f t="shared" si="8"/>
        <v>2.4018096162210577E-2</v>
      </c>
      <c r="T109"/>
    </row>
    <row r="110" spans="1:20" x14ac:dyDescent="0.2">
      <c r="A110" s="3">
        <v>40878</v>
      </c>
      <c r="B110" s="129">
        <v>103511621.38461539</v>
      </c>
      <c r="C110" s="205">
        <v>531.20000000000005</v>
      </c>
      <c r="D110" s="205">
        <v>0</v>
      </c>
      <c r="E110" s="126">
        <f>+E109</f>
        <v>7.2000000000000008E-2</v>
      </c>
      <c r="F110" s="47">
        <v>31</v>
      </c>
      <c r="G110" s="10">
        <v>0</v>
      </c>
      <c r="H110" s="10">
        <f t="shared" si="6"/>
        <v>108694111.60777897</v>
      </c>
      <c r="I110" s="36">
        <f t="shared" si="9"/>
        <v>5182490.2231635749</v>
      </c>
      <c r="J110" s="5">
        <f t="shared" si="8"/>
        <v>5.0066747615778652E-2</v>
      </c>
      <c r="T110"/>
    </row>
    <row r="111" spans="1:20" x14ac:dyDescent="0.2">
      <c r="A111" s="3">
        <v>40909</v>
      </c>
      <c r="B111" s="129">
        <v>107982172.33461541</v>
      </c>
      <c r="C111" s="205">
        <v>611</v>
      </c>
      <c r="D111" s="205">
        <v>0</v>
      </c>
      <c r="E111" s="126">
        <f>+'Economic Indices'!M51</f>
        <v>0.08</v>
      </c>
      <c r="F111" s="10">
        <v>31</v>
      </c>
      <c r="G111" s="10">
        <v>0</v>
      </c>
      <c r="H111" s="10">
        <f t="shared" si="6"/>
        <v>110925667.07647668</v>
      </c>
      <c r="I111" s="36">
        <f t="shared" si="9"/>
        <v>2943494.7418612689</v>
      </c>
      <c r="J111" s="5">
        <f t="shared" si="8"/>
        <v>2.7259080626197817E-2</v>
      </c>
      <c r="T111"/>
    </row>
    <row r="112" spans="1:20" x14ac:dyDescent="0.2">
      <c r="A112" s="3">
        <v>40940</v>
      </c>
      <c r="B112" s="129">
        <v>97310518.529230773</v>
      </c>
      <c r="C112" s="205">
        <v>536.20000000000005</v>
      </c>
      <c r="D112" s="205">
        <v>0</v>
      </c>
      <c r="E112" s="126">
        <f>+E111</f>
        <v>0.08</v>
      </c>
      <c r="F112" s="10">
        <v>29</v>
      </c>
      <c r="G112" s="10">
        <v>0</v>
      </c>
      <c r="H112" s="10">
        <f t="shared" si="6"/>
        <v>102292436.15514034</v>
      </c>
      <c r="I112" s="36">
        <f t="shared" si="9"/>
        <v>4981917.6259095669</v>
      </c>
      <c r="J112" s="5">
        <f t="shared" si="8"/>
        <v>5.1196085492166664E-2</v>
      </c>
      <c r="T112"/>
    </row>
    <row r="113" spans="1:20" x14ac:dyDescent="0.2">
      <c r="A113" s="3">
        <v>40969</v>
      </c>
      <c r="B113" s="129">
        <v>92940593.720769227</v>
      </c>
      <c r="C113" s="205">
        <v>399.39999999999992</v>
      </c>
      <c r="D113" s="205">
        <v>0</v>
      </c>
      <c r="E113" s="126">
        <f>+E112</f>
        <v>0.08</v>
      </c>
      <c r="F113" s="10">
        <v>31</v>
      </c>
      <c r="G113" s="10">
        <v>1</v>
      </c>
      <c r="H113" s="10">
        <f t="shared" si="6"/>
        <v>95385744.94250074</v>
      </c>
      <c r="I113" s="36">
        <f t="shared" si="9"/>
        <v>2445151.2217315137</v>
      </c>
      <c r="J113" s="5">
        <f t="shared" si="8"/>
        <v>2.6308754052913923E-2</v>
      </c>
      <c r="T113"/>
    </row>
    <row r="114" spans="1:20" x14ac:dyDescent="0.2">
      <c r="A114" s="3">
        <v>41000</v>
      </c>
      <c r="B114" s="129">
        <v>84061512.170000002</v>
      </c>
      <c r="C114" s="205">
        <v>336.89999999999992</v>
      </c>
      <c r="D114" s="205">
        <v>0</v>
      </c>
      <c r="E114" s="126">
        <f>+'Economic Indices'!M52</f>
        <v>8.4000000000000005E-2</v>
      </c>
      <c r="F114" s="10">
        <v>30</v>
      </c>
      <c r="G114" s="10">
        <v>1</v>
      </c>
      <c r="H114" s="10">
        <f t="shared" si="6"/>
        <v>89568256.325804234</v>
      </c>
      <c r="I114" s="36">
        <f t="shared" si="9"/>
        <v>5506744.1558042318</v>
      </c>
      <c r="J114" s="5">
        <f t="shared" si="8"/>
        <v>6.5508506968894223E-2</v>
      </c>
      <c r="T114"/>
    </row>
    <row r="115" spans="1:20" x14ac:dyDescent="0.2">
      <c r="A115" s="3">
        <v>41030</v>
      </c>
      <c r="B115" s="129">
        <v>84298340.921818167</v>
      </c>
      <c r="C115" s="205">
        <v>109.30000000000001</v>
      </c>
      <c r="D115" s="205">
        <v>21.8</v>
      </c>
      <c r="E115" s="126">
        <f>+E114</f>
        <v>8.4000000000000005E-2</v>
      </c>
      <c r="F115" s="10">
        <v>31</v>
      </c>
      <c r="G115" s="10">
        <v>1</v>
      </c>
      <c r="H115" s="10">
        <f t="shared" si="6"/>
        <v>86371765.31987676</v>
      </c>
      <c r="I115" s="36">
        <f t="shared" si="9"/>
        <v>2073424.3980585933</v>
      </c>
      <c r="J115" s="5">
        <f t="shared" si="8"/>
        <v>2.4596265779199312E-2</v>
      </c>
      <c r="T115"/>
    </row>
    <row r="116" spans="1:20" x14ac:dyDescent="0.2">
      <c r="A116" s="3">
        <v>41061</v>
      </c>
      <c r="B116" s="129">
        <v>93187121.853636354</v>
      </c>
      <c r="C116" s="205">
        <v>28.2</v>
      </c>
      <c r="D116" s="205">
        <v>64.3</v>
      </c>
      <c r="E116" s="126">
        <f>+E115</f>
        <v>8.4000000000000005E-2</v>
      </c>
      <c r="F116" s="10">
        <v>30</v>
      </c>
      <c r="G116" s="10">
        <v>0</v>
      </c>
      <c r="H116" s="10">
        <f t="shared" si="6"/>
        <v>93468042.241930321</v>
      </c>
      <c r="I116" s="36">
        <f t="shared" si="9"/>
        <v>280920.38829396665</v>
      </c>
      <c r="J116" s="5">
        <f t="shared" si="8"/>
        <v>3.014583804135427E-3</v>
      </c>
      <c r="T116"/>
    </row>
    <row r="117" spans="1:20" x14ac:dyDescent="0.2">
      <c r="A117" s="3">
        <v>41091</v>
      </c>
      <c r="B117" s="129">
        <v>110767074.55090907</v>
      </c>
      <c r="C117" s="205">
        <v>0</v>
      </c>
      <c r="D117" s="205">
        <v>155.30000000000001</v>
      </c>
      <c r="E117" s="126">
        <f>+'Economic Indices'!M53</f>
        <v>9.3000000000000013E-2</v>
      </c>
      <c r="F117" s="10">
        <v>31</v>
      </c>
      <c r="G117" s="10">
        <v>0</v>
      </c>
      <c r="H117" s="10">
        <f t="shared" si="6"/>
        <v>107209382.72268109</v>
      </c>
      <c r="I117" s="36">
        <f t="shared" si="9"/>
        <v>-3557691.8282279819</v>
      </c>
      <c r="J117" s="5">
        <f t="shared" si="8"/>
        <v>-3.211867644471237E-2</v>
      </c>
      <c r="K117" s="208"/>
      <c r="T117"/>
    </row>
    <row r="118" spans="1:20" x14ac:dyDescent="0.2">
      <c r="A118" s="3">
        <v>41122</v>
      </c>
      <c r="B118" s="129">
        <v>101373951.59181817</v>
      </c>
      <c r="C118" s="205">
        <v>4.4000000000000004</v>
      </c>
      <c r="D118" s="205">
        <v>102.79999999999998</v>
      </c>
      <c r="E118" s="126">
        <f>+E117</f>
        <v>9.3000000000000013E-2</v>
      </c>
      <c r="F118" s="10">
        <v>31</v>
      </c>
      <c r="G118" s="10">
        <v>0</v>
      </c>
      <c r="H118" s="10">
        <f t="shared" si="6"/>
        <v>99788994.19642137</v>
      </c>
      <c r="I118" s="36">
        <f t="shared" si="9"/>
        <v>-1584957.3953967988</v>
      </c>
      <c r="J118" s="5">
        <f t="shared" si="8"/>
        <v>-1.5634759921154338E-2</v>
      </c>
      <c r="K118" s="208"/>
      <c r="T118"/>
    </row>
    <row r="119" spans="1:20" x14ac:dyDescent="0.2">
      <c r="A119" s="3">
        <v>41153</v>
      </c>
      <c r="B119" s="129">
        <v>85023139.218181819</v>
      </c>
      <c r="C119" s="205">
        <v>84</v>
      </c>
      <c r="D119" s="205">
        <v>24.400000000000002</v>
      </c>
      <c r="E119" s="126">
        <f>+E118</f>
        <v>9.3000000000000013E-2</v>
      </c>
      <c r="F119" s="10">
        <v>30</v>
      </c>
      <c r="G119" s="10">
        <v>1</v>
      </c>
      <c r="H119" s="10">
        <f t="shared" si="6"/>
        <v>81815009.866063863</v>
      </c>
      <c r="I119" s="36">
        <f t="shared" si="9"/>
        <v>-3208129.3521179557</v>
      </c>
      <c r="J119" s="5">
        <f t="shared" si="8"/>
        <v>-3.7732426509040393E-2</v>
      </c>
      <c r="K119" s="208"/>
      <c r="T119"/>
    </row>
    <row r="120" spans="1:20" x14ac:dyDescent="0.2">
      <c r="A120" s="3">
        <v>41183</v>
      </c>
      <c r="B120" s="129">
        <v>85295690.281818166</v>
      </c>
      <c r="C120" s="205">
        <v>228.99999999999994</v>
      </c>
      <c r="D120" s="205">
        <v>0</v>
      </c>
      <c r="E120" s="126">
        <f>+'Economic Indices'!M54</f>
        <v>9.4E-2</v>
      </c>
      <c r="F120" s="10">
        <v>31</v>
      </c>
      <c r="G120" s="10">
        <v>1</v>
      </c>
      <c r="H120" s="10">
        <f t="shared" si="6"/>
        <v>86809542.265622526</v>
      </c>
      <c r="I120" s="36">
        <f t="shared" si="9"/>
        <v>1513851.98380436</v>
      </c>
      <c r="J120" s="5">
        <f t="shared" si="8"/>
        <v>1.7748282226248146E-2</v>
      </c>
      <c r="K120" s="208"/>
      <c r="T120"/>
    </row>
    <row r="121" spans="1:20" x14ac:dyDescent="0.2">
      <c r="A121" s="3">
        <v>41214</v>
      </c>
      <c r="B121" s="129">
        <v>91679199.734545454</v>
      </c>
      <c r="C121" s="205">
        <v>427.89999999999992</v>
      </c>
      <c r="D121" s="205">
        <v>0</v>
      </c>
      <c r="E121" s="126">
        <f>+E120</f>
        <v>9.4E-2</v>
      </c>
      <c r="F121" s="10">
        <v>30</v>
      </c>
      <c r="G121" s="10">
        <v>1</v>
      </c>
      <c r="H121" s="10">
        <f t="shared" si="6"/>
        <v>92005459.195664048</v>
      </c>
      <c r="I121" s="36">
        <f t="shared" si="9"/>
        <v>326259.46111859381</v>
      </c>
      <c r="J121" s="5">
        <f t="shared" si="8"/>
        <v>3.5587075592202911E-3</v>
      </c>
      <c r="K121" s="208"/>
      <c r="T121"/>
    </row>
    <row r="122" spans="1:20" x14ac:dyDescent="0.2">
      <c r="A122" s="3">
        <v>41244</v>
      </c>
      <c r="B122" s="129">
        <v>102292637.76363637</v>
      </c>
      <c r="C122" s="205">
        <v>451.09999999999997</v>
      </c>
      <c r="D122" s="205">
        <v>0</v>
      </c>
      <c r="E122" s="126">
        <f>+E121</f>
        <v>9.4E-2</v>
      </c>
      <c r="F122" s="10">
        <v>31</v>
      </c>
      <c r="G122" s="10">
        <v>0</v>
      </c>
      <c r="H122" s="10">
        <f t="shared" si="6"/>
        <v>102772154.15881324</v>
      </c>
      <c r="I122" s="36">
        <f t="shared" si="9"/>
        <v>479516.39517687261</v>
      </c>
      <c r="J122" s="5">
        <f t="shared" si="8"/>
        <v>4.6876921512657883E-3</v>
      </c>
      <c r="K122" s="208"/>
      <c r="T122"/>
    </row>
    <row r="123" spans="1:20" x14ac:dyDescent="0.2">
      <c r="A123" s="3">
        <v>41275</v>
      </c>
      <c r="B123" s="129">
        <v>107376383.33333334</v>
      </c>
      <c r="C123" s="205">
        <v>615.40000000000009</v>
      </c>
      <c r="D123" s="205">
        <v>0</v>
      </c>
      <c r="E123" s="126">
        <f>+'Economic Indices'!M55</f>
        <v>8.4000000000000005E-2</v>
      </c>
      <c r="F123" s="47">
        <v>31</v>
      </c>
      <c r="G123" s="10">
        <v>0</v>
      </c>
      <c r="H123" s="10">
        <f t="shared" si="6"/>
        <v>110612350.86300415</v>
      </c>
      <c r="I123" s="36">
        <f t="shared" si="9"/>
        <v>3235967.5296708047</v>
      </c>
      <c r="J123" s="5">
        <f t="shared" si="8"/>
        <v>3.0136678375776962E-2</v>
      </c>
      <c r="K123" s="208"/>
      <c r="T123"/>
    </row>
    <row r="124" spans="1:20" x14ac:dyDescent="0.2">
      <c r="A124" s="3">
        <v>41306</v>
      </c>
      <c r="B124" s="129">
        <v>98702891.666666672</v>
      </c>
      <c r="C124" s="205">
        <v>611.5</v>
      </c>
      <c r="D124" s="205">
        <v>0</v>
      </c>
      <c r="E124" s="126">
        <f>+E123</f>
        <v>8.4000000000000005E-2</v>
      </c>
      <c r="F124" s="47">
        <v>28</v>
      </c>
      <c r="G124" s="10">
        <v>0</v>
      </c>
      <c r="H124" s="10">
        <f t="shared" si="6"/>
        <v>102022247.42604348</v>
      </c>
      <c r="I124" s="36">
        <f t="shared" si="9"/>
        <v>3319355.759376809</v>
      </c>
      <c r="J124" s="5">
        <f t="shared" si="8"/>
        <v>3.3629772171080187E-2</v>
      </c>
      <c r="K124" s="208"/>
      <c r="T124"/>
    </row>
    <row r="125" spans="1:20" x14ac:dyDescent="0.2">
      <c r="A125" s="3">
        <v>41334</v>
      </c>
      <c r="B125" s="129">
        <v>98851083.333333343</v>
      </c>
      <c r="C125" s="205">
        <v>545</v>
      </c>
      <c r="D125" s="205">
        <v>0</v>
      </c>
      <c r="E125" s="126">
        <f>+E124</f>
        <v>8.4000000000000005E-2</v>
      </c>
      <c r="F125" s="47">
        <v>31</v>
      </c>
      <c r="G125" s="10">
        <v>1</v>
      </c>
      <c r="H125" s="10">
        <f t="shared" si="6"/>
        <v>100756599.58627835</v>
      </c>
      <c r="I125" s="36">
        <f t="shared" si="9"/>
        <v>1905516.2529450059</v>
      </c>
      <c r="J125" s="5">
        <f t="shared" si="8"/>
        <v>1.927663500175775E-2</v>
      </c>
      <c r="K125" s="208"/>
      <c r="T125"/>
    </row>
    <row r="126" spans="1:20" x14ac:dyDescent="0.2">
      <c r="A126" s="3">
        <v>41365</v>
      </c>
      <c r="B126" s="129">
        <v>87330008.333333343</v>
      </c>
      <c r="C126" s="205">
        <v>366.49999999999994</v>
      </c>
      <c r="D126" s="205">
        <v>0</v>
      </c>
      <c r="E126" s="126">
        <f>+'Economic Indices'!M56</f>
        <v>7.0999999999999994E-2</v>
      </c>
      <c r="F126" s="47">
        <v>30</v>
      </c>
      <c r="G126" s="10">
        <v>1</v>
      </c>
      <c r="H126" s="10">
        <f t="shared" si="6"/>
        <v>92353779.774783194</v>
      </c>
      <c r="I126" s="36">
        <f t="shared" si="9"/>
        <v>5023771.4414498508</v>
      </c>
      <c r="J126" s="5">
        <f t="shared" ref="J126:J133" si="10">I126/B126</f>
        <v>5.7526290645415035E-2</v>
      </c>
      <c r="K126" s="208"/>
      <c r="T126"/>
    </row>
    <row r="127" spans="1:20" x14ac:dyDescent="0.2">
      <c r="A127" s="3">
        <v>41395</v>
      </c>
      <c r="B127" s="129">
        <v>81913958.333333343</v>
      </c>
      <c r="C127" s="205">
        <v>133.4</v>
      </c>
      <c r="D127" s="205">
        <v>3</v>
      </c>
      <c r="E127" s="126">
        <f>+E126</f>
        <v>7.0999999999999994E-2</v>
      </c>
      <c r="F127" s="47">
        <v>31</v>
      </c>
      <c r="G127" s="10">
        <v>1</v>
      </c>
      <c r="H127" s="10">
        <f t="shared" si="6"/>
        <v>86215245.666925222</v>
      </c>
      <c r="I127" s="36">
        <f t="shared" si="9"/>
        <v>4301287.3335918784</v>
      </c>
      <c r="J127" s="5">
        <f t="shared" si="10"/>
        <v>5.2509821538456292E-2</v>
      </c>
      <c r="K127" s="208"/>
      <c r="T127"/>
    </row>
    <row r="128" spans="1:20" x14ac:dyDescent="0.2">
      <c r="A128" s="3">
        <v>41426</v>
      </c>
      <c r="B128" s="129">
        <v>86391933.333333343</v>
      </c>
      <c r="C128" s="205">
        <v>42.900000000000006</v>
      </c>
      <c r="D128" s="205">
        <v>32.200000000000003</v>
      </c>
      <c r="E128" s="126">
        <f>+E127</f>
        <v>7.0999999999999994E-2</v>
      </c>
      <c r="F128" s="47">
        <v>30</v>
      </c>
      <c r="G128" s="10">
        <v>0</v>
      </c>
      <c r="H128" s="10">
        <f t="shared" si="6"/>
        <v>91008410.645987555</v>
      </c>
      <c r="I128" s="36">
        <f t="shared" si="9"/>
        <v>4616477.3126542121</v>
      </c>
      <c r="J128" s="5">
        <f t="shared" si="10"/>
        <v>5.3436439428228386E-2</v>
      </c>
      <c r="K128" s="208"/>
      <c r="T128"/>
    </row>
    <row r="129" spans="1:20" x14ac:dyDescent="0.2">
      <c r="A129" s="3">
        <v>41456</v>
      </c>
      <c r="B129" s="129">
        <v>104037066.66666667</v>
      </c>
      <c r="C129" s="205">
        <v>4.4000000000000004</v>
      </c>
      <c r="D129" s="205">
        <v>109.99999999999999</v>
      </c>
      <c r="E129" s="126">
        <f>+'Economic Indices'!M57</f>
        <v>6.3E-2</v>
      </c>
      <c r="F129" s="47">
        <v>31</v>
      </c>
      <c r="G129" s="10">
        <v>0</v>
      </c>
      <c r="H129" s="10">
        <f t="shared" si="6"/>
        <v>104509264.33169988</v>
      </c>
      <c r="I129" s="36">
        <f t="shared" si="9"/>
        <v>472197.66503320634</v>
      </c>
      <c r="J129" s="5">
        <f t="shared" si="10"/>
        <v>4.5387445086867081E-3</v>
      </c>
      <c r="K129" s="208"/>
      <c r="T129"/>
    </row>
    <row r="130" spans="1:20" x14ac:dyDescent="0.2">
      <c r="A130" s="3">
        <v>41487</v>
      </c>
      <c r="B130" s="129">
        <v>95663441.666666672</v>
      </c>
      <c r="C130" s="205">
        <v>11</v>
      </c>
      <c r="D130" s="205">
        <v>57.899999999999991</v>
      </c>
      <c r="E130" s="126">
        <f>+E129</f>
        <v>6.3E-2</v>
      </c>
      <c r="F130" s="47">
        <v>31</v>
      </c>
      <c r="G130" s="10">
        <v>0</v>
      </c>
      <c r="H130" s="10">
        <f t="shared" si="6"/>
        <v>97235325.207663849</v>
      </c>
      <c r="I130" s="36">
        <f t="shared" si="9"/>
        <v>1571883.5409971774</v>
      </c>
      <c r="J130" s="5">
        <f t="shared" si="10"/>
        <v>1.6431392323039223E-2</v>
      </c>
      <c r="K130" s="208"/>
      <c r="T130"/>
    </row>
    <row r="131" spans="1:20" x14ac:dyDescent="0.2">
      <c r="A131" s="3">
        <v>41518</v>
      </c>
      <c r="B131" s="129">
        <v>83012108.333333343</v>
      </c>
      <c r="C131" s="205">
        <v>96.600000000000009</v>
      </c>
      <c r="D131" s="205">
        <v>15.700000000000001</v>
      </c>
      <c r="E131" s="126">
        <f>+E130</f>
        <v>6.3E-2</v>
      </c>
      <c r="F131" s="47">
        <v>30</v>
      </c>
      <c r="G131" s="10">
        <v>1</v>
      </c>
      <c r="H131" s="10">
        <f t="shared" ref="H131:H194" si="11">$M$18+C131*$M$19+D131*$M$20+E131*$M$21+F131*$M$22+G131*$M$23</f>
        <v>84741545.825753883</v>
      </c>
      <c r="I131" s="36">
        <f t="shared" ref="I131:I133" si="12">H131-B131</f>
        <v>1729437.4924205393</v>
      </c>
      <c r="J131" s="5">
        <f t="shared" si="10"/>
        <v>2.083355702129646E-2</v>
      </c>
      <c r="K131" s="208"/>
      <c r="T131"/>
    </row>
    <row r="132" spans="1:20" x14ac:dyDescent="0.2">
      <c r="A132" s="3">
        <v>41548</v>
      </c>
      <c r="B132" s="129">
        <v>84463400.000000015</v>
      </c>
      <c r="C132" s="205">
        <v>221</v>
      </c>
      <c r="D132" s="205">
        <v>3</v>
      </c>
      <c r="E132" s="126">
        <f>+'Economic Indices'!M58</f>
        <v>7.0000000000000007E-2</v>
      </c>
      <c r="F132" s="47">
        <v>31</v>
      </c>
      <c r="G132" s="10">
        <v>1</v>
      </c>
      <c r="H132" s="10">
        <f t="shared" si="11"/>
        <v>89864296.781469613</v>
      </c>
      <c r="I132" s="36">
        <f t="shared" si="12"/>
        <v>5400896.7814695984</v>
      </c>
      <c r="J132" s="5">
        <f t="shared" si="10"/>
        <v>6.3943634538387015E-2</v>
      </c>
      <c r="K132" s="208"/>
      <c r="T132"/>
    </row>
    <row r="133" spans="1:20" x14ac:dyDescent="0.2">
      <c r="A133" s="3">
        <v>41579</v>
      </c>
      <c r="B133" s="129">
        <v>94249183.333333343</v>
      </c>
      <c r="C133" s="205">
        <v>458.6</v>
      </c>
      <c r="D133" s="205">
        <v>0</v>
      </c>
      <c r="E133" s="126">
        <f>+E132</f>
        <v>7.0000000000000007E-2</v>
      </c>
      <c r="F133" s="47">
        <v>30</v>
      </c>
      <c r="G133" s="10">
        <v>1</v>
      </c>
      <c r="H133" s="10">
        <f t="shared" si="11"/>
        <v>96183983.643276781</v>
      </c>
      <c r="I133" s="36">
        <f t="shared" si="12"/>
        <v>1934800.3099434376</v>
      </c>
      <c r="J133" s="5">
        <f t="shared" si="10"/>
        <v>2.0528563129301427E-2</v>
      </c>
      <c r="K133" s="208"/>
      <c r="T133"/>
    </row>
    <row r="134" spans="1:20" x14ac:dyDescent="0.2">
      <c r="A134" s="3">
        <v>41609</v>
      </c>
      <c r="B134" s="129">
        <v>108415583.33333334</v>
      </c>
      <c r="C134" s="205">
        <v>472.8</v>
      </c>
      <c r="D134" s="205">
        <f ca="1">(+D122/SUM(D$122:D$133))*Trends!C$20</f>
        <v>0</v>
      </c>
      <c r="E134" s="126">
        <f>+E133</f>
        <v>7.0000000000000007E-2</v>
      </c>
      <c r="F134" s="47">
        <v>31</v>
      </c>
      <c r="G134" s="10">
        <v>0</v>
      </c>
      <c r="H134" s="10">
        <f t="shared" ca="1" si="11"/>
        <v>106588373.09852758</v>
      </c>
      <c r="I134" s="36">
        <f t="shared" ref="I134" ca="1" si="13">H134-B134</f>
        <v>-1827210.2348057628</v>
      </c>
      <c r="J134" s="5">
        <f t="shared" ref="J134" ca="1" si="14">I134/B134</f>
        <v>-1.6853760120331063E-2</v>
      </c>
      <c r="K134" s="208"/>
      <c r="T134"/>
    </row>
    <row r="135" spans="1:20" x14ac:dyDescent="0.2">
      <c r="A135" s="3">
        <v>41640</v>
      </c>
      <c r="B135" s="27">
        <v>117702582.33333334</v>
      </c>
      <c r="C135" s="467">
        <v>771.3</v>
      </c>
      <c r="D135" s="467">
        <v>0</v>
      </c>
      <c r="E135" s="126">
        <f>+'Economic Indices'!M59</f>
        <v>7.0999869999999993E-2</v>
      </c>
      <c r="F135" s="47">
        <v>31</v>
      </c>
      <c r="G135" s="10">
        <v>0</v>
      </c>
      <c r="H135" s="10">
        <f t="shared" si="11"/>
        <v>118482244.21223259</v>
      </c>
      <c r="I135" s="36"/>
      <c r="J135" s="5"/>
      <c r="K135" s="208"/>
      <c r="T135"/>
    </row>
    <row r="136" spans="1:20" x14ac:dyDescent="0.2">
      <c r="A136" s="3">
        <v>41671</v>
      </c>
      <c r="B136" s="27">
        <v>101945538.33333334</v>
      </c>
      <c r="C136" s="467">
        <v>690.84999999999991</v>
      </c>
      <c r="D136" s="467">
        <v>0</v>
      </c>
      <c r="E136" s="126">
        <f t="shared" ref="E136:E199" si="15">+E135</f>
        <v>7.0999869999999993E-2</v>
      </c>
      <c r="F136" s="47">
        <v>28</v>
      </c>
      <c r="G136" s="10">
        <v>0</v>
      </c>
      <c r="H136" s="10">
        <f t="shared" si="11"/>
        <v>106810531.14975849</v>
      </c>
      <c r="I136" s="36"/>
      <c r="J136" s="5"/>
      <c r="K136" s="208"/>
      <c r="T136"/>
    </row>
    <row r="137" spans="1:20" x14ac:dyDescent="0.2">
      <c r="A137" s="3">
        <v>41699</v>
      </c>
      <c r="B137" s="27">
        <v>106417935.35000001</v>
      </c>
      <c r="C137" s="467">
        <v>677.95</v>
      </c>
      <c r="D137" s="467">
        <v>0</v>
      </c>
      <c r="E137" s="126">
        <f t="shared" si="15"/>
        <v>7.0999869999999993E-2</v>
      </c>
      <c r="F137" s="47">
        <v>31</v>
      </c>
      <c r="G137" s="10">
        <v>1</v>
      </c>
      <c r="H137" s="10">
        <f t="shared" si="11"/>
        <v>107702613.89036593</v>
      </c>
      <c r="I137" s="36"/>
      <c r="J137" s="5"/>
      <c r="K137" s="208"/>
      <c r="T137"/>
    </row>
    <row r="138" spans="1:20" x14ac:dyDescent="0.2">
      <c r="A138" s="3">
        <v>41730</v>
      </c>
      <c r="B138" s="27">
        <v>86925100.333333343</v>
      </c>
      <c r="C138" s="467">
        <v>371.2999999999999</v>
      </c>
      <c r="D138" s="467">
        <v>0</v>
      </c>
      <c r="E138" s="126">
        <f>+'Economic Indices'!M60</f>
        <v>7.2000069999999999E-2</v>
      </c>
      <c r="F138" s="47">
        <v>30</v>
      </c>
      <c r="G138" s="10">
        <v>1</v>
      </c>
      <c r="H138" s="10">
        <f t="shared" si="11"/>
        <v>92424389.958570197</v>
      </c>
      <c r="I138" s="36"/>
      <c r="J138" s="5"/>
      <c r="K138" s="208"/>
      <c r="T138"/>
    </row>
    <row r="139" spans="1:20" x14ac:dyDescent="0.2">
      <c r="A139" s="3">
        <v>41760</v>
      </c>
      <c r="B139" s="27">
        <v>81755065.176384613</v>
      </c>
      <c r="C139" s="467">
        <v>160.49999999999994</v>
      </c>
      <c r="D139" s="467">
        <v>1.3</v>
      </c>
      <c r="E139" s="126">
        <f t="shared" si="15"/>
        <v>7.2000069999999999E-2</v>
      </c>
      <c r="F139" s="47">
        <v>31</v>
      </c>
      <c r="G139" s="10">
        <v>1</v>
      </c>
      <c r="H139" s="10">
        <f t="shared" si="11"/>
        <v>86937553.594037473</v>
      </c>
      <c r="I139" s="36"/>
      <c r="J139" s="5"/>
      <c r="K139" s="208"/>
      <c r="T139"/>
    </row>
    <row r="140" spans="1:20" x14ac:dyDescent="0.2">
      <c r="A140" s="3">
        <v>41791</v>
      </c>
      <c r="B140" s="27">
        <v>88119245.461538464</v>
      </c>
      <c r="C140" s="467">
        <v>26.9</v>
      </c>
      <c r="D140" s="467">
        <v>40.1</v>
      </c>
      <c r="E140" s="126">
        <f t="shared" si="15"/>
        <v>7.2000069999999999E-2</v>
      </c>
      <c r="F140" s="47">
        <v>30</v>
      </c>
      <c r="G140" s="10">
        <v>0</v>
      </c>
      <c r="H140" s="10">
        <f t="shared" si="11"/>
        <v>91384937.758973688</v>
      </c>
      <c r="I140" s="36"/>
      <c r="J140" s="5"/>
      <c r="K140" s="208"/>
      <c r="T140"/>
    </row>
    <row r="141" spans="1:20" x14ac:dyDescent="0.2">
      <c r="A141" s="3">
        <v>41821</v>
      </c>
      <c r="B141" s="27">
        <v>93045474.15384616</v>
      </c>
      <c r="C141" s="467">
        <v>9.5999999999999979</v>
      </c>
      <c r="D141" s="467">
        <v>54.599999999999994</v>
      </c>
      <c r="E141" s="126">
        <f>+'Economic Indices'!M61</f>
        <v>7.6999829999999991E-2</v>
      </c>
      <c r="F141" s="47">
        <v>31</v>
      </c>
      <c r="G141" s="10">
        <v>0</v>
      </c>
      <c r="H141" s="10">
        <f t="shared" si="11"/>
        <v>94984877.562191591</v>
      </c>
      <c r="I141" s="36"/>
      <c r="J141" s="5"/>
      <c r="K141" s="208"/>
      <c r="T141"/>
    </row>
    <row r="142" spans="1:20" x14ac:dyDescent="0.2">
      <c r="A142" s="3">
        <v>41852</v>
      </c>
      <c r="B142" s="27">
        <v>92680248.923076928</v>
      </c>
      <c r="C142" s="467">
        <v>12.7</v>
      </c>
      <c r="D142" s="467">
        <v>58</v>
      </c>
      <c r="E142" s="126">
        <f t="shared" si="15"/>
        <v>7.6999829999999991E-2</v>
      </c>
      <c r="F142" s="47">
        <v>31</v>
      </c>
      <c r="G142" s="10">
        <v>0</v>
      </c>
      <c r="H142" s="10">
        <f t="shared" si="11"/>
        <v>95601701.26740253</v>
      </c>
      <c r="I142" s="36"/>
      <c r="J142" s="5"/>
      <c r="K142" s="208"/>
      <c r="T142"/>
    </row>
    <row r="143" spans="1:20" x14ac:dyDescent="0.2">
      <c r="A143" s="3">
        <v>41883</v>
      </c>
      <c r="B143" s="27">
        <v>84852396.923076928</v>
      </c>
      <c r="C143" s="467">
        <v>77.400000000000006</v>
      </c>
      <c r="D143" s="467">
        <v>22.5</v>
      </c>
      <c r="E143" s="126">
        <f t="shared" si="15"/>
        <v>7.6999829999999991E-2</v>
      </c>
      <c r="F143" s="47">
        <v>30</v>
      </c>
      <c r="G143" s="10">
        <v>1</v>
      </c>
      <c r="H143" s="10">
        <f t="shared" si="11"/>
        <v>83236155.69705829</v>
      </c>
      <c r="I143" s="36"/>
      <c r="J143" s="5"/>
      <c r="K143" s="208"/>
      <c r="T143"/>
    </row>
    <row r="144" spans="1:20" x14ac:dyDescent="0.2">
      <c r="A144" s="3">
        <v>41913</v>
      </c>
      <c r="B144" s="27">
        <v>84720129.461538464</v>
      </c>
      <c r="C144" s="467">
        <v>216.29999999999998</v>
      </c>
      <c r="D144" s="467">
        <v>0.5</v>
      </c>
      <c r="E144" s="126">
        <f>+'Economic Indices'!M62</f>
        <v>7.3406150000000003E-2</v>
      </c>
      <c r="F144" s="47">
        <v>31</v>
      </c>
      <c r="G144" s="10">
        <v>1</v>
      </c>
      <c r="H144" s="10">
        <f t="shared" si="11"/>
        <v>88895675.429128215</v>
      </c>
      <c r="I144" s="36"/>
      <c r="J144" s="5"/>
      <c r="K144" s="208"/>
      <c r="T144"/>
    </row>
    <row r="145" spans="1:20" x14ac:dyDescent="0.2">
      <c r="A145" s="3">
        <v>41944</v>
      </c>
      <c r="B145" s="27">
        <v>94073964.750000015</v>
      </c>
      <c r="C145" s="467">
        <v>407.30000000000013</v>
      </c>
      <c r="D145" s="467">
        <v>0</v>
      </c>
      <c r="E145" s="126">
        <f t="shared" si="15"/>
        <v>7.3406150000000003E-2</v>
      </c>
      <c r="F145" s="47">
        <v>30</v>
      </c>
      <c r="G145" s="10">
        <v>1</v>
      </c>
      <c r="H145" s="10">
        <f t="shared" si="11"/>
        <v>93701211.343537152</v>
      </c>
      <c r="I145" s="36"/>
      <c r="J145" s="5"/>
      <c r="K145" s="208"/>
      <c r="T145"/>
    </row>
    <row r="146" spans="1:20" x14ac:dyDescent="0.2">
      <c r="A146" s="3">
        <v>41974</v>
      </c>
      <c r="B146" s="27">
        <v>102732461.57384616</v>
      </c>
      <c r="C146" s="467">
        <v>551.79999999999995</v>
      </c>
      <c r="D146" s="467">
        <v>0</v>
      </c>
      <c r="E146" s="126">
        <f t="shared" si="15"/>
        <v>7.3406150000000003E-2</v>
      </c>
      <c r="F146" s="47">
        <v>31</v>
      </c>
      <c r="G146" s="10">
        <v>0</v>
      </c>
      <c r="H146" s="10">
        <f t="shared" si="11"/>
        <v>109350979.42980561</v>
      </c>
      <c r="I146" s="36"/>
      <c r="J146" s="5"/>
      <c r="K146" s="208"/>
      <c r="T146"/>
    </row>
    <row r="147" spans="1:20" x14ac:dyDescent="0.2">
      <c r="A147" s="3">
        <v>42005</v>
      </c>
      <c r="C147" s="121">
        <f>(+C135/SUM(C$135:C$146))*Trends!B$14</f>
        <v>665.29813270224599</v>
      </c>
      <c r="D147" s="121">
        <f ca="1">(+D135/SUM(D$135:D$146))*Trends!C$14</f>
        <v>0</v>
      </c>
      <c r="E147" s="126">
        <f t="shared" si="15"/>
        <v>7.3406150000000003E-2</v>
      </c>
      <c r="F147" s="47">
        <v>31</v>
      </c>
      <c r="G147" s="10">
        <v>0</v>
      </c>
      <c r="H147" s="10">
        <f t="shared" ca="1" si="11"/>
        <v>113919979.27582839</v>
      </c>
      <c r="I147" s="36"/>
      <c r="J147" s="5"/>
      <c r="K147" s="208"/>
      <c r="T147"/>
    </row>
    <row r="148" spans="1:20" x14ac:dyDescent="0.2">
      <c r="A148" s="3">
        <v>42036</v>
      </c>
      <c r="C148" s="121">
        <f>(+C136/SUM(C$135:C$146))*Trends!B$14</f>
        <v>595.90459610702271</v>
      </c>
      <c r="D148" s="121">
        <f ca="1">(+D136/SUM(D$135:D$146))*Trends!C$14</f>
        <v>0</v>
      </c>
      <c r="E148" s="126">
        <f t="shared" si="15"/>
        <v>7.3406150000000003E-2</v>
      </c>
      <c r="F148" s="47">
        <v>28</v>
      </c>
      <c r="G148" s="10">
        <v>0</v>
      </c>
      <c r="H148" s="10">
        <f t="shared" ca="1" si="11"/>
        <v>102693357.05662401</v>
      </c>
      <c r="I148" s="36"/>
      <c r="J148" s="5"/>
      <c r="K148" s="208"/>
      <c r="T148"/>
    </row>
    <row r="149" spans="1:20" x14ac:dyDescent="0.2">
      <c r="A149" s="3">
        <v>42064</v>
      </c>
      <c r="C149" s="121">
        <f>(+C137/SUM(C$135:C$146))*Trends!B$14</f>
        <v>584.77747836832327</v>
      </c>
      <c r="D149" s="121">
        <f ca="1">(+D137/SUM(D$135:D$146))*Trends!C$14</f>
        <v>0</v>
      </c>
      <c r="E149" s="126">
        <f t="shared" si="15"/>
        <v>7.3406150000000003E-2</v>
      </c>
      <c r="F149" s="47">
        <v>31</v>
      </c>
      <c r="G149" s="10">
        <v>1</v>
      </c>
      <c r="H149" s="10">
        <f t="shared" ca="1" si="11"/>
        <v>103656809.24257863</v>
      </c>
      <c r="I149" s="36"/>
      <c r="J149" s="5"/>
      <c r="K149" s="208"/>
      <c r="T149"/>
    </row>
    <row r="150" spans="1:20" x14ac:dyDescent="0.2">
      <c r="A150" s="3">
        <v>42095</v>
      </c>
      <c r="C150" s="121">
        <f>(+C138/SUM(C$135:C$146))*Trends!B$14</f>
        <v>320.27122607590286</v>
      </c>
      <c r="D150" s="121">
        <f ca="1">(+D138/SUM(D$135:D$146))*Trends!C$14</f>
        <v>0</v>
      </c>
      <c r="E150" s="126">
        <f t="shared" si="15"/>
        <v>7.3406150000000003E-2</v>
      </c>
      <c r="F150" s="47">
        <v>30</v>
      </c>
      <c r="G150" s="10">
        <v>1</v>
      </c>
      <c r="H150" s="10">
        <f t="shared" ca="1" si="11"/>
        <v>90197766.439276785</v>
      </c>
      <c r="I150" s="36"/>
      <c r="J150" s="5"/>
      <c r="K150" s="208"/>
      <c r="T150"/>
    </row>
    <row r="151" spans="1:20" x14ac:dyDescent="0.2">
      <c r="A151" s="3">
        <v>42125</v>
      </c>
      <c r="C151" s="121">
        <f>(+C139/SUM(C$135:C$146))*Trends!B$14</f>
        <v>138.4420462838201</v>
      </c>
      <c r="D151" s="121">
        <f ca="1">(+D139/SUM(D$135:D$146))*Trends!C$14</f>
        <v>1.8457952405410045</v>
      </c>
      <c r="E151" s="126">
        <f t="shared" si="15"/>
        <v>7.3406150000000003E-2</v>
      </c>
      <c r="F151" s="47">
        <v>31</v>
      </c>
      <c r="G151" s="10">
        <v>1</v>
      </c>
      <c r="H151" s="10">
        <f t="shared" ca="1" si="11"/>
        <v>85956168.798148721</v>
      </c>
      <c r="I151" s="36"/>
      <c r="J151" s="5"/>
      <c r="K151" s="208"/>
      <c r="T151"/>
    </row>
    <row r="152" spans="1:20" x14ac:dyDescent="0.2">
      <c r="A152" s="3">
        <v>42156</v>
      </c>
      <c r="C152" s="121">
        <f>(+C140/SUM(C$135:C$146))*Trends!B$14</f>
        <v>23.203059470621568</v>
      </c>
      <c r="D152" s="121">
        <f ca="1">(+D140/SUM(D$135:D$146))*Trends!C$14</f>
        <v>56.93568395822637</v>
      </c>
      <c r="E152" s="126">
        <f t="shared" si="15"/>
        <v>7.3406150000000003E-2</v>
      </c>
      <c r="F152" s="47">
        <v>30</v>
      </c>
      <c r="G152" s="10">
        <v>0</v>
      </c>
      <c r="H152" s="10">
        <f t="shared" ca="1" si="11"/>
        <v>93500081.456473261</v>
      </c>
      <c r="I152" s="36"/>
      <c r="J152" s="5"/>
      <c r="K152" s="208"/>
      <c r="T152"/>
    </row>
    <row r="153" spans="1:20" x14ac:dyDescent="0.2">
      <c r="A153" s="3">
        <v>42186</v>
      </c>
      <c r="C153" s="121">
        <f>(+C141/SUM(C$135:C$146))*Trends!B$14</f>
        <v>8.2806457590322324</v>
      </c>
      <c r="D153" s="121">
        <f ca="1">(+D141/SUM(D$135:D$146))*Trends!C$14</f>
        <v>77.523400102722178</v>
      </c>
      <c r="E153" s="126">
        <f t="shared" si="15"/>
        <v>7.3406150000000003E-2</v>
      </c>
      <c r="F153" s="47">
        <v>31</v>
      </c>
      <c r="G153" s="10">
        <v>0</v>
      </c>
      <c r="H153" s="10">
        <f t="shared" ca="1" si="11"/>
        <v>98689739.84316282</v>
      </c>
      <c r="I153" s="36"/>
      <c r="J153" s="5"/>
      <c r="K153" s="208"/>
      <c r="T153"/>
    </row>
    <row r="154" spans="1:20" x14ac:dyDescent="0.2">
      <c r="A154" s="3">
        <v>42217</v>
      </c>
      <c r="C154" s="121">
        <f>(+C142/SUM(C$135:C$146))*Trends!B$14</f>
        <v>10.954604285386392</v>
      </c>
      <c r="D154" s="121">
        <f ca="1">(+D142/SUM(D$135:D$146))*Trends!C$14</f>
        <v>82.350864577983273</v>
      </c>
      <c r="E154" s="126">
        <f t="shared" si="15"/>
        <v>7.3406150000000003E-2</v>
      </c>
      <c r="F154" s="47">
        <v>31</v>
      </c>
      <c r="G154" s="10">
        <v>0</v>
      </c>
      <c r="H154" s="10">
        <f t="shared" ca="1" si="11"/>
        <v>99495987.679235995</v>
      </c>
      <c r="I154" s="36"/>
      <c r="J154" s="5"/>
      <c r="K154" s="208"/>
      <c r="T154"/>
    </row>
    <row r="155" spans="1:20" x14ac:dyDescent="0.2">
      <c r="A155" s="3">
        <v>42248</v>
      </c>
      <c r="C155" s="121">
        <f>(+C143/SUM(C$135:C$146))*Trends!B$14</f>
        <v>66.76270643219739</v>
      </c>
      <c r="D155" s="121">
        <f ca="1">(+D143/SUM(D$135:D$146))*Trends!C$14</f>
        <v>31.946456086286616</v>
      </c>
      <c r="E155" s="126">
        <f t="shared" si="15"/>
        <v>7.3406150000000003E-2</v>
      </c>
      <c r="F155" s="47">
        <v>30</v>
      </c>
      <c r="G155" s="10">
        <v>1</v>
      </c>
      <c r="H155" s="10">
        <f t="shared" ca="1" si="11"/>
        <v>84615603.103504628</v>
      </c>
      <c r="I155" s="36"/>
      <c r="J155" s="5"/>
      <c r="K155" s="208"/>
      <c r="T155"/>
    </row>
    <row r="156" spans="1:20" x14ac:dyDescent="0.2">
      <c r="A156" s="3">
        <v>42278</v>
      </c>
      <c r="C156" s="121">
        <f>(+C144/SUM(C$135:C$146))*Trends!B$14</f>
        <v>186.57329975819502</v>
      </c>
      <c r="D156" s="121">
        <f ca="1">(+D144/SUM(D$135:D$146))*Trends!C$14</f>
        <v>0.70992124636192477</v>
      </c>
      <c r="E156" s="126">
        <f t="shared" si="15"/>
        <v>7.3406150000000003E-2</v>
      </c>
      <c r="F156" s="47">
        <v>31</v>
      </c>
      <c r="G156" s="10">
        <v>1</v>
      </c>
      <c r="H156" s="10">
        <f t="shared" ca="1" si="11"/>
        <v>87729371.069509834</v>
      </c>
      <c r="I156" s="36"/>
      <c r="J156" s="5"/>
      <c r="K156" s="208"/>
      <c r="T156"/>
    </row>
    <row r="157" spans="1:20" x14ac:dyDescent="0.2">
      <c r="A157" s="3">
        <v>42309</v>
      </c>
      <c r="C157" s="121">
        <f>(+C145/SUM(C$135:C$146))*Trends!B$14</f>
        <v>351.32364767227392</v>
      </c>
      <c r="D157" s="121">
        <f ca="1">(+D145/SUM(D$135:D$146))*Trends!C$14</f>
        <v>0</v>
      </c>
      <c r="E157" s="126">
        <f t="shared" si="15"/>
        <v>7.3406150000000003E-2</v>
      </c>
      <c r="F157" s="47">
        <v>30</v>
      </c>
      <c r="G157" s="10">
        <v>1</v>
      </c>
      <c r="H157" s="10">
        <f t="shared" ca="1" si="11"/>
        <v>91447817.925715432</v>
      </c>
      <c r="I157" s="36"/>
      <c r="J157" s="5"/>
      <c r="K157" s="208"/>
      <c r="T157"/>
    </row>
    <row r="158" spans="1:20" x14ac:dyDescent="0.2">
      <c r="A158" s="3">
        <v>42339</v>
      </c>
      <c r="C158" s="121">
        <f>(+C146/SUM(C$135:C$146))*Trends!B$14</f>
        <v>475.96461769104019</v>
      </c>
      <c r="D158" s="121">
        <f ca="1">(+D146/SUM(D$135:D$146))*Trends!C$14</f>
        <v>0</v>
      </c>
      <c r="E158" s="126">
        <f t="shared" si="15"/>
        <v>7.3406150000000003E-2</v>
      </c>
      <c r="F158" s="47">
        <v>31</v>
      </c>
      <c r="G158" s="10">
        <v>0</v>
      </c>
      <c r="H158" s="10">
        <f t="shared" ca="1" si="11"/>
        <v>106298137.57379279</v>
      </c>
      <c r="I158" s="36"/>
      <c r="J158" s="5"/>
      <c r="K158" s="208"/>
      <c r="T158"/>
    </row>
    <row r="159" spans="1:20" x14ac:dyDescent="0.2">
      <c r="A159" s="3">
        <v>42370</v>
      </c>
      <c r="C159" s="121">
        <f>(+C147/SUM(C$147:C$158))*Trends!B$15</f>
        <v>663.68561281945165</v>
      </c>
      <c r="D159" s="121">
        <f ca="1">(+D147/SUM(D$147:D$158))*Trends!C$15</f>
        <v>0</v>
      </c>
      <c r="E159" s="126">
        <f t="shared" si="15"/>
        <v>7.3406150000000003E-2</v>
      </c>
      <c r="F159" s="47">
        <v>31</v>
      </c>
      <c r="G159" s="10">
        <v>0</v>
      </c>
      <c r="H159" s="10">
        <f t="shared" ca="1" si="11"/>
        <v>113855065.40525816</v>
      </c>
      <c r="I159" s="36"/>
      <c r="J159" s="5"/>
      <c r="K159" s="208"/>
      <c r="T159"/>
    </row>
    <row r="160" spans="1:20" x14ac:dyDescent="0.2">
      <c r="A160" s="3">
        <v>42401</v>
      </c>
      <c r="C160" s="121">
        <f>(+C148/SUM(C$147:C$158))*Trends!B$15</f>
        <v>594.4602691771272</v>
      </c>
      <c r="D160" s="121">
        <f ca="1">(+D148/SUM(D$147:D$158))*Trends!C$15</f>
        <v>0</v>
      </c>
      <c r="E160" s="126">
        <f t="shared" si="15"/>
        <v>7.3406150000000003E-2</v>
      </c>
      <c r="F160" s="47">
        <v>29</v>
      </c>
      <c r="G160" s="10">
        <v>0</v>
      </c>
      <c r="H160" s="10">
        <f t="shared" ca="1" si="11"/>
        <v>105446248.78425813</v>
      </c>
      <c r="I160" s="36"/>
      <c r="J160" s="5"/>
      <c r="K160" s="208"/>
      <c r="T160"/>
    </row>
    <row r="161" spans="1:20" x14ac:dyDescent="0.2">
      <c r="A161" s="3">
        <v>42430</v>
      </c>
      <c r="C161" s="121">
        <f>(+C149/SUM(C$147:C$158))*Trends!B$15</f>
        <v>583.36012084914728</v>
      </c>
      <c r="D161" s="121">
        <f ca="1">(+D149/SUM(D$147:D$158))*Trends!C$15</f>
        <v>0</v>
      </c>
      <c r="E161" s="126">
        <f t="shared" si="15"/>
        <v>7.3406150000000003E-2</v>
      </c>
      <c r="F161" s="47">
        <v>31</v>
      </c>
      <c r="G161" s="10">
        <v>1</v>
      </c>
      <c r="H161" s="10">
        <f t="shared" ca="1" si="11"/>
        <v>103599751.86081654</v>
      </c>
      <c r="I161" s="36"/>
      <c r="J161" s="5"/>
      <c r="K161" s="208"/>
      <c r="T161"/>
    </row>
    <row r="162" spans="1:20" x14ac:dyDescent="0.2">
      <c r="A162" s="3">
        <v>42461</v>
      </c>
      <c r="C162" s="121">
        <f>(+C150/SUM(C$147:C$158))*Trends!B$15</f>
        <v>319.49496699061632</v>
      </c>
      <c r="D162" s="121">
        <f ca="1">(+D150/SUM(D$147:D$158))*Trends!C$15</f>
        <v>0</v>
      </c>
      <c r="E162" s="126">
        <f t="shared" si="15"/>
        <v>7.3406150000000003E-2</v>
      </c>
      <c r="F162" s="47">
        <v>30</v>
      </c>
      <c r="G162" s="10">
        <v>1</v>
      </c>
      <c r="H162" s="10">
        <f t="shared" ca="1" si="11"/>
        <v>90166517.22348173</v>
      </c>
      <c r="I162" s="36"/>
      <c r="J162" s="5"/>
      <c r="K162" s="208"/>
      <c r="T162"/>
    </row>
    <row r="163" spans="1:20" x14ac:dyDescent="0.2">
      <c r="A163" s="3">
        <v>42491</v>
      </c>
      <c r="C163" s="121">
        <f>(+C151/SUM(C$147:C$158))*Trends!B$15</f>
        <v>138.10649663882012</v>
      </c>
      <c r="D163" s="121">
        <f ca="1">(+D151/SUM(D$147:D$158))*Trends!C$15</f>
        <v>1.8640104434172213</v>
      </c>
      <c r="E163" s="126">
        <f t="shared" si="15"/>
        <v>7.3406150000000003E-2</v>
      </c>
      <c r="F163" s="47">
        <v>31</v>
      </c>
      <c r="G163" s="10">
        <v>1</v>
      </c>
      <c r="H163" s="10">
        <f t="shared" ca="1" si="11"/>
        <v>85945296.860928088</v>
      </c>
      <c r="I163" s="36"/>
      <c r="J163" s="5"/>
      <c r="K163" s="208"/>
      <c r="T163"/>
    </row>
    <row r="164" spans="1:20" x14ac:dyDescent="0.2">
      <c r="A164" s="3">
        <v>42522</v>
      </c>
      <c r="C164" s="121">
        <f>(+C152/SUM(C$147:C$158))*Trends!B$15</f>
        <v>23.146820931989172</v>
      </c>
      <c r="D164" s="121">
        <f ca="1">(+D152/SUM(D$147:D$158))*Trends!C$15</f>
        <v>57.497552908485055</v>
      </c>
      <c r="E164" s="126">
        <f t="shared" si="15"/>
        <v>7.3406150000000003E-2</v>
      </c>
      <c r="F164" s="47">
        <v>30</v>
      </c>
      <c r="G164" s="10">
        <v>0</v>
      </c>
      <c r="H164" s="10">
        <f t="shared" ca="1" si="11"/>
        <v>93579128.139875799</v>
      </c>
      <c r="I164" s="36"/>
      <c r="J164" s="5"/>
      <c r="K164" s="208"/>
      <c r="T164"/>
    </row>
    <row r="165" spans="1:20" x14ac:dyDescent="0.2">
      <c r="A165" s="3">
        <v>42552</v>
      </c>
      <c r="C165" s="121">
        <f>(+C153/SUM(C$147:C$158))*Trends!B$15</f>
        <v>8.2605754998920471</v>
      </c>
      <c r="D165" s="121">
        <f ca="1">(+D153/SUM(D$147:D$158))*Trends!C$15</f>
        <v>78.288438623523277</v>
      </c>
      <c r="E165" s="126">
        <f t="shared" si="15"/>
        <v>7.3406150000000003E-2</v>
      </c>
      <c r="F165" s="47">
        <v>31</v>
      </c>
      <c r="G165" s="10">
        <v>0</v>
      </c>
      <c r="H165" s="10">
        <f t="shared" ca="1" si="11"/>
        <v>98799644.122780263</v>
      </c>
      <c r="I165" s="36"/>
      <c r="J165" s="5"/>
      <c r="K165" s="208"/>
      <c r="T165"/>
    </row>
    <row r="166" spans="1:20" x14ac:dyDescent="0.2">
      <c r="A166" s="3">
        <v>42583</v>
      </c>
      <c r="C166" s="121">
        <f>(+C154/SUM(C$147:C$158))*Trends!B$15</f>
        <v>10.92805300506552</v>
      </c>
      <c r="D166" s="121">
        <f ca="1">(+D154/SUM(D$147:D$158))*Trends!C$15</f>
        <v>83.163542860152944</v>
      </c>
      <c r="E166" s="126">
        <f t="shared" si="15"/>
        <v>7.3406150000000003E-2</v>
      </c>
      <c r="F166" s="47">
        <v>31</v>
      </c>
      <c r="G166" s="10">
        <v>0</v>
      </c>
      <c r="H166" s="10">
        <f t="shared" ca="1" si="11"/>
        <v>99612525.226030365</v>
      </c>
      <c r="I166" s="36"/>
      <c r="J166" s="5"/>
      <c r="K166" s="208"/>
      <c r="T166"/>
    </row>
    <row r="167" spans="1:20" x14ac:dyDescent="0.2">
      <c r="A167" s="3">
        <v>42614</v>
      </c>
      <c r="C167" s="121">
        <f>(+C155/SUM(C$147:C$158))*Trends!B$15</f>
        <v>66.600889967879638</v>
      </c>
      <c r="D167" s="121">
        <f ca="1">(+D155/SUM(D$147:D$158))*Trends!C$15</f>
        <v>32.261719212990371</v>
      </c>
      <c r="E167" s="126">
        <f t="shared" si="15"/>
        <v>7.3406150000000003E-2</v>
      </c>
      <c r="F167" s="47">
        <v>30</v>
      </c>
      <c r="G167" s="10">
        <v>1</v>
      </c>
      <c r="H167" s="10">
        <f t="shared" ca="1" si="11"/>
        <v>84654712.165057853</v>
      </c>
      <c r="I167" s="36"/>
      <c r="J167" s="5"/>
      <c r="K167" s="208"/>
      <c r="T167"/>
    </row>
    <row r="168" spans="1:20" x14ac:dyDescent="0.2">
      <c r="A168" s="3">
        <v>42644</v>
      </c>
      <c r="C168" s="121">
        <f>(+C156/SUM(C$147:C$158))*Trends!B$15</f>
        <v>186.1210917319427</v>
      </c>
      <c r="D168" s="121">
        <f ca="1">(+D156/SUM(D$147:D$158))*Trends!C$15</f>
        <v>0.71692709362200813</v>
      </c>
      <c r="E168" s="126">
        <f t="shared" si="15"/>
        <v>7.3406150000000003E-2</v>
      </c>
      <c r="F168" s="47">
        <v>31</v>
      </c>
      <c r="G168" s="10">
        <v>1</v>
      </c>
      <c r="H168" s="10">
        <f t="shared" ca="1" si="11"/>
        <v>87712180.755712435</v>
      </c>
      <c r="I168" s="36"/>
      <c r="J168" s="5"/>
      <c r="K168" s="208"/>
      <c r="T168"/>
    </row>
    <row r="169" spans="1:20" x14ac:dyDescent="0.2">
      <c r="A169" s="3">
        <v>42675</v>
      </c>
      <c r="C169" s="121">
        <f>(+C157/SUM(C$147:C$158))*Trends!B$15</f>
        <v>350.47212511521167</v>
      </c>
      <c r="D169" s="121">
        <f ca="1">(+D157/SUM(D$147:D$158))*Trends!C$15</f>
        <v>0</v>
      </c>
      <c r="E169" s="126">
        <f t="shared" si="15"/>
        <v>7.3406150000000003E-2</v>
      </c>
      <c r="F169" s="47">
        <v>30</v>
      </c>
      <c r="G169" s="10">
        <v>1</v>
      </c>
      <c r="H169" s="10">
        <f t="shared" ca="1" si="11"/>
        <v>91413538.890990615</v>
      </c>
      <c r="I169" s="36"/>
      <c r="J169" s="5"/>
      <c r="K169" s="208"/>
      <c r="T169"/>
    </row>
    <row r="170" spans="1:20" x14ac:dyDescent="0.2">
      <c r="A170" s="3">
        <v>42705</v>
      </c>
      <c r="C170" s="121">
        <f>(+C158/SUM(C$147:C$158))*Trends!B$15</f>
        <v>474.81099592087827</v>
      </c>
      <c r="D170" s="121">
        <f ca="1">(+D158/SUM(D$147:D$158))*Trends!C$15</f>
        <v>0</v>
      </c>
      <c r="E170" s="126">
        <f t="shared" si="15"/>
        <v>7.3406150000000003E-2</v>
      </c>
      <c r="F170" s="47">
        <v>31</v>
      </c>
      <c r="G170" s="10">
        <v>0</v>
      </c>
      <c r="H170" s="10">
        <f t="shared" ca="1" si="11"/>
        <v>106251697.18253043</v>
      </c>
      <c r="I170" s="36"/>
      <c r="J170" s="5"/>
      <c r="K170" s="208"/>
      <c r="T170"/>
    </row>
    <row r="171" spans="1:20" x14ac:dyDescent="0.2">
      <c r="A171" s="3">
        <v>42736</v>
      </c>
      <c r="C171" s="121">
        <f>(+C159/SUM(C$159:C$170))*Trends!B$16</f>
        <v>662.07309293665651</v>
      </c>
      <c r="D171" s="121">
        <f ca="1">(+D159/SUM(D$159:D$170))*Trends!C$16</f>
        <v>0</v>
      </c>
      <c r="E171" s="126">
        <f t="shared" si="15"/>
        <v>7.3406150000000003E-2</v>
      </c>
      <c r="F171" s="47">
        <v>31</v>
      </c>
      <c r="G171" s="10">
        <v>0</v>
      </c>
      <c r="H171" s="10">
        <f t="shared" ca="1" si="11"/>
        <v>113790151.53468791</v>
      </c>
      <c r="I171" s="36"/>
      <c r="J171" s="5"/>
      <c r="K171" s="208"/>
      <c r="T171"/>
    </row>
    <row r="172" spans="1:20" x14ac:dyDescent="0.2">
      <c r="A172" s="3">
        <v>42767</v>
      </c>
      <c r="C172" s="121">
        <f>(+C160/SUM(C$159:C$170))*Trends!B$16</f>
        <v>593.0159422472309</v>
      </c>
      <c r="D172" s="121">
        <f ca="1">(+D160/SUM(D$159:D$170))*Trends!C$16</f>
        <v>0</v>
      </c>
      <c r="E172" s="126">
        <f t="shared" si="15"/>
        <v>7.3406150000000003E-2</v>
      </c>
      <c r="F172" s="47">
        <v>28</v>
      </c>
      <c r="G172" s="10">
        <v>0</v>
      </c>
      <c r="H172" s="10">
        <f t="shared" ca="1" si="11"/>
        <v>102577070.92286685</v>
      </c>
      <c r="I172" s="36"/>
      <c r="J172" s="5"/>
      <c r="K172" s="208"/>
      <c r="T172"/>
    </row>
    <row r="173" spans="1:20" x14ac:dyDescent="0.2">
      <c r="A173" s="3">
        <v>42795</v>
      </c>
      <c r="C173" s="121">
        <f>(+C161/SUM(C$159:C$170))*Trends!B$16</f>
        <v>581.9427633299706</v>
      </c>
      <c r="D173" s="121">
        <f ca="1">(+D161/SUM(D$159:D$170))*Trends!C$16</f>
        <v>0</v>
      </c>
      <c r="E173" s="126">
        <f t="shared" si="15"/>
        <v>7.3406150000000003E-2</v>
      </c>
      <c r="F173" s="47">
        <v>31</v>
      </c>
      <c r="G173" s="10">
        <v>1</v>
      </c>
      <c r="H173" s="10">
        <f t="shared" ca="1" si="11"/>
        <v>103542694.47905445</v>
      </c>
      <c r="I173" s="36"/>
      <c r="J173" s="5"/>
      <c r="K173" s="208"/>
      <c r="T173"/>
    </row>
    <row r="174" spans="1:20" x14ac:dyDescent="0.2">
      <c r="A174" s="3">
        <v>42826</v>
      </c>
      <c r="C174" s="121">
        <f>(+C162/SUM(C$159:C$170))*Trends!B$16</f>
        <v>318.71870790532938</v>
      </c>
      <c r="D174" s="121">
        <f ca="1">(+D162/SUM(D$159:D$170))*Trends!C$16</f>
        <v>0</v>
      </c>
      <c r="E174" s="126">
        <f t="shared" si="15"/>
        <v>7.3406150000000003E-2</v>
      </c>
      <c r="F174" s="47">
        <v>30</v>
      </c>
      <c r="G174" s="10">
        <v>1</v>
      </c>
      <c r="H174" s="10">
        <f t="shared" ca="1" si="11"/>
        <v>90135268.00768666</v>
      </c>
      <c r="I174" s="36"/>
      <c r="J174" s="5"/>
      <c r="K174" s="208"/>
      <c r="T174"/>
    </row>
    <row r="175" spans="1:20" x14ac:dyDescent="0.2">
      <c r="A175" s="3">
        <v>42856</v>
      </c>
      <c r="C175" s="121">
        <f>(+C163/SUM(C$159:C$170))*Trends!B$16</f>
        <v>137.77094699381996</v>
      </c>
      <c r="D175" s="121">
        <f ca="1">(+D163/SUM(D$159:D$170))*Trends!C$16</f>
        <v>1.8822256462934444</v>
      </c>
      <c r="E175" s="126">
        <f t="shared" si="15"/>
        <v>7.3406150000000003E-2</v>
      </c>
      <c r="F175" s="47">
        <v>31</v>
      </c>
      <c r="G175" s="10">
        <v>1</v>
      </c>
      <c r="H175" s="10">
        <f t="shared" ca="1" si="11"/>
        <v>85934424.923707455</v>
      </c>
      <c r="I175" s="36"/>
      <c r="J175" s="5"/>
      <c r="K175" s="208"/>
      <c r="T175"/>
    </row>
    <row r="176" spans="1:20" x14ac:dyDescent="0.2">
      <c r="A176" s="3">
        <v>42887</v>
      </c>
      <c r="C176" s="121">
        <f>(+C164/SUM(C$159:C$170))*Trends!B$16</f>
        <v>23.090582393356748</v>
      </c>
      <c r="D176" s="121">
        <f ca="1">(+D164/SUM(D$159:D$170))*Trends!C$16</f>
        <v>58.059421858743939</v>
      </c>
      <c r="E176" s="126">
        <f t="shared" si="15"/>
        <v>7.3406150000000003E-2</v>
      </c>
      <c r="F176" s="47">
        <v>30</v>
      </c>
      <c r="G176" s="10">
        <v>0</v>
      </c>
      <c r="H176" s="10">
        <f t="shared" ca="1" si="11"/>
        <v>93658174.823278368</v>
      </c>
      <c r="I176" s="36"/>
      <c r="J176" s="5"/>
      <c r="K176" s="208"/>
      <c r="T176"/>
    </row>
    <row r="177" spans="1:20" x14ac:dyDescent="0.2">
      <c r="A177" s="3">
        <v>42917</v>
      </c>
      <c r="C177" s="121">
        <f>(+C165/SUM(C$159:C$170))*Trends!B$16</f>
        <v>8.2405052407518511</v>
      </c>
      <c r="D177" s="121">
        <f ca="1">(+D165/SUM(D$159:D$170))*Trends!C$16</f>
        <v>79.053477144324646</v>
      </c>
      <c r="E177" s="126">
        <f t="shared" si="15"/>
        <v>7.3406150000000003E-2</v>
      </c>
      <c r="F177" s="47">
        <v>31</v>
      </c>
      <c r="G177" s="10">
        <v>0</v>
      </c>
      <c r="H177" s="10">
        <f t="shared" ca="1" si="11"/>
        <v>98909548.402397752</v>
      </c>
      <c r="I177" s="36"/>
      <c r="J177" s="5"/>
      <c r="K177" s="208"/>
      <c r="T177"/>
    </row>
    <row r="178" spans="1:20" x14ac:dyDescent="0.2">
      <c r="A178" s="3">
        <v>42948</v>
      </c>
      <c r="C178" s="121">
        <f>(+C166/SUM(C$159:C$170))*Trends!B$16</f>
        <v>10.901501724744636</v>
      </c>
      <c r="D178" s="121">
        <f ca="1">(+D166/SUM(D$159:D$170))*Trends!C$16</f>
        <v>83.976221142322899</v>
      </c>
      <c r="E178" s="126">
        <f t="shared" si="15"/>
        <v>7.3406150000000003E-2</v>
      </c>
      <c r="F178" s="47">
        <v>31</v>
      </c>
      <c r="G178" s="10">
        <v>0</v>
      </c>
      <c r="H178" s="10">
        <f t="shared" ca="1" si="11"/>
        <v>99729062.772824794</v>
      </c>
      <c r="I178" s="36"/>
      <c r="J178" s="5"/>
      <c r="K178" s="208"/>
      <c r="T178"/>
    </row>
    <row r="179" spans="1:20" x14ac:dyDescent="0.2">
      <c r="A179" s="3">
        <v>42979</v>
      </c>
      <c r="C179" s="121">
        <f>(+C167/SUM(C$159:C$170))*Trends!B$16</f>
        <v>66.439073503561801</v>
      </c>
      <c r="D179" s="121">
        <f ca="1">(+D167/SUM(D$159:D$170))*Trends!C$16</f>
        <v>32.576982339694233</v>
      </c>
      <c r="E179" s="126">
        <f t="shared" si="15"/>
        <v>7.3406150000000003E-2</v>
      </c>
      <c r="F179" s="47">
        <v>30</v>
      </c>
      <c r="G179" s="10">
        <v>1</v>
      </c>
      <c r="H179" s="10">
        <f t="shared" ca="1" si="11"/>
        <v>84693821.226611093</v>
      </c>
      <c r="I179" s="36"/>
      <c r="J179" s="5"/>
      <c r="K179" s="208"/>
      <c r="T179"/>
    </row>
    <row r="180" spans="1:20" x14ac:dyDescent="0.2">
      <c r="A180" s="3">
        <v>43009</v>
      </c>
      <c r="C180" s="121">
        <f>(+C168/SUM(C$159:C$170))*Trends!B$16</f>
        <v>185.66888370569015</v>
      </c>
      <c r="D180" s="121">
        <f ca="1">(+D168/SUM(D$159:D$170))*Trends!C$16</f>
        <v>0.72393294088209392</v>
      </c>
      <c r="E180" s="126">
        <f t="shared" si="15"/>
        <v>7.3406150000000003E-2</v>
      </c>
      <c r="F180" s="47">
        <v>31</v>
      </c>
      <c r="G180" s="10">
        <v>1</v>
      </c>
      <c r="H180" s="10">
        <f t="shared" ca="1" si="11"/>
        <v>87694990.44191502</v>
      </c>
      <c r="I180" s="36"/>
      <c r="J180" s="5"/>
      <c r="K180" s="208"/>
      <c r="T180"/>
    </row>
    <row r="181" spans="1:20" x14ac:dyDescent="0.2">
      <c r="A181" s="3">
        <v>43040</v>
      </c>
      <c r="C181" s="121">
        <f>(+C169/SUM(C$159:C$170))*Trends!B$16</f>
        <v>349.62060255814896</v>
      </c>
      <c r="D181" s="121">
        <f ca="1">(+D169/SUM(D$159:D$170))*Trends!C$16</f>
        <v>0</v>
      </c>
      <c r="E181" s="126">
        <f t="shared" si="15"/>
        <v>7.3406150000000003E-2</v>
      </c>
      <c r="F181" s="47">
        <v>30</v>
      </c>
      <c r="G181" s="10">
        <v>1</v>
      </c>
      <c r="H181" s="10">
        <f t="shared" ca="1" si="11"/>
        <v>91379259.856265783</v>
      </c>
      <c r="I181" s="36"/>
      <c r="J181" s="5"/>
      <c r="K181" s="208"/>
      <c r="T181"/>
    </row>
    <row r="182" spans="1:20" x14ac:dyDescent="0.2">
      <c r="A182" s="3">
        <v>43070</v>
      </c>
      <c r="C182" s="121">
        <f>(+C170/SUM(C$159:C$170))*Trends!B$16</f>
        <v>473.65737415071578</v>
      </c>
      <c r="D182" s="121">
        <f ca="1">(+D170/SUM(D$159:D$170))*Trends!C$16</f>
        <v>0</v>
      </c>
      <c r="E182" s="126">
        <f t="shared" si="15"/>
        <v>7.3406150000000003E-2</v>
      </c>
      <c r="F182" s="47">
        <v>31</v>
      </c>
      <c r="G182" s="10">
        <v>0</v>
      </c>
      <c r="H182" s="10">
        <f t="shared" ca="1" si="11"/>
        <v>106205256.79126805</v>
      </c>
      <c r="I182" s="36"/>
      <c r="J182" s="5"/>
      <c r="K182" s="208"/>
      <c r="T182"/>
    </row>
    <row r="183" spans="1:20" x14ac:dyDescent="0.2">
      <c r="A183" s="3">
        <v>43101</v>
      </c>
      <c r="C183" s="121">
        <f>(+C171/SUM(C$171:C$182))*Trends!B$17</f>
        <v>660.46057305386228</v>
      </c>
      <c r="D183" s="121">
        <f ca="1">(+D171/SUM(D$171:D$182))*Trends!C$17</f>
        <v>0</v>
      </c>
      <c r="E183" s="126">
        <f t="shared" si="15"/>
        <v>7.3406150000000003E-2</v>
      </c>
      <c r="F183" s="47">
        <v>31</v>
      </c>
      <c r="G183" s="10">
        <v>0</v>
      </c>
      <c r="H183" s="10">
        <f t="shared" ca="1" si="11"/>
        <v>113725237.66411768</v>
      </c>
      <c r="I183" s="36"/>
      <c r="J183" s="5"/>
      <c r="K183" s="208"/>
      <c r="T183"/>
    </row>
    <row r="184" spans="1:20" x14ac:dyDescent="0.2">
      <c r="A184" s="3">
        <v>43132</v>
      </c>
      <c r="C184" s="121">
        <f>(+C172/SUM(C$171:C$182))*Trends!B$17</f>
        <v>591.57161531733539</v>
      </c>
      <c r="D184" s="121">
        <f ca="1">(+D172/SUM(D$171:D$182))*Trends!C$17</f>
        <v>0</v>
      </c>
      <c r="E184" s="126">
        <f t="shared" si="15"/>
        <v>7.3406150000000003E-2</v>
      </c>
      <c r="F184" s="47">
        <v>28</v>
      </c>
      <c r="G184" s="10">
        <v>0</v>
      </c>
      <c r="H184" s="10">
        <f t="shared" ca="1" si="11"/>
        <v>102518927.85598828</v>
      </c>
      <c r="I184" s="36"/>
      <c r="J184" s="5"/>
      <c r="K184" s="208"/>
      <c r="T184"/>
    </row>
    <row r="185" spans="1:20" x14ac:dyDescent="0.2">
      <c r="A185" s="3">
        <v>43160</v>
      </c>
      <c r="C185" s="121">
        <f>(+C173/SUM(C$171:C$182))*Trends!B$17</f>
        <v>580.52540581079472</v>
      </c>
      <c r="D185" s="121">
        <f ca="1">(+D173/SUM(D$171:D$182))*Trends!C$17</f>
        <v>0</v>
      </c>
      <c r="E185" s="126">
        <f t="shared" si="15"/>
        <v>7.3406150000000003E-2</v>
      </c>
      <c r="F185" s="47">
        <v>31</v>
      </c>
      <c r="G185" s="10">
        <v>1</v>
      </c>
      <c r="H185" s="10">
        <f t="shared" ca="1" si="11"/>
        <v>103485637.09729238</v>
      </c>
      <c r="I185" s="36"/>
      <c r="J185" s="5"/>
      <c r="K185" s="208"/>
      <c r="T185"/>
    </row>
    <row r="186" spans="1:20" x14ac:dyDescent="0.2">
      <c r="A186" s="3">
        <v>43191</v>
      </c>
      <c r="C186" s="121">
        <f>(+C174/SUM(C$171:C$182))*Trends!B$17</f>
        <v>317.94244882004284</v>
      </c>
      <c r="D186" s="121">
        <f ca="1">(+D174/SUM(D$171:D$182))*Trends!C$17</f>
        <v>0</v>
      </c>
      <c r="E186" s="126">
        <f t="shared" si="15"/>
        <v>7.3406150000000003E-2</v>
      </c>
      <c r="F186" s="47">
        <v>30</v>
      </c>
      <c r="G186" s="10">
        <v>1</v>
      </c>
      <c r="H186" s="10">
        <f t="shared" ca="1" si="11"/>
        <v>90104018.791891605</v>
      </c>
      <c r="I186" s="36"/>
      <c r="J186" s="5"/>
      <c r="K186" s="208"/>
      <c r="T186"/>
    </row>
    <row r="187" spans="1:20" x14ac:dyDescent="0.2">
      <c r="A187" s="3">
        <v>43221</v>
      </c>
      <c r="C187" s="121">
        <f>(+C175/SUM(C$171:C$182))*Trends!B$17</f>
        <v>137.43539734882</v>
      </c>
      <c r="D187" s="121">
        <f ca="1">(+D175/SUM(D$171:D$182))*Trends!C$17</f>
        <v>1.9004408491696605</v>
      </c>
      <c r="E187" s="126">
        <f t="shared" si="15"/>
        <v>7.3406150000000003E-2</v>
      </c>
      <c r="F187" s="47">
        <v>31</v>
      </c>
      <c r="G187" s="10">
        <v>1</v>
      </c>
      <c r="H187" s="10">
        <f t="shared" ca="1" si="11"/>
        <v>85923552.986486822</v>
      </c>
      <c r="I187" s="36"/>
      <c r="J187" s="5"/>
      <c r="K187" s="208"/>
      <c r="T187"/>
    </row>
    <row r="188" spans="1:20" x14ac:dyDescent="0.2">
      <c r="A188" s="3">
        <v>43252</v>
      </c>
      <c r="C188" s="121">
        <f>(+C176/SUM(C$171:C$182))*Trends!B$17</f>
        <v>23.034343854724352</v>
      </c>
      <c r="D188" s="121">
        <f ca="1">(+D176/SUM(D$171:D$182))*Trends!C$17</f>
        <v>58.621290809002602</v>
      </c>
      <c r="E188" s="126">
        <f t="shared" si="15"/>
        <v>7.3406150000000003E-2</v>
      </c>
      <c r="F188" s="47">
        <v>30</v>
      </c>
      <c r="G188" s="10">
        <v>0</v>
      </c>
      <c r="H188" s="10">
        <f t="shared" ca="1" si="11"/>
        <v>93737221.506680906</v>
      </c>
      <c r="I188" s="36"/>
      <c r="J188" s="5"/>
      <c r="K188" s="208"/>
      <c r="T188"/>
    </row>
    <row r="189" spans="1:20" x14ac:dyDescent="0.2">
      <c r="A189" s="3">
        <v>43282</v>
      </c>
      <c r="C189" s="121">
        <f>(+C177/SUM(C$171:C$182))*Trends!B$17</f>
        <v>8.2204349816116657</v>
      </c>
      <c r="D189" s="121">
        <f ca="1">(+D177/SUM(D$171:D$182))*Trends!C$17</f>
        <v>79.81851566512573</v>
      </c>
      <c r="E189" s="126">
        <f t="shared" si="15"/>
        <v>7.3406150000000003E-2</v>
      </c>
      <c r="F189" s="47">
        <v>31</v>
      </c>
      <c r="G189" s="10">
        <v>0</v>
      </c>
      <c r="H189" s="10">
        <f t="shared" ca="1" si="11"/>
        <v>99019452.682015181</v>
      </c>
      <c r="I189" s="36"/>
      <c r="J189" s="5"/>
      <c r="K189" s="208"/>
      <c r="T189"/>
    </row>
    <row r="190" spans="1:20" x14ac:dyDescent="0.2">
      <c r="A190" s="3">
        <v>43313</v>
      </c>
      <c r="C190" s="121">
        <f>(+C178/SUM(C$171:C$182))*Trends!B$17</f>
        <v>10.874950444423765</v>
      </c>
      <c r="D190" s="121">
        <f ca="1">(+D178/SUM(D$171:D$182))*Trends!C$17</f>
        <v>84.788899424492527</v>
      </c>
      <c r="E190" s="126">
        <f t="shared" si="15"/>
        <v>7.3406150000000003E-2</v>
      </c>
      <c r="F190" s="47">
        <v>31</v>
      </c>
      <c r="G190" s="10">
        <v>0</v>
      </c>
      <c r="H190" s="10">
        <f t="shared" ca="1" si="11"/>
        <v>99845600.319619164</v>
      </c>
      <c r="I190" s="36"/>
      <c r="J190" s="5"/>
      <c r="K190" s="208"/>
      <c r="T190"/>
    </row>
    <row r="191" spans="1:20" x14ac:dyDescent="0.2">
      <c r="A191" s="3">
        <v>43344</v>
      </c>
      <c r="C191" s="121">
        <f>(+C179/SUM(C$171:C$182))*Trends!B$17</f>
        <v>66.277257039244049</v>
      </c>
      <c r="D191" s="121">
        <f ca="1">(+D179/SUM(D$171:D$182))*Trends!C$17</f>
        <v>32.892245466397974</v>
      </c>
      <c r="E191" s="126">
        <f t="shared" si="15"/>
        <v>7.3406150000000003E-2</v>
      </c>
      <c r="F191" s="47">
        <v>30</v>
      </c>
      <c r="G191" s="10">
        <v>1</v>
      </c>
      <c r="H191" s="10">
        <f t="shared" ca="1" si="11"/>
        <v>84732930.288164303</v>
      </c>
      <c r="I191" s="36"/>
      <c r="J191" s="5"/>
      <c r="K191" s="208"/>
      <c r="T191"/>
    </row>
    <row r="192" spans="1:20" x14ac:dyDescent="0.2">
      <c r="A192" s="3">
        <v>43374</v>
      </c>
      <c r="C192" s="121">
        <f>(+C180/SUM(C$171:C$182))*Trends!B$17</f>
        <v>185.21667567943786</v>
      </c>
      <c r="D192" s="121">
        <f ca="1">(+D180/SUM(D$171:D$182))*Trends!C$17</f>
        <v>0.73093878814217705</v>
      </c>
      <c r="E192" s="126">
        <f t="shared" si="15"/>
        <v>7.3406150000000003E-2</v>
      </c>
      <c r="F192" s="47">
        <v>31</v>
      </c>
      <c r="G192" s="10">
        <v>1</v>
      </c>
      <c r="H192" s="10">
        <f t="shared" ca="1" si="11"/>
        <v>87677800.128117621</v>
      </c>
      <c r="I192" s="36"/>
      <c r="J192" s="5"/>
      <c r="K192" s="208"/>
      <c r="T192"/>
    </row>
    <row r="193" spans="1:20" x14ac:dyDescent="0.2">
      <c r="A193" s="3">
        <v>43405</v>
      </c>
      <c r="C193" s="121">
        <f>(+C181/SUM(C$171:C$182))*Trends!B$17</f>
        <v>348.76908000108671</v>
      </c>
      <c r="D193" s="121">
        <f ca="1">(+D181/SUM(D$171:D$182))*Trends!C$17</f>
        <v>0</v>
      </c>
      <c r="E193" s="126">
        <f t="shared" si="15"/>
        <v>7.3406150000000003E-2</v>
      </c>
      <c r="F193" s="47">
        <v>30</v>
      </c>
      <c r="G193" s="10">
        <v>1</v>
      </c>
      <c r="H193" s="10">
        <f t="shared" ca="1" si="11"/>
        <v>91344980.821540952</v>
      </c>
      <c r="I193" s="36"/>
      <c r="J193" s="5"/>
      <c r="K193" s="208"/>
      <c r="T193"/>
    </row>
    <row r="194" spans="1:20" x14ac:dyDescent="0.2">
      <c r="A194" s="3">
        <v>43435</v>
      </c>
      <c r="C194" s="121">
        <f>(+C182/SUM(C$171:C$182))*Trends!B$17</f>
        <v>472.50375238055386</v>
      </c>
      <c r="D194" s="121">
        <f ca="1">(+D182/SUM(D$171:D$182))*Trends!C$17</f>
        <v>0</v>
      </c>
      <c r="E194" s="126">
        <f t="shared" si="15"/>
        <v>7.3406150000000003E-2</v>
      </c>
      <c r="F194" s="47">
        <v>31</v>
      </c>
      <c r="G194" s="10">
        <v>0</v>
      </c>
      <c r="H194" s="10">
        <f t="shared" ca="1" si="11"/>
        <v>106158816.40000571</v>
      </c>
      <c r="I194" s="36"/>
      <c r="J194" s="5"/>
      <c r="K194" s="208"/>
      <c r="T194"/>
    </row>
    <row r="195" spans="1:20" x14ac:dyDescent="0.2">
      <c r="A195" s="3">
        <v>43466</v>
      </c>
      <c r="C195" s="121">
        <f>(+C183/SUM(C$183:C$194))*Trends!B$18</f>
        <v>658.84805317106725</v>
      </c>
      <c r="D195" s="121">
        <f ca="1">(+D183/SUM(D$183:D$194))*Trends!C$18</f>
        <v>0</v>
      </c>
      <c r="E195" s="126">
        <f t="shared" si="15"/>
        <v>7.3406150000000003E-2</v>
      </c>
      <c r="F195" s="47">
        <v>31</v>
      </c>
      <c r="G195" s="10">
        <v>0</v>
      </c>
      <c r="H195" s="10">
        <f t="shared" ref="H195:H206" ca="1" si="16">$M$18+C195*$M$19+D195*$M$20+E195*$M$21+F195*$M$22+G195*$M$23</f>
        <v>113660323.79354742</v>
      </c>
      <c r="I195" s="36"/>
      <c r="J195" s="5"/>
      <c r="K195" s="208"/>
      <c r="T195"/>
    </row>
    <row r="196" spans="1:20" x14ac:dyDescent="0.2">
      <c r="A196" s="3">
        <v>43497</v>
      </c>
      <c r="C196" s="121">
        <f>(+C184/SUM(C$183:C$194))*Trends!B$18</f>
        <v>590.12728838743919</v>
      </c>
      <c r="D196" s="121">
        <f ca="1">(+D184/SUM(D$183:D$194))*Trends!C$18</f>
        <v>0</v>
      </c>
      <c r="E196" s="126">
        <f t="shared" si="15"/>
        <v>7.3406150000000003E-2</v>
      </c>
      <c r="F196" s="47">
        <v>28</v>
      </c>
      <c r="G196" s="10">
        <v>0</v>
      </c>
      <c r="H196" s="10">
        <f t="shared" ca="1" si="16"/>
        <v>102460784.78910968</v>
      </c>
      <c r="I196" s="36"/>
      <c r="J196" s="5"/>
      <c r="K196" s="208"/>
      <c r="T196"/>
    </row>
    <row r="197" spans="1:20" x14ac:dyDescent="0.2">
      <c r="A197" s="3">
        <v>43525</v>
      </c>
      <c r="C197" s="121">
        <f>(+C185/SUM(C$183:C$194))*Trends!B$18</f>
        <v>579.10804829161816</v>
      </c>
      <c r="D197" s="121">
        <f ca="1">(+D185/SUM(D$183:D$194))*Trends!C$18</f>
        <v>0</v>
      </c>
      <c r="E197" s="126">
        <f t="shared" si="15"/>
        <v>7.3406150000000003E-2</v>
      </c>
      <c r="F197" s="47">
        <v>31</v>
      </c>
      <c r="G197" s="10">
        <v>1</v>
      </c>
      <c r="H197" s="10">
        <f t="shared" ca="1" si="16"/>
        <v>103428579.71553028</v>
      </c>
      <c r="I197" s="36"/>
      <c r="J197" s="5"/>
      <c r="K197" s="208"/>
      <c r="T197"/>
    </row>
    <row r="198" spans="1:20" x14ac:dyDescent="0.2">
      <c r="A198" s="3">
        <v>43556</v>
      </c>
      <c r="C198" s="121">
        <f>(+C186/SUM(C$183:C$194))*Trends!B$18</f>
        <v>317.1661897347559</v>
      </c>
      <c r="D198" s="121">
        <f ca="1">(+D186/SUM(D$183:D$194))*Trends!C$18</f>
        <v>0</v>
      </c>
      <c r="E198" s="126">
        <f t="shared" si="15"/>
        <v>7.3406150000000003E-2</v>
      </c>
      <c r="F198" s="47">
        <v>30</v>
      </c>
      <c r="G198" s="10">
        <v>1</v>
      </c>
      <c r="H198" s="10">
        <f t="shared" ca="1" si="16"/>
        <v>90072769.576096535</v>
      </c>
      <c r="I198" s="36"/>
      <c r="J198" s="5"/>
      <c r="K198" s="208"/>
      <c r="T198"/>
    </row>
    <row r="199" spans="1:20" x14ac:dyDescent="0.2">
      <c r="A199" s="3">
        <v>43586</v>
      </c>
      <c r="C199" s="121">
        <f>(+C187/SUM(C$183:C$194))*Trends!B$18</f>
        <v>137.09984770381988</v>
      </c>
      <c r="D199" s="121">
        <f ca="1">(+D187/SUM(D$183:D$194))*Trends!C$18</f>
        <v>1.9186560520458842</v>
      </c>
      <c r="E199" s="126">
        <f t="shared" si="15"/>
        <v>7.3406150000000003E-2</v>
      </c>
      <c r="F199" s="47">
        <v>31</v>
      </c>
      <c r="G199" s="10">
        <v>1</v>
      </c>
      <c r="H199" s="10">
        <f t="shared" ca="1" si="16"/>
        <v>85912681.049266189</v>
      </c>
      <c r="I199" s="36"/>
      <c r="J199" s="5"/>
      <c r="K199" s="208"/>
      <c r="T199"/>
    </row>
    <row r="200" spans="1:20" x14ac:dyDescent="0.2">
      <c r="A200" s="3">
        <v>43617</v>
      </c>
      <c r="C200" s="121">
        <f>(+C188/SUM(C$183:C$194))*Trends!B$18</f>
        <v>22.978105316091931</v>
      </c>
      <c r="D200" s="121">
        <f ca="1">(+D188/SUM(D$183:D$194))*Trends!C$18</f>
        <v>59.1831597592615</v>
      </c>
      <c r="E200" s="126">
        <f t="shared" ref="E200:E206" si="17">+E199</f>
        <v>7.3406150000000003E-2</v>
      </c>
      <c r="F200" s="47">
        <v>30</v>
      </c>
      <c r="G200" s="10">
        <v>0</v>
      </c>
      <c r="H200" s="10">
        <f t="shared" ca="1" si="16"/>
        <v>93816268.190083489</v>
      </c>
      <c r="I200" s="36"/>
      <c r="J200" s="5"/>
      <c r="K200" s="208"/>
      <c r="T200"/>
    </row>
    <row r="201" spans="1:20" x14ac:dyDescent="0.2">
      <c r="A201" s="3">
        <v>43647</v>
      </c>
      <c r="C201" s="121">
        <f>(+C189/SUM(C$183:C$194))*Trends!B$18</f>
        <v>8.2003647224714715</v>
      </c>
      <c r="D201" s="121">
        <f ca="1">(+D189/SUM(D$183:D$194))*Trends!C$18</f>
        <v>80.583554185927127</v>
      </c>
      <c r="E201" s="126">
        <f t="shared" si="17"/>
        <v>7.3406150000000003E-2</v>
      </c>
      <c r="F201" s="47">
        <v>31</v>
      </c>
      <c r="G201" s="10">
        <v>0</v>
      </c>
      <c r="H201" s="10">
        <f t="shared" ca="1" si="16"/>
        <v>99129356.961632669</v>
      </c>
      <c r="I201" s="36"/>
      <c r="J201" s="5"/>
      <c r="K201" s="208"/>
      <c r="T201"/>
    </row>
    <row r="202" spans="1:20" x14ac:dyDescent="0.2">
      <c r="A202" s="3">
        <v>43678</v>
      </c>
      <c r="C202" s="121">
        <f>(+C190/SUM(C$183:C$194))*Trends!B$18</f>
        <v>10.848399164102883</v>
      </c>
      <c r="D202" s="121">
        <f ca="1">(+D190/SUM(D$183:D$194))*Trends!C$18</f>
        <v>85.601577706662511</v>
      </c>
      <c r="E202" s="126">
        <f t="shared" si="17"/>
        <v>7.3406150000000003E-2</v>
      </c>
      <c r="F202" s="47">
        <v>31</v>
      </c>
      <c r="G202" s="10">
        <v>0</v>
      </c>
      <c r="H202" s="10">
        <f t="shared" ca="1" si="16"/>
        <v>99962137.866413593</v>
      </c>
      <c r="I202" s="36"/>
      <c r="J202" s="5"/>
      <c r="K202" s="208"/>
      <c r="T202"/>
    </row>
    <row r="203" spans="1:20" x14ac:dyDescent="0.2">
      <c r="A203" s="3">
        <v>43709</v>
      </c>
      <c r="C203" s="121">
        <f>(+C191/SUM(C$183:C$194))*Trends!B$18</f>
        <v>66.115440574926225</v>
      </c>
      <c r="D203" s="121">
        <f ca="1">(+D191/SUM(D$183:D$194))*Trends!C$18</f>
        <v>33.207508593101842</v>
      </c>
      <c r="E203" s="126">
        <f t="shared" si="17"/>
        <v>7.3406150000000003E-2</v>
      </c>
      <c r="F203" s="47">
        <v>30</v>
      </c>
      <c r="G203" s="10">
        <v>1</v>
      </c>
      <c r="H203" s="10">
        <f t="shared" ca="1" si="16"/>
        <v>84772039.349717543</v>
      </c>
      <c r="I203" s="36"/>
      <c r="J203" s="5"/>
      <c r="K203" s="208"/>
      <c r="T203"/>
    </row>
    <row r="204" spans="1:20" x14ac:dyDescent="0.2">
      <c r="A204" s="3">
        <v>43739</v>
      </c>
      <c r="C204" s="121">
        <f>(+C192/SUM(C$183:C$194))*Trends!B$18</f>
        <v>184.76446765318536</v>
      </c>
      <c r="D204" s="121">
        <f ca="1">(+D192/SUM(D$183:D$194))*Trends!C$18</f>
        <v>0.73794463540226296</v>
      </c>
      <c r="E204" s="126">
        <f t="shared" si="17"/>
        <v>7.3406150000000003E-2</v>
      </c>
      <c r="F204" s="47">
        <v>31</v>
      </c>
      <c r="G204" s="10">
        <v>1</v>
      </c>
      <c r="H204" s="10">
        <f t="shared" ca="1" si="16"/>
        <v>87660609.814320207</v>
      </c>
      <c r="I204" s="36"/>
      <c r="J204" s="5"/>
      <c r="K204" s="208"/>
      <c r="T204"/>
    </row>
    <row r="205" spans="1:20" x14ac:dyDescent="0.2">
      <c r="A205" s="3">
        <v>43770</v>
      </c>
      <c r="C205" s="121">
        <f>(+C193/SUM(C$183:C$194))*Trends!B$18</f>
        <v>347.91755744402406</v>
      </c>
      <c r="D205" s="121">
        <f ca="1">(+D193/SUM(D$183:D$194))*Trends!C$18</f>
        <v>0</v>
      </c>
      <c r="E205" s="126">
        <f t="shared" si="17"/>
        <v>7.3406150000000003E-2</v>
      </c>
      <c r="F205" s="47">
        <v>30</v>
      </c>
      <c r="G205" s="10">
        <v>1</v>
      </c>
      <c r="H205" s="10">
        <f t="shared" ca="1" si="16"/>
        <v>91310701.78681612</v>
      </c>
      <c r="I205" s="36"/>
      <c r="J205" s="5"/>
      <c r="K205" s="208"/>
      <c r="T205"/>
    </row>
    <row r="206" spans="1:20" x14ac:dyDescent="0.2">
      <c r="A206" s="3">
        <v>43800</v>
      </c>
      <c r="C206" s="121">
        <f>(+C194/SUM(C$183:C$194))*Trends!B$18</f>
        <v>471.35013061039143</v>
      </c>
      <c r="D206" s="121">
        <f ca="1">(+D194/SUM(D$183:D$194))*Trends!C$18</f>
        <v>0</v>
      </c>
      <c r="E206" s="126">
        <f t="shared" si="17"/>
        <v>7.3406150000000003E-2</v>
      </c>
      <c r="F206" s="47">
        <v>31</v>
      </c>
      <c r="G206" s="10">
        <v>0</v>
      </c>
      <c r="H206" s="10">
        <f t="shared" ca="1" si="16"/>
        <v>106112376.00874335</v>
      </c>
      <c r="I206" s="36"/>
      <c r="J206" s="5"/>
      <c r="K206" s="208"/>
      <c r="T206"/>
    </row>
    <row r="207" spans="1:20" x14ac:dyDescent="0.2">
      <c r="A207" s="3"/>
      <c r="I207" s="36"/>
      <c r="J207" s="5"/>
      <c r="K207" s="208"/>
      <c r="T207"/>
    </row>
    <row r="208" spans="1:20" x14ac:dyDescent="0.2">
      <c r="A208" s="3"/>
      <c r="C208" s="18"/>
      <c r="D208" s="1" t="s">
        <v>60</v>
      </c>
      <c r="H208" s="47">
        <f ca="1">SUM(H3:H206)</f>
        <v>19708223962.539047</v>
      </c>
      <c r="I208" s="36"/>
      <c r="J208" s="5"/>
      <c r="K208" s="208"/>
      <c r="T208"/>
    </row>
    <row r="209" spans="1:20" ht="38.25" x14ac:dyDescent="0.2">
      <c r="A209" s="3"/>
      <c r="C209" s="23"/>
      <c r="D209" s="23"/>
      <c r="I209" s="36"/>
      <c r="J209" s="5" t="s">
        <v>201</v>
      </c>
      <c r="K209" s="208"/>
      <c r="L209" s="427" t="s">
        <v>301</v>
      </c>
      <c r="M209" s="424" t="s">
        <v>299</v>
      </c>
      <c r="N209" s="427" t="s">
        <v>304</v>
      </c>
      <c r="O209" s="425" t="s">
        <v>300</v>
      </c>
      <c r="P209" s="427" t="s">
        <v>303</v>
      </c>
      <c r="Q209" s="425" t="s">
        <v>302</v>
      </c>
      <c r="T209"/>
    </row>
    <row r="210" spans="1:20" x14ac:dyDescent="0.2">
      <c r="A210" s="16">
        <v>2003</v>
      </c>
      <c r="B210" s="6">
        <f>SUM(B3:B14)</f>
        <v>1232724170</v>
      </c>
      <c r="C210" s="131"/>
      <c r="D210" s="23" t="s">
        <v>200</v>
      </c>
      <c r="E210" s="132" t="s">
        <v>112</v>
      </c>
      <c r="H210" s="6">
        <f>SUM(H3:H14)</f>
        <v>1208483234.4312544</v>
      </c>
      <c r="I210" s="36">
        <f t="shared" ref="I210:I224" si="18">H210-B210</f>
        <v>-24240935.568745613</v>
      </c>
      <c r="J210" s="5">
        <f t="shared" ref="J210:J226" si="19">I210/B210</f>
        <v>-1.9664525251213021E-2</v>
      </c>
      <c r="K210" s="208"/>
      <c r="L210" s="212"/>
      <c r="M210" s="426">
        <f>+H210-L210</f>
        <v>1208483234.4312544</v>
      </c>
      <c r="N210" s="212"/>
      <c r="O210" s="426">
        <f>+M210-N210</f>
        <v>1208483234.4312544</v>
      </c>
      <c r="P210" s="212"/>
      <c r="Q210" s="426">
        <f>+O210+P210</f>
        <v>1208483234.4312544</v>
      </c>
      <c r="T210"/>
    </row>
    <row r="211" spans="1:20" x14ac:dyDescent="0.2">
      <c r="A211">
        <v>2004</v>
      </c>
      <c r="B211" s="6">
        <f>SUM(B15:B26)</f>
        <v>1178441190</v>
      </c>
      <c r="C211" s="131">
        <f>+B211-B210</f>
        <v>-54282980</v>
      </c>
      <c r="D211" s="133">
        <f>+C211/B210</f>
        <v>-4.4034976616058402E-2</v>
      </c>
      <c r="E211" s="133">
        <f>RATE(1,0,-B$210,B211)</f>
        <v>-4.4034976616058499E-2</v>
      </c>
      <c r="H211" s="6">
        <f>SUM(H15:H26)</f>
        <v>1193278221.7053266</v>
      </c>
      <c r="I211" s="36">
        <f t="shared" si="18"/>
        <v>14837031.705326557</v>
      </c>
      <c r="J211" s="5">
        <f t="shared" si="19"/>
        <v>1.2590387904997242E-2</v>
      </c>
      <c r="K211" s="208"/>
      <c r="L211" s="212"/>
      <c r="M211" s="426">
        <f t="shared" ref="M211:M226" si="20">+H211-L211</f>
        <v>1193278221.7053266</v>
      </c>
      <c r="N211" s="212"/>
      <c r="O211" s="426">
        <f t="shared" ref="O211:O226" si="21">+M211-N211</f>
        <v>1193278221.7053266</v>
      </c>
      <c r="P211" s="212"/>
      <c r="Q211" s="426">
        <f t="shared" ref="Q211:Q226" si="22">+O211+P211</f>
        <v>1193278221.7053266</v>
      </c>
      <c r="T211"/>
    </row>
    <row r="212" spans="1:20" x14ac:dyDescent="0.2">
      <c r="A212" s="16">
        <v>2005</v>
      </c>
      <c r="B212" s="6">
        <f>SUM(B27:B38)</f>
        <v>1174501350</v>
      </c>
      <c r="C212" s="131">
        <f t="shared" ref="C212:C219" si="23">+B212-B211</f>
        <v>-3939840</v>
      </c>
      <c r="D212" s="133">
        <f t="shared" ref="D212:D219" si="24">+C212/B211</f>
        <v>-3.3432639943619079E-3</v>
      </c>
      <c r="E212" s="133">
        <f>RATE(2,0,-B$210,B212)</f>
        <v>-2.3901142331683341E-2</v>
      </c>
      <c r="H212" s="6">
        <f>SUM(H27:H38)</f>
        <v>1203281045.2314129</v>
      </c>
      <c r="I212" s="36">
        <f t="shared" si="18"/>
        <v>28779695.231412888</v>
      </c>
      <c r="J212" s="5">
        <f t="shared" si="19"/>
        <v>2.4503756620980373E-2</v>
      </c>
      <c r="K212" s="208"/>
      <c r="L212" s="212"/>
      <c r="M212" s="426">
        <f t="shared" si="20"/>
        <v>1203281045.2314129</v>
      </c>
      <c r="N212" s="212"/>
      <c r="O212" s="426">
        <f t="shared" si="21"/>
        <v>1203281045.2314129</v>
      </c>
      <c r="P212" s="212"/>
      <c r="Q212" s="426">
        <f t="shared" si="22"/>
        <v>1203281045.2314129</v>
      </c>
      <c r="T212"/>
    </row>
    <row r="213" spans="1:20" x14ac:dyDescent="0.2">
      <c r="A213">
        <v>2006</v>
      </c>
      <c r="B213" s="6">
        <f>SUM(B39:B50)</f>
        <v>1151360440</v>
      </c>
      <c r="C213" s="131">
        <f t="shared" si="23"/>
        <v>-23140910</v>
      </c>
      <c r="D213" s="133">
        <f t="shared" si="24"/>
        <v>-1.9702753002369899E-2</v>
      </c>
      <c r="E213" s="133">
        <f>RATE(3,0,-B$210,B213)</f>
        <v>-2.2503680894619967E-2</v>
      </c>
      <c r="H213" s="6">
        <f>SUM(H39:H50)</f>
        <v>1166568192.2886453</v>
      </c>
      <c r="I213" s="36">
        <f t="shared" si="18"/>
        <v>15207752.288645267</v>
      </c>
      <c r="J213" s="5">
        <f t="shared" si="19"/>
        <v>1.3208506876131046E-2</v>
      </c>
      <c r="K213" s="208"/>
      <c r="L213" s="212"/>
      <c r="M213" s="426">
        <f t="shared" si="20"/>
        <v>1166568192.2886453</v>
      </c>
      <c r="N213" s="212"/>
      <c r="O213" s="426">
        <f t="shared" si="21"/>
        <v>1166568192.2886453</v>
      </c>
      <c r="P213" s="212"/>
      <c r="Q213" s="426">
        <f t="shared" si="22"/>
        <v>1166568192.2886453</v>
      </c>
      <c r="T213"/>
    </row>
    <row r="214" spans="1:20" x14ac:dyDescent="0.2">
      <c r="A214" s="16">
        <v>2007</v>
      </c>
      <c r="B214" s="6">
        <f>SUM(B51:B62)</f>
        <v>1191153590</v>
      </c>
      <c r="C214" s="131">
        <f t="shared" si="23"/>
        <v>39793150</v>
      </c>
      <c r="D214" s="133">
        <f t="shared" si="24"/>
        <v>3.4561852759158546E-2</v>
      </c>
      <c r="E214" s="133">
        <f>RATE(4,0,-B$210,B214)</f>
        <v>-8.5393934317338754E-3</v>
      </c>
      <c r="H214" s="6">
        <f>SUM(H51:H62)</f>
        <v>1142506607.2224176</v>
      </c>
      <c r="I214" s="36">
        <f t="shared" si="18"/>
        <v>-48646982.777582407</v>
      </c>
      <c r="J214" s="5">
        <f t="shared" si="19"/>
        <v>-4.0840226807008495E-2</v>
      </c>
      <c r="K214" s="208"/>
      <c r="L214" s="212"/>
      <c r="M214" s="426">
        <f t="shared" si="20"/>
        <v>1142506607.2224176</v>
      </c>
      <c r="N214" s="212"/>
      <c r="O214" s="426">
        <f t="shared" si="21"/>
        <v>1142506607.2224176</v>
      </c>
      <c r="P214" s="212"/>
      <c r="Q214" s="426">
        <f t="shared" si="22"/>
        <v>1142506607.2224176</v>
      </c>
      <c r="T214"/>
    </row>
    <row r="215" spans="1:20" x14ac:dyDescent="0.2">
      <c r="A215">
        <v>2008</v>
      </c>
      <c r="B215" s="6">
        <f>SUM(B63:B74)</f>
        <v>1158881926</v>
      </c>
      <c r="C215" s="131">
        <f t="shared" si="23"/>
        <v>-32271664</v>
      </c>
      <c r="D215" s="133">
        <f t="shared" si="24"/>
        <v>-2.70927815446537E-2</v>
      </c>
      <c r="E215" s="133">
        <f>RATE(5,0,-B$210,B215)</f>
        <v>-1.2278162500929547E-2</v>
      </c>
      <c r="H215" s="6">
        <f>SUM(H63:H74)</f>
        <v>1105605337.8738799</v>
      </c>
      <c r="I215" s="36">
        <f t="shared" si="18"/>
        <v>-53276588.12612009</v>
      </c>
      <c r="J215" s="5">
        <f t="shared" si="19"/>
        <v>-4.5972404030848686E-2</v>
      </c>
      <c r="K215" s="208"/>
      <c r="L215" s="212"/>
      <c r="M215" s="426">
        <f t="shared" si="20"/>
        <v>1105605337.8738799</v>
      </c>
      <c r="N215" s="212"/>
      <c r="O215" s="426">
        <f t="shared" si="21"/>
        <v>1105605337.8738799</v>
      </c>
      <c r="P215" s="212"/>
      <c r="Q215" s="426">
        <f t="shared" si="22"/>
        <v>1105605337.8738799</v>
      </c>
      <c r="T215"/>
    </row>
    <row r="216" spans="1:20" x14ac:dyDescent="0.2">
      <c r="A216" s="16">
        <v>2009</v>
      </c>
      <c r="B216" s="6">
        <f>SUM(B75:B86)</f>
        <v>1128390784.5107694</v>
      </c>
      <c r="C216" s="131">
        <f t="shared" si="23"/>
        <v>-30491141.489230633</v>
      </c>
      <c r="D216" s="133">
        <f t="shared" si="24"/>
        <v>-2.6310826672803447E-2</v>
      </c>
      <c r="E216" s="133">
        <f>RATE(6,0,-B$210,B216)</f>
        <v>-1.4630905973235077E-2</v>
      </c>
      <c r="H216" s="6">
        <f>SUM(H75:H86)</f>
        <v>1123816338.2115908</v>
      </c>
      <c r="I216" s="36">
        <f t="shared" si="18"/>
        <v>-4574446.2991786003</v>
      </c>
      <c r="J216" s="5">
        <f t="shared" si="19"/>
        <v>-4.0539557411946783E-3</v>
      </c>
      <c r="K216" s="208"/>
      <c r="L216" s="212"/>
      <c r="M216" s="426">
        <f t="shared" si="20"/>
        <v>1123816338.2115908</v>
      </c>
      <c r="N216" s="212"/>
      <c r="O216" s="426">
        <f t="shared" si="21"/>
        <v>1123816338.2115908</v>
      </c>
      <c r="P216" s="212"/>
      <c r="Q216" s="426">
        <f t="shared" si="22"/>
        <v>1123816338.2115908</v>
      </c>
      <c r="T216"/>
    </row>
    <row r="217" spans="1:20" x14ac:dyDescent="0.2">
      <c r="A217">
        <v>2010</v>
      </c>
      <c r="B217" s="6">
        <f>SUM(B87:B98)</f>
        <v>1148489331.8146157</v>
      </c>
      <c r="C217" s="131">
        <f t="shared" si="23"/>
        <v>20098547.303846359</v>
      </c>
      <c r="D217" s="133">
        <f t="shared" si="24"/>
        <v>1.781169039993568E-2</v>
      </c>
      <c r="E217" s="133">
        <f>RATE(7,0,-B$210,B217)</f>
        <v>-1.0060343960087228E-2</v>
      </c>
      <c r="H217" s="6">
        <f>SUM(H87:H98)</f>
        <v>1128203375.0065463</v>
      </c>
      <c r="I217" s="36">
        <f t="shared" si="18"/>
        <v>-20285956.808069468</v>
      </c>
      <c r="J217" s="5">
        <f t="shared" si="19"/>
        <v>-1.7663165208524498E-2</v>
      </c>
      <c r="K217" s="208"/>
      <c r="L217" s="212"/>
      <c r="M217" s="426">
        <f t="shared" si="20"/>
        <v>1128203375.0065463</v>
      </c>
      <c r="N217" s="212"/>
      <c r="O217" s="426">
        <f t="shared" si="21"/>
        <v>1128203375.0065463</v>
      </c>
      <c r="P217" s="212"/>
      <c r="Q217" s="426">
        <f t="shared" si="22"/>
        <v>1128203375.0065463</v>
      </c>
      <c r="T217"/>
    </row>
    <row r="218" spans="1:20" x14ac:dyDescent="0.2">
      <c r="A218">
        <v>2011</v>
      </c>
      <c r="B218" s="6">
        <f>SUM(B99:B110)</f>
        <v>1148632387.3953846</v>
      </c>
      <c r="C218" s="131">
        <f t="shared" si="23"/>
        <v>143055.58076882362</v>
      </c>
      <c r="D218" s="133">
        <f t="shared" si="24"/>
        <v>1.2455978197272019E-4</v>
      </c>
      <c r="E218" s="133">
        <f>RATE(8,0,-B$210,B218)</f>
        <v>-8.7929249231188996E-3</v>
      </c>
      <c r="H218" s="6">
        <f>SUM(H99:H110)</f>
        <v>1162405206.2491772</v>
      </c>
      <c r="I218" s="36">
        <f t="shared" si="18"/>
        <v>13772818.853792667</v>
      </c>
      <c r="J218" s="5">
        <f t="shared" si="19"/>
        <v>1.1990623810480942E-2</v>
      </c>
      <c r="K218" s="208"/>
      <c r="L218" s="212"/>
      <c r="M218" s="426">
        <f t="shared" si="20"/>
        <v>1162405206.2491772</v>
      </c>
      <c r="N218" s="212"/>
      <c r="O218" s="426">
        <f t="shared" si="21"/>
        <v>1162405206.2491772</v>
      </c>
      <c r="P218" s="212"/>
      <c r="Q218" s="426">
        <f t="shared" si="22"/>
        <v>1162405206.2491772</v>
      </c>
      <c r="T218"/>
    </row>
    <row r="219" spans="1:20" x14ac:dyDescent="0.2">
      <c r="A219">
        <v>2012</v>
      </c>
      <c r="B219" s="6">
        <f>SUM(B111:B122)</f>
        <v>1136211952.670979</v>
      </c>
      <c r="C219" s="131">
        <f t="shared" si="23"/>
        <v>-12420434.724405527</v>
      </c>
      <c r="D219" s="133">
        <f t="shared" si="24"/>
        <v>-1.0813237429748827E-2</v>
      </c>
      <c r="E219" s="133">
        <f>RATE(9,0,-B$210,B219)</f>
        <v>-9.0176077035169049E-3</v>
      </c>
      <c r="H219" s="6">
        <f>SUM(H111:H122)</f>
        <v>1148412454.4669952</v>
      </c>
      <c r="I219" s="36">
        <f t="shared" si="18"/>
        <v>12200501.796016216</v>
      </c>
      <c r="J219" s="5">
        <f t="shared" si="19"/>
        <v>1.0737874889747092E-2</v>
      </c>
      <c r="K219" s="208"/>
      <c r="L219" s="212"/>
      <c r="M219" s="426">
        <f t="shared" si="20"/>
        <v>1148412454.4669952</v>
      </c>
      <c r="N219" s="212"/>
      <c r="O219" s="426">
        <f t="shared" si="21"/>
        <v>1148412454.4669952</v>
      </c>
      <c r="P219" s="212"/>
      <c r="Q219" s="426">
        <f t="shared" si="22"/>
        <v>1148412454.4669952</v>
      </c>
      <c r="T219"/>
    </row>
    <row r="220" spans="1:20" x14ac:dyDescent="0.2">
      <c r="A220">
        <v>2013</v>
      </c>
      <c r="B220" s="6">
        <f>SUM(B123:B134)</f>
        <v>1130407041.6666667</v>
      </c>
      <c r="C220" s="131">
        <f t="shared" ref="C220:C226" si="25">+B220-B219</f>
        <v>-5804911.0043122768</v>
      </c>
      <c r="D220" s="133">
        <f t="shared" ref="D220:D226" si="26">+C220/B219</f>
        <v>-5.1090036420284399E-3</v>
      </c>
      <c r="E220" s="133">
        <f>RATE(10,0,-B$210,B220)</f>
        <v>-8.6274392985243292E-3</v>
      </c>
      <c r="G220" s="204"/>
      <c r="H220" s="6">
        <f ca="1">SUM(H123:H134)</f>
        <v>1162091422.8514135</v>
      </c>
      <c r="I220" s="36">
        <f t="shared" ca="1" si="18"/>
        <v>31684381.184746742</v>
      </c>
      <c r="J220" s="5">
        <f t="shared" ca="1" si="19"/>
        <v>2.8029178885891796E-2</v>
      </c>
      <c r="K220" s="208"/>
      <c r="L220" s="212"/>
      <c r="M220" s="426">
        <f t="shared" ca="1" si="20"/>
        <v>1162091422.8514135</v>
      </c>
      <c r="N220" s="212"/>
      <c r="O220" s="426">
        <f t="shared" ca="1" si="21"/>
        <v>1162091422.8514135</v>
      </c>
      <c r="P220" s="212"/>
      <c r="Q220" s="426">
        <f t="shared" ca="1" si="22"/>
        <v>1162091422.8514135</v>
      </c>
      <c r="T220"/>
    </row>
    <row r="221" spans="1:20" x14ac:dyDescent="0.2">
      <c r="A221">
        <v>2014</v>
      </c>
      <c r="B221" s="6">
        <f>SUM(B135:B146)</f>
        <v>1134970142.7733078</v>
      </c>
      <c r="C221" s="131">
        <f t="shared" ref="C221" si="27">+B221-B220</f>
        <v>4563101.1066410542</v>
      </c>
      <c r="D221" s="133">
        <f t="shared" ref="D221" si="28">+C221/B220</f>
        <v>4.0366885010847415E-3</v>
      </c>
      <c r="E221" s="133">
        <f>RATE(10,0,-B$210,B221)</f>
        <v>-8.2279781660642495E-3</v>
      </c>
      <c r="G221" s="6"/>
      <c r="H221" s="6">
        <f>SUM(H135:H146)</f>
        <v>1169512871.2930617</v>
      </c>
      <c r="I221" s="36">
        <f t="shared" si="18"/>
        <v>34542728.519753933</v>
      </c>
      <c r="J221" s="5">
        <f t="shared" si="19"/>
        <v>3.0434922662677739E-2</v>
      </c>
      <c r="K221" s="208"/>
      <c r="M221" s="426">
        <f t="shared" si="20"/>
        <v>1169512871.2930617</v>
      </c>
      <c r="O221" s="426">
        <f t="shared" si="21"/>
        <v>1169512871.2930617</v>
      </c>
      <c r="Q221" s="426">
        <f t="shared" si="22"/>
        <v>1169512871.2930617</v>
      </c>
      <c r="S221" s="202"/>
      <c r="T221" s="435"/>
    </row>
    <row r="222" spans="1:20" x14ac:dyDescent="0.2">
      <c r="A222">
        <v>2015</v>
      </c>
      <c r="B222" s="6">
        <f t="shared" ref="B222:B224" ca="1" si="29">+H222</f>
        <v>1158200819.4638515</v>
      </c>
      <c r="C222" s="131">
        <f t="shared" ca="1" si="25"/>
        <v>23230676.690543652</v>
      </c>
      <c r="D222" s="133">
        <f t="shared" ca="1" si="26"/>
        <v>2.0468094987749479E-2</v>
      </c>
      <c r="E222" s="133">
        <f ca="1">RATE(12,0,-B$210,B222)</f>
        <v>-5.1830803617863297E-3</v>
      </c>
      <c r="G222" s="6"/>
      <c r="H222" s="6">
        <f ca="1">SUM(H147:H158)</f>
        <v>1158200819.4638515</v>
      </c>
      <c r="I222" s="36">
        <f t="shared" ca="1" si="18"/>
        <v>0</v>
      </c>
      <c r="J222" s="5">
        <f t="shared" ca="1" si="19"/>
        <v>0</v>
      </c>
      <c r="K222" s="208"/>
      <c r="L222" s="438">
        <f ca="1">+' CDM Summary'!K$19*'Rate Class Energy Model'!$F$25</f>
        <v>9871354.6731529702</v>
      </c>
      <c r="M222" s="426">
        <f t="shared" ca="1" si="20"/>
        <v>1148329464.7906985</v>
      </c>
      <c r="N222" s="438">
        <f ca="1">+' CDM Summary'!K$18*'Rate Class Energy Model'!$F$25</f>
        <v>2420723.3795913407</v>
      </c>
      <c r="O222" s="426">
        <f t="shared" ca="1" si="21"/>
        <v>1145908741.4111073</v>
      </c>
      <c r="P222" s="6">
        <f ca="1">+'City Expansion'!C103</f>
        <v>24880481.193528656</v>
      </c>
      <c r="Q222" s="426">
        <f t="shared" ca="1" si="22"/>
        <v>1170789222.604636</v>
      </c>
      <c r="S222" s="202"/>
      <c r="T222" s="435"/>
    </row>
    <row r="223" spans="1:20" x14ac:dyDescent="0.2">
      <c r="A223">
        <v>2016</v>
      </c>
      <c r="B223" s="6">
        <f t="shared" ca="1" si="29"/>
        <v>1161036306.6177204</v>
      </c>
      <c r="C223" s="131">
        <f t="shared" ca="1" si="25"/>
        <v>2835487.1538689137</v>
      </c>
      <c r="D223" s="133">
        <f t="shared" ca="1" si="26"/>
        <v>2.4481826521082096E-3</v>
      </c>
      <c r="E223" s="133">
        <f ca="1">RATE(13,0,-B$210,B223)</f>
        <v>-4.5981282957437454E-3</v>
      </c>
      <c r="G223" s="6"/>
      <c r="H223" s="6">
        <f ca="1">SUM(H159:H170)</f>
        <v>1161036306.6177204</v>
      </c>
      <c r="I223" s="36">
        <f t="shared" ca="1" si="18"/>
        <v>0</v>
      </c>
      <c r="J223" s="5">
        <f t="shared" ca="1" si="19"/>
        <v>0</v>
      </c>
      <c r="K223" s="208"/>
      <c r="L223" s="438">
        <f ca="1">+' CDM Summary'!L$19*'Rate Class Energy Model'!$F$25</f>
        <v>20364610.463988557</v>
      </c>
      <c r="M223" s="426">
        <f t="shared" ca="1" si="20"/>
        <v>1140671696.1537318</v>
      </c>
      <c r="N223" s="438">
        <f ca="1">+' CDM Summary'!L$18*'Rate Class Energy Model'!$F$25</f>
        <v>4933590.8391701803</v>
      </c>
      <c r="O223" s="426">
        <f t="shared" ca="1" si="21"/>
        <v>1135738105.3145616</v>
      </c>
      <c r="P223" s="6">
        <f ca="1">+'City Expansion'!C104</f>
        <v>51088617.312417194</v>
      </c>
      <c r="Q223" s="426">
        <f t="shared" ca="1" si="22"/>
        <v>1186826722.6269789</v>
      </c>
      <c r="S223" s="202"/>
      <c r="T223" s="435"/>
    </row>
    <row r="224" spans="1:20" x14ac:dyDescent="0.2">
      <c r="A224">
        <v>2017</v>
      </c>
      <c r="B224" s="6">
        <f t="shared" ca="1" si="29"/>
        <v>1158249724.1825643</v>
      </c>
      <c r="C224" s="131">
        <f t="shared" ca="1" si="25"/>
        <v>-2786582.4351561069</v>
      </c>
      <c r="D224" s="133">
        <f t="shared" ca="1" si="26"/>
        <v>-2.4000820812174733E-3</v>
      </c>
      <c r="E224" s="133">
        <f ca="1">RATE(14,0,-B$210,B224)</f>
        <v>-4.4412857319523196E-3</v>
      </c>
      <c r="G224" s="6"/>
      <c r="H224" s="6">
        <f ca="1">SUM(H171:H182)</f>
        <v>1158249724.1825643</v>
      </c>
      <c r="I224" s="36">
        <f t="shared" ca="1" si="18"/>
        <v>0</v>
      </c>
      <c r="J224" s="5">
        <f t="shared" ca="1" si="19"/>
        <v>0</v>
      </c>
      <c r="K224" s="208"/>
      <c r="L224" s="438">
        <f ca="1">+' CDM Summary'!M$19*'Rate Class Energy Model'!$F$25</f>
        <v>28271329.685053922</v>
      </c>
      <c r="M224" s="426">
        <f t="shared" ca="1" si="20"/>
        <v>1129978394.4975104</v>
      </c>
      <c r="N224" s="438">
        <f ca="1">+' CDM Summary'!M$18*'Rate Class Energy Model'!$F$25</f>
        <v>5070605.0788951386</v>
      </c>
      <c r="O224" s="426">
        <f t="shared" ca="1" si="21"/>
        <v>1124907789.4186153</v>
      </c>
      <c r="P224" s="6">
        <f ca="1">+'City Expansion'!C105</f>
        <v>76747963.043701082</v>
      </c>
      <c r="Q224" s="426">
        <f t="shared" ca="1" si="22"/>
        <v>1201655752.4623165</v>
      </c>
      <c r="S224" s="202"/>
      <c r="T224" s="435"/>
    </row>
    <row r="225" spans="1:21" x14ac:dyDescent="0.2">
      <c r="A225">
        <v>2018</v>
      </c>
      <c r="B225" s="6">
        <f ca="1">+H225</f>
        <v>1158274176.5419207</v>
      </c>
      <c r="C225" s="131">
        <f t="shared" ca="1" si="25"/>
        <v>24452.359356403351</v>
      </c>
      <c r="D225" s="133">
        <f t="shared" ca="1" si="26"/>
        <v>2.1111474361593847E-5</v>
      </c>
      <c r="E225" s="133">
        <f ca="1">RATE(15,0,-B$210,B225)</f>
        <v>-4.1444130721664477E-3</v>
      </c>
      <c r="G225" s="6"/>
      <c r="H225" s="6">
        <f ca="1">SUM(H183:H194)</f>
        <v>1158274176.5419207</v>
      </c>
      <c r="I225" s="36">
        <f ca="1">H225-B225</f>
        <v>0</v>
      </c>
      <c r="J225" s="5">
        <f t="shared" ca="1" si="19"/>
        <v>0</v>
      </c>
      <c r="K225" s="208"/>
      <c r="L225" s="438">
        <f ca="1">+' CDM Summary'!N$19*'Rate Class Energy Model'!$F$25</f>
        <v>38952010.935579583</v>
      </c>
      <c r="M225" s="426">
        <f t="shared" ca="1" si="20"/>
        <v>1119322165.6063411</v>
      </c>
      <c r="N225" s="438">
        <f ca="1">+' CDM Summary'!N$18*'Rate Class Energy Model'!$F$25</f>
        <v>5207954.1225583293</v>
      </c>
      <c r="O225" s="426">
        <f t="shared" ca="1" si="21"/>
        <v>1114114211.4837828</v>
      </c>
      <c r="P225" s="6">
        <f ca="1">+'City Expansion'!C106</f>
        <v>103801187.29888967</v>
      </c>
      <c r="Q225" s="426">
        <f t="shared" ca="1" si="22"/>
        <v>1217915398.7826724</v>
      </c>
      <c r="S225" s="202"/>
      <c r="T225" s="435"/>
    </row>
    <row r="226" spans="1:21" x14ac:dyDescent="0.2">
      <c r="A226">
        <v>2019</v>
      </c>
      <c r="B226" s="6">
        <f ca="1">+H226</f>
        <v>1158298628.9012771</v>
      </c>
      <c r="C226" s="131">
        <f t="shared" ca="1" si="25"/>
        <v>24452.359356403351</v>
      </c>
      <c r="D226" s="133">
        <f t="shared" ca="1" si="26"/>
        <v>2.1111028676653193E-5</v>
      </c>
      <c r="E226" s="133">
        <f ca="1">RATE(16,0,-B$210,B226)</f>
        <v>-3.8845769040686921E-3</v>
      </c>
      <c r="G226" s="6"/>
      <c r="H226" s="6">
        <f ca="1">SUM(H195:H206)</f>
        <v>1158298628.9012771</v>
      </c>
      <c r="I226" s="36">
        <f ca="1">H226-B226</f>
        <v>0</v>
      </c>
      <c r="J226" s="5">
        <f t="shared" ca="1" si="19"/>
        <v>0</v>
      </c>
      <c r="K226" s="208"/>
      <c r="L226" s="438">
        <f ca="1">+' CDM Summary'!O$19*'Rate Class Energy Model'!$F$25</f>
        <v>57476095.44395709</v>
      </c>
      <c r="M226" s="426">
        <f t="shared" ca="1" si="20"/>
        <v>1100822533.45732</v>
      </c>
      <c r="N226" s="438">
        <f ca="1">+' CDM Summary'!O$18*'Rate Class Energy Model'!$F$25</f>
        <v>5345690.2139137425</v>
      </c>
      <c r="O226" s="426">
        <f t="shared" ca="1" si="21"/>
        <v>1095476843.2434063</v>
      </c>
      <c r="P226" s="6">
        <f ca="1">+'City Expansion'!C107</f>
        <v>131263490.6752529</v>
      </c>
      <c r="Q226" s="426">
        <f t="shared" ca="1" si="22"/>
        <v>1226740333.9186592</v>
      </c>
      <c r="S226" s="202"/>
      <c r="T226" s="435"/>
    </row>
    <row r="227" spans="1:21" x14ac:dyDescent="0.2">
      <c r="C227" s="124"/>
      <c r="F227" s="6"/>
      <c r="H227" s="6"/>
      <c r="K227" s="208"/>
      <c r="T227"/>
    </row>
    <row r="228" spans="1:21" x14ac:dyDescent="0.2">
      <c r="A228" t="s">
        <v>9</v>
      </c>
      <c r="B228" s="6">
        <f ca="1">SUM(B210:B226)</f>
        <v>19708223962.539051</v>
      </c>
      <c r="C228" s="124"/>
      <c r="H228" s="6">
        <f ca="1">SUM(H210:H226)</f>
        <v>19708223962.539055</v>
      </c>
      <c r="I228" s="213">
        <f ca="1">H228-B228</f>
        <v>0</v>
      </c>
      <c r="K228" s="208"/>
      <c r="T228"/>
    </row>
    <row r="229" spans="1:21" x14ac:dyDescent="0.2">
      <c r="I229" s="62"/>
      <c r="K229" s="208"/>
      <c r="S229" s="202"/>
      <c r="T229" s="202"/>
      <c r="U229" s="202"/>
    </row>
    <row r="230" spans="1:21" x14ac:dyDescent="0.2">
      <c r="H230" s="6">
        <f ca="1">SUM(H210:H226)</f>
        <v>19708223962.539055</v>
      </c>
      <c r="I230" s="213">
        <f ca="1">H208-H230</f>
        <v>0</v>
      </c>
      <c r="K230" s="208"/>
      <c r="S230" s="202"/>
      <c r="T230" s="202"/>
      <c r="U230" s="202"/>
    </row>
    <row r="231" spans="1:21" x14ac:dyDescent="0.2">
      <c r="H231" s="23"/>
      <c r="I231" s="214" t="s">
        <v>69</v>
      </c>
      <c r="J231" s="18"/>
      <c r="K231" s="208"/>
      <c r="S231" s="202"/>
      <c r="T231" s="202"/>
      <c r="U231" s="202"/>
    </row>
    <row r="232" spans="1:21" x14ac:dyDescent="0.2">
      <c r="K232" s="208"/>
      <c r="S232" s="202"/>
      <c r="T232" s="202"/>
      <c r="U232" s="202"/>
    </row>
    <row r="233" spans="1:21" x14ac:dyDescent="0.2">
      <c r="K233" s="208"/>
      <c r="S233" s="202"/>
      <c r="T233" s="202"/>
      <c r="U233" s="202"/>
    </row>
    <row r="234" spans="1:21" x14ac:dyDescent="0.2">
      <c r="E234" s="187"/>
      <c r="S234" s="202"/>
      <c r="T234" s="202"/>
      <c r="U234" s="202"/>
    </row>
    <row r="235" spans="1:21" x14ac:dyDescent="0.2">
      <c r="E235" s="187"/>
      <c r="H235" s="124"/>
      <c r="T235" s="202"/>
    </row>
    <row r="236" spans="1:21" x14ac:dyDescent="0.2">
      <c r="F236" s="6"/>
      <c r="H236" s="124"/>
      <c r="T236" s="202"/>
    </row>
    <row r="237" spans="1:21" x14ac:dyDescent="0.2">
      <c r="L237" s="202"/>
      <c r="P237" s="202"/>
      <c r="T237" s="202"/>
    </row>
    <row r="238" spans="1:21" x14ac:dyDescent="0.2">
      <c r="L238" s="202"/>
      <c r="P238" s="202"/>
      <c r="T238"/>
    </row>
    <row r="239" spans="1:21" x14ac:dyDescent="0.2">
      <c r="T239"/>
    </row>
    <row r="240" spans="1:21" x14ac:dyDescent="0.2">
      <c r="C240" s="6"/>
      <c r="D240" s="6"/>
      <c r="F240" s="6"/>
      <c r="G240" s="6"/>
      <c r="H240" s="6"/>
      <c r="T240"/>
    </row>
    <row r="241" spans="8:20" x14ac:dyDescent="0.2">
      <c r="H241" s="6"/>
      <c r="K241" s="208"/>
      <c r="T241"/>
    </row>
    <row r="242" spans="8:20" x14ac:dyDescent="0.2">
      <c r="T242"/>
    </row>
    <row r="243" spans="8:20" x14ac:dyDescent="0.2">
      <c r="T243"/>
    </row>
    <row r="244" spans="8:20" x14ac:dyDescent="0.2">
      <c r="T244"/>
    </row>
    <row r="245" spans="8:20" x14ac:dyDescent="0.2">
      <c r="T245"/>
    </row>
    <row r="246" spans="8:20" x14ac:dyDescent="0.2">
      <c r="T246"/>
    </row>
    <row r="247" spans="8:20" x14ac:dyDescent="0.2">
      <c r="T247"/>
    </row>
    <row r="248" spans="8:20" x14ac:dyDescent="0.2">
      <c r="T248"/>
    </row>
    <row r="249" spans="8:20" x14ac:dyDescent="0.2">
      <c r="T249"/>
    </row>
    <row r="250" spans="8:20" x14ac:dyDescent="0.2">
      <c r="T250"/>
    </row>
    <row r="251" spans="8:20" x14ac:dyDescent="0.2">
      <c r="T251"/>
    </row>
    <row r="252" spans="8:20" x14ac:dyDescent="0.2">
      <c r="T252"/>
    </row>
    <row r="253" spans="8:20" x14ac:dyDescent="0.2">
      <c r="T253"/>
    </row>
    <row r="254" spans="8:20" x14ac:dyDescent="0.2">
      <c r="T254"/>
    </row>
    <row r="255" spans="8:20" x14ac:dyDescent="0.2">
      <c r="T255"/>
    </row>
    <row r="256" spans="8:20" x14ac:dyDescent="0.2">
      <c r="T256"/>
    </row>
    <row r="257" spans="20:20" x14ac:dyDescent="0.2">
      <c r="T257"/>
    </row>
    <row r="258" spans="20:20" x14ac:dyDescent="0.2">
      <c r="T258"/>
    </row>
    <row r="259" spans="20:20" x14ac:dyDescent="0.2">
      <c r="T259"/>
    </row>
    <row r="260" spans="20:20" x14ac:dyDescent="0.2">
      <c r="T260"/>
    </row>
    <row r="261" spans="20:20" x14ac:dyDescent="0.2">
      <c r="T261"/>
    </row>
    <row r="262" spans="20:20" x14ac:dyDescent="0.2">
      <c r="T262"/>
    </row>
    <row r="263" spans="20:20" x14ac:dyDescent="0.2">
      <c r="T263"/>
    </row>
    <row r="264" spans="20:20" x14ac:dyDescent="0.2">
      <c r="T264"/>
    </row>
    <row r="265" spans="20:20" x14ac:dyDescent="0.2">
      <c r="T265"/>
    </row>
    <row r="266" spans="20:20" x14ac:dyDescent="0.2">
      <c r="T266"/>
    </row>
    <row r="267" spans="20:20" x14ac:dyDescent="0.2">
      <c r="T267"/>
    </row>
    <row r="268" spans="20:20" x14ac:dyDescent="0.2">
      <c r="T268"/>
    </row>
    <row r="269" spans="20:20" x14ac:dyDescent="0.2">
      <c r="T269"/>
    </row>
    <row r="270" spans="20:20" x14ac:dyDescent="0.2">
      <c r="T270"/>
    </row>
    <row r="271" spans="20:20" x14ac:dyDescent="0.2">
      <c r="T271"/>
    </row>
    <row r="272" spans="20:20" x14ac:dyDescent="0.2">
      <c r="T272"/>
    </row>
    <row r="273" spans="20:20" x14ac:dyDescent="0.2">
      <c r="T273"/>
    </row>
    <row r="274" spans="20:20" x14ac:dyDescent="0.2">
      <c r="T274"/>
    </row>
    <row r="275" spans="20:20" x14ac:dyDescent="0.2">
      <c r="T275"/>
    </row>
    <row r="276" spans="20:20" x14ac:dyDescent="0.2">
      <c r="T276"/>
    </row>
    <row r="277" spans="20:20" x14ac:dyDescent="0.2">
      <c r="T277"/>
    </row>
    <row r="278" spans="20:20" x14ac:dyDescent="0.2">
      <c r="T278"/>
    </row>
    <row r="279" spans="20:20" x14ac:dyDescent="0.2">
      <c r="T279"/>
    </row>
    <row r="280" spans="20:20" x14ac:dyDescent="0.2">
      <c r="T280"/>
    </row>
    <row r="281" spans="20:20" x14ac:dyDescent="0.2">
      <c r="T281"/>
    </row>
    <row r="282" spans="20:20" x14ac:dyDescent="0.2">
      <c r="T282"/>
    </row>
    <row r="283" spans="20:20" x14ac:dyDescent="0.2">
      <c r="T283"/>
    </row>
    <row r="284" spans="20:20" x14ac:dyDescent="0.2">
      <c r="T284"/>
    </row>
    <row r="285" spans="20:20" x14ac:dyDescent="0.2">
      <c r="T285"/>
    </row>
    <row r="286" spans="20:20" x14ac:dyDescent="0.2">
      <c r="T286"/>
    </row>
    <row r="287" spans="20:20" x14ac:dyDescent="0.2">
      <c r="T287"/>
    </row>
    <row r="288" spans="20:20" x14ac:dyDescent="0.2">
      <c r="T288"/>
    </row>
    <row r="289" spans="20:20" x14ac:dyDescent="0.2">
      <c r="T289"/>
    </row>
    <row r="290" spans="20:20" x14ac:dyDescent="0.2">
      <c r="T290"/>
    </row>
    <row r="291" spans="20:20" x14ac:dyDescent="0.2">
      <c r="T291"/>
    </row>
    <row r="292" spans="20:20" x14ac:dyDescent="0.2">
      <c r="T292"/>
    </row>
    <row r="293" spans="20:20" x14ac:dyDescent="0.2">
      <c r="T293"/>
    </row>
    <row r="294" spans="20:20" x14ac:dyDescent="0.2">
      <c r="T294"/>
    </row>
    <row r="295" spans="20:20" x14ac:dyDescent="0.2">
      <c r="T295"/>
    </row>
    <row r="296" spans="20:20" x14ac:dyDescent="0.2">
      <c r="T296"/>
    </row>
    <row r="297" spans="20:20" x14ac:dyDescent="0.2">
      <c r="T297"/>
    </row>
    <row r="298" spans="20:20" x14ac:dyDescent="0.2">
      <c r="T298"/>
    </row>
    <row r="299" spans="20:20" x14ac:dyDescent="0.2">
      <c r="T299"/>
    </row>
    <row r="300" spans="20:20" x14ac:dyDescent="0.2">
      <c r="T300"/>
    </row>
    <row r="301" spans="20:20" x14ac:dyDescent="0.2">
      <c r="T301"/>
    </row>
    <row r="302" spans="20:20" x14ac:dyDescent="0.2">
      <c r="T302"/>
    </row>
    <row r="303" spans="20:20" x14ac:dyDescent="0.2">
      <c r="T303"/>
    </row>
    <row r="304" spans="20:20" x14ac:dyDescent="0.2">
      <c r="T304"/>
    </row>
    <row r="305" spans="20:20" x14ac:dyDescent="0.2">
      <c r="T305"/>
    </row>
    <row r="306" spans="20:20" x14ac:dyDescent="0.2">
      <c r="T306"/>
    </row>
    <row r="307" spans="20:20" x14ac:dyDescent="0.2">
      <c r="T307"/>
    </row>
    <row r="308" spans="20:20" x14ac:dyDescent="0.2">
      <c r="T308"/>
    </row>
    <row r="309" spans="20:20" x14ac:dyDescent="0.2">
      <c r="T309"/>
    </row>
    <row r="310" spans="20:20" x14ac:dyDescent="0.2">
      <c r="T310"/>
    </row>
    <row r="311" spans="20:20" x14ac:dyDescent="0.2">
      <c r="T311"/>
    </row>
    <row r="312" spans="20:20" x14ac:dyDescent="0.2">
      <c r="T312"/>
    </row>
    <row r="313" spans="20:20" x14ac:dyDescent="0.2">
      <c r="T313"/>
    </row>
    <row r="314" spans="20:20" x14ac:dyDescent="0.2">
      <c r="T314"/>
    </row>
    <row r="315" spans="20:20" x14ac:dyDescent="0.2">
      <c r="T315"/>
    </row>
    <row r="316" spans="20:20" x14ac:dyDescent="0.2">
      <c r="T316"/>
    </row>
    <row r="317" spans="20:20" x14ac:dyDescent="0.2">
      <c r="T317"/>
    </row>
    <row r="318" spans="20:20" x14ac:dyDescent="0.2">
      <c r="T318"/>
    </row>
    <row r="319" spans="20:20" x14ac:dyDescent="0.2">
      <c r="T319"/>
    </row>
    <row r="320" spans="20:20" x14ac:dyDescent="0.2">
      <c r="T320"/>
    </row>
    <row r="321" spans="20:20" x14ac:dyDescent="0.2">
      <c r="T321"/>
    </row>
    <row r="322" spans="20:20" x14ac:dyDescent="0.2">
      <c r="T322"/>
    </row>
    <row r="323" spans="20:20" x14ac:dyDescent="0.2">
      <c r="T323"/>
    </row>
    <row r="324" spans="20:20" x14ac:dyDescent="0.2">
      <c r="T324"/>
    </row>
    <row r="325" spans="20:20" x14ac:dyDescent="0.2">
      <c r="T325"/>
    </row>
    <row r="326" spans="20:20" x14ac:dyDescent="0.2">
      <c r="T326"/>
    </row>
    <row r="327" spans="20:20" x14ac:dyDescent="0.2">
      <c r="T327"/>
    </row>
    <row r="328" spans="20:20" x14ac:dyDescent="0.2">
      <c r="T328"/>
    </row>
    <row r="329" spans="20:20" x14ac:dyDescent="0.2">
      <c r="T329"/>
    </row>
    <row r="330" spans="20:20" x14ac:dyDescent="0.2">
      <c r="T330"/>
    </row>
    <row r="331" spans="20:20" x14ac:dyDescent="0.2">
      <c r="T331"/>
    </row>
    <row r="332" spans="20:20" x14ac:dyDescent="0.2">
      <c r="T332"/>
    </row>
    <row r="333" spans="20:20" x14ac:dyDescent="0.2">
      <c r="T333"/>
    </row>
    <row r="334" spans="20:20" x14ac:dyDescent="0.2">
      <c r="T334"/>
    </row>
    <row r="335" spans="20:20" x14ac:dyDescent="0.2">
      <c r="T335"/>
    </row>
    <row r="336" spans="20:20" x14ac:dyDescent="0.2">
      <c r="T336"/>
    </row>
    <row r="337" spans="20:20" x14ac:dyDescent="0.2">
      <c r="T337"/>
    </row>
    <row r="338" spans="20:20" x14ac:dyDescent="0.2">
      <c r="T338"/>
    </row>
    <row r="339" spans="20:20" x14ac:dyDescent="0.2">
      <c r="T339"/>
    </row>
    <row r="340" spans="20:20" x14ac:dyDescent="0.2">
      <c r="T340"/>
    </row>
    <row r="341" spans="20:20" x14ac:dyDescent="0.2">
      <c r="T341"/>
    </row>
    <row r="342" spans="20:20" x14ac:dyDescent="0.2">
      <c r="T342"/>
    </row>
    <row r="343" spans="20:20" x14ac:dyDescent="0.2">
      <c r="T343"/>
    </row>
    <row r="344" spans="20:20" x14ac:dyDescent="0.2">
      <c r="T344"/>
    </row>
    <row r="345" spans="20:20" x14ac:dyDescent="0.2">
      <c r="T345"/>
    </row>
    <row r="346" spans="20:20" x14ac:dyDescent="0.2">
      <c r="T346"/>
    </row>
    <row r="347" spans="20:20" x14ac:dyDescent="0.2">
      <c r="T347"/>
    </row>
    <row r="348" spans="20:20" x14ac:dyDescent="0.2">
      <c r="T348"/>
    </row>
    <row r="349" spans="20:20" x14ac:dyDescent="0.2">
      <c r="T349"/>
    </row>
    <row r="350" spans="20:20" x14ac:dyDescent="0.2">
      <c r="T350"/>
    </row>
    <row r="351" spans="20:20" x14ac:dyDescent="0.2">
      <c r="T351"/>
    </row>
    <row r="352" spans="20:20" x14ac:dyDescent="0.2">
      <c r="T352"/>
    </row>
    <row r="353" spans="20:20" x14ac:dyDescent="0.2">
      <c r="T353"/>
    </row>
    <row r="354" spans="20:20" x14ac:dyDescent="0.2">
      <c r="T354"/>
    </row>
    <row r="355" spans="20:20" x14ac:dyDescent="0.2">
      <c r="T355"/>
    </row>
    <row r="356" spans="20:20" x14ac:dyDescent="0.2">
      <c r="T356"/>
    </row>
    <row r="357" spans="20:20" x14ac:dyDescent="0.2">
      <c r="T357"/>
    </row>
    <row r="358" spans="20:20" x14ac:dyDescent="0.2">
      <c r="T358"/>
    </row>
    <row r="359" spans="20:20" x14ac:dyDescent="0.2">
      <c r="T359"/>
    </row>
    <row r="360" spans="20:20" x14ac:dyDescent="0.2">
      <c r="T360"/>
    </row>
    <row r="361" spans="20:20" x14ac:dyDescent="0.2">
      <c r="T361"/>
    </row>
    <row r="362" spans="20:20" x14ac:dyDescent="0.2">
      <c r="T362"/>
    </row>
    <row r="363" spans="20:20" x14ac:dyDescent="0.2">
      <c r="T363"/>
    </row>
    <row r="364" spans="20:20" x14ac:dyDescent="0.2">
      <c r="T364"/>
    </row>
    <row r="365" spans="20:20" x14ac:dyDescent="0.2">
      <c r="T365"/>
    </row>
    <row r="366" spans="20:20" x14ac:dyDescent="0.2">
      <c r="T366"/>
    </row>
    <row r="367" spans="20:20" x14ac:dyDescent="0.2">
      <c r="T367"/>
    </row>
    <row r="368" spans="20:20" x14ac:dyDescent="0.2">
      <c r="T368"/>
    </row>
    <row r="369" spans="20:20" x14ac:dyDescent="0.2">
      <c r="T369"/>
    </row>
    <row r="370" spans="20:20" x14ac:dyDescent="0.2">
      <c r="T370"/>
    </row>
    <row r="371" spans="20:20" x14ac:dyDescent="0.2">
      <c r="T371"/>
    </row>
    <row r="372" spans="20:20" x14ac:dyDescent="0.2">
      <c r="T372"/>
    </row>
    <row r="373" spans="20:20" x14ac:dyDescent="0.2">
      <c r="T373"/>
    </row>
    <row r="374" spans="20:20" x14ac:dyDescent="0.2">
      <c r="T374"/>
    </row>
    <row r="375" spans="20:20" x14ac:dyDescent="0.2">
      <c r="T375"/>
    </row>
    <row r="376" spans="20:20" x14ac:dyDescent="0.2">
      <c r="T376"/>
    </row>
    <row r="377" spans="20:20" x14ac:dyDescent="0.2">
      <c r="T377"/>
    </row>
    <row r="378" spans="20:20" x14ac:dyDescent="0.2">
      <c r="T378"/>
    </row>
    <row r="379" spans="20:20" x14ac:dyDescent="0.2">
      <c r="T379"/>
    </row>
    <row r="380" spans="20:20" x14ac:dyDescent="0.2">
      <c r="T380"/>
    </row>
    <row r="381" spans="20:20" x14ac:dyDescent="0.2">
      <c r="T381"/>
    </row>
    <row r="382" spans="20:20" x14ac:dyDescent="0.2">
      <c r="T382"/>
    </row>
    <row r="383" spans="20:20" x14ac:dyDescent="0.2">
      <c r="T383"/>
    </row>
    <row r="384" spans="20:20" x14ac:dyDescent="0.2">
      <c r="T384"/>
    </row>
    <row r="385" spans="20:20" x14ac:dyDescent="0.2">
      <c r="T385"/>
    </row>
    <row r="386" spans="20:20" x14ac:dyDescent="0.2">
      <c r="T386"/>
    </row>
  </sheetData>
  <phoneticPr fontId="0" type="noConversion"/>
  <pageMargins left="0.38" right="0.75" top="0.73" bottom="0.74" header="0.5" footer="0.5"/>
  <pageSetup orientation="landscape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opLeftCell="C41" workbookViewId="0">
      <selection activeCell="M62" sqref="M62"/>
    </sheetView>
  </sheetViews>
  <sheetFormatPr defaultRowHeight="12.75" x14ac:dyDescent="0.2"/>
  <cols>
    <col min="1" max="1" width="12.85546875" customWidth="1"/>
    <col min="2" max="2" width="17.85546875" customWidth="1"/>
    <col min="3" max="4" width="19.140625" customWidth="1"/>
    <col min="7" max="7" width="19.140625" customWidth="1"/>
    <col min="8" max="8" width="17.85546875" customWidth="1"/>
    <col min="9" max="9" width="19.140625" customWidth="1"/>
  </cols>
  <sheetData>
    <row r="1" spans="1:13" ht="51" x14ac:dyDescent="0.2">
      <c r="A1" s="203" t="s">
        <v>205</v>
      </c>
      <c r="B1" s="203" t="s">
        <v>122</v>
      </c>
      <c r="C1" s="203" t="s">
        <v>207</v>
      </c>
      <c r="D1" s="203" t="s">
        <v>206</v>
      </c>
      <c r="E1" s="203" t="s">
        <v>208</v>
      </c>
      <c r="F1" s="370" t="s">
        <v>280</v>
      </c>
      <c r="G1" s="370" t="s">
        <v>207</v>
      </c>
      <c r="H1" s="370" t="s">
        <v>122</v>
      </c>
      <c r="I1" s="370" t="s">
        <v>206</v>
      </c>
      <c r="J1" s="370" t="s">
        <v>208</v>
      </c>
      <c r="K1" s="469" t="s">
        <v>317</v>
      </c>
      <c r="L1" s="469" t="s">
        <v>207</v>
      </c>
      <c r="M1" s="469" t="s">
        <v>207</v>
      </c>
    </row>
    <row r="2" spans="1:13" x14ac:dyDescent="0.2">
      <c r="A2" s="203"/>
      <c r="B2" s="203"/>
      <c r="C2" s="203"/>
      <c r="D2" s="203"/>
    </row>
    <row r="3" spans="1:13" x14ac:dyDescent="0.2">
      <c r="A3" t="s">
        <v>123</v>
      </c>
      <c r="B3" s="223">
        <v>8279.7652300000009</v>
      </c>
      <c r="C3" s="72">
        <v>5.5E-2</v>
      </c>
      <c r="D3" s="224">
        <v>1968.21875</v>
      </c>
      <c r="E3" s="224">
        <f>+D3/3</f>
        <v>656.07291666666663</v>
      </c>
      <c r="G3" s="72">
        <v>5.5E-2</v>
      </c>
      <c r="H3" s="224">
        <v>8409.5400100000006</v>
      </c>
      <c r="I3" s="224">
        <v>1968.21875</v>
      </c>
      <c r="J3" s="224">
        <f>+I3/3</f>
        <v>656.07291666666663</v>
      </c>
      <c r="L3" t="s">
        <v>123</v>
      </c>
      <c r="M3" s="72">
        <v>5.5E-2</v>
      </c>
    </row>
    <row r="4" spans="1:13" x14ac:dyDescent="0.2">
      <c r="A4" t="s">
        <v>124</v>
      </c>
      <c r="B4" s="223">
        <v>8398.9087299999992</v>
      </c>
      <c r="C4" s="72">
        <v>5.9000000000000004E-2</v>
      </c>
      <c r="D4" s="224">
        <v>1938.53125</v>
      </c>
      <c r="E4" s="224">
        <f t="shared" ref="E4:E67" si="0">+D4/3</f>
        <v>646.17708333333337</v>
      </c>
      <c r="G4" s="72">
        <v>5.9000000000000004E-2</v>
      </c>
      <c r="H4" s="224">
        <v>8491.2183100000002</v>
      </c>
      <c r="I4" s="224">
        <v>1938.53125</v>
      </c>
      <c r="J4" s="224">
        <f t="shared" ref="J4:J58" si="1">+I4/3</f>
        <v>646.17708333333337</v>
      </c>
      <c r="L4" t="s">
        <v>124</v>
      </c>
      <c r="M4" s="72">
        <v>5.9000000000000004E-2</v>
      </c>
    </row>
    <row r="5" spans="1:13" x14ac:dyDescent="0.2">
      <c r="A5" t="s">
        <v>125</v>
      </c>
      <c r="B5" s="223">
        <v>8607.3889500000005</v>
      </c>
      <c r="C5" s="72">
        <v>6.0999999999999999E-2</v>
      </c>
      <c r="D5" s="224">
        <v>1901.15625</v>
      </c>
      <c r="E5" s="224">
        <f t="shared" si="0"/>
        <v>633.71875</v>
      </c>
      <c r="G5" s="72">
        <v>6.0999999999999999E-2</v>
      </c>
      <c r="H5" s="224">
        <v>8693.0823099999998</v>
      </c>
      <c r="I5" s="224">
        <v>1901.15625</v>
      </c>
      <c r="J5" s="224">
        <f t="shared" si="1"/>
        <v>633.71875</v>
      </c>
      <c r="L5" t="s">
        <v>125</v>
      </c>
      <c r="M5" s="72">
        <v>6.0999999999999999E-2</v>
      </c>
    </row>
    <row r="6" spans="1:13" x14ac:dyDescent="0.2">
      <c r="A6" t="s">
        <v>126</v>
      </c>
      <c r="B6" s="223">
        <v>8729.6934600000004</v>
      </c>
      <c r="C6" s="72">
        <v>5.7999999999999996E-2</v>
      </c>
      <c r="D6" s="224">
        <v>1856.09375</v>
      </c>
      <c r="E6" s="224">
        <f t="shared" si="0"/>
        <v>618.69791666666663</v>
      </c>
      <c r="G6" s="72">
        <v>5.7999999999999996E-2</v>
      </c>
      <c r="H6" s="224">
        <v>8758.7993900000001</v>
      </c>
      <c r="I6" s="224">
        <v>1856.09375</v>
      </c>
      <c r="J6" s="224">
        <f t="shared" si="1"/>
        <v>618.69791666666663</v>
      </c>
      <c r="L6" t="s">
        <v>126</v>
      </c>
      <c r="M6" s="72">
        <v>5.7999999999999996E-2</v>
      </c>
    </row>
    <row r="7" spans="1:13" x14ac:dyDescent="0.2">
      <c r="A7" t="s">
        <v>127</v>
      </c>
      <c r="B7" s="223">
        <v>8852.2767899999999</v>
      </c>
      <c r="C7" s="72">
        <v>5.0999999999999997E-2</v>
      </c>
      <c r="D7" s="224">
        <v>1748.1875</v>
      </c>
      <c r="E7" s="224">
        <f t="shared" si="0"/>
        <v>582.72916666666663</v>
      </c>
      <c r="G7" s="72">
        <v>5.0999999999999997E-2</v>
      </c>
      <c r="H7" s="224">
        <v>8887.61276</v>
      </c>
      <c r="I7" s="224">
        <v>1748.1875</v>
      </c>
      <c r="J7" s="224">
        <f t="shared" si="1"/>
        <v>582.72916666666663</v>
      </c>
      <c r="L7" t="s">
        <v>127</v>
      </c>
      <c r="M7" s="72">
        <v>5.0999999999999997E-2</v>
      </c>
    </row>
    <row r="8" spans="1:13" x14ac:dyDescent="0.2">
      <c r="A8" t="s">
        <v>128</v>
      </c>
      <c r="B8" s="223">
        <v>8951.3808300000001</v>
      </c>
      <c r="C8" s="72">
        <v>5.2000000000000005E-2</v>
      </c>
      <c r="D8" s="224">
        <v>1709.8125</v>
      </c>
      <c r="E8" s="224">
        <f t="shared" si="0"/>
        <v>569.9375</v>
      </c>
      <c r="G8" s="72">
        <v>5.2000000000000005E-2</v>
      </c>
      <c r="H8" s="224">
        <v>9009.0143399999997</v>
      </c>
      <c r="I8" s="224">
        <v>1709.8125</v>
      </c>
      <c r="J8" s="224">
        <f t="shared" si="1"/>
        <v>569.9375</v>
      </c>
      <c r="L8" t="s">
        <v>128</v>
      </c>
      <c r="M8" s="72">
        <v>5.2000000000000005E-2</v>
      </c>
    </row>
    <row r="9" spans="1:13" x14ac:dyDescent="0.2">
      <c r="A9" t="s">
        <v>129</v>
      </c>
      <c r="B9" s="223">
        <v>8952.7226900000005</v>
      </c>
      <c r="C9" s="72">
        <v>5.7999999999999996E-2</v>
      </c>
      <c r="D9" s="224">
        <v>1685.8125</v>
      </c>
      <c r="E9" s="224">
        <f t="shared" si="0"/>
        <v>561.9375</v>
      </c>
      <c r="G9" s="72">
        <v>5.7999999999999996E-2</v>
      </c>
      <c r="H9" s="224">
        <v>8989.8852100000004</v>
      </c>
      <c r="I9" s="224">
        <v>1685.8125</v>
      </c>
      <c r="J9" s="224">
        <f t="shared" si="1"/>
        <v>561.9375</v>
      </c>
      <c r="L9" t="s">
        <v>129</v>
      </c>
      <c r="M9" s="72">
        <v>5.7999999999999996E-2</v>
      </c>
    </row>
    <row r="10" spans="1:13" x14ac:dyDescent="0.2">
      <c r="A10" t="s">
        <v>130</v>
      </c>
      <c r="B10" s="223">
        <v>9005.3871099999997</v>
      </c>
      <c r="C10" s="72">
        <v>6.7000000000000004E-2</v>
      </c>
      <c r="D10" s="224">
        <v>1676.1875</v>
      </c>
      <c r="E10" s="224">
        <f t="shared" si="0"/>
        <v>558.72916666666663</v>
      </c>
      <c r="G10" s="72">
        <v>6.7000000000000004E-2</v>
      </c>
      <c r="H10" s="224">
        <v>9047.4321299999992</v>
      </c>
      <c r="I10" s="224">
        <v>1676.1875</v>
      </c>
      <c r="J10" s="224">
        <f t="shared" si="1"/>
        <v>558.72916666666663</v>
      </c>
      <c r="L10" t="s">
        <v>130</v>
      </c>
      <c r="M10" s="72">
        <v>6.7000000000000004E-2</v>
      </c>
    </row>
    <row r="11" spans="1:13" x14ac:dyDescent="0.2">
      <c r="A11" t="s">
        <v>131</v>
      </c>
      <c r="B11" s="223">
        <v>9029.2835099999993</v>
      </c>
      <c r="C11" s="72">
        <v>8.199999999999999E-2</v>
      </c>
      <c r="D11" s="224">
        <v>1734.21875</v>
      </c>
      <c r="E11" s="224">
        <f t="shared" si="0"/>
        <v>578.07291666666663</v>
      </c>
      <c r="G11" s="72">
        <v>8.199999999999999E-2</v>
      </c>
      <c r="H11" s="224">
        <v>9105.1567400000004</v>
      </c>
      <c r="I11" s="224">
        <v>1734.21875</v>
      </c>
      <c r="J11" s="224">
        <f t="shared" si="1"/>
        <v>578.07291666666663</v>
      </c>
      <c r="L11" t="s">
        <v>131</v>
      </c>
      <c r="M11" s="72">
        <v>8.199999999999999E-2</v>
      </c>
    </row>
    <row r="12" spans="1:13" x14ac:dyDescent="0.2">
      <c r="A12" t="s">
        <v>132</v>
      </c>
      <c r="B12" s="223">
        <v>9168.8768099999998</v>
      </c>
      <c r="C12" s="72">
        <v>6.7000000000000004E-2</v>
      </c>
      <c r="D12" s="224">
        <v>1732.03125</v>
      </c>
      <c r="E12" s="224">
        <f t="shared" si="0"/>
        <v>577.34375</v>
      </c>
      <c r="G12" s="72">
        <v>6.7000000000000004E-2</v>
      </c>
      <c r="H12" s="224">
        <v>9230.5662300000004</v>
      </c>
      <c r="I12" s="224">
        <v>1732.03125</v>
      </c>
      <c r="J12" s="224">
        <f t="shared" si="1"/>
        <v>577.34375</v>
      </c>
      <c r="L12" t="s">
        <v>132</v>
      </c>
      <c r="M12" s="72">
        <v>6.7000000000000004E-2</v>
      </c>
    </row>
    <row r="13" spans="1:13" x14ac:dyDescent="0.2">
      <c r="A13" t="s">
        <v>133</v>
      </c>
      <c r="B13" s="223">
        <v>9319.0442399999993</v>
      </c>
      <c r="C13" s="72">
        <v>6.3E-2</v>
      </c>
      <c r="D13" s="224">
        <v>1722.90625</v>
      </c>
      <c r="E13" s="224">
        <f t="shared" si="0"/>
        <v>574.30208333333337</v>
      </c>
      <c r="G13" s="72">
        <v>6.3E-2</v>
      </c>
      <c r="H13" s="224">
        <v>9385.7910800000009</v>
      </c>
      <c r="I13" s="224">
        <v>1722.90625</v>
      </c>
      <c r="J13" s="224">
        <f t="shared" si="1"/>
        <v>574.30208333333337</v>
      </c>
      <c r="L13" t="s">
        <v>133</v>
      </c>
      <c r="M13" s="72">
        <v>6.3E-2</v>
      </c>
    </row>
    <row r="14" spans="1:13" x14ac:dyDescent="0.2">
      <c r="A14" t="s">
        <v>134</v>
      </c>
      <c r="B14" s="223">
        <v>9450.1090199999999</v>
      </c>
      <c r="C14" s="72">
        <v>5.7999999999999996E-2</v>
      </c>
      <c r="D14" s="224">
        <v>1706.84375</v>
      </c>
      <c r="E14" s="224">
        <f t="shared" si="0"/>
        <v>568.94791666666663</v>
      </c>
      <c r="G14" s="72">
        <v>5.7999999999999996E-2</v>
      </c>
      <c r="H14" s="224">
        <v>9484.4933999999994</v>
      </c>
      <c r="I14" s="224">
        <v>1706.84375</v>
      </c>
      <c r="J14" s="224">
        <f t="shared" si="1"/>
        <v>568.94791666666663</v>
      </c>
      <c r="L14" t="s">
        <v>134</v>
      </c>
      <c r="M14" s="72">
        <v>5.7999999999999996E-2</v>
      </c>
    </row>
    <row r="15" spans="1:13" x14ac:dyDescent="0.2">
      <c r="A15" t="s">
        <v>135</v>
      </c>
      <c r="B15" s="223">
        <v>9796.4605699999993</v>
      </c>
      <c r="C15" s="72">
        <v>4.7E-2</v>
      </c>
      <c r="D15" s="224">
        <v>1645.875</v>
      </c>
      <c r="E15" s="224">
        <f t="shared" si="0"/>
        <v>548.625</v>
      </c>
      <c r="G15" s="72">
        <v>4.7E-2</v>
      </c>
      <c r="H15" s="224">
        <v>9912.4973699999991</v>
      </c>
      <c r="I15" s="224">
        <v>1645.875</v>
      </c>
      <c r="J15" s="224">
        <f t="shared" si="1"/>
        <v>548.625</v>
      </c>
      <c r="L15" t="s">
        <v>135</v>
      </c>
      <c r="M15" s="72">
        <v>4.7E-2</v>
      </c>
    </row>
    <row r="16" spans="1:13" x14ac:dyDescent="0.2">
      <c r="A16" t="s">
        <v>136</v>
      </c>
      <c r="B16" s="223">
        <v>9935.7401399999999</v>
      </c>
      <c r="C16" s="72">
        <v>5.5999999999999994E-2</v>
      </c>
      <c r="D16" s="224">
        <v>1631.125</v>
      </c>
      <c r="E16" s="224">
        <f t="shared" si="0"/>
        <v>543.70833333333337</v>
      </c>
      <c r="G16" s="72">
        <v>5.5999999999999994E-2</v>
      </c>
      <c r="H16" s="224">
        <v>10045.061299999999</v>
      </c>
      <c r="I16" s="224">
        <v>1631.125</v>
      </c>
      <c r="J16" s="224">
        <f t="shared" si="1"/>
        <v>543.70833333333337</v>
      </c>
      <c r="L16" t="s">
        <v>136</v>
      </c>
      <c r="M16" s="72">
        <v>5.5999999999999994E-2</v>
      </c>
    </row>
    <row r="17" spans="1:13" x14ac:dyDescent="0.2">
      <c r="A17" t="s">
        <v>137</v>
      </c>
      <c r="B17" s="223">
        <v>10065.761</v>
      </c>
      <c r="C17" s="72">
        <v>5.2000000000000005E-2</v>
      </c>
      <c r="D17" s="224">
        <v>1624.625</v>
      </c>
      <c r="E17" s="224">
        <f t="shared" si="0"/>
        <v>541.54166666666663</v>
      </c>
      <c r="G17" s="72">
        <v>5.2000000000000005E-2</v>
      </c>
      <c r="H17" s="224">
        <v>10132.6129</v>
      </c>
      <c r="I17" s="224">
        <v>1624.625</v>
      </c>
      <c r="J17" s="224">
        <f t="shared" si="1"/>
        <v>541.54166666666663</v>
      </c>
      <c r="L17" t="s">
        <v>137</v>
      </c>
      <c r="M17" s="72">
        <v>5.2000000000000005E-2</v>
      </c>
    </row>
    <row r="18" spans="1:13" x14ac:dyDescent="0.2">
      <c r="A18" t="s">
        <v>138</v>
      </c>
      <c r="B18" s="223">
        <v>10322.3197</v>
      </c>
      <c r="C18" s="72">
        <v>4.7E-2</v>
      </c>
      <c r="D18" s="224">
        <v>1626.375</v>
      </c>
      <c r="E18" s="224">
        <f t="shared" si="0"/>
        <v>542.125</v>
      </c>
      <c r="G18" s="72">
        <v>4.7E-2</v>
      </c>
      <c r="H18" s="224">
        <v>10400.2147</v>
      </c>
      <c r="I18" s="224">
        <v>1626.375</v>
      </c>
      <c r="J18" s="224">
        <f t="shared" si="1"/>
        <v>542.125</v>
      </c>
      <c r="L18" t="s">
        <v>138</v>
      </c>
      <c r="M18" s="72">
        <v>4.7E-2</v>
      </c>
    </row>
    <row r="19" spans="1:13" x14ac:dyDescent="0.2">
      <c r="A19" t="s">
        <v>139</v>
      </c>
      <c r="B19" s="223">
        <v>10394.712799999999</v>
      </c>
      <c r="C19" s="72">
        <v>0.05</v>
      </c>
      <c r="D19" s="224">
        <v>1655.75</v>
      </c>
      <c r="E19" s="224">
        <f t="shared" si="0"/>
        <v>551.91666666666663</v>
      </c>
      <c r="G19" s="72">
        <v>0.05</v>
      </c>
      <c r="H19" s="224">
        <v>10458.698399999999</v>
      </c>
      <c r="I19" s="224">
        <v>1655.75</v>
      </c>
      <c r="J19" s="224">
        <f t="shared" si="1"/>
        <v>551.91666666666663</v>
      </c>
      <c r="L19" t="s">
        <v>139</v>
      </c>
      <c r="M19" s="72">
        <v>0.05</v>
      </c>
    </row>
    <row r="20" spans="1:13" x14ac:dyDescent="0.2">
      <c r="A20" t="s">
        <v>140</v>
      </c>
      <c r="B20" s="223">
        <v>10574.3897</v>
      </c>
      <c r="C20" s="72">
        <v>5.4000000000000006E-2</v>
      </c>
      <c r="D20" s="224">
        <v>1666.25</v>
      </c>
      <c r="E20" s="224">
        <f t="shared" si="0"/>
        <v>555.41666666666663</v>
      </c>
      <c r="G20" s="72">
        <v>5.4000000000000006E-2</v>
      </c>
      <c r="H20" s="224">
        <v>10647.7893</v>
      </c>
      <c r="I20" s="224">
        <v>1666.25</v>
      </c>
      <c r="J20" s="224">
        <f t="shared" si="1"/>
        <v>555.41666666666663</v>
      </c>
      <c r="L20" t="s">
        <v>140</v>
      </c>
      <c r="M20" s="72">
        <v>5.4000000000000006E-2</v>
      </c>
    </row>
    <row r="21" spans="1:13" x14ac:dyDescent="0.2">
      <c r="A21" t="s">
        <v>141</v>
      </c>
      <c r="B21" s="223">
        <v>10767.148499999999</v>
      </c>
      <c r="C21" s="72">
        <v>5.5E-2</v>
      </c>
      <c r="D21" s="224">
        <v>1677.25</v>
      </c>
      <c r="E21" s="224">
        <f t="shared" si="0"/>
        <v>559.08333333333337</v>
      </c>
      <c r="G21" s="72">
        <v>5.5E-2</v>
      </c>
      <c r="H21" s="224">
        <v>10854.0236</v>
      </c>
      <c r="I21" s="224">
        <v>1677.25</v>
      </c>
      <c r="J21" s="224">
        <f t="shared" si="1"/>
        <v>559.08333333333337</v>
      </c>
      <c r="L21" t="s">
        <v>141</v>
      </c>
      <c r="M21" s="72">
        <v>5.5E-2</v>
      </c>
    </row>
    <row r="22" spans="1:13" x14ac:dyDescent="0.2">
      <c r="A22" t="s">
        <v>142</v>
      </c>
      <c r="B22" s="223">
        <v>10899.499400000001</v>
      </c>
      <c r="C22" s="72">
        <v>5.7999999999999996E-2</v>
      </c>
      <c r="D22" s="224">
        <v>1688.75</v>
      </c>
      <c r="E22" s="224">
        <f t="shared" si="0"/>
        <v>562.91666666666663</v>
      </c>
      <c r="G22" s="72">
        <v>5.7999999999999996E-2</v>
      </c>
      <c r="H22" s="224">
        <v>10998.4231</v>
      </c>
      <c r="I22" s="224">
        <v>1688.75</v>
      </c>
      <c r="J22" s="224">
        <f t="shared" si="1"/>
        <v>562.91666666666663</v>
      </c>
      <c r="L22" t="s">
        <v>142</v>
      </c>
      <c r="M22" s="72">
        <v>5.7999999999999996E-2</v>
      </c>
    </row>
    <row r="23" spans="1:13" x14ac:dyDescent="0.2">
      <c r="A23" t="s">
        <v>143</v>
      </c>
      <c r="B23" s="223">
        <v>10879.549499999999</v>
      </c>
      <c r="C23" s="72">
        <v>7.2000000000000008E-2</v>
      </c>
      <c r="D23" s="224">
        <v>1701.0625</v>
      </c>
      <c r="E23" s="224">
        <f t="shared" si="0"/>
        <v>567.02083333333337</v>
      </c>
      <c r="G23" s="72">
        <v>7.2000000000000008E-2</v>
      </c>
      <c r="H23" s="224">
        <v>10961.294099999999</v>
      </c>
      <c r="I23" s="224">
        <v>1701.0625</v>
      </c>
      <c r="J23" s="224">
        <f t="shared" si="1"/>
        <v>567.02083333333337</v>
      </c>
      <c r="L23" t="s">
        <v>143</v>
      </c>
      <c r="M23" s="72">
        <v>7.2000000000000008E-2</v>
      </c>
    </row>
    <row r="24" spans="1:13" x14ac:dyDescent="0.2">
      <c r="A24" t="s">
        <v>144</v>
      </c>
      <c r="B24" s="223">
        <v>10998.745199999999</v>
      </c>
      <c r="C24" s="72">
        <v>6.4000000000000001E-2</v>
      </c>
      <c r="D24" s="224">
        <v>1713.4375</v>
      </c>
      <c r="E24" s="224">
        <f t="shared" si="0"/>
        <v>571.14583333333337</v>
      </c>
      <c r="G24" s="72">
        <v>6.4000000000000001E-2</v>
      </c>
      <c r="H24" s="224">
        <v>11073.280199999999</v>
      </c>
      <c r="I24" s="224">
        <v>1713.4375</v>
      </c>
      <c r="J24" s="224">
        <f t="shared" si="1"/>
        <v>571.14583333333337</v>
      </c>
      <c r="L24" t="s">
        <v>144</v>
      </c>
      <c r="M24" s="72">
        <v>6.4000000000000001E-2</v>
      </c>
    </row>
    <row r="25" spans="1:13" x14ac:dyDescent="0.2">
      <c r="A25" t="s">
        <v>145</v>
      </c>
      <c r="B25" s="223">
        <v>11121.214099999999</v>
      </c>
      <c r="C25" s="72">
        <v>5.7999999999999996E-2</v>
      </c>
      <c r="D25" s="224">
        <v>1726.1875</v>
      </c>
      <c r="E25" s="224">
        <f t="shared" si="0"/>
        <v>575.39583333333337</v>
      </c>
      <c r="G25" s="72">
        <v>5.7999999999999996E-2</v>
      </c>
      <c r="H25" s="224">
        <v>11210.4419</v>
      </c>
      <c r="I25" s="224">
        <v>1726.1875</v>
      </c>
      <c r="J25" s="224">
        <f t="shared" si="1"/>
        <v>575.39583333333337</v>
      </c>
      <c r="L25" t="s">
        <v>145</v>
      </c>
      <c r="M25" s="72">
        <v>5.7999999999999996E-2</v>
      </c>
    </row>
    <row r="26" spans="1:13" x14ac:dyDescent="0.2">
      <c r="A26" t="s">
        <v>146</v>
      </c>
      <c r="B26" s="223">
        <v>11250.5581</v>
      </c>
      <c r="C26" s="72">
        <v>6.7000000000000004E-2</v>
      </c>
      <c r="D26" s="224">
        <v>1739.3125</v>
      </c>
      <c r="E26" s="224">
        <f t="shared" si="0"/>
        <v>579.77083333333337</v>
      </c>
      <c r="G26" s="72">
        <v>6.7000000000000004E-2</v>
      </c>
      <c r="H26" s="224">
        <v>11305.9262</v>
      </c>
      <c r="I26" s="224">
        <v>1739.3125</v>
      </c>
      <c r="J26" s="224">
        <f t="shared" si="1"/>
        <v>579.77083333333337</v>
      </c>
      <c r="L26" t="s">
        <v>146</v>
      </c>
      <c r="M26" s="72">
        <v>6.7000000000000004E-2</v>
      </c>
    </row>
    <row r="27" spans="1:13" x14ac:dyDescent="0.2">
      <c r="A27" t="s">
        <v>147</v>
      </c>
      <c r="B27" s="223">
        <v>11513.3346</v>
      </c>
      <c r="C27" s="72">
        <v>6.6000000000000003E-2</v>
      </c>
      <c r="D27" s="224">
        <v>1783.125</v>
      </c>
      <c r="E27" s="224">
        <f t="shared" si="0"/>
        <v>594.375</v>
      </c>
      <c r="G27" s="72">
        <v>6.6000000000000003E-2</v>
      </c>
      <c r="H27" s="224">
        <v>11569.7534</v>
      </c>
      <c r="I27" s="224">
        <v>1783.125</v>
      </c>
      <c r="J27" s="224">
        <f t="shared" si="1"/>
        <v>594.375</v>
      </c>
      <c r="L27" t="s">
        <v>147</v>
      </c>
      <c r="M27" s="72">
        <v>6.6000000000000003E-2</v>
      </c>
    </row>
    <row r="28" spans="1:13" x14ac:dyDescent="0.2">
      <c r="A28" t="s">
        <v>148</v>
      </c>
      <c r="B28" s="223">
        <v>11573.0075</v>
      </c>
      <c r="C28" s="72">
        <v>6.5000000000000002E-2</v>
      </c>
      <c r="D28" s="224">
        <v>1784.875</v>
      </c>
      <c r="E28" s="224">
        <f t="shared" si="0"/>
        <v>594.95833333333337</v>
      </c>
      <c r="G28" s="72">
        <v>6.5000000000000002E-2</v>
      </c>
      <c r="H28" s="224">
        <v>11655.3516</v>
      </c>
      <c r="I28" s="224">
        <v>1784.875</v>
      </c>
      <c r="J28" s="224">
        <f t="shared" si="1"/>
        <v>594.95833333333337</v>
      </c>
      <c r="L28" t="s">
        <v>148</v>
      </c>
      <c r="M28" s="72">
        <v>6.5000000000000002E-2</v>
      </c>
    </row>
    <row r="29" spans="1:13" x14ac:dyDescent="0.2">
      <c r="A29" t="s">
        <v>149</v>
      </c>
      <c r="B29" s="223">
        <v>11634.9043</v>
      </c>
      <c r="C29" s="72">
        <v>6.7000000000000004E-2</v>
      </c>
      <c r="D29" s="224">
        <v>1774.875</v>
      </c>
      <c r="E29" s="224">
        <f t="shared" si="0"/>
        <v>591.625</v>
      </c>
      <c r="G29" s="72">
        <v>6.7000000000000004E-2</v>
      </c>
      <c r="H29" s="224">
        <v>11681.482</v>
      </c>
      <c r="I29" s="224">
        <v>1774.875</v>
      </c>
      <c r="J29" s="224">
        <f t="shared" si="1"/>
        <v>591.625</v>
      </c>
      <c r="L29" t="s">
        <v>149</v>
      </c>
      <c r="M29" s="72">
        <v>6.7000000000000004E-2</v>
      </c>
    </row>
    <row r="30" spans="1:13" x14ac:dyDescent="0.2">
      <c r="A30" t="s">
        <v>150</v>
      </c>
      <c r="B30" s="223">
        <v>11798.984</v>
      </c>
      <c r="C30" s="72">
        <v>6.8000000000000005E-2</v>
      </c>
      <c r="D30" s="224">
        <v>1753.125</v>
      </c>
      <c r="E30" s="224">
        <f t="shared" si="0"/>
        <v>584.375</v>
      </c>
      <c r="G30" s="72">
        <v>6.8000000000000005E-2</v>
      </c>
      <c r="H30" s="224">
        <v>11880.014499999999</v>
      </c>
      <c r="I30" s="224">
        <v>1753.125</v>
      </c>
      <c r="J30" s="224">
        <f t="shared" si="1"/>
        <v>584.375</v>
      </c>
      <c r="L30" t="s">
        <v>150</v>
      </c>
      <c r="M30" s="72">
        <v>6.8000000000000005E-2</v>
      </c>
    </row>
    <row r="31" spans="1:13" x14ac:dyDescent="0.2">
      <c r="A31" t="s">
        <v>151</v>
      </c>
      <c r="B31" s="223">
        <v>11884.4946</v>
      </c>
      <c r="C31" s="72">
        <v>6.0999999999999999E-2</v>
      </c>
      <c r="D31" s="224">
        <v>1649.46875</v>
      </c>
      <c r="E31" s="224">
        <f t="shared" si="0"/>
        <v>549.82291666666663</v>
      </c>
      <c r="G31" s="72">
        <v>6.0999999999999999E-2</v>
      </c>
      <c r="H31" s="224">
        <v>11902.270200000001</v>
      </c>
      <c r="I31" s="224">
        <v>1649.46875</v>
      </c>
      <c r="J31" s="224">
        <f t="shared" si="1"/>
        <v>549.82291666666663</v>
      </c>
      <c r="L31" t="s">
        <v>151</v>
      </c>
      <c r="M31" s="72">
        <v>6.0999999999999999E-2</v>
      </c>
    </row>
    <row r="32" spans="1:13" x14ac:dyDescent="0.2">
      <c r="A32" t="s">
        <v>152</v>
      </c>
      <c r="B32" s="223">
        <v>12154.242700000001</v>
      </c>
      <c r="C32" s="72">
        <v>0.06</v>
      </c>
      <c r="D32" s="224">
        <v>1632.28125</v>
      </c>
      <c r="E32" s="224">
        <f t="shared" si="0"/>
        <v>544.09375</v>
      </c>
      <c r="G32" s="72">
        <v>0.06</v>
      </c>
      <c r="H32" s="224">
        <v>12176.6981</v>
      </c>
      <c r="I32" s="224">
        <v>1632.28125</v>
      </c>
      <c r="J32" s="224">
        <f t="shared" si="1"/>
        <v>544.09375</v>
      </c>
      <c r="L32" t="s">
        <v>152</v>
      </c>
      <c r="M32" s="72">
        <v>0.06</v>
      </c>
    </row>
    <row r="33" spans="1:13" x14ac:dyDescent="0.2">
      <c r="A33" t="s">
        <v>153</v>
      </c>
      <c r="B33" s="223">
        <v>12404.919400000001</v>
      </c>
      <c r="C33" s="72">
        <v>6.5000000000000002E-2</v>
      </c>
      <c r="D33" s="224">
        <v>1631.40625</v>
      </c>
      <c r="E33" s="224">
        <f t="shared" si="0"/>
        <v>543.80208333333337</v>
      </c>
      <c r="G33" s="72">
        <v>6.5000000000000002E-2</v>
      </c>
      <c r="H33" s="224">
        <v>12427.155199999999</v>
      </c>
      <c r="I33" s="224">
        <v>1631.40625</v>
      </c>
      <c r="J33" s="224">
        <f t="shared" si="1"/>
        <v>543.80208333333337</v>
      </c>
      <c r="L33" t="s">
        <v>153</v>
      </c>
      <c r="M33" s="72">
        <v>6.5000000000000002E-2</v>
      </c>
    </row>
    <row r="34" spans="1:13" x14ac:dyDescent="0.2">
      <c r="A34" t="s">
        <v>154</v>
      </c>
      <c r="B34" s="223">
        <v>12611.191999999999</v>
      </c>
      <c r="C34" s="72">
        <v>6.3E-2</v>
      </c>
      <c r="D34" s="224">
        <v>1646.84375</v>
      </c>
      <c r="E34" s="224">
        <f t="shared" si="0"/>
        <v>548.94791666666663</v>
      </c>
      <c r="G34" s="72">
        <v>6.3E-2</v>
      </c>
      <c r="H34" s="224">
        <v>12622.6769</v>
      </c>
      <c r="I34" s="224">
        <v>1646.84375</v>
      </c>
      <c r="J34" s="224">
        <f t="shared" si="1"/>
        <v>548.94791666666663</v>
      </c>
      <c r="L34" t="s">
        <v>154</v>
      </c>
      <c r="M34" s="72">
        <v>6.3E-2</v>
      </c>
    </row>
    <row r="35" spans="1:13" x14ac:dyDescent="0.2">
      <c r="A35" t="s">
        <v>155</v>
      </c>
      <c r="B35" s="223">
        <v>12468.519899999999</v>
      </c>
      <c r="C35" s="72">
        <v>6.4000000000000001E-2</v>
      </c>
      <c r="D35" s="224">
        <v>1757.5</v>
      </c>
      <c r="E35" s="224">
        <f t="shared" si="0"/>
        <v>585.83333333333337</v>
      </c>
      <c r="G35" s="72">
        <v>6.4000000000000001E-2</v>
      </c>
      <c r="H35" s="224">
        <v>12501.5021</v>
      </c>
      <c r="I35" s="224">
        <v>1757.5</v>
      </c>
      <c r="J35" s="224">
        <f t="shared" si="1"/>
        <v>585.83333333333337</v>
      </c>
      <c r="L35" t="s">
        <v>155</v>
      </c>
      <c r="M35" s="72">
        <v>6.4000000000000001E-2</v>
      </c>
    </row>
    <row r="36" spans="1:13" x14ac:dyDescent="0.2">
      <c r="A36" t="s">
        <v>156</v>
      </c>
      <c r="B36" s="223">
        <v>12766.4694</v>
      </c>
      <c r="C36" s="72">
        <v>7.400000000000001E-2</v>
      </c>
      <c r="D36" s="224">
        <v>1774</v>
      </c>
      <c r="E36" s="224">
        <f t="shared" si="0"/>
        <v>591.33333333333337</v>
      </c>
      <c r="G36" s="72">
        <v>7.400000000000001E-2</v>
      </c>
      <c r="H36" s="224">
        <v>12784.435100000001</v>
      </c>
      <c r="I36" s="224">
        <v>1774</v>
      </c>
      <c r="J36" s="224">
        <f t="shared" si="1"/>
        <v>591.33333333333337</v>
      </c>
      <c r="L36" t="s">
        <v>156</v>
      </c>
      <c r="M36" s="72">
        <v>7.400000000000001E-2</v>
      </c>
    </row>
    <row r="37" spans="1:13" x14ac:dyDescent="0.2">
      <c r="A37" t="s">
        <v>157</v>
      </c>
      <c r="B37" s="223">
        <v>12962.837799999999</v>
      </c>
      <c r="C37" s="72">
        <v>6.8000000000000005E-2</v>
      </c>
      <c r="D37" s="224">
        <v>1775.25</v>
      </c>
      <c r="E37" s="224">
        <f t="shared" si="0"/>
        <v>591.75</v>
      </c>
      <c r="G37" s="72">
        <v>6.8000000000000005E-2</v>
      </c>
      <c r="H37" s="224">
        <v>12981.7989</v>
      </c>
      <c r="I37" s="224">
        <v>1775.25</v>
      </c>
      <c r="J37" s="224">
        <f t="shared" si="1"/>
        <v>591.75</v>
      </c>
      <c r="L37" t="s">
        <v>157</v>
      </c>
      <c r="M37" s="72">
        <v>6.8000000000000005E-2</v>
      </c>
    </row>
    <row r="38" spans="1:13" x14ac:dyDescent="0.2">
      <c r="A38" t="s">
        <v>158</v>
      </c>
      <c r="B38" s="223">
        <v>12725.6921</v>
      </c>
      <c r="C38" s="72">
        <v>7.9000000000000001E-2</v>
      </c>
      <c r="D38" s="224">
        <v>1761.25</v>
      </c>
      <c r="E38" s="224">
        <f t="shared" si="0"/>
        <v>587.08333333333337</v>
      </c>
      <c r="G38" s="72">
        <v>7.9000000000000001E-2</v>
      </c>
      <c r="H38" s="224">
        <v>12747.0121</v>
      </c>
      <c r="I38" s="224">
        <v>1761.25</v>
      </c>
      <c r="J38" s="224">
        <f t="shared" si="1"/>
        <v>587.08333333333337</v>
      </c>
      <c r="L38" t="s">
        <v>158</v>
      </c>
      <c r="M38" s="72">
        <v>7.9000000000000001E-2</v>
      </c>
    </row>
    <row r="39" spans="1:13" x14ac:dyDescent="0.2">
      <c r="A39" t="s">
        <v>159</v>
      </c>
      <c r="B39" s="223">
        <v>12712.4866</v>
      </c>
      <c r="C39" s="72">
        <v>8.5000000000000006E-2</v>
      </c>
      <c r="D39" s="224">
        <v>1651.53125</v>
      </c>
      <c r="E39" s="224">
        <f t="shared" si="0"/>
        <v>550.51041666666663</v>
      </c>
      <c r="G39" s="72">
        <v>8.5000000000000006E-2</v>
      </c>
      <c r="H39" s="224">
        <v>12786.2066</v>
      </c>
      <c r="I39" s="224">
        <v>1651.53125</v>
      </c>
      <c r="J39" s="224">
        <f t="shared" si="1"/>
        <v>550.51041666666663</v>
      </c>
      <c r="L39" t="s">
        <v>159</v>
      </c>
      <c r="M39" s="72">
        <v>8.5000000000000006E-2</v>
      </c>
    </row>
    <row r="40" spans="1:13" x14ac:dyDescent="0.2">
      <c r="A40" t="s">
        <v>160</v>
      </c>
      <c r="B40" s="223">
        <v>12872.734700000001</v>
      </c>
      <c r="C40" s="72">
        <v>8.6999999999999994E-2</v>
      </c>
      <c r="D40" s="224">
        <v>1639.21875</v>
      </c>
      <c r="E40" s="224">
        <f t="shared" si="0"/>
        <v>546.40625</v>
      </c>
      <c r="G40" s="72">
        <v>8.6999999999999994E-2</v>
      </c>
      <c r="H40" s="224">
        <v>12941.8472</v>
      </c>
      <c r="I40" s="224">
        <v>1639.21875</v>
      </c>
      <c r="J40" s="224">
        <f t="shared" si="1"/>
        <v>546.40625</v>
      </c>
      <c r="L40" t="s">
        <v>160</v>
      </c>
      <c r="M40" s="72">
        <v>8.6999999999999994E-2</v>
      </c>
    </row>
    <row r="41" spans="1:13" x14ac:dyDescent="0.2">
      <c r="A41" t="s">
        <v>161</v>
      </c>
      <c r="B41" s="223">
        <v>13245.093800000001</v>
      </c>
      <c r="C41" s="72">
        <v>9.1999999999999998E-2</v>
      </c>
      <c r="D41" s="224">
        <v>1643.84375</v>
      </c>
      <c r="E41" s="224">
        <f t="shared" si="0"/>
        <v>547.94791666666663</v>
      </c>
      <c r="G41" s="72">
        <v>9.1999999999999998E-2</v>
      </c>
      <c r="H41" s="224">
        <v>13297.051799999999</v>
      </c>
      <c r="I41" s="224">
        <v>1643.84375</v>
      </c>
      <c r="J41" s="224">
        <f t="shared" si="1"/>
        <v>547.94791666666663</v>
      </c>
      <c r="L41" t="s">
        <v>161</v>
      </c>
      <c r="M41" s="72">
        <v>9.1999999999999998E-2</v>
      </c>
    </row>
    <row r="42" spans="1:13" x14ac:dyDescent="0.2">
      <c r="A42" t="s">
        <v>162</v>
      </c>
      <c r="B42" s="223">
        <v>13336.073</v>
      </c>
      <c r="C42" s="72">
        <v>9.9000000000000005E-2</v>
      </c>
      <c r="D42" s="224">
        <v>1665.40625</v>
      </c>
      <c r="E42" s="224">
        <f t="shared" si="0"/>
        <v>555.13541666666663</v>
      </c>
      <c r="G42" s="72">
        <v>9.9000000000000005E-2</v>
      </c>
      <c r="H42" s="224">
        <v>13394.8406</v>
      </c>
      <c r="I42" s="224">
        <v>1665.40625</v>
      </c>
      <c r="J42" s="224">
        <f t="shared" si="1"/>
        <v>555.13541666666663</v>
      </c>
      <c r="L42" t="s">
        <v>162</v>
      </c>
      <c r="M42" s="72">
        <v>9.9000000000000005E-2</v>
      </c>
    </row>
    <row r="43" spans="1:13" x14ac:dyDescent="0.2">
      <c r="A43" t="s">
        <v>163</v>
      </c>
      <c r="B43" s="223">
        <v>13162.574000000001</v>
      </c>
      <c r="C43" s="72">
        <v>0.10300000000000001</v>
      </c>
      <c r="D43" s="224">
        <v>1778.4375</v>
      </c>
      <c r="E43" s="224">
        <f t="shared" si="0"/>
        <v>592.8125</v>
      </c>
      <c r="G43" s="72">
        <v>0.10300000000000001</v>
      </c>
      <c r="H43" s="224">
        <v>13169.5342</v>
      </c>
      <c r="I43" s="224">
        <v>1778.4375</v>
      </c>
      <c r="J43" s="224">
        <f t="shared" si="1"/>
        <v>592.8125</v>
      </c>
      <c r="L43" t="s">
        <v>163</v>
      </c>
      <c r="M43" s="72">
        <v>0.10300000000000001</v>
      </c>
    </row>
    <row r="44" spans="1:13" x14ac:dyDescent="0.2">
      <c r="A44" t="s">
        <v>164</v>
      </c>
      <c r="B44" s="223">
        <v>13331.3061</v>
      </c>
      <c r="C44" s="72">
        <v>9.9000000000000005E-2</v>
      </c>
      <c r="D44" s="224">
        <v>1804.0625</v>
      </c>
      <c r="E44" s="224">
        <f t="shared" si="0"/>
        <v>601.35416666666663</v>
      </c>
      <c r="G44" s="72">
        <v>9.9000000000000005E-2</v>
      </c>
      <c r="H44" s="224">
        <v>13316.228800000001</v>
      </c>
      <c r="I44" s="224">
        <v>1804.0625</v>
      </c>
      <c r="J44" s="224">
        <f t="shared" si="1"/>
        <v>601.35416666666663</v>
      </c>
      <c r="L44" t="s">
        <v>164</v>
      </c>
      <c r="M44" s="72">
        <v>9.9000000000000005E-2</v>
      </c>
    </row>
    <row r="45" spans="1:13" x14ac:dyDescent="0.2">
      <c r="A45" t="s">
        <v>165</v>
      </c>
      <c r="B45" s="223">
        <v>13488.6374</v>
      </c>
      <c r="C45" s="72">
        <v>0.10400000000000001</v>
      </c>
      <c r="D45" s="224">
        <v>1816.8125</v>
      </c>
      <c r="E45" s="224">
        <f t="shared" si="0"/>
        <v>605.60416666666663</v>
      </c>
      <c r="G45" s="72">
        <v>0.10400000000000001</v>
      </c>
      <c r="H45" s="224">
        <v>13507.2791</v>
      </c>
      <c r="I45" s="224">
        <v>1816.8125</v>
      </c>
      <c r="J45" s="224">
        <f t="shared" si="1"/>
        <v>605.60416666666663</v>
      </c>
      <c r="L45" t="s">
        <v>165</v>
      </c>
      <c r="M45" s="72">
        <v>0.10400000000000001</v>
      </c>
    </row>
    <row r="46" spans="1:13" x14ac:dyDescent="0.2">
      <c r="A46" t="s">
        <v>166</v>
      </c>
      <c r="B46" s="223">
        <v>13481.3341</v>
      </c>
      <c r="C46" s="72">
        <v>9.3000000000000013E-2</v>
      </c>
      <c r="D46" s="224">
        <v>1816.6875</v>
      </c>
      <c r="E46" s="224">
        <f t="shared" si="0"/>
        <v>605.5625</v>
      </c>
      <c r="G46" s="72">
        <v>9.3000000000000013E-2</v>
      </c>
      <c r="H46" s="224">
        <v>13534.7423</v>
      </c>
      <c r="I46" s="224">
        <v>1816.6875</v>
      </c>
      <c r="J46" s="224">
        <f t="shared" si="1"/>
        <v>605.5625</v>
      </c>
      <c r="L46" t="s">
        <v>166</v>
      </c>
      <c r="M46" s="72">
        <v>9.3000000000000013E-2</v>
      </c>
    </row>
    <row r="47" spans="1:13" x14ac:dyDescent="0.2">
      <c r="A47" t="s">
        <v>167</v>
      </c>
      <c r="B47" s="223">
        <v>13450.458500000001</v>
      </c>
      <c r="C47" s="72">
        <v>8.6999999999999994E-2</v>
      </c>
      <c r="D47" s="224">
        <v>1767.4375</v>
      </c>
      <c r="E47" s="224">
        <f t="shared" si="0"/>
        <v>589.14583333333337</v>
      </c>
      <c r="G47" s="72">
        <v>8.6999999999999994E-2</v>
      </c>
      <c r="H47" s="224">
        <v>13709.097900000001</v>
      </c>
      <c r="I47" s="224">
        <v>1767.4375</v>
      </c>
      <c r="J47" s="224">
        <f t="shared" si="1"/>
        <v>589.14583333333337</v>
      </c>
      <c r="L47" t="s">
        <v>167</v>
      </c>
      <c r="M47" s="72">
        <v>8.6999999999999994E-2</v>
      </c>
    </row>
    <row r="48" spans="1:13" x14ac:dyDescent="0.2">
      <c r="A48" t="s">
        <v>168</v>
      </c>
      <c r="B48" s="223">
        <v>13646.9103</v>
      </c>
      <c r="C48" s="72">
        <v>9.3000000000000013E-2</v>
      </c>
      <c r="D48" s="224">
        <v>1756.0625</v>
      </c>
      <c r="E48" s="224">
        <f t="shared" si="0"/>
        <v>585.35416666666663</v>
      </c>
      <c r="G48" s="72">
        <v>9.3000000000000013E-2</v>
      </c>
      <c r="H48" s="224">
        <v>13901.0429</v>
      </c>
      <c r="I48" s="224">
        <v>1756.0625</v>
      </c>
      <c r="J48" s="224">
        <f t="shared" si="1"/>
        <v>585.35416666666663</v>
      </c>
      <c r="L48" t="s">
        <v>168</v>
      </c>
      <c r="M48" s="72">
        <v>9.3000000000000013E-2</v>
      </c>
    </row>
    <row r="49" spans="1:13" x14ac:dyDescent="0.2">
      <c r="A49" t="s">
        <v>169</v>
      </c>
      <c r="B49" s="223">
        <v>13878.487300000001</v>
      </c>
      <c r="C49" s="72">
        <v>7.0999999999999994E-2</v>
      </c>
      <c r="D49" s="224">
        <v>1746.3125</v>
      </c>
      <c r="E49" s="224">
        <f t="shared" si="0"/>
        <v>582.10416666666663</v>
      </c>
      <c r="G49" s="72">
        <v>7.2000000000000008E-2</v>
      </c>
      <c r="H49" s="224">
        <v>14173.843000000001</v>
      </c>
      <c r="I49" s="224">
        <v>1746.3125</v>
      </c>
      <c r="J49" s="224">
        <f t="shared" si="1"/>
        <v>582.10416666666663</v>
      </c>
      <c r="L49" t="s">
        <v>169</v>
      </c>
      <c r="M49" s="72">
        <v>7.2000000000000008E-2</v>
      </c>
    </row>
    <row r="50" spans="1:13" x14ac:dyDescent="0.2">
      <c r="A50" t="s">
        <v>170</v>
      </c>
      <c r="B50" s="223">
        <v>14048.4468</v>
      </c>
      <c r="C50" s="72">
        <v>7.400000000000001E-2</v>
      </c>
      <c r="D50" s="224">
        <v>1738.1875</v>
      </c>
      <c r="E50" s="224">
        <f t="shared" si="0"/>
        <v>579.39583333333337</v>
      </c>
      <c r="G50" s="72">
        <v>7.2000000000000008E-2</v>
      </c>
      <c r="H50" s="224">
        <v>14194.0774</v>
      </c>
      <c r="I50" s="224">
        <v>1738.1875</v>
      </c>
      <c r="J50" s="224">
        <f t="shared" si="1"/>
        <v>579.39583333333337</v>
      </c>
      <c r="L50" t="s">
        <v>170</v>
      </c>
      <c r="M50" s="72">
        <v>7.2000000000000008E-2</v>
      </c>
    </row>
    <row r="51" spans="1:13" x14ac:dyDescent="0.2">
      <c r="A51" t="s">
        <v>171</v>
      </c>
      <c r="B51" s="223">
        <v>14272.4506</v>
      </c>
      <c r="C51" s="72">
        <v>0.08</v>
      </c>
      <c r="D51" s="224">
        <v>1731.6875</v>
      </c>
      <c r="E51" s="224">
        <f t="shared" si="0"/>
        <v>577.22916666666663</v>
      </c>
      <c r="G51" s="72">
        <v>0.08</v>
      </c>
      <c r="H51" s="224">
        <v>14102.2065</v>
      </c>
      <c r="I51" s="224">
        <v>1731.6875</v>
      </c>
      <c r="J51" s="224">
        <f t="shared" si="1"/>
        <v>577.22916666666663</v>
      </c>
      <c r="L51" t="s">
        <v>171</v>
      </c>
      <c r="M51" s="72">
        <v>0.08</v>
      </c>
    </row>
    <row r="52" spans="1:13" x14ac:dyDescent="0.2">
      <c r="A52" t="s">
        <v>172</v>
      </c>
      <c r="B52" s="223">
        <v>14370.099099999999</v>
      </c>
      <c r="C52" s="72">
        <v>8.4000000000000005E-2</v>
      </c>
      <c r="D52" s="224">
        <v>1726.8125</v>
      </c>
      <c r="E52" s="224">
        <f t="shared" si="0"/>
        <v>575.60416666666663</v>
      </c>
      <c r="G52" s="72">
        <v>8.4000000000000005E-2</v>
      </c>
      <c r="H52" s="224">
        <v>14190.627500000001</v>
      </c>
      <c r="I52" s="224">
        <v>1726.8125</v>
      </c>
      <c r="J52" s="224">
        <f t="shared" si="1"/>
        <v>575.60416666666663</v>
      </c>
      <c r="L52" t="s">
        <v>172</v>
      </c>
      <c r="M52" s="72">
        <v>8.4000000000000005E-2</v>
      </c>
    </row>
    <row r="53" spans="1:13" x14ac:dyDescent="0.2">
      <c r="A53" t="s">
        <v>173</v>
      </c>
      <c r="B53" s="223">
        <v>14528.8591</v>
      </c>
      <c r="C53" s="72">
        <v>9.0999999999999998E-2</v>
      </c>
      <c r="D53" s="224">
        <v>1723.5625</v>
      </c>
      <c r="E53" s="224">
        <f t="shared" si="0"/>
        <v>574.52083333333337</v>
      </c>
      <c r="G53" s="72">
        <v>9.3000000000000013E-2</v>
      </c>
      <c r="H53" s="224">
        <v>14331.0152</v>
      </c>
      <c r="I53" s="224">
        <v>1723.5625</v>
      </c>
      <c r="J53" s="224">
        <f t="shared" si="1"/>
        <v>574.52083333333337</v>
      </c>
      <c r="L53" t="s">
        <v>173</v>
      </c>
      <c r="M53" s="72">
        <v>9.3000000000000013E-2</v>
      </c>
    </row>
    <row r="54" spans="1:13" x14ac:dyDescent="0.2">
      <c r="A54" t="s">
        <v>174</v>
      </c>
      <c r="B54" s="223">
        <v>14722.02</v>
      </c>
      <c r="C54" s="72">
        <v>9.6000000000000002E-2</v>
      </c>
      <c r="D54" s="224">
        <v>1721.9375</v>
      </c>
      <c r="E54" s="224">
        <f t="shared" si="0"/>
        <v>573.97916666666663</v>
      </c>
      <c r="G54" s="72">
        <v>9.4E-2</v>
      </c>
      <c r="H54" s="224">
        <v>14514.749299999999</v>
      </c>
      <c r="I54" s="224">
        <v>1721.9375</v>
      </c>
      <c r="J54" s="224">
        <f t="shared" si="1"/>
        <v>573.97916666666663</v>
      </c>
      <c r="L54" t="s">
        <v>174</v>
      </c>
      <c r="M54" s="72">
        <v>9.4E-2</v>
      </c>
    </row>
    <row r="55" spans="1:13" x14ac:dyDescent="0.2">
      <c r="A55" t="s">
        <v>175</v>
      </c>
      <c r="B55" s="223">
        <v>14922.23</v>
      </c>
      <c r="C55" s="72">
        <v>8.6000110000000005E-2</v>
      </c>
      <c r="D55" s="224">
        <v>1726.355</v>
      </c>
      <c r="E55" s="224">
        <f t="shared" si="0"/>
        <v>575.45166666666671</v>
      </c>
      <c r="G55" s="72">
        <v>8.4000000000000005E-2</v>
      </c>
      <c r="H55" s="224">
        <v>14717.4769</v>
      </c>
      <c r="I55" s="224">
        <v>1726.355</v>
      </c>
      <c r="J55" s="224">
        <f t="shared" si="1"/>
        <v>575.45166666666671</v>
      </c>
      <c r="L55" t="s">
        <v>175</v>
      </c>
      <c r="M55" s="72">
        <v>8.4000000000000005E-2</v>
      </c>
    </row>
    <row r="56" spans="1:13" x14ac:dyDescent="0.2">
      <c r="A56" t="s">
        <v>176</v>
      </c>
      <c r="B56" s="223">
        <v>15102.48</v>
      </c>
      <c r="C56" s="72">
        <v>7.8295169999999997E-2</v>
      </c>
      <c r="D56" s="224">
        <v>1728.704</v>
      </c>
      <c r="E56" s="224">
        <f t="shared" si="0"/>
        <v>576.23466666666661</v>
      </c>
      <c r="G56" s="72">
        <v>7.0999999999999994E-2</v>
      </c>
      <c r="H56" s="224">
        <v>14828.1818</v>
      </c>
      <c r="I56" s="224">
        <v>1728.704</v>
      </c>
      <c r="J56" s="224">
        <f t="shared" si="1"/>
        <v>576.23466666666661</v>
      </c>
      <c r="L56" t="s">
        <v>176</v>
      </c>
      <c r="M56" s="72">
        <v>7.0999999999999994E-2</v>
      </c>
    </row>
    <row r="57" spans="1:13" x14ac:dyDescent="0.2">
      <c r="A57" t="s">
        <v>177</v>
      </c>
      <c r="B57" s="223">
        <v>15282.72</v>
      </c>
      <c r="C57" s="72">
        <v>6.7434110000000005E-2</v>
      </c>
      <c r="D57" s="224">
        <v>1731.0709999999999</v>
      </c>
      <c r="E57" s="224">
        <f t="shared" si="0"/>
        <v>577.0236666666666</v>
      </c>
      <c r="G57" s="72">
        <v>6.3E-2</v>
      </c>
      <c r="H57" s="224">
        <v>15026.170700000001</v>
      </c>
      <c r="I57" s="224">
        <v>1731.0709999999999</v>
      </c>
      <c r="J57" s="224">
        <f t="shared" si="1"/>
        <v>577.0236666666666</v>
      </c>
      <c r="L57" t="s">
        <v>177</v>
      </c>
      <c r="M57" s="72">
        <v>6.3E-2</v>
      </c>
    </row>
    <row r="58" spans="1:13" x14ac:dyDescent="0.2">
      <c r="A58" t="s">
        <v>178</v>
      </c>
      <c r="B58" s="223">
        <v>15400.39</v>
      </c>
      <c r="C58" s="72">
        <v>7.5499999999999998E-2</v>
      </c>
      <c r="D58" s="224">
        <v>1733.4659999999999</v>
      </c>
      <c r="E58" s="224">
        <f t="shared" si="0"/>
        <v>577.822</v>
      </c>
      <c r="G58" s="72">
        <v>7.0000000000000007E-2</v>
      </c>
      <c r="H58" s="224">
        <v>15207.028</v>
      </c>
      <c r="I58" s="224">
        <v>1733.4659999999999</v>
      </c>
      <c r="J58" s="224">
        <f t="shared" si="1"/>
        <v>577.822</v>
      </c>
      <c r="L58" t="s">
        <v>178</v>
      </c>
      <c r="M58" s="72">
        <v>7.0000000000000007E-2</v>
      </c>
    </row>
    <row r="59" spans="1:13" x14ac:dyDescent="0.2">
      <c r="A59" t="s">
        <v>179</v>
      </c>
      <c r="B59" s="223">
        <v>15526.16</v>
      </c>
      <c r="C59" s="72">
        <v>7.4499999999999997E-2</v>
      </c>
      <c r="D59" s="224">
        <v>1736.002</v>
      </c>
      <c r="E59" s="224">
        <f t="shared" si="0"/>
        <v>578.66733333333332</v>
      </c>
      <c r="G59" s="72">
        <v>7.2000049999999996E-2</v>
      </c>
      <c r="H59" s="224">
        <v>15343.6</v>
      </c>
      <c r="I59">
        <v>1749.7149999999999</v>
      </c>
      <c r="J59" s="224">
        <f t="shared" ref="J59:J78" si="2">+I59/3</f>
        <v>583.23833333333334</v>
      </c>
      <c r="L59" t="s">
        <v>179</v>
      </c>
      <c r="M59" s="72">
        <v>7.0999869999999993E-2</v>
      </c>
    </row>
    <row r="60" spans="1:13" x14ac:dyDescent="0.2">
      <c r="A60" t="s">
        <v>180</v>
      </c>
      <c r="B60" s="223">
        <v>15683.38</v>
      </c>
      <c r="C60" s="72">
        <v>7.3499980000000006E-2</v>
      </c>
      <c r="D60" s="224">
        <v>1738.4090000000001</v>
      </c>
      <c r="E60" s="224">
        <f t="shared" si="0"/>
        <v>579.46966666666674</v>
      </c>
      <c r="G60" s="72">
        <v>6.7062290000000011E-2</v>
      </c>
      <c r="H60" s="224">
        <v>15427.8</v>
      </c>
      <c r="I60">
        <v>1750.376</v>
      </c>
      <c r="J60" s="224">
        <f t="shared" si="2"/>
        <v>583.45866666666666</v>
      </c>
      <c r="L60" t="s">
        <v>180</v>
      </c>
      <c r="M60" s="72">
        <v>7.2000069999999999E-2</v>
      </c>
    </row>
    <row r="61" spans="1:13" x14ac:dyDescent="0.2">
      <c r="A61" t="s">
        <v>181</v>
      </c>
      <c r="B61" s="223">
        <v>15846.82</v>
      </c>
      <c r="C61" s="72">
        <v>7.249984000000001E-2</v>
      </c>
      <c r="D61" s="224">
        <v>1740.779</v>
      </c>
      <c r="E61" s="224">
        <f t="shared" si="0"/>
        <v>580.2596666666667</v>
      </c>
      <c r="G61" s="72">
        <v>6.7062640000000007E-2</v>
      </c>
      <c r="H61" s="224">
        <v>15588.54</v>
      </c>
      <c r="I61">
        <v>1751.008</v>
      </c>
      <c r="J61" s="224">
        <f t="shared" si="2"/>
        <v>583.66933333333338</v>
      </c>
      <c r="L61" t="s">
        <v>181</v>
      </c>
      <c r="M61" s="72">
        <v>7.6999829999999991E-2</v>
      </c>
    </row>
    <row r="62" spans="1:13" x14ac:dyDescent="0.2">
      <c r="A62" t="s">
        <v>182</v>
      </c>
      <c r="B62" s="223">
        <v>16016.46</v>
      </c>
      <c r="C62" s="72">
        <v>7.1500090000000002E-2</v>
      </c>
      <c r="D62" s="224">
        <v>1743.114</v>
      </c>
      <c r="E62" s="224">
        <f t="shared" si="0"/>
        <v>581.03800000000001</v>
      </c>
      <c r="G62" s="72">
        <v>6.6937659999999996E-2</v>
      </c>
      <c r="H62" s="224">
        <v>15753.25</v>
      </c>
      <c r="I62">
        <v>1751.6030000000001</v>
      </c>
      <c r="J62" s="224">
        <f t="shared" si="2"/>
        <v>583.86766666666665</v>
      </c>
      <c r="L62" t="s">
        <v>182</v>
      </c>
      <c r="M62" s="72">
        <v>7.3406150000000003E-2</v>
      </c>
    </row>
    <row r="63" spans="1:13" x14ac:dyDescent="0.2">
      <c r="A63" t="s">
        <v>183</v>
      </c>
      <c r="B63" s="223">
        <v>16200.58</v>
      </c>
      <c r="C63" s="72">
        <v>7.050025E-2</v>
      </c>
      <c r="D63" s="224">
        <v>1745.4159999999999</v>
      </c>
      <c r="E63" s="224">
        <f t="shared" si="0"/>
        <v>581.80533333333335</v>
      </c>
      <c r="G63" s="72">
        <v>6.6687560000000007E-2</v>
      </c>
      <c r="H63" s="224">
        <v>15921.99</v>
      </c>
      <c r="I63">
        <v>1752.152</v>
      </c>
      <c r="J63" s="224">
        <f t="shared" si="2"/>
        <v>584.05066666666664</v>
      </c>
      <c r="L63" t="s">
        <v>183</v>
      </c>
      <c r="M63" s="72">
        <v>7.2906310000000002E-2</v>
      </c>
    </row>
    <row r="64" spans="1:13" x14ac:dyDescent="0.2">
      <c r="A64" t="s">
        <v>184</v>
      </c>
      <c r="B64" s="223">
        <v>16379.36</v>
      </c>
      <c r="C64" s="72">
        <v>6.9499950000000005E-2</v>
      </c>
      <c r="D64" s="224">
        <v>1747.694</v>
      </c>
      <c r="E64" s="224">
        <f t="shared" si="0"/>
        <v>582.56466666666665</v>
      </c>
      <c r="G64" s="72">
        <v>6.6312639999999992E-2</v>
      </c>
      <c r="H64" s="224">
        <v>16094.64</v>
      </c>
      <c r="I64">
        <v>1752.7049999999999</v>
      </c>
      <c r="J64" s="224">
        <f t="shared" si="2"/>
        <v>584.23500000000001</v>
      </c>
      <c r="L64" t="s">
        <v>184</v>
      </c>
      <c r="M64" s="72">
        <v>7.2343870000000005E-2</v>
      </c>
    </row>
    <row r="65" spans="1:13" x14ac:dyDescent="0.2">
      <c r="A65" t="s">
        <v>185</v>
      </c>
      <c r="B65" s="223">
        <v>16561.05</v>
      </c>
      <c r="C65" s="72">
        <v>6.8499920000000006E-2</v>
      </c>
      <c r="D65" s="224">
        <v>1749.941</v>
      </c>
      <c r="E65" s="224">
        <f t="shared" si="0"/>
        <v>583.31366666666668</v>
      </c>
      <c r="G65" s="72">
        <v>6.5812510000000005E-2</v>
      </c>
      <c r="H65" s="224">
        <v>16271.26</v>
      </c>
      <c r="I65">
        <v>1753.1969999999999</v>
      </c>
      <c r="J65" s="224">
        <f t="shared" si="2"/>
        <v>584.399</v>
      </c>
      <c r="L65" t="s">
        <v>185</v>
      </c>
      <c r="M65" s="72">
        <v>7.1718589999999999E-2</v>
      </c>
    </row>
    <row r="66" spans="1:13" x14ac:dyDescent="0.2">
      <c r="A66" t="s">
        <v>186</v>
      </c>
      <c r="B66" s="223">
        <v>16745.64</v>
      </c>
      <c r="C66" s="72">
        <v>6.7500020000000008E-2</v>
      </c>
      <c r="D66" s="224">
        <v>1752.154</v>
      </c>
      <c r="E66" s="224">
        <f t="shared" si="0"/>
        <v>584.05133333333333</v>
      </c>
      <c r="G66" s="72">
        <v>6.5187530000000007E-2</v>
      </c>
      <c r="H66" s="224">
        <v>16451.830000000002</v>
      </c>
      <c r="I66">
        <v>1753.6769999999999</v>
      </c>
      <c r="J66" s="224">
        <f t="shared" si="2"/>
        <v>584.55899999999997</v>
      </c>
      <c r="L66" t="s">
        <v>186</v>
      </c>
      <c r="M66" s="72">
        <v>7.1031250000000004E-2</v>
      </c>
    </row>
    <row r="67" spans="1:13" x14ac:dyDescent="0.2">
      <c r="A67" t="s">
        <v>187</v>
      </c>
      <c r="B67" s="223">
        <v>16942.25</v>
      </c>
      <c r="C67" s="72">
        <v>6.6031469999999995E-2</v>
      </c>
      <c r="D67" s="224">
        <v>1754.3330000000001</v>
      </c>
      <c r="E67" s="224">
        <f t="shared" si="0"/>
        <v>584.77766666666673</v>
      </c>
      <c r="G67" s="72">
        <v>6.3656039999999997E-2</v>
      </c>
      <c r="H67" s="224">
        <v>16644.349999999999</v>
      </c>
      <c r="I67">
        <v>1754.136</v>
      </c>
      <c r="J67" s="224">
        <f t="shared" si="2"/>
        <v>584.71199999999999</v>
      </c>
      <c r="L67" t="s">
        <v>187</v>
      </c>
      <c r="M67" s="72">
        <v>7.0125049999999994E-2</v>
      </c>
    </row>
    <row r="68" spans="1:13" x14ac:dyDescent="0.2">
      <c r="A68" t="s">
        <v>188</v>
      </c>
      <c r="B68" s="223">
        <v>17129.03</v>
      </c>
      <c r="C68" s="72">
        <v>6.5218890000000002E-2</v>
      </c>
      <c r="D68" s="224">
        <v>1756.4770000000001</v>
      </c>
      <c r="E68" s="224">
        <f t="shared" ref="E68:E78" si="3">+D68/3</f>
        <v>585.49233333333336</v>
      </c>
      <c r="G68" s="72">
        <v>6.3093589999999991E-2</v>
      </c>
      <c r="H68" s="224">
        <v>16829.650000000001</v>
      </c>
      <c r="I68">
        <v>1754.5550000000001</v>
      </c>
      <c r="J68" s="224">
        <f t="shared" si="2"/>
        <v>584.85166666666669</v>
      </c>
      <c r="L68" t="s">
        <v>188</v>
      </c>
      <c r="M68" s="72">
        <v>6.9375039999999999E-2</v>
      </c>
    </row>
    <row r="69" spans="1:13" x14ac:dyDescent="0.2">
      <c r="A69" t="s">
        <v>189</v>
      </c>
      <c r="B69" s="223">
        <v>17315.080000000002</v>
      </c>
      <c r="C69" s="72">
        <v>6.4593830000000005E-2</v>
      </c>
      <c r="D69" s="224">
        <v>1758.5840000000001</v>
      </c>
      <c r="E69" s="224">
        <f t="shared" si="3"/>
        <v>586.19466666666665</v>
      </c>
      <c r="G69" s="72">
        <v>6.2718590000000005E-2</v>
      </c>
      <c r="H69" s="224">
        <v>17015.71</v>
      </c>
      <c r="I69">
        <v>1754.943</v>
      </c>
      <c r="J69" s="224">
        <f t="shared" si="2"/>
        <v>584.98099999999999</v>
      </c>
      <c r="L69" t="s">
        <v>189</v>
      </c>
      <c r="M69" s="72">
        <v>6.8625069999999996E-2</v>
      </c>
    </row>
    <row r="70" spans="1:13" x14ac:dyDescent="0.2">
      <c r="A70" t="s">
        <v>190</v>
      </c>
      <c r="B70" s="223">
        <v>17500.41</v>
      </c>
      <c r="C70" s="72">
        <v>6.4156030000000003E-2</v>
      </c>
      <c r="D70" s="224">
        <v>1760.652</v>
      </c>
      <c r="E70" s="224">
        <f t="shared" si="3"/>
        <v>586.88400000000001</v>
      </c>
      <c r="G70" s="72">
        <v>6.2531199999999995E-2</v>
      </c>
      <c r="H70" s="224">
        <v>17202.52</v>
      </c>
      <c r="I70">
        <v>1755.297</v>
      </c>
      <c r="J70" s="224">
        <f t="shared" si="2"/>
        <v>585.09900000000005</v>
      </c>
      <c r="L70" t="s">
        <v>190</v>
      </c>
      <c r="M70" s="72">
        <v>6.7874710000000005E-2</v>
      </c>
    </row>
    <row r="71" spans="1:13" x14ac:dyDescent="0.2">
      <c r="A71" t="s">
        <v>191</v>
      </c>
      <c r="B71" s="223">
        <v>17684.97</v>
      </c>
      <c r="C71" s="72">
        <v>6.4296779999999998E-2</v>
      </c>
      <c r="D71" s="224">
        <v>1762.681</v>
      </c>
      <c r="E71" s="224">
        <f t="shared" si="3"/>
        <v>587.56033333333335</v>
      </c>
      <c r="G71" s="72">
        <v>6.4401669999999994E-2</v>
      </c>
      <c r="H71" s="224">
        <v>17391.48</v>
      </c>
      <c r="I71">
        <v>1755.6120000000001</v>
      </c>
      <c r="J71" s="224">
        <f t="shared" si="2"/>
        <v>585.20400000000006</v>
      </c>
      <c r="L71" t="s">
        <v>191</v>
      </c>
      <c r="M71" s="72">
        <v>6.7125080000000004E-2</v>
      </c>
    </row>
    <row r="72" spans="1:13" x14ac:dyDescent="0.2">
      <c r="A72" t="s">
        <v>192</v>
      </c>
      <c r="B72" s="223">
        <v>17868.849999999999</v>
      </c>
      <c r="C72" s="72">
        <v>6.407829000000001E-2</v>
      </c>
      <c r="D72" s="224">
        <v>1764.6690000000001</v>
      </c>
      <c r="E72" s="224">
        <f t="shared" si="3"/>
        <v>588.22300000000007</v>
      </c>
      <c r="G72" s="72">
        <v>6.3840939999999999E-2</v>
      </c>
      <c r="H72" s="224">
        <v>17579.27</v>
      </c>
      <c r="I72">
        <v>1755.884</v>
      </c>
      <c r="J72" s="224">
        <f t="shared" si="2"/>
        <v>585.29466666666667</v>
      </c>
      <c r="L72" t="s">
        <v>192</v>
      </c>
      <c r="M72" s="72">
        <v>6.6375160000000002E-2</v>
      </c>
    </row>
    <row r="73" spans="1:13" x14ac:dyDescent="0.2">
      <c r="A73" t="s">
        <v>193</v>
      </c>
      <c r="B73" s="223">
        <v>18052.009999999998</v>
      </c>
      <c r="C73" s="72">
        <v>6.3890589999999997E-2</v>
      </c>
      <c r="D73" s="224">
        <v>1766.615</v>
      </c>
      <c r="E73" s="224">
        <f t="shared" si="3"/>
        <v>588.87166666666667</v>
      </c>
      <c r="G73" s="72">
        <v>6.2719719999999993E-2</v>
      </c>
      <c r="H73" s="224">
        <v>17767.27</v>
      </c>
      <c r="I73">
        <v>1756.1120000000001</v>
      </c>
      <c r="J73" s="224">
        <f t="shared" si="2"/>
        <v>585.37066666666669</v>
      </c>
      <c r="L73" t="s">
        <v>193</v>
      </c>
      <c r="M73" s="72">
        <v>6.5624879999999997E-2</v>
      </c>
    </row>
    <row r="74" spans="1:13" x14ac:dyDescent="0.2">
      <c r="A74" t="s">
        <v>194</v>
      </c>
      <c r="B74" s="223">
        <v>18234.46</v>
      </c>
      <c r="C74" s="72">
        <v>6.373440000000001E-2</v>
      </c>
      <c r="D74" s="224">
        <v>1768.519</v>
      </c>
      <c r="E74" s="224">
        <f t="shared" si="3"/>
        <v>589.50633333333337</v>
      </c>
      <c r="G74" s="72">
        <v>6.1037710000000002E-2</v>
      </c>
      <c r="H74" s="224">
        <v>17955.490000000002</v>
      </c>
      <c r="I74">
        <v>1756.296</v>
      </c>
      <c r="J74" s="224">
        <f t="shared" si="2"/>
        <v>585.43200000000002</v>
      </c>
      <c r="L74" t="s">
        <v>194</v>
      </c>
      <c r="M74" s="72">
        <v>6.4874899999999999E-2</v>
      </c>
    </row>
    <row r="75" spans="1:13" x14ac:dyDescent="0.2">
      <c r="A75" t="s">
        <v>195</v>
      </c>
      <c r="B75" s="223">
        <v>18416.189999999999</v>
      </c>
      <c r="C75" s="72">
        <v>6.3609410000000005E-2</v>
      </c>
      <c r="D75" s="224">
        <v>1770.3779999999999</v>
      </c>
      <c r="E75" s="224">
        <f t="shared" si="3"/>
        <v>590.12599999999998</v>
      </c>
      <c r="G75" s="72">
        <v>5.8794899999999997E-2</v>
      </c>
      <c r="H75" s="224">
        <v>18143.91</v>
      </c>
      <c r="I75">
        <v>1756.432</v>
      </c>
      <c r="J75" s="224">
        <f t="shared" si="2"/>
        <v>585.47733333333338</v>
      </c>
      <c r="L75" t="s">
        <v>195</v>
      </c>
      <c r="M75" s="72">
        <v>6.3968469999999999E-2</v>
      </c>
    </row>
    <row r="76" spans="1:13" x14ac:dyDescent="0.2">
      <c r="A76" t="s">
        <v>196</v>
      </c>
      <c r="B76" s="223">
        <v>18597.2</v>
      </c>
      <c r="C76" s="72">
        <v>6.35154E-2</v>
      </c>
      <c r="D76" s="224">
        <v>1772.193</v>
      </c>
      <c r="E76" s="224">
        <f t="shared" si="3"/>
        <v>590.73099999999999</v>
      </c>
      <c r="G76" s="72">
        <v>5.5991070000000004E-2</v>
      </c>
      <c r="H76" s="224">
        <v>18332.55</v>
      </c>
      <c r="I76">
        <v>1756.521</v>
      </c>
      <c r="J76" s="224">
        <f t="shared" si="2"/>
        <v>585.50699999999995</v>
      </c>
      <c r="L76" t="s">
        <v>196</v>
      </c>
      <c r="M76" s="72">
        <v>6.3280929999999999E-2</v>
      </c>
    </row>
    <row r="77" spans="1:13" x14ac:dyDescent="0.2">
      <c r="A77" t="s">
        <v>197</v>
      </c>
      <c r="B77" s="223">
        <v>18777.5</v>
      </c>
      <c r="C77" s="72">
        <v>6.3453129999999996E-2</v>
      </c>
      <c r="D77" s="224">
        <v>1773.962</v>
      </c>
      <c r="E77" s="224">
        <f t="shared" si="3"/>
        <v>591.32066666666663</v>
      </c>
      <c r="G77" s="72">
        <v>5.2626799999999994E-2</v>
      </c>
      <c r="H77" s="224">
        <v>18521.400000000001</v>
      </c>
      <c r="I77">
        <v>1756.558</v>
      </c>
      <c r="J77" s="224">
        <f t="shared" si="2"/>
        <v>585.51933333333329</v>
      </c>
      <c r="L77" t="s">
        <v>197</v>
      </c>
      <c r="M77" s="72">
        <v>6.2655909999999995E-2</v>
      </c>
    </row>
    <row r="78" spans="1:13" x14ac:dyDescent="0.2">
      <c r="A78" t="s">
        <v>198</v>
      </c>
      <c r="B78" s="223">
        <v>18957.080000000002</v>
      </c>
      <c r="C78" s="72">
        <v>6.3421969999999994E-2</v>
      </c>
      <c r="D78" s="224">
        <v>1775.6849999999999</v>
      </c>
      <c r="E78" s="224">
        <f t="shared" si="3"/>
        <v>591.89499999999998</v>
      </c>
      <c r="G78" s="72">
        <v>4.8701990000000001E-2</v>
      </c>
      <c r="H78" s="224">
        <v>18710.46</v>
      </c>
      <c r="I78">
        <v>1756.5440000000001</v>
      </c>
      <c r="J78" s="224">
        <f t="shared" si="2"/>
        <v>585.5146666666667</v>
      </c>
      <c r="L78" t="s">
        <v>198</v>
      </c>
      <c r="M78" s="72">
        <v>6.2093709999999996E-2</v>
      </c>
    </row>
    <row r="79" spans="1:13" x14ac:dyDescent="0.2">
      <c r="L79" t="s">
        <v>313</v>
      </c>
      <c r="M79" s="72">
        <v>6.1593790000000002E-2</v>
      </c>
    </row>
    <row r="80" spans="1:13" x14ac:dyDescent="0.2">
      <c r="L80" t="s">
        <v>314</v>
      </c>
      <c r="M80" s="72">
        <v>6.1156160000000001E-2</v>
      </c>
    </row>
    <row r="81" spans="12:13" x14ac:dyDescent="0.2">
      <c r="L81" t="s">
        <v>315</v>
      </c>
      <c r="M81" s="72">
        <v>6.0781049999999996E-2</v>
      </c>
    </row>
    <row r="82" spans="12:13" x14ac:dyDescent="0.2">
      <c r="L82" t="s">
        <v>316</v>
      </c>
      <c r="M82" s="72">
        <v>6.0468630000000002E-2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B22" sqref="B22"/>
    </sheetView>
  </sheetViews>
  <sheetFormatPr defaultRowHeight="12.75" x14ac:dyDescent="0.2"/>
  <cols>
    <col min="1" max="1" width="14.140625" bestFit="1" customWidth="1"/>
  </cols>
  <sheetData>
    <row r="1" spans="1:5" x14ac:dyDescent="0.2">
      <c r="B1" t="s">
        <v>79</v>
      </c>
      <c r="C1" t="s">
        <v>80</v>
      </c>
      <c r="D1" t="s">
        <v>121</v>
      </c>
    </row>
    <row r="2" spans="1:5" x14ac:dyDescent="0.2">
      <c r="A2">
        <v>2003</v>
      </c>
      <c r="B2" s="71">
        <f>SUM('Purchased Power Model '!C3:C14)</f>
        <v>3992.7999999999993</v>
      </c>
      <c r="C2" s="71">
        <f>SUM('Purchased Power Model '!D3:D14)</f>
        <v>208.7</v>
      </c>
      <c r="D2" s="72">
        <v>1.0186171336798953</v>
      </c>
    </row>
    <row r="3" spans="1:5" x14ac:dyDescent="0.2">
      <c r="A3">
        <v>2004</v>
      </c>
      <c r="B3" s="71">
        <f>SUM('Purchased Power Model '!C15:C26)</f>
        <v>3838.6999999999994</v>
      </c>
      <c r="C3" s="71">
        <f>SUM('Purchased Power Model '!D15:D26)</f>
        <v>165.2</v>
      </c>
      <c r="D3" s="72">
        <f>+'Rate Class Customer Model'!J4/'Rate Class Customer Model'!J3</f>
        <v>1.0132849095504697</v>
      </c>
    </row>
    <row r="4" spans="1:5" x14ac:dyDescent="0.2">
      <c r="A4">
        <v>2005</v>
      </c>
      <c r="B4" s="71">
        <f>SUM('Purchased Power Model '!C27:C38)</f>
        <v>3770.6999999999994</v>
      </c>
      <c r="C4" s="71">
        <f>SUM('Purchased Power Model '!D27:D38)</f>
        <v>384.5</v>
      </c>
      <c r="D4" s="72">
        <f>+'Rate Class Customer Model'!J5/'Rate Class Customer Model'!J4</f>
        <v>1.015051804428704</v>
      </c>
    </row>
    <row r="5" spans="1:5" x14ac:dyDescent="0.2">
      <c r="A5">
        <v>2006</v>
      </c>
      <c r="B5" s="71">
        <f>SUM('Purchased Power Model '!C39:C50)</f>
        <v>3410.1999999999994</v>
      </c>
      <c r="C5" s="71">
        <f>SUM('Purchased Power Model '!D39:D50)</f>
        <v>243.79999999999998</v>
      </c>
      <c r="D5" s="72">
        <f>+'Rate Class Customer Model'!J6/'Rate Class Customer Model'!J5</f>
        <v>1.0211022486140118</v>
      </c>
    </row>
    <row r="6" spans="1:5" x14ac:dyDescent="0.2">
      <c r="A6">
        <v>2007</v>
      </c>
      <c r="B6" s="71">
        <f>SUM('Purchased Power Model '!C51:C62)</f>
        <v>2890.1</v>
      </c>
      <c r="C6" s="71">
        <f>SUM('Purchased Power Model '!D51:D62)</f>
        <v>179</v>
      </c>
      <c r="D6" s="72">
        <f>+'Rate Class Customer Model'!J7/'Rate Class Customer Model'!J6</f>
        <v>1.0219885826933344</v>
      </c>
    </row>
    <row r="7" spans="1:5" x14ac:dyDescent="0.2">
      <c r="A7">
        <v>2008</v>
      </c>
      <c r="B7" s="71">
        <f>SUM('Purchased Power Model '!C63:C74)</f>
        <v>2408.6999999999998</v>
      </c>
      <c r="C7" s="71">
        <f>SUM('Purchased Power Model '!D63:D74)</f>
        <v>130</v>
      </c>
      <c r="D7" s="72">
        <f>+'Rate Class Customer Model'!J8/'Rate Class Customer Model'!J7</f>
        <v>1.0182202504380253</v>
      </c>
    </row>
    <row r="8" spans="1:5" x14ac:dyDescent="0.2">
      <c r="A8">
        <v>2009</v>
      </c>
      <c r="B8" s="71">
        <f>SUM('Purchased Power Model '!C75:C86)</f>
        <v>3612.7000000000003</v>
      </c>
      <c r="C8" s="71">
        <f>SUM('Purchased Power Model '!D75:D86)</f>
        <v>138.60000000000002</v>
      </c>
      <c r="D8" s="72">
        <f>+'Rate Class Customer Model'!J9/'Rate Class Customer Model'!J8</f>
        <v>1.0123688718041819</v>
      </c>
    </row>
    <row r="9" spans="1:5" x14ac:dyDescent="0.2">
      <c r="A9">
        <v>2010</v>
      </c>
      <c r="B9" s="71">
        <f>SUM('Purchased Power Model '!C87:C98)</f>
        <v>3437.7</v>
      </c>
      <c r="C9" s="71">
        <f>SUM('Purchased Power Model '!D87:D98)</f>
        <v>309.10000000000002</v>
      </c>
      <c r="D9" s="72">
        <f>+'Rate Class Customer Model'!J10/'Rate Class Customer Model'!J9</f>
        <v>1.0119448602794412</v>
      </c>
    </row>
    <row r="10" spans="1:5" x14ac:dyDescent="0.2">
      <c r="A10">
        <v>2011</v>
      </c>
      <c r="B10" s="71">
        <f>SUM('Purchased Power Model '!C99:C110)</f>
        <v>3649.0999999999995</v>
      </c>
      <c r="C10" s="71">
        <f>SUM('Purchased Power Model '!D99:D110)</f>
        <v>295.99999999999994</v>
      </c>
      <c r="D10" s="72">
        <f>+'Rate Class Customer Model'!J11/'Rate Class Customer Model'!J10</f>
        <v>1.0097158442999352</v>
      </c>
    </row>
    <row r="11" spans="1:5" x14ac:dyDescent="0.2">
      <c r="A11">
        <v>2012</v>
      </c>
      <c r="B11" s="71">
        <f>SUM('Purchased Power Model '!C111:C122)</f>
        <v>3217.3999999999996</v>
      </c>
      <c r="C11" s="71">
        <f>SUM('Purchased Power Model '!D111:D122)</f>
        <v>368.59999999999997</v>
      </c>
      <c r="D11" s="72">
        <f>+'Rate Class Customer Model'!J12/'Rate Class Customer Model'!J11</f>
        <v>1.0061427405016443</v>
      </c>
    </row>
    <row r="12" spans="1:5" x14ac:dyDescent="0.2">
      <c r="A12" s="31">
        <v>2013</v>
      </c>
      <c r="B12" s="71">
        <f>SUM('Purchased Power Model '!C123:C134)</f>
        <v>3579.1000000000004</v>
      </c>
      <c r="C12" s="71">
        <f ca="1">SUM('Purchased Power Model '!D123:D134)</f>
        <v>221.79999999999995</v>
      </c>
      <c r="D12" s="72">
        <f>+'Rate Class Customer Model'!J13/'Rate Class Customer Model'!J12</f>
        <v>1.0099655679767015</v>
      </c>
      <c r="E12" t="s">
        <v>81</v>
      </c>
    </row>
    <row r="13" spans="1:5" x14ac:dyDescent="0.2">
      <c r="A13" s="31">
        <v>2014</v>
      </c>
      <c r="B13" s="71">
        <f>SUM('Purchased Power Model '!C135:C146)</f>
        <v>3973.8999999999996</v>
      </c>
      <c r="C13" s="71">
        <f>SUM('Purchased Power Model '!D135:D146)</f>
        <v>177</v>
      </c>
      <c r="D13" s="72">
        <f>+'Rate Class Customer Model'!J14/'Rate Class Customer Model'!J13</f>
        <v>1.0130586927790459</v>
      </c>
    </row>
    <row r="14" spans="1:5" x14ac:dyDescent="0.2">
      <c r="A14" s="164">
        <v>2015</v>
      </c>
      <c r="B14" s="207">
        <f>TREND(B$2:B$13,A$2:A$13,A14)</f>
        <v>3427.7560606060615</v>
      </c>
      <c r="C14" s="207">
        <f ca="1">TREND(C$2:C$13,A$2:A$13,A14)</f>
        <v>251.31212121212138</v>
      </c>
      <c r="D14" s="468">
        <f>TREND(D$2:D$13,B$2:B$13,B14)</f>
        <v>1.0144488980396373</v>
      </c>
    </row>
    <row r="15" spans="1:5" x14ac:dyDescent="0.2">
      <c r="A15" s="164">
        <v>2016</v>
      </c>
      <c r="B15" s="207">
        <f t="shared" ref="B15:B18" si="0">TREND(B$2:B$13,A$2:A$13,A15)</f>
        <v>3419.4480186480214</v>
      </c>
      <c r="C15" s="207">
        <f t="shared" ref="C15:C18" ca="1" si="1">TREND(C$2:C$13,A$2:A$13,A15)</f>
        <v>253.79219114219086</v>
      </c>
      <c r="D15" s="468">
        <f t="shared" ref="D15:D18" si="2">TREND(D$2:D$13,B$2:B$13,B15)</f>
        <v>1.0144735809810508</v>
      </c>
    </row>
    <row r="16" spans="1:5" x14ac:dyDescent="0.2">
      <c r="A16" s="164">
        <v>2017</v>
      </c>
      <c r="B16" s="207">
        <f t="shared" si="0"/>
        <v>3411.1399766899776</v>
      </c>
      <c r="C16" s="207">
        <f t="shared" ca="1" si="1"/>
        <v>256.27226107226124</v>
      </c>
      <c r="D16" s="468">
        <f t="shared" si="2"/>
        <v>1.0144982639224644</v>
      </c>
    </row>
    <row r="17" spans="1:4" x14ac:dyDescent="0.2">
      <c r="A17" s="164">
        <v>2018</v>
      </c>
      <c r="B17" s="207">
        <f t="shared" si="0"/>
        <v>3402.8319347319375</v>
      </c>
      <c r="C17" s="207">
        <f t="shared" ca="1" si="1"/>
        <v>258.75233100233072</v>
      </c>
      <c r="D17" s="468">
        <f t="shared" si="2"/>
        <v>1.0145229468638779</v>
      </c>
    </row>
    <row r="18" spans="1:4" x14ac:dyDescent="0.2">
      <c r="A18" s="164">
        <v>2019</v>
      </c>
      <c r="B18" s="207">
        <f t="shared" si="0"/>
        <v>3394.5238927738937</v>
      </c>
      <c r="C18" s="207">
        <f t="shared" ca="1" si="1"/>
        <v>261.23240093240111</v>
      </c>
      <c r="D18" s="468">
        <f t="shared" si="2"/>
        <v>1.0145476298052916</v>
      </c>
    </row>
    <row r="19" spans="1:4" x14ac:dyDescent="0.2">
      <c r="B19" s="71"/>
      <c r="C19" s="71"/>
      <c r="D19" s="73"/>
    </row>
    <row r="20" spans="1:4" x14ac:dyDescent="0.2">
      <c r="A20" t="s">
        <v>120</v>
      </c>
      <c r="B20" s="71">
        <f>AVERAGE(B2:B18)</f>
        <v>3460.9882284382293</v>
      </c>
      <c r="C20" s="71">
        <f ca="1">AVERAGE(C2:C18)</f>
        <v>241.39184149184143</v>
      </c>
      <c r="D20" s="72">
        <f>AVERAGE(D2:D18)</f>
        <v>1.0143501662739831</v>
      </c>
    </row>
    <row r="21" spans="1:4" x14ac:dyDescent="0.2">
      <c r="A21" t="s">
        <v>202</v>
      </c>
      <c r="B21" s="71">
        <v>3394.9600000000009</v>
      </c>
      <c r="C21" s="71">
        <v>244.84</v>
      </c>
      <c r="D21" s="72" t="s">
        <v>204</v>
      </c>
    </row>
    <row r="22" spans="1:4" x14ac:dyDescent="0.2">
      <c r="A22" s="66" t="s">
        <v>275</v>
      </c>
      <c r="B22" s="71">
        <v>3668.0866666666702</v>
      </c>
      <c r="C22" s="71">
        <v>231.33999999999963</v>
      </c>
      <c r="D22" s="72" t="s">
        <v>204</v>
      </c>
    </row>
    <row r="23" spans="1:4" x14ac:dyDescent="0.2">
      <c r="A23" s="66" t="s">
        <v>276</v>
      </c>
      <c r="B23" s="71">
        <v>3563.1949999999997</v>
      </c>
      <c r="C23" s="71">
        <v>235.185</v>
      </c>
      <c r="D23" s="72" t="s">
        <v>204</v>
      </c>
    </row>
    <row r="24" spans="1:4" x14ac:dyDescent="0.2">
      <c r="A24" t="s">
        <v>203</v>
      </c>
      <c r="B24" s="71">
        <v>3349.7836842105257</v>
      </c>
      <c r="C24" s="71">
        <v>247.89631578947362</v>
      </c>
      <c r="D24" t="s">
        <v>204</v>
      </c>
    </row>
    <row r="27" spans="1:4" x14ac:dyDescent="0.2">
      <c r="B27" s="71"/>
      <c r="C27" s="71"/>
    </row>
    <row r="28" spans="1:4" x14ac:dyDescent="0.2">
      <c r="B28" s="71"/>
      <c r="C28" s="71"/>
    </row>
    <row r="29" spans="1:4" x14ac:dyDescent="0.2">
      <c r="B29" s="71"/>
      <c r="C29" s="71"/>
    </row>
    <row r="30" spans="1:4" x14ac:dyDescent="0.2">
      <c r="B30" s="71"/>
      <c r="C30" s="71"/>
    </row>
    <row r="31" spans="1:4" x14ac:dyDescent="0.2">
      <c r="B31" s="71"/>
      <c r="C31" s="71"/>
    </row>
    <row r="32" spans="1:4" x14ac:dyDescent="0.2">
      <c r="B32" s="71"/>
      <c r="C32" s="71"/>
    </row>
    <row r="33" spans="2:3" x14ac:dyDescent="0.2">
      <c r="B33" s="71"/>
      <c r="C33" s="71"/>
    </row>
    <row r="34" spans="2:3" x14ac:dyDescent="0.2">
      <c r="B34" s="71"/>
      <c r="C34" s="71"/>
    </row>
    <row r="35" spans="2:3" x14ac:dyDescent="0.2">
      <c r="B35" s="71"/>
      <c r="C35" s="71"/>
    </row>
    <row r="36" spans="2:3" x14ac:dyDescent="0.2">
      <c r="B36" s="71"/>
      <c r="C36" s="71"/>
    </row>
    <row r="37" spans="2:3" x14ac:dyDescent="0.2">
      <c r="B37" s="278"/>
      <c r="C37" s="278"/>
    </row>
    <row r="38" spans="2:3" x14ac:dyDescent="0.2">
      <c r="B38" s="278"/>
      <c r="C38" s="278"/>
    </row>
    <row r="39" spans="2:3" x14ac:dyDescent="0.2">
      <c r="B39" s="278"/>
      <c r="C39" s="278"/>
    </row>
    <row r="40" spans="2:3" x14ac:dyDescent="0.2">
      <c r="B40" s="278"/>
      <c r="C40" s="278"/>
    </row>
    <row r="41" spans="2:3" x14ac:dyDescent="0.2">
      <c r="B41" s="278"/>
      <c r="C41" s="278"/>
    </row>
    <row r="42" spans="2:3" x14ac:dyDescent="0.2">
      <c r="B42" s="278"/>
      <c r="C42" s="278"/>
    </row>
    <row r="43" spans="2:3" x14ac:dyDescent="0.2">
      <c r="B43" s="278"/>
      <c r="C43" s="278"/>
    </row>
    <row r="44" spans="2:3" x14ac:dyDescent="0.2">
      <c r="B44" s="71"/>
    </row>
    <row r="45" spans="2:3" x14ac:dyDescent="0.2">
      <c r="B45" s="71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34"/>
  <sheetViews>
    <sheetView workbookViewId="0">
      <pane xSplit="1" ySplit="2" topLeftCell="K198" activePane="bottomRight" state="frozen"/>
      <selection pane="topRight"/>
      <selection pane="bottomLeft"/>
      <selection pane="bottomRight" activeCell="P222" sqref="P222"/>
    </sheetView>
  </sheetViews>
  <sheetFormatPr defaultRowHeight="12.75" x14ac:dyDescent="0.2"/>
  <cols>
    <col min="1" max="1" width="11.85546875" style="134" customWidth="1"/>
    <col min="2" max="2" width="18" style="134" customWidth="1"/>
    <col min="3" max="3" width="13.42578125" style="134" bestFit="1" customWidth="1"/>
    <col min="4" max="4" width="13.42578125" style="134" customWidth="1"/>
    <col min="5" max="5" width="14.42578125" style="134" customWidth="1"/>
    <col min="6" max="6" width="14" style="134" bestFit="1" customWidth="1"/>
    <col min="7" max="7" width="12.7109375" style="134" bestFit="1" customWidth="1"/>
    <col min="8" max="8" width="17.5703125" style="134" bestFit="1" customWidth="1"/>
    <col min="9" max="9" width="17" style="134" customWidth="1"/>
    <col min="10" max="10" width="13" style="134" customWidth="1"/>
    <col min="11" max="11" width="2.5703125" style="134" customWidth="1"/>
    <col min="12" max="12" width="31.5703125" style="134" bestFit="1" customWidth="1"/>
    <col min="13" max="13" width="15.5703125" style="134" bestFit="1" customWidth="1"/>
    <col min="14" max="14" width="25.140625" style="134" bestFit="1" customWidth="1"/>
    <col min="15" max="15" width="24.140625" style="134" bestFit="1" customWidth="1"/>
    <col min="16" max="16" width="17.140625" style="134" bestFit="1" customWidth="1"/>
    <col min="17" max="17" width="17.85546875" style="134" bestFit="1" customWidth="1"/>
    <col min="18" max="18" width="17.140625" style="134" bestFit="1" customWidth="1"/>
    <col min="19" max="19" width="15.5703125" style="134" bestFit="1" customWidth="1"/>
    <col min="20" max="20" width="14.5703125" style="134" bestFit="1" customWidth="1"/>
    <col min="21" max="21" width="11.28515625" style="134" customWidth="1"/>
    <col min="22" max="22" width="11.5703125" style="134" customWidth="1"/>
    <col min="23" max="23" width="9.28515625" style="134" customWidth="1"/>
    <col min="24" max="24" width="9.140625" style="134"/>
    <col min="25" max="25" width="11.7109375" style="134" bestFit="1" customWidth="1"/>
    <col min="26" max="26" width="10.7109375" style="134" bestFit="1" customWidth="1"/>
    <col min="27" max="16384" width="9.140625" style="134"/>
  </cols>
  <sheetData>
    <row r="1" spans="1:28" x14ac:dyDescent="0.2">
      <c r="B1" s="135"/>
      <c r="C1" s="136"/>
      <c r="D1" s="136"/>
      <c r="E1" s="137"/>
      <c r="F1" s="136"/>
      <c r="G1" s="136"/>
      <c r="H1" s="136"/>
      <c r="I1" s="136"/>
      <c r="J1" s="136"/>
      <c r="T1" s="135"/>
      <c r="U1" s="135"/>
      <c r="V1" s="135"/>
      <c r="W1" s="135"/>
      <c r="X1" s="135"/>
      <c r="Y1" s="135"/>
      <c r="Z1" s="135"/>
      <c r="AA1" s="135"/>
      <c r="AB1" s="135"/>
    </row>
    <row r="2" spans="1:28" ht="38.25" x14ac:dyDescent="0.2">
      <c r="B2" s="7" t="s">
        <v>0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38" t="s">
        <v>10</v>
      </c>
      <c r="I2" s="138" t="s">
        <v>11</v>
      </c>
      <c r="L2" t="s">
        <v>18</v>
      </c>
      <c r="M2"/>
      <c r="N2"/>
      <c r="O2"/>
      <c r="P2"/>
      <c r="Q2"/>
      <c r="R2"/>
      <c r="S2"/>
      <c r="T2"/>
      <c r="U2" s="139"/>
      <c r="V2" s="139"/>
      <c r="W2" s="135"/>
      <c r="X2" s="135"/>
      <c r="Y2" s="135"/>
      <c r="Z2" s="135"/>
      <c r="AA2" s="135"/>
      <c r="AB2" s="135"/>
    </row>
    <row r="3" spans="1:28" ht="13.5" thickBot="1" x14ac:dyDescent="0.25">
      <c r="A3" s="140">
        <v>37622</v>
      </c>
      <c r="B3" s="41">
        <f>+'Purchased Power Model '!B3</f>
        <v>126011890</v>
      </c>
      <c r="C3" s="119">
        <f>+'Purchased Power Model '!C3</f>
        <v>786</v>
      </c>
      <c r="D3" s="119">
        <f>+'Purchased Power Model '!D3</f>
        <v>0</v>
      </c>
      <c r="E3" s="126">
        <f>+'Purchased Power Model '!E3</f>
        <v>4.7E-2</v>
      </c>
      <c r="F3" s="10">
        <f>+'Purchased Power Model '!F3</f>
        <v>31</v>
      </c>
      <c r="G3" s="10">
        <f>+'Purchased Power Model '!G3</f>
        <v>0</v>
      </c>
      <c r="H3" s="141">
        <f>$M$18+C3*$M$19+D3*$M$20+E3*$M$21+F3*$M$22+G3*$M$23</f>
        <v>122016654.03972816</v>
      </c>
      <c r="I3" s="142">
        <f t="shared" ref="I3" si="0">H3-B3</f>
        <v>-3995235.9602718353</v>
      </c>
      <c r="J3" s="5">
        <f t="shared" ref="J3" si="1">I3/B3</f>
        <v>-3.1705230040370277E-2</v>
      </c>
      <c r="K3"/>
      <c r="L3"/>
      <c r="M3"/>
      <c r="N3"/>
      <c r="O3"/>
      <c r="P3"/>
      <c r="Q3"/>
      <c r="R3"/>
      <c r="S3"/>
      <c r="T3"/>
      <c r="U3" s="135"/>
      <c r="V3" s="135"/>
      <c r="W3" s="135"/>
      <c r="X3" s="135"/>
      <c r="Y3" s="135"/>
      <c r="Z3" s="135"/>
      <c r="AA3" s="135"/>
      <c r="AB3" s="135"/>
    </row>
    <row r="4" spans="1:28" x14ac:dyDescent="0.2">
      <c r="A4" s="140">
        <v>37653</v>
      </c>
      <c r="B4" s="41">
        <f>+'Purchased Power Model '!B4</f>
        <v>112581000</v>
      </c>
      <c r="C4" s="119">
        <f>+'Purchased Power Model '!C4</f>
        <v>686.5</v>
      </c>
      <c r="D4" s="119">
        <f>+'Purchased Power Model '!D4</f>
        <v>0</v>
      </c>
      <c r="E4" s="126">
        <f>+'Purchased Power Model '!E4</f>
        <v>4.7E-2</v>
      </c>
      <c r="F4" s="10">
        <f>+'Purchased Power Model '!F4</f>
        <v>28</v>
      </c>
      <c r="G4" s="10">
        <f>+'Purchased Power Model '!G4</f>
        <v>0</v>
      </c>
      <c r="H4" s="141">
        <f t="shared" ref="H4:H67" si="2">$M$18+C4*$M$19+D4*$M$20+E4*$M$21+F4*$M$22+G4*$M$23</f>
        <v>109578060.98553585</v>
      </c>
      <c r="I4" s="142">
        <f t="shared" ref="I4:I67" si="3">H4-B4</f>
        <v>-3002939.0144641548</v>
      </c>
      <c r="J4" s="5">
        <f t="shared" ref="J4:J67" si="4">I4/B4</f>
        <v>-2.6673586257575922E-2</v>
      </c>
      <c r="K4"/>
      <c r="L4" s="53" t="s">
        <v>19</v>
      </c>
      <c r="M4" s="53"/>
      <c r="N4"/>
      <c r="O4"/>
      <c r="P4"/>
      <c r="Q4"/>
      <c r="R4"/>
      <c r="S4"/>
      <c r="T4"/>
      <c r="U4" s="135"/>
      <c r="V4" s="135"/>
      <c r="W4" s="135"/>
      <c r="X4" s="135"/>
      <c r="Y4" s="135"/>
      <c r="Z4" s="135"/>
      <c r="AA4" s="135"/>
      <c r="AB4" s="135"/>
    </row>
    <row r="5" spans="1:28" x14ac:dyDescent="0.2">
      <c r="A5" s="140">
        <v>37681</v>
      </c>
      <c r="B5" s="41">
        <f>+'Purchased Power Model '!B5</f>
        <v>110536430</v>
      </c>
      <c r="C5" s="119">
        <f>+'Purchased Power Model '!C5</f>
        <v>572.5</v>
      </c>
      <c r="D5" s="119">
        <f>+'Purchased Power Model '!D5</f>
        <v>0</v>
      </c>
      <c r="E5" s="126">
        <f>+'Purchased Power Model '!E5</f>
        <v>4.7E-2</v>
      </c>
      <c r="F5" s="10">
        <f>+'Purchased Power Model '!F5</f>
        <v>31</v>
      </c>
      <c r="G5" s="10">
        <f>+'Purchased Power Model '!G5</f>
        <v>1</v>
      </c>
      <c r="H5" s="141">
        <f t="shared" si="2"/>
        <v>106400245.18741813</v>
      </c>
      <c r="I5" s="142">
        <f t="shared" si="3"/>
        <v>-4136184.812581867</v>
      </c>
      <c r="J5" s="5">
        <f t="shared" si="4"/>
        <v>-3.7419200281589217E-2</v>
      </c>
      <c r="K5"/>
      <c r="L5" s="35" t="s">
        <v>20</v>
      </c>
      <c r="M5" s="118">
        <v>0.93163631503424083</v>
      </c>
      <c r="N5"/>
      <c r="O5"/>
      <c r="P5"/>
      <c r="Q5"/>
      <c r="R5"/>
      <c r="S5"/>
      <c r="T5"/>
      <c r="U5" s="135"/>
      <c r="V5" s="135"/>
      <c r="W5" s="135"/>
      <c r="X5" s="135"/>
      <c r="Y5" s="135"/>
      <c r="Z5" s="135"/>
      <c r="AA5" s="135"/>
      <c r="AB5" s="135"/>
    </row>
    <row r="6" spans="1:28" x14ac:dyDescent="0.2">
      <c r="A6" s="140">
        <v>37712</v>
      </c>
      <c r="B6" s="41">
        <f>+'Purchased Power Model '!B6</f>
        <v>97712940</v>
      </c>
      <c r="C6" s="119">
        <f>+'Purchased Power Model '!C6</f>
        <v>403.9</v>
      </c>
      <c r="D6" s="119">
        <f>+'Purchased Power Model '!D6</f>
        <v>0</v>
      </c>
      <c r="E6" s="126">
        <f>+'Purchased Power Model '!E6</f>
        <v>5.5999999999999994E-2</v>
      </c>
      <c r="F6" s="10">
        <f>+'Purchased Power Model '!F6</f>
        <v>30</v>
      </c>
      <c r="G6" s="10">
        <f>+'Purchased Power Model '!G6</f>
        <v>1</v>
      </c>
      <c r="H6" s="141">
        <f t="shared" si="2"/>
        <v>95698523.005941063</v>
      </c>
      <c r="I6" s="142">
        <f t="shared" si="3"/>
        <v>-2014416.9940589368</v>
      </c>
      <c r="J6" s="5">
        <f t="shared" si="4"/>
        <v>-2.0615662511627803E-2</v>
      </c>
      <c r="K6"/>
      <c r="L6" s="35" t="s">
        <v>21</v>
      </c>
      <c r="M6" s="118">
        <v>0.86794622349057915</v>
      </c>
      <c r="N6"/>
      <c r="O6"/>
      <c r="P6"/>
      <c r="Q6"/>
      <c r="R6"/>
      <c r="S6"/>
      <c r="T6"/>
      <c r="U6" s="135"/>
      <c r="V6" s="135"/>
      <c r="W6" s="135"/>
      <c r="X6" s="135"/>
      <c r="Y6" s="135"/>
      <c r="Z6" s="135"/>
      <c r="AA6" s="135"/>
      <c r="AB6" s="135"/>
    </row>
    <row r="7" spans="1:28" x14ac:dyDescent="0.2">
      <c r="A7" s="140">
        <v>37742</v>
      </c>
      <c r="B7" s="41">
        <f>+'Purchased Power Model '!B7</f>
        <v>90261150</v>
      </c>
      <c r="C7" s="119">
        <f>+'Purchased Power Model '!C7</f>
        <v>192</v>
      </c>
      <c r="D7" s="119">
        <f>+'Purchased Power Model '!D7</f>
        <v>0</v>
      </c>
      <c r="E7" s="126">
        <f>+'Purchased Power Model '!E7</f>
        <v>5.5999999999999994E-2</v>
      </c>
      <c r="F7" s="10">
        <f>+'Purchased Power Model '!F7</f>
        <v>31</v>
      </c>
      <c r="G7" s="10">
        <f>+'Purchased Power Model '!G7</f>
        <v>1</v>
      </c>
      <c r="H7" s="141">
        <f t="shared" si="2"/>
        <v>89979275.897824094</v>
      </c>
      <c r="I7" s="142">
        <f t="shared" si="3"/>
        <v>-281874.1021759063</v>
      </c>
      <c r="J7" s="5">
        <f t="shared" si="4"/>
        <v>-3.1228729323292061E-3</v>
      </c>
      <c r="K7"/>
      <c r="L7" s="35" t="s">
        <v>22</v>
      </c>
      <c r="M7" s="118">
        <v>0.8631616663706726</v>
      </c>
      <c r="N7"/>
      <c r="O7"/>
      <c r="P7"/>
      <c r="Q7"/>
      <c r="R7"/>
      <c r="S7"/>
      <c r="T7"/>
      <c r="U7" s="135"/>
      <c r="V7" s="135"/>
      <c r="W7" s="135"/>
      <c r="X7" s="135"/>
      <c r="Y7" s="135"/>
      <c r="Z7" s="135"/>
      <c r="AA7" s="135"/>
      <c r="AB7" s="135"/>
    </row>
    <row r="8" spans="1:28" x14ac:dyDescent="0.2">
      <c r="A8" s="140">
        <v>37773</v>
      </c>
      <c r="B8" s="41">
        <f>+'Purchased Power Model '!B8</f>
        <v>92476040</v>
      </c>
      <c r="C8" s="119">
        <f>+'Purchased Power Model '!C8</f>
        <v>55.1</v>
      </c>
      <c r="D8" s="119">
        <f>+'Purchased Power Model '!D8</f>
        <v>31</v>
      </c>
      <c r="E8" s="126">
        <f>+'Purchased Power Model '!E8</f>
        <v>5.5999999999999994E-2</v>
      </c>
      <c r="F8" s="10">
        <f>+'Purchased Power Model '!F8</f>
        <v>30</v>
      </c>
      <c r="G8" s="10">
        <f>+'Purchased Power Model '!G8</f>
        <v>0</v>
      </c>
      <c r="H8" s="141">
        <f t="shared" si="2"/>
        <v>93165040.95415099</v>
      </c>
      <c r="I8" s="142">
        <f t="shared" si="3"/>
        <v>689000.95415098965</v>
      </c>
      <c r="J8" s="5">
        <f t="shared" si="4"/>
        <v>7.4505888676784779E-3</v>
      </c>
      <c r="K8"/>
      <c r="L8" s="35" t="s">
        <v>23</v>
      </c>
      <c r="M8" s="68">
        <v>3859208.8665064001</v>
      </c>
      <c r="N8"/>
      <c r="O8"/>
      <c r="P8"/>
      <c r="Q8"/>
      <c r="R8"/>
      <c r="S8"/>
      <c r="T8"/>
      <c r="U8" s="135"/>
      <c r="V8" s="135"/>
      <c r="W8" s="135"/>
      <c r="X8" s="135"/>
      <c r="Y8" s="135"/>
      <c r="Z8" s="135"/>
      <c r="AA8" s="135"/>
      <c r="AB8" s="135"/>
    </row>
    <row r="9" spans="1:28" ht="13.5" thickBot="1" x14ac:dyDescent="0.25">
      <c r="A9" s="140">
        <v>37803</v>
      </c>
      <c r="B9" s="41">
        <f>+'Purchased Power Model '!B9</f>
        <v>100371630</v>
      </c>
      <c r="C9" s="119">
        <f>+'Purchased Power Model '!C9</f>
        <v>5.7</v>
      </c>
      <c r="D9" s="119">
        <f>+'Purchased Power Model '!D9</f>
        <v>59.1</v>
      </c>
      <c r="E9" s="126">
        <f>+'Purchased Power Model '!E9</f>
        <v>5.2000000000000005E-2</v>
      </c>
      <c r="F9" s="10">
        <f>+'Purchased Power Model '!F9</f>
        <v>31</v>
      </c>
      <c r="G9" s="10">
        <f>+'Purchased Power Model '!G9</f>
        <v>0</v>
      </c>
      <c r="H9" s="141">
        <f t="shared" si="2"/>
        <v>98544344.234893277</v>
      </c>
      <c r="I9" s="142">
        <f t="shared" si="3"/>
        <v>-1827285.7651067227</v>
      </c>
      <c r="J9" s="5">
        <f t="shared" si="4"/>
        <v>-1.8205201660137657E-2</v>
      </c>
      <c r="K9"/>
      <c r="L9" s="51" t="s">
        <v>24</v>
      </c>
      <c r="M9" s="69">
        <v>144</v>
      </c>
      <c r="N9"/>
      <c r="O9"/>
      <c r="P9"/>
      <c r="Q9"/>
      <c r="R9"/>
      <c r="S9"/>
      <c r="T9"/>
      <c r="U9" s="135"/>
      <c r="V9" s="135"/>
      <c r="W9" s="135"/>
      <c r="X9" s="135"/>
      <c r="Y9" s="135"/>
      <c r="Z9" s="135"/>
      <c r="AA9" s="135"/>
      <c r="AB9" s="135"/>
    </row>
    <row r="10" spans="1:28" x14ac:dyDescent="0.2">
      <c r="A10" s="140">
        <v>37834</v>
      </c>
      <c r="B10" s="41">
        <f>+'Purchased Power Model '!B10</f>
        <v>101507680</v>
      </c>
      <c r="C10" s="119">
        <f>+'Purchased Power Model '!C10</f>
        <v>10.4</v>
      </c>
      <c r="D10" s="119">
        <f>+'Purchased Power Model '!D10</f>
        <v>106.5</v>
      </c>
      <c r="E10" s="126">
        <f>+'Purchased Power Model '!E10</f>
        <v>5.2000000000000005E-2</v>
      </c>
      <c r="F10" s="10">
        <f>+'Purchased Power Model '!F10</f>
        <v>31</v>
      </c>
      <c r="G10" s="10">
        <f>+'Purchased Power Model '!G10</f>
        <v>0</v>
      </c>
      <c r="H10" s="141">
        <f t="shared" si="2"/>
        <v>105593019.50707024</v>
      </c>
      <c r="I10" s="142">
        <f t="shared" si="3"/>
        <v>4085339.5070702434</v>
      </c>
      <c r="J10" s="5">
        <f t="shared" si="4"/>
        <v>4.0246605055600161E-2</v>
      </c>
      <c r="K10"/>
      <c r="L10"/>
      <c r="M10"/>
      <c r="N10"/>
      <c r="O10"/>
      <c r="P10"/>
      <c r="Q10"/>
      <c r="R10"/>
      <c r="S10"/>
      <c r="T10"/>
      <c r="U10" s="135"/>
      <c r="V10" s="135"/>
      <c r="W10" s="135"/>
      <c r="X10" s="135"/>
      <c r="Y10" s="135"/>
      <c r="Z10" s="135"/>
      <c r="AA10" s="135"/>
      <c r="AB10" s="135"/>
    </row>
    <row r="11" spans="1:28" ht="13.5" thickBot="1" x14ac:dyDescent="0.25">
      <c r="A11" s="140">
        <v>37865</v>
      </c>
      <c r="B11" s="41">
        <f>+'Purchased Power Model '!B11</f>
        <v>91341000</v>
      </c>
      <c r="C11" s="119">
        <f>+'Purchased Power Model '!C11</f>
        <v>55.2</v>
      </c>
      <c r="D11" s="119">
        <f>+'Purchased Power Model '!D11</f>
        <v>12.1</v>
      </c>
      <c r="E11" s="126">
        <f>+'Purchased Power Model '!E11</f>
        <v>5.2000000000000005E-2</v>
      </c>
      <c r="F11" s="10">
        <f>+'Purchased Power Model '!F11</f>
        <v>30</v>
      </c>
      <c r="G11" s="10">
        <f>+'Purchased Power Model '!G11</f>
        <v>1</v>
      </c>
      <c r="H11" s="141">
        <f t="shared" si="2"/>
        <v>83902687.201119527</v>
      </c>
      <c r="I11" s="142">
        <f t="shared" si="3"/>
        <v>-7438312.7988804728</v>
      </c>
      <c r="J11" s="5">
        <f t="shared" si="4"/>
        <v>-8.1434545263140021E-2</v>
      </c>
      <c r="K11"/>
      <c r="L11" t="s">
        <v>25</v>
      </c>
      <c r="M11"/>
      <c r="N11"/>
      <c r="O11"/>
      <c r="P11"/>
      <c r="Q11"/>
      <c r="R11"/>
      <c r="S11"/>
      <c r="T11"/>
      <c r="U11" s="135"/>
      <c r="V11" s="135"/>
      <c r="W11" s="135"/>
      <c r="X11" s="135"/>
      <c r="Y11" s="135"/>
      <c r="Z11" s="135"/>
      <c r="AA11" s="135"/>
      <c r="AB11" s="135"/>
    </row>
    <row r="12" spans="1:28" x14ac:dyDescent="0.2">
      <c r="A12" s="140">
        <v>37895</v>
      </c>
      <c r="B12" s="41">
        <f>+'Purchased Power Model '!B12</f>
        <v>95672250</v>
      </c>
      <c r="C12" s="119">
        <f>+'Purchased Power Model '!C12</f>
        <v>289.7</v>
      </c>
      <c r="D12" s="119">
        <f>+'Purchased Power Model '!D12</f>
        <v>0</v>
      </c>
      <c r="E12" s="126">
        <f>+'Purchased Power Model '!E12</f>
        <v>4.7E-2</v>
      </c>
      <c r="F12" s="10">
        <f>+'Purchased Power Model '!F12</f>
        <v>31</v>
      </c>
      <c r="G12" s="10">
        <f>+'Purchased Power Model '!G12</f>
        <v>1</v>
      </c>
      <c r="H12" s="141">
        <f t="shared" si="2"/>
        <v>95015801.005900159</v>
      </c>
      <c r="I12" s="142">
        <f t="shared" si="3"/>
        <v>-656448.99409984052</v>
      </c>
      <c r="J12" s="5">
        <f t="shared" si="4"/>
        <v>-6.8614357256136498E-3</v>
      </c>
      <c r="K12"/>
      <c r="L12" s="52"/>
      <c r="M12" s="52" t="s">
        <v>29</v>
      </c>
      <c r="N12" s="52" t="s">
        <v>30</v>
      </c>
      <c r="O12" s="52" t="s">
        <v>31</v>
      </c>
      <c r="P12" s="52" t="s">
        <v>32</v>
      </c>
      <c r="Q12" s="52" t="s">
        <v>33</v>
      </c>
      <c r="R12"/>
      <c r="S12"/>
      <c r="T12"/>
      <c r="U12" s="135"/>
      <c r="V12" s="135"/>
      <c r="W12" s="135"/>
      <c r="X12" s="135"/>
      <c r="Y12" s="135"/>
      <c r="Z12" s="135"/>
      <c r="AA12" s="135"/>
      <c r="AB12" s="135"/>
    </row>
    <row r="13" spans="1:28" x14ac:dyDescent="0.2">
      <c r="A13" s="140">
        <v>37926</v>
      </c>
      <c r="B13" s="41">
        <f>+'Purchased Power Model '!B13</f>
        <v>101404920</v>
      </c>
      <c r="C13" s="119">
        <f>+'Purchased Power Model '!C13</f>
        <v>387.6</v>
      </c>
      <c r="D13" s="119">
        <f>+'Purchased Power Model '!D13</f>
        <v>0</v>
      </c>
      <c r="E13" s="126">
        <f>+'Purchased Power Model '!E13</f>
        <v>4.7E-2</v>
      </c>
      <c r="F13" s="10">
        <f>+'Purchased Power Model '!F13</f>
        <v>30</v>
      </c>
      <c r="G13" s="10">
        <f>+'Purchased Power Model '!G13</f>
        <v>1</v>
      </c>
      <c r="H13" s="141">
        <f t="shared" si="2"/>
        <v>96145845.013970971</v>
      </c>
      <c r="I13" s="142">
        <f t="shared" si="3"/>
        <v>-5259074.9860290289</v>
      </c>
      <c r="J13" s="5">
        <f t="shared" si="4"/>
        <v>-5.1862128445336074E-2</v>
      </c>
      <c r="K13"/>
      <c r="L13" s="35" t="s">
        <v>26</v>
      </c>
      <c r="M13" s="68">
        <v>5</v>
      </c>
      <c r="N13" s="68">
        <v>1.3508827196905696E+16</v>
      </c>
      <c r="O13" s="68">
        <v>2701765439381139</v>
      </c>
      <c r="P13" s="68">
        <v>181.40576060413528</v>
      </c>
      <c r="Q13" s="68">
        <v>7.7141439968961941E-59</v>
      </c>
      <c r="R13"/>
      <c r="S13"/>
      <c r="T13"/>
      <c r="U13" s="135"/>
      <c r="V13" s="135"/>
      <c r="W13" s="135"/>
      <c r="X13" s="135"/>
      <c r="Y13" s="135"/>
      <c r="Z13" s="135"/>
      <c r="AA13" s="135"/>
      <c r="AB13" s="135"/>
    </row>
    <row r="14" spans="1:28" x14ac:dyDescent="0.2">
      <c r="A14" s="140">
        <v>37956</v>
      </c>
      <c r="B14" s="41">
        <f>+'Purchased Power Model '!B14</f>
        <v>112847240</v>
      </c>
      <c r="C14" s="119">
        <f>+'Purchased Power Model '!C14</f>
        <v>548.20000000000005</v>
      </c>
      <c r="D14" s="119">
        <f>+'Purchased Power Model '!D14</f>
        <v>0</v>
      </c>
      <c r="E14" s="126">
        <f>+'Purchased Power Model '!E14</f>
        <v>4.7E-2</v>
      </c>
      <c r="F14" s="10">
        <f>+'Purchased Power Model '!F14</f>
        <v>31</v>
      </c>
      <c r="G14" s="10">
        <f>+'Purchased Power Model '!G14</f>
        <v>0</v>
      </c>
      <c r="H14" s="141">
        <f t="shared" si="2"/>
        <v>112443737.3977021</v>
      </c>
      <c r="I14" s="142">
        <f t="shared" si="3"/>
        <v>-403502.60229790211</v>
      </c>
      <c r="J14" s="5">
        <f t="shared" si="4"/>
        <v>-3.5756532662908026E-3</v>
      </c>
      <c r="K14"/>
      <c r="L14" s="35" t="s">
        <v>27</v>
      </c>
      <c r="M14" s="68">
        <v>138</v>
      </c>
      <c r="N14" s="68">
        <v>2055302044394382.7</v>
      </c>
      <c r="O14" s="68">
        <v>14893493075321.613</v>
      </c>
      <c r="P14" s="68"/>
      <c r="Q14" s="68"/>
      <c r="R14"/>
      <c r="S14"/>
      <c r="T14"/>
      <c r="U14" s="135"/>
      <c r="V14" s="135"/>
      <c r="W14" s="135"/>
      <c r="X14" s="135"/>
      <c r="Y14" s="135"/>
      <c r="Z14" s="135"/>
      <c r="AA14" s="135"/>
      <c r="AB14" s="135"/>
    </row>
    <row r="15" spans="1:28" ht="13.5" thickBot="1" x14ac:dyDescent="0.25">
      <c r="A15" s="140">
        <v>37987</v>
      </c>
      <c r="B15" s="41">
        <f>+'Purchased Power Model '!B15</f>
        <v>127196340</v>
      </c>
      <c r="C15" s="119">
        <f>+'Purchased Power Model '!C15</f>
        <v>828.8</v>
      </c>
      <c r="D15" s="119">
        <f>+'Purchased Power Model '!D15</f>
        <v>0</v>
      </c>
      <c r="E15" s="126">
        <f>+'Purchased Power Model '!E15</f>
        <v>0.05</v>
      </c>
      <c r="F15" s="10">
        <f>+'Purchased Power Model '!F15</f>
        <v>31</v>
      </c>
      <c r="G15" s="10">
        <f>+'Purchased Power Model '!G15</f>
        <v>0</v>
      </c>
      <c r="H15" s="141">
        <f t="shared" si="2"/>
        <v>123371785.49762222</v>
      </c>
      <c r="I15" s="142">
        <f t="shared" si="3"/>
        <v>-3824554.5023777783</v>
      </c>
      <c r="J15" s="5">
        <f t="shared" si="4"/>
        <v>-3.0068117544716919E-2</v>
      </c>
      <c r="K15"/>
      <c r="L15" s="51" t="s">
        <v>9</v>
      </c>
      <c r="M15" s="69">
        <v>143</v>
      </c>
      <c r="N15" s="69">
        <v>1.5564129241300078E+16</v>
      </c>
      <c r="O15" s="69"/>
      <c r="P15" s="69"/>
      <c r="Q15" s="69"/>
      <c r="R15"/>
      <c r="S15"/>
      <c r="T15"/>
      <c r="U15" s="135"/>
      <c r="V15" s="135"/>
      <c r="W15" s="135"/>
      <c r="X15" s="135"/>
      <c r="Y15" s="135"/>
      <c r="Z15" s="135"/>
      <c r="AA15" s="135"/>
      <c r="AB15" s="135"/>
    </row>
    <row r="16" spans="1:28" ht="13.5" thickBot="1" x14ac:dyDescent="0.25">
      <c r="A16" s="140">
        <v>38018</v>
      </c>
      <c r="B16" s="41">
        <f>+'Purchased Power Model '!B16</f>
        <v>108928270</v>
      </c>
      <c r="C16" s="119">
        <f>+'Purchased Power Model '!C16</f>
        <v>615.6</v>
      </c>
      <c r="D16" s="119">
        <f>+'Purchased Power Model '!D16</f>
        <v>0</v>
      </c>
      <c r="E16" s="126">
        <f>+'Purchased Power Model '!E16</f>
        <v>0.05</v>
      </c>
      <c r="F16" s="10">
        <f>+'Purchased Power Model '!F16</f>
        <v>29</v>
      </c>
      <c r="G16" s="10">
        <f>+'Purchased Power Model '!G16</f>
        <v>0</v>
      </c>
      <c r="H16" s="141">
        <f t="shared" si="2"/>
        <v>109167100.98815969</v>
      </c>
      <c r="I16" s="142">
        <f t="shared" si="3"/>
        <v>238830.98815968633</v>
      </c>
      <c r="J16" s="5">
        <f t="shared" si="4"/>
        <v>2.1925528438089242E-3</v>
      </c>
      <c r="K16"/>
      <c r="L16"/>
      <c r="M16"/>
      <c r="N16"/>
      <c r="O16"/>
      <c r="P16"/>
      <c r="Q16"/>
      <c r="R16"/>
      <c r="S16"/>
      <c r="T16"/>
      <c r="U16" s="135"/>
      <c r="V16" s="135"/>
      <c r="W16" s="135"/>
      <c r="X16" s="135"/>
      <c r="Y16" s="135"/>
      <c r="Z16" s="135"/>
      <c r="AA16" s="135"/>
      <c r="AB16" s="135"/>
    </row>
    <row r="17" spans="1:28" x14ac:dyDescent="0.2">
      <c r="A17" s="140">
        <v>38047</v>
      </c>
      <c r="B17" s="41">
        <f>+'Purchased Power Model '!B17</f>
        <v>105064150</v>
      </c>
      <c r="C17" s="119">
        <f>+'Purchased Power Model '!C17</f>
        <v>487.1</v>
      </c>
      <c r="D17" s="119">
        <f>+'Purchased Power Model '!D17</f>
        <v>0</v>
      </c>
      <c r="E17" s="126">
        <f>+'Purchased Power Model '!E17</f>
        <v>0.05</v>
      </c>
      <c r="F17" s="10">
        <f>+'Purchased Power Model '!F17</f>
        <v>31</v>
      </c>
      <c r="G17" s="10">
        <f>+'Purchased Power Model '!G17</f>
        <v>1</v>
      </c>
      <c r="H17" s="141">
        <f t="shared" si="2"/>
        <v>102594535.96613748</v>
      </c>
      <c r="I17" s="142">
        <f t="shared" si="3"/>
        <v>-2469614.0338625163</v>
      </c>
      <c r="J17" s="5">
        <f t="shared" si="4"/>
        <v>-2.3505772748006967E-2</v>
      </c>
      <c r="K17"/>
      <c r="L17" s="52"/>
      <c r="M17" s="52" t="s">
        <v>34</v>
      </c>
      <c r="N17" s="52" t="s">
        <v>23</v>
      </c>
      <c r="O17" s="52" t="s">
        <v>35</v>
      </c>
      <c r="P17" s="52" t="s">
        <v>36</v>
      </c>
      <c r="Q17" s="52" t="s">
        <v>37</v>
      </c>
      <c r="R17" s="52" t="s">
        <v>38</v>
      </c>
      <c r="S17" s="52" t="s">
        <v>39</v>
      </c>
      <c r="T17" s="52" t="s">
        <v>40</v>
      </c>
      <c r="U17" s="135"/>
      <c r="V17" s="135"/>
      <c r="W17" s="135"/>
      <c r="X17" s="135"/>
      <c r="Y17" s="135"/>
      <c r="Z17" s="135"/>
      <c r="AA17" s="135"/>
      <c r="AB17" s="135"/>
    </row>
    <row r="18" spans="1:28" x14ac:dyDescent="0.2">
      <c r="A18" s="140">
        <v>38078</v>
      </c>
      <c r="B18" s="41">
        <f>+'Purchased Power Model '!B18</f>
        <v>91322380</v>
      </c>
      <c r="C18" s="119">
        <f>+'Purchased Power Model '!C18</f>
        <v>345</v>
      </c>
      <c r="D18" s="119">
        <f>+'Purchased Power Model '!D18</f>
        <v>0</v>
      </c>
      <c r="E18" s="126">
        <f>+'Purchased Power Model '!E18</f>
        <v>5.4000000000000006E-2</v>
      </c>
      <c r="F18" s="10">
        <f>+'Purchased Power Model '!F18</f>
        <v>30</v>
      </c>
      <c r="G18" s="10">
        <f>+'Purchased Power Model '!G18</f>
        <v>1</v>
      </c>
      <c r="H18" s="141">
        <f t="shared" si="2"/>
        <v>93572656.412917539</v>
      </c>
      <c r="I18" s="142">
        <f t="shared" si="3"/>
        <v>2250276.4129175395</v>
      </c>
      <c r="J18" s="5">
        <f t="shared" si="4"/>
        <v>2.464101803870573E-2</v>
      </c>
      <c r="K18"/>
      <c r="L18" s="35" t="s">
        <v>28</v>
      </c>
      <c r="M18" s="68">
        <v>8995937.0903842468</v>
      </c>
      <c r="N18" s="68">
        <v>12604326.836800277</v>
      </c>
      <c r="O18" s="68">
        <v>0.71371817050310216</v>
      </c>
      <c r="P18" s="68">
        <v>0.47660680663414789</v>
      </c>
      <c r="Q18" s="68">
        <v>-15926643.008895164</v>
      </c>
      <c r="R18" s="68">
        <v>33918517.189663656</v>
      </c>
      <c r="S18" s="68">
        <v>-15926643.008895164</v>
      </c>
      <c r="T18" s="68">
        <v>33918517.189663656</v>
      </c>
      <c r="U18" s="135"/>
      <c r="V18" s="135"/>
      <c r="W18" s="135"/>
      <c r="X18" s="135"/>
      <c r="Y18" s="135"/>
      <c r="Z18" s="135"/>
      <c r="AA18" s="135"/>
      <c r="AB18" s="135"/>
    </row>
    <row r="19" spans="1:28" x14ac:dyDescent="0.2">
      <c r="A19" s="140">
        <v>38108</v>
      </c>
      <c r="B19" s="41">
        <f>+'Purchased Power Model '!B19</f>
        <v>86885250</v>
      </c>
      <c r="C19" s="119">
        <f>+'Purchased Power Model '!C19</f>
        <v>177.5</v>
      </c>
      <c r="D19" s="119">
        <f>+'Purchased Power Model '!D19</f>
        <v>0</v>
      </c>
      <c r="E19" s="126">
        <f>+'Purchased Power Model '!E19</f>
        <v>5.4000000000000006E-2</v>
      </c>
      <c r="F19" s="10">
        <f>+'Purchased Power Model '!F19</f>
        <v>31</v>
      </c>
      <c r="G19" s="10">
        <f>+'Purchased Power Model '!G19</f>
        <v>1</v>
      </c>
      <c r="H19" s="141">
        <f t="shared" si="2"/>
        <v>89640783.143765911</v>
      </c>
      <c r="I19" s="142">
        <f t="shared" si="3"/>
        <v>2755533.1437659115</v>
      </c>
      <c r="J19" s="5">
        <f t="shared" si="4"/>
        <v>3.1714625253030995E-2</v>
      </c>
      <c r="K19"/>
      <c r="L19" s="35" t="s">
        <v>3</v>
      </c>
      <c r="M19" s="68">
        <v>40256.167544264434</v>
      </c>
      <c r="N19" s="68">
        <v>1964.2098838898439</v>
      </c>
      <c r="O19" s="68">
        <v>20.494840126016832</v>
      </c>
      <c r="P19" s="68">
        <v>1.0561344081437557E-43</v>
      </c>
      <c r="Q19" s="68">
        <v>36372.328383563319</v>
      </c>
      <c r="R19" s="68">
        <v>44140.006704965548</v>
      </c>
      <c r="S19" s="68">
        <v>36372.328383563319</v>
      </c>
      <c r="T19" s="68">
        <v>44140.006704965548</v>
      </c>
      <c r="U19" s="135"/>
      <c r="V19" s="135"/>
      <c r="W19" s="135"/>
      <c r="X19" s="135"/>
      <c r="Y19" s="135"/>
      <c r="Z19" s="135"/>
      <c r="AA19" s="135"/>
      <c r="AB19" s="135"/>
    </row>
    <row r="20" spans="1:28" x14ac:dyDescent="0.2">
      <c r="A20" s="140">
        <v>38139</v>
      </c>
      <c r="B20" s="41">
        <f>+'Purchased Power Model '!B20</f>
        <v>86876500</v>
      </c>
      <c r="C20" s="119">
        <f>+'Purchased Power Model '!C20</f>
        <v>73.2</v>
      </c>
      <c r="D20" s="119">
        <f>+'Purchased Power Model '!D20</f>
        <v>15.6</v>
      </c>
      <c r="E20" s="126">
        <f>+'Purchased Power Model '!E20</f>
        <v>5.4000000000000006E-2</v>
      </c>
      <c r="F20" s="10">
        <f>+'Purchased Power Model '!F20</f>
        <v>30</v>
      </c>
      <c r="G20" s="10">
        <f>+'Purchased Power Model '!G20</f>
        <v>0</v>
      </c>
      <c r="H20" s="141">
        <f t="shared" si="2"/>
        <v>91910294.667422518</v>
      </c>
      <c r="I20" s="142">
        <f t="shared" si="3"/>
        <v>5033794.6674225181</v>
      </c>
      <c r="J20" s="5">
        <f t="shared" si="4"/>
        <v>5.7941959763831624E-2</v>
      </c>
      <c r="K20"/>
      <c r="L20" s="35" t="s">
        <v>4</v>
      </c>
      <c r="M20" s="68">
        <v>144714.58406579983</v>
      </c>
      <c r="N20" s="68">
        <v>15219.431331249714</v>
      </c>
      <c r="O20" s="68">
        <v>9.5085408196993964</v>
      </c>
      <c r="P20" s="68">
        <v>8.4693779603347646E-17</v>
      </c>
      <c r="Q20" s="68">
        <v>114621.14858687311</v>
      </c>
      <c r="R20" s="68">
        <v>174808.01954472656</v>
      </c>
      <c r="S20" s="68">
        <v>114621.14858687311</v>
      </c>
      <c r="T20" s="68">
        <v>174808.01954472656</v>
      </c>
      <c r="U20" s="135"/>
      <c r="V20" s="135"/>
      <c r="W20" s="135"/>
      <c r="X20" s="135"/>
      <c r="Y20" s="135"/>
      <c r="Z20" s="135"/>
      <c r="AA20" s="135"/>
      <c r="AB20" s="135"/>
    </row>
    <row r="21" spans="1:28" x14ac:dyDescent="0.2">
      <c r="A21" s="140">
        <v>38169</v>
      </c>
      <c r="B21" s="41">
        <f>+'Purchased Power Model '!B21</f>
        <v>92903530</v>
      </c>
      <c r="C21" s="119">
        <f>+'Purchased Power Model '!C21</f>
        <v>2</v>
      </c>
      <c r="D21" s="119">
        <f>+'Purchased Power Model '!D21</f>
        <v>69.3</v>
      </c>
      <c r="E21" s="126">
        <f>+'Purchased Power Model '!E21</f>
        <v>5.5E-2</v>
      </c>
      <c r="F21" s="10">
        <f>+'Purchased Power Model '!F21</f>
        <v>31</v>
      </c>
      <c r="G21" s="10">
        <f>+'Purchased Power Model '!G21</f>
        <v>0</v>
      </c>
      <c r="H21" s="141">
        <f t="shared" si="2"/>
        <v>99503652.659450188</v>
      </c>
      <c r="I21" s="142">
        <f t="shared" si="3"/>
        <v>6600122.6594501883</v>
      </c>
      <c r="J21" s="5">
        <f t="shared" si="4"/>
        <v>7.1042754343674436E-2</v>
      </c>
      <c r="K21"/>
      <c r="L21" s="35" t="s">
        <v>223</v>
      </c>
      <c r="M21" s="68">
        <v>-122610837.66682497</v>
      </c>
      <c r="N21" s="68">
        <v>21424710.346092973</v>
      </c>
      <c r="O21" s="68">
        <v>-5.722870259909226</v>
      </c>
      <c r="P21" s="68">
        <v>6.2533239253444078E-8</v>
      </c>
      <c r="Q21" s="68">
        <v>-164973993.32107115</v>
      </c>
      <c r="R21" s="68">
        <v>-80247682.012578785</v>
      </c>
      <c r="S21" s="68">
        <v>-164973993.32107115</v>
      </c>
      <c r="T21" s="68">
        <v>-80247682.012578785</v>
      </c>
      <c r="U21" s="135"/>
      <c r="V21" s="135"/>
      <c r="W21" s="135"/>
      <c r="X21" s="135"/>
      <c r="Y21" s="135"/>
      <c r="Z21" s="135"/>
      <c r="AA21" s="135"/>
      <c r="AB21" s="135"/>
    </row>
    <row r="22" spans="1:28" x14ac:dyDescent="0.2">
      <c r="A22" s="140">
        <v>38200</v>
      </c>
      <c r="B22" s="41">
        <f>+'Purchased Power Model '!B22</f>
        <v>94121760</v>
      </c>
      <c r="C22" s="119">
        <f>+'Purchased Power Model '!C22</f>
        <v>19.600000000000001</v>
      </c>
      <c r="D22" s="119">
        <f>+'Purchased Power Model '!D22</f>
        <v>53.6</v>
      </c>
      <c r="E22" s="126">
        <f>+'Purchased Power Model '!E22</f>
        <v>5.5E-2</v>
      </c>
      <c r="F22" s="10">
        <f>+'Purchased Power Model '!F22</f>
        <v>31</v>
      </c>
      <c r="G22" s="10">
        <f>+'Purchased Power Model '!G22</f>
        <v>0</v>
      </c>
      <c r="H22" s="141">
        <f t="shared" si="2"/>
        <v>97940142.238396183</v>
      </c>
      <c r="I22" s="142">
        <f t="shared" si="3"/>
        <v>3818382.2383961827</v>
      </c>
      <c r="J22" s="5">
        <f t="shared" si="4"/>
        <v>4.0568538437829704E-2</v>
      </c>
      <c r="K22"/>
      <c r="L22" s="35" t="s">
        <v>5</v>
      </c>
      <c r="M22" s="68">
        <v>2811034.7945126728</v>
      </c>
      <c r="N22" s="68">
        <v>412295.42286162882</v>
      </c>
      <c r="O22" s="68">
        <v>6.818011160546134</v>
      </c>
      <c r="P22" s="68">
        <v>2.6427977981079473E-10</v>
      </c>
      <c r="Q22" s="68">
        <v>1995801.5945265845</v>
      </c>
      <c r="R22" s="68">
        <v>3626267.9944987614</v>
      </c>
      <c r="S22" s="68">
        <v>1995801.5945265845</v>
      </c>
      <c r="T22" s="68">
        <v>3626267.9944987614</v>
      </c>
      <c r="U22" s="135"/>
      <c r="V22" s="135"/>
      <c r="W22" s="135"/>
      <c r="X22" s="135"/>
      <c r="Y22" s="135"/>
      <c r="Z22" s="135"/>
      <c r="AA22" s="135"/>
      <c r="AB22" s="135"/>
    </row>
    <row r="23" spans="1:28" ht="13.5" thickBot="1" x14ac:dyDescent="0.25">
      <c r="A23" s="140">
        <v>38231</v>
      </c>
      <c r="B23" s="41">
        <f>+'Purchased Power Model '!B23</f>
        <v>88536700</v>
      </c>
      <c r="C23" s="119">
        <f>+'Purchased Power Model '!C23</f>
        <v>41.7</v>
      </c>
      <c r="D23" s="119">
        <f>+'Purchased Power Model '!D23</f>
        <v>26.7</v>
      </c>
      <c r="E23" s="126">
        <f>+'Purchased Power Model '!E23</f>
        <v>5.5E-2</v>
      </c>
      <c r="F23" s="10">
        <f>+'Purchased Power Model '!F23</f>
        <v>30</v>
      </c>
      <c r="G23" s="10">
        <f>+'Purchased Power Model '!G23</f>
        <v>1</v>
      </c>
      <c r="H23" s="141">
        <f t="shared" si="2"/>
        <v>85104229.353632167</v>
      </c>
      <c r="I23" s="142">
        <f t="shared" si="3"/>
        <v>-3432470.646367833</v>
      </c>
      <c r="J23" s="5">
        <f t="shared" si="4"/>
        <v>-3.8768902007504609E-2</v>
      </c>
      <c r="K23"/>
      <c r="L23" s="51" t="s">
        <v>17</v>
      </c>
      <c r="M23" s="69">
        <v>-7021717.0816095807</v>
      </c>
      <c r="N23" s="69">
        <v>831562.49823754164</v>
      </c>
      <c r="O23" s="69">
        <v>-8.4440040243418704</v>
      </c>
      <c r="P23" s="69">
        <v>3.7813485135784314E-14</v>
      </c>
      <c r="Q23" s="69">
        <v>-8665968.5547920372</v>
      </c>
      <c r="R23" s="69">
        <v>-5377465.6084271241</v>
      </c>
      <c r="S23" s="69">
        <v>-8665968.5547920372</v>
      </c>
      <c r="T23" s="69">
        <v>-5377465.6084271241</v>
      </c>
      <c r="U23" s="135"/>
      <c r="V23" s="135"/>
      <c r="W23" s="135"/>
      <c r="X23" s="135"/>
      <c r="Y23" s="135"/>
      <c r="Z23" s="135"/>
      <c r="AA23" s="135"/>
      <c r="AB23" s="135"/>
    </row>
    <row r="24" spans="1:28" x14ac:dyDescent="0.2">
      <c r="A24" s="140">
        <v>38261</v>
      </c>
      <c r="B24" s="41">
        <f>+'Purchased Power Model '!B24</f>
        <v>88377710</v>
      </c>
      <c r="C24" s="119">
        <f>+'Purchased Power Model '!C24</f>
        <v>235</v>
      </c>
      <c r="D24" s="119">
        <f>+'Purchased Power Model '!D24</f>
        <v>0</v>
      </c>
      <c r="E24" s="126">
        <f>+'Purchased Power Model '!E24</f>
        <v>5.7999999999999996E-2</v>
      </c>
      <c r="F24" s="10">
        <f>+'Purchased Power Model '!F24</f>
        <v>31</v>
      </c>
      <c r="G24" s="10">
        <f>+'Purchased Power Model '!G24</f>
        <v>1</v>
      </c>
      <c r="H24" s="141">
        <f t="shared" si="2"/>
        <v>91465069.426893815</v>
      </c>
      <c r="I24" s="142">
        <f t="shared" si="3"/>
        <v>3087359.4268938154</v>
      </c>
      <c r="J24" s="5">
        <f t="shared" si="4"/>
        <v>3.4933688900672076E-2</v>
      </c>
      <c r="K24"/>
      <c r="L24"/>
      <c r="M24"/>
      <c r="N24"/>
      <c r="O24"/>
      <c r="P24"/>
      <c r="Q24"/>
      <c r="R24"/>
      <c r="S24"/>
      <c r="T24"/>
      <c r="U24" s="135"/>
      <c r="V24" s="135"/>
      <c r="W24" s="135"/>
      <c r="X24" s="135"/>
      <c r="Y24" s="135"/>
      <c r="Z24" s="135"/>
      <c r="AA24" s="135"/>
      <c r="AB24" s="135"/>
    </row>
    <row r="25" spans="1:28" x14ac:dyDescent="0.2">
      <c r="A25" s="140">
        <v>38292</v>
      </c>
      <c r="B25" s="41">
        <f>+'Purchased Power Model '!B25</f>
        <v>94905100</v>
      </c>
      <c r="C25" s="119">
        <f>+'Purchased Power Model '!C25</f>
        <v>385.7</v>
      </c>
      <c r="D25" s="119">
        <f>+'Purchased Power Model '!D25</f>
        <v>0</v>
      </c>
      <c r="E25" s="126">
        <f>+'Purchased Power Model '!E25</f>
        <v>5.7999999999999996E-2</v>
      </c>
      <c r="F25" s="10">
        <f>+'Purchased Power Model '!F25</f>
        <v>30</v>
      </c>
      <c r="G25" s="10">
        <f>+'Purchased Power Model '!G25</f>
        <v>1</v>
      </c>
      <c r="H25" s="141">
        <f t="shared" si="2"/>
        <v>94720639.081301793</v>
      </c>
      <c r="I25" s="142">
        <f t="shared" si="3"/>
        <v>-184460.91869820654</v>
      </c>
      <c r="J25" s="5">
        <f t="shared" si="4"/>
        <v>-1.9436354705722511E-3</v>
      </c>
      <c r="K25"/>
      <c r="L25"/>
      <c r="M25"/>
      <c r="N25"/>
      <c r="O25"/>
      <c r="P25"/>
      <c r="Q25"/>
      <c r="R25"/>
      <c r="S25"/>
      <c r="T25"/>
      <c r="U25" s="135"/>
      <c r="V25" s="135"/>
      <c r="W25" s="135"/>
      <c r="X25" s="135"/>
      <c r="Y25" s="135"/>
      <c r="Z25" s="135"/>
      <c r="AA25" s="135"/>
      <c r="AB25" s="135"/>
    </row>
    <row r="26" spans="1:28" x14ac:dyDescent="0.2">
      <c r="A26" s="140">
        <v>38322</v>
      </c>
      <c r="B26" s="41">
        <f>+'Purchased Power Model '!B26</f>
        <v>113323500</v>
      </c>
      <c r="C26" s="119">
        <f>+'Purchased Power Model '!C26</f>
        <v>627.5</v>
      </c>
      <c r="D26" s="119">
        <f>+'Purchased Power Model '!D26</f>
        <v>0</v>
      </c>
      <c r="E26" s="126">
        <f>+'Purchased Power Model '!E26</f>
        <v>5.7999999999999996E-2</v>
      </c>
      <c r="F26" s="10">
        <f>+'Purchased Power Model '!F26</f>
        <v>31</v>
      </c>
      <c r="G26" s="10">
        <f>+'Purchased Power Model '!G26</f>
        <v>0</v>
      </c>
      <c r="H26" s="141">
        <f t="shared" si="2"/>
        <v>114287332.26962718</v>
      </c>
      <c r="I26" s="142">
        <f t="shared" si="3"/>
        <v>963832.26962718368</v>
      </c>
      <c r="J26" s="5">
        <f t="shared" si="4"/>
        <v>8.5051403250621781E-3</v>
      </c>
      <c r="K26"/>
      <c r="L26"/>
      <c r="M26"/>
      <c r="N26"/>
      <c r="O26"/>
      <c r="P26"/>
      <c r="Q26"/>
      <c r="R26"/>
      <c r="S26"/>
      <c r="T26"/>
      <c r="U26" s="135"/>
      <c r="V26" s="135"/>
      <c r="W26" s="135"/>
      <c r="X26" s="135"/>
      <c r="Y26" s="135"/>
      <c r="Z26" s="135"/>
      <c r="AA26" s="135"/>
      <c r="AB26" s="135"/>
    </row>
    <row r="27" spans="1:28" x14ac:dyDescent="0.2">
      <c r="A27" s="140">
        <v>38353</v>
      </c>
      <c r="B27" s="41">
        <f>+'Purchased Power Model '!B27</f>
        <v>118166820</v>
      </c>
      <c r="C27" s="119">
        <f>+'Purchased Power Model '!C27</f>
        <v>745.5</v>
      </c>
      <c r="D27" s="119">
        <f>+'Purchased Power Model '!D27</f>
        <v>0</v>
      </c>
      <c r="E27" s="126">
        <f>+'Purchased Power Model '!E27</f>
        <v>7.2000000000000008E-2</v>
      </c>
      <c r="F27" s="10">
        <f>+'Purchased Power Model '!F27</f>
        <v>31</v>
      </c>
      <c r="G27" s="10">
        <f>+'Purchased Power Model '!G27</f>
        <v>0</v>
      </c>
      <c r="H27" s="141">
        <f t="shared" si="2"/>
        <v>117321008.31251484</v>
      </c>
      <c r="I27" s="142">
        <f t="shared" si="3"/>
        <v>-845811.68748515844</v>
      </c>
      <c r="J27" s="5">
        <f t="shared" si="4"/>
        <v>-7.1577765017723114E-3</v>
      </c>
      <c r="K27"/>
      <c r="L27"/>
      <c r="M27"/>
      <c r="N27"/>
      <c r="T27" s="135"/>
      <c r="U27" s="135"/>
      <c r="V27" s="135"/>
      <c r="W27" s="135"/>
      <c r="X27" s="135"/>
      <c r="Y27" s="135"/>
      <c r="Z27" s="135"/>
      <c r="AA27" s="135"/>
      <c r="AB27" s="135"/>
    </row>
    <row r="28" spans="1:28" x14ac:dyDescent="0.2">
      <c r="A28" s="140">
        <v>38384</v>
      </c>
      <c r="B28" s="41">
        <f>+'Purchased Power Model '!B28</f>
        <v>100566840</v>
      </c>
      <c r="C28" s="119">
        <f>+'Purchased Power Model '!C28</f>
        <v>589.5</v>
      </c>
      <c r="D28" s="119">
        <f>+'Purchased Power Model '!D28</f>
        <v>0</v>
      </c>
      <c r="E28" s="126">
        <f>+'Purchased Power Model '!E28</f>
        <v>7.2000000000000008E-2</v>
      </c>
      <c r="F28" s="10">
        <f>+'Purchased Power Model '!F28</f>
        <v>28</v>
      </c>
      <c r="G28" s="10">
        <f>+'Purchased Power Model '!G28</f>
        <v>0</v>
      </c>
      <c r="H28" s="141">
        <f t="shared" si="2"/>
        <v>102607941.79207157</v>
      </c>
      <c r="I28" s="142">
        <f t="shared" si="3"/>
        <v>2041101.792071566</v>
      </c>
      <c r="J28" s="5">
        <f t="shared" si="4"/>
        <v>2.0295972231717394E-2</v>
      </c>
      <c r="K28"/>
      <c r="L28"/>
      <c r="M28"/>
      <c r="N28"/>
      <c r="T28" s="135"/>
      <c r="U28" s="135"/>
      <c r="V28" s="135"/>
      <c r="W28" s="135"/>
      <c r="X28" s="135"/>
      <c r="Y28" s="135"/>
      <c r="Z28" s="135"/>
      <c r="AA28" s="135"/>
      <c r="AB28" s="135"/>
    </row>
    <row r="29" spans="1:28" x14ac:dyDescent="0.2">
      <c r="A29" s="140">
        <v>38412</v>
      </c>
      <c r="B29" s="41">
        <f>+'Purchased Power Model '!B29</f>
        <v>104158730</v>
      </c>
      <c r="C29" s="119">
        <f>+'Purchased Power Model '!C29</f>
        <v>578.29999999999995</v>
      </c>
      <c r="D29" s="119">
        <f>+'Purchased Power Model '!D29</f>
        <v>0</v>
      </c>
      <c r="E29" s="126">
        <f>+'Purchased Power Model '!E29</f>
        <v>7.2000000000000008E-2</v>
      </c>
      <c r="F29" s="10">
        <f>+'Purchased Power Model '!F29</f>
        <v>31</v>
      </c>
      <c r="G29" s="10">
        <f>+'Purchased Power Model '!G29</f>
        <v>1</v>
      </c>
      <c r="H29" s="141">
        <f t="shared" si="2"/>
        <v>103568460.01750425</v>
      </c>
      <c r="I29" s="142">
        <f t="shared" si="3"/>
        <v>-590269.98249575496</v>
      </c>
      <c r="J29" s="5">
        <f t="shared" si="4"/>
        <v>-5.6670236138224323E-3</v>
      </c>
      <c r="K29"/>
      <c r="L29"/>
      <c r="M29"/>
      <c r="N29"/>
      <c r="T29" s="135"/>
      <c r="U29" s="135"/>
      <c r="V29" s="135"/>
      <c r="W29" s="135"/>
      <c r="X29" s="135"/>
      <c r="Y29" s="135"/>
      <c r="Z29" s="135"/>
      <c r="AA29" s="135"/>
      <c r="AB29" s="135"/>
    </row>
    <row r="30" spans="1:28" x14ac:dyDescent="0.2">
      <c r="A30" s="140">
        <v>38443</v>
      </c>
      <c r="B30" s="41">
        <f>+'Purchased Power Model '!B30</f>
        <v>84434840</v>
      </c>
      <c r="C30" s="119">
        <f>+'Purchased Power Model '!C30</f>
        <v>325.3</v>
      </c>
      <c r="D30" s="119">
        <f>+'Purchased Power Model '!D30</f>
        <v>0</v>
      </c>
      <c r="E30" s="126">
        <f>+'Purchased Power Model '!E30</f>
        <v>6.4000000000000001E-2</v>
      </c>
      <c r="F30" s="10">
        <f>+'Purchased Power Model '!F30</f>
        <v>30</v>
      </c>
      <c r="G30" s="10">
        <f>+'Purchased Power Model '!G30</f>
        <v>1</v>
      </c>
      <c r="H30" s="141">
        <f t="shared" si="2"/>
        <v>91553501.535627276</v>
      </c>
      <c r="I30" s="142">
        <f t="shared" si="3"/>
        <v>7118661.5356272757</v>
      </c>
      <c r="J30" s="5">
        <f t="shared" si="4"/>
        <v>8.4309528337203885E-2</v>
      </c>
      <c r="K30"/>
      <c r="L30"/>
      <c r="M30"/>
      <c r="N30"/>
      <c r="T30" s="135"/>
      <c r="U30" s="135"/>
      <c r="V30" s="135"/>
      <c r="W30" s="135"/>
      <c r="X30" s="135"/>
      <c r="Y30" s="135"/>
      <c r="Z30" s="135"/>
      <c r="AA30" s="135"/>
      <c r="AB30" s="135"/>
    </row>
    <row r="31" spans="1:28" x14ac:dyDescent="0.2">
      <c r="A31" s="140">
        <v>38473</v>
      </c>
      <c r="B31" s="41">
        <f>+'Purchased Power Model '!B31</f>
        <v>81831370</v>
      </c>
      <c r="C31" s="119">
        <f>+'Purchased Power Model '!C31</f>
        <v>216.1</v>
      </c>
      <c r="D31" s="119">
        <f>+'Purchased Power Model '!D31</f>
        <v>0.3</v>
      </c>
      <c r="E31" s="126">
        <f>+'Purchased Power Model '!E31</f>
        <v>6.4000000000000001E-2</v>
      </c>
      <c r="F31" s="10">
        <f>+'Purchased Power Model '!F31</f>
        <v>31</v>
      </c>
      <c r="G31" s="10">
        <f>+'Purchased Power Model '!G31</f>
        <v>1</v>
      </c>
      <c r="H31" s="141">
        <f t="shared" si="2"/>
        <v>90011977.209526002</v>
      </c>
      <c r="I31" s="142">
        <f t="shared" si="3"/>
        <v>8180607.2095260024</v>
      </c>
      <c r="J31" s="5">
        <f t="shared" si="4"/>
        <v>9.9969085321753776E-2</v>
      </c>
      <c r="K31"/>
      <c r="L31"/>
      <c r="M31"/>
      <c r="N31"/>
      <c r="T31" s="135"/>
      <c r="U31" s="135"/>
      <c r="V31" s="135"/>
      <c r="W31" s="135"/>
      <c r="X31" s="135"/>
      <c r="Y31" s="135"/>
      <c r="Z31" s="135"/>
      <c r="AA31" s="135"/>
      <c r="AB31" s="135"/>
    </row>
    <row r="32" spans="1:28" x14ac:dyDescent="0.2">
      <c r="A32" s="140">
        <v>38504</v>
      </c>
      <c r="B32" s="41">
        <f>+'Purchased Power Model '!B32</f>
        <v>98362500</v>
      </c>
      <c r="C32" s="119">
        <f>+'Purchased Power Model '!C32</f>
        <v>13.7</v>
      </c>
      <c r="D32" s="119">
        <f>+'Purchased Power Model '!D32</f>
        <v>89.9</v>
      </c>
      <c r="E32" s="126">
        <f>+'Purchased Power Model '!E32</f>
        <v>6.4000000000000001E-2</v>
      </c>
      <c r="F32" s="10">
        <f>+'Purchased Power Model '!F32</f>
        <v>30</v>
      </c>
      <c r="G32" s="10">
        <f>+'Purchased Power Model '!G32</f>
        <v>0</v>
      </c>
      <c r="H32" s="141">
        <f t="shared" si="2"/>
        <v>99041237.917959452</v>
      </c>
      <c r="I32" s="142">
        <f t="shared" si="3"/>
        <v>678737.91795945168</v>
      </c>
      <c r="J32" s="5">
        <f t="shared" si="4"/>
        <v>6.900372783931393E-3</v>
      </c>
      <c r="K32"/>
      <c r="L32"/>
      <c r="M32"/>
      <c r="N32"/>
      <c r="T32" s="135"/>
      <c r="U32" s="135"/>
      <c r="V32" s="135"/>
      <c r="W32" s="135"/>
      <c r="X32" s="135"/>
      <c r="Y32" s="135"/>
      <c r="Z32" s="135"/>
      <c r="AA32" s="135"/>
      <c r="AB32" s="135"/>
    </row>
    <row r="33" spans="1:28" x14ac:dyDescent="0.2">
      <c r="A33" s="140">
        <v>38534</v>
      </c>
      <c r="B33" s="41">
        <f>+'Purchased Power Model '!B33</f>
        <v>103745750</v>
      </c>
      <c r="C33" s="119">
        <f>+'Purchased Power Model '!C33</f>
        <v>2.2000000000000002</v>
      </c>
      <c r="D33" s="119">
        <f>+'Purchased Power Model '!D33</f>
        <v>153</v>
      </c>
      <c r="E33" s="126">
        <f>+'Purchased Power Model '!E33</f>
        <v>5.7999999999999996E-2</v>
      </c>
      <c r="F33" s="10">
        <f>+'Purchased Power Model '!F33</f>
        <v>31</v>
      </c>
      <c r="G33" s="10">
        <f>+'Purchased Power Model '!G33</f>
        <v>0</v>
      </c>
      <c r="H33" s="141">
        <f t="shared" si="2"/>
        <v>111256482.06626602</v>
      </c>
      <c r="I33" s="142">
        <f t="shared" si="3"/>
        <v>7510732.0662660152</v>
      </c>
      <c r="J33" s="5">
        <f t="shared" si="4"/>
        <v>7.2395563830479945E-2</v>
      </c>
      <c r="K33"/>
      <c r="L33"/>
      <c r="M33"/>
      <c r="N33"/>
      <c r="T33" s="135"/>
      <c r="U33" s="135"/>
      <c r="V33" s="135"/>
      <c r="W33" s="135"/>
      <c r="X33" s="135"/>
      <c r="Y33" s="135"/>
      <c r="Z33" s="135"/>
      <c r="AA33" s="135"/>
      <c r="AB33" s="135"/>
    </row>
    <row r="34" spans="1:28" x14ac:dyDescent="0.2">
      <c r="A34" s="140">
        <v>38565</v>
      </c>
      <c r="B34" s="41">
        <f>+'Purchased Power Model '!B34</f>
        <v>101425330</v>
      </c>
      <c r="C34" s="119">
        <f>+'Purchased Power Model '!C34</f>
        <v>0</v>
      </c>
      <c r="D34" s="119">
        <f>+'Purchased Power Model '!D34</f>
        <v>108</v>
      </c>
      <c r="E34" s="126">
        <f>+'Purchased Power Model '!E34</f>
        <v>5.7999999999999996E-2</v>
      </c>
      <c r="F34" s="10">
        <f>+'Purchased Power Model '!F34</f>
        <v>31</v>
      </c>
      <c r="G34" s="10">
        <f>+'Purchased Power Model '!G34</f>
        <v>0</v>
      </c>
      <c r="H34" s="141">
        <f t="shared" si="2"/>
        <v>104655762.21470764</v>
      </c>
      <c r="I34" s="142">
        <f t="shared" si="3"/>
        <v>3230432.2147076428</v>
      </c>
      <c r="J34" s="5">
        <f t="shared" si="4"/>
        <v>3.1850349559697198E-2</v>
      </c>
      <c r="K34"/>
      <c r="L34"/>
      <c r="M34"/>
      <c r="N34"/>
      <c r="T34" s="135"/>
      <c r="U34" s="135"/>
      <c r="V34" s="135"/>
      <c r="W34" s="135"/>
      <c r="X34" s="135"/>
      <c r="Y34" s="135"/>
      <c r="Z34" s="135"/>
      <c r="AA34" s="135"/>
      <c r="AB34" s="135"/>
    </row>
    <row r="35" spans="1:28" x14ac:dyDescent="0.2">
      <c r="A35" s="140">
        <v>38596</v>
      </c>
      <c r="B35" s="41">
        <f>+'Purchased Power Model '!B35</f>
        <v>87813850</v>
      </c>
      <c r="C35" s="119">
        <f>+'Purchased Power Model '!C35</f>
        <v>36.700000000000003</v>
      </c>
      <c r="D35" s="119">
        <f>+'Purchased Power Model '!D35</f>
        <v>32.799999999999997</v>
      </c>
      <c r="E35" s="126">
        <f>+'Purchased Power Model '!E35</f>
        <v>5.7999999999999996E-2</v>
      </c>
      <c r="F35" s="10">
        <f>+'Purchased Power Model '!F35</f>
        <v>30</v>
      </c>
      <c r="G35" s="10">
        <f>+'Purchased Power Model '!G35</f>
        <v>1</v>
      </c>
      <c r="H35" s="141">
        <f t="shared" si="2"/>
        <v>85417874.965711743</v>
      </c>
      <c r="I35" s="142">
        <f t="shared" si="3"/>
        <v>-2395975.0342882574</v>
      </c>
      <c r="J35" s="5">
        <f t="shared" si="4"/>
        <v>-2.7284705479696622E-2</v>
      </c>
      <c r="K35"/>
      <c r="L35"/>
      <c r="M35"/>
      <c r="N35"/>
      <c r="T35" s="135"/>
      <c r="U35" s="135"/>
      <c r="V35" s="135"/>
      <c r="W35" s="135"/>
      <c r="X35" s="135"/>
      <c r="Y35" s="135"/>
      <c r="Z35" s="135"/>
      <c r="AA35" s="135"/>
      <c r="AB35" s="135"/>
    </row>
    <row r="36" spans="1:28" x14ac:dyDescent="0.2">
      <c r="A36" s="140">
        <v>38626</v>
      </c>
      <c r="B36" s="41">
        <f>+'Purchased Power Model '!B36</f>
        <v>87350690</v>
      </c>
      <c r="C36" s="119">
        <f>+'Purchased Power Model '!C36</f>
        <v>223.8</v>
      </c>
      <c r="D36" s="119">
        <f>+'Purchased Power Model '!D36</f>
        <v>0.5</v>
      </c>
      <c r="E36" s="126">
        <f>+'Purchased Power Model '!E36</f>
        <v>6.7000000000000004E-2</v>
      </c>
      <c r="F36" s="10">
        <f>+'Purchased Power Model '!F36</f>
        <v>31</v>
      </c>
      <c r="G36" s="10">
        <f>+'Purchased Power Model '!G36</f>
        <v>1</v>
      </c>
      <c r="H36" s="141">
        <f t="shared" si="2"/>
        <v>89983060.103429526</v>
      </c>
      <c r="I36" s="142">
        <f t="shared" si="3"/>
        <v>2632370.1034295261</v>
      </c>
      <c r="J36" s="5">
        <f t="shared" si="4"/>
        <v>3.0135653232155647E-2</v>
      </c>
      <c r="K36"/>
      <c r="L36"/>
      <c r="M36"/>
      <c r="N36"/>
      <c r="T36" s="135"/>
      <c r="U36" s="135"/>
      <c r="V36" s="135"/>
      <c r="W36" s="135"/>
      <c r="X36" s="135"/>
      <c r="Y36" s="135"/>
      <c r="Z36" s="135"/>
      <c r="AA36" s="135"/>
      <c r="AB36" s="135"/>
    </row>
    <row r="37" spans="1:28" x14ac:dyDescent="0.2">
      <c r="A37" s="140">
        <v>38657</v>
      </c>
      <c r="B37" s="41">
        <f>+'Purchased Power Model '!B37</f>
        <v>94515140</v>
      </c>
      <c r="C37" s="119">
        <f>+'Purchased Power Model '!C37</f>
        <v>398.5</v>
      </c>
      <c r="D37" s="119">
        <f>+'Purchased Power Model '!D37</f>
        <v>0</v>
      </c>
      <c r="E37" s="126">
        <f>+'Purchased Power Model '!E37</f>
        <v>6.7000000000000004E-2</v>
      </c>
      <c r="F37" s="10">
        <f>+'Purchased Power Model '!F37</f>
        <v>30</v>
      </c>
      <c r="G37" s="10">
        <f>+'Purchased Power Model '!G37</f>
        <v>1</v>
      </c>
      <c r="H37" s="141">
        <f t="shared" si="2"/>
        <v>94132420.486866951</v>
      </c>
      <c r="I37" s="142">
        <f t="shared" si="3"/>
        <v>-382719.51313304901</v>
      </c>
      <c r="J37" s="5">
        <f t="shared" si="4"/>
        <v>-4.0492931940115523E-3</v>
      </c>
      <c r="K37"/>
      <c r="L37"/>
      <c r="M37"/>
      <c r="N37"/>
      <c r="T37" s="135"/>
      <c r="U37" s="135"/>
      <c r="V37" s="135"/>
      <c r="W37" s="135"/>
      <c r="X37" s="135"/>
      <c r="Y37" s="135"/>
      <c r="Z37" s="135"/>
      <c r="AA37" s="135"/>
      <c r="AB37" s="135"/>
    </row>
    <row r="38" spans="1:28" x14ac:dyDescent="0.2">
      <c r="A38" s="140">
        <v>38687</v>
      </c>
      <c r="B38" s="41">
        <f>+'Purchased Power Model '!B38</f>
        <v>112129490</v>
      </c>
      <c r="C38" s="119">
        <f>+'Purchased Power Model '!C38</f>
        <v>641.1</v>
      </c>
      <c r="D38" s="119">
        <f>+'Purchased Power Model '!D38</f>
        <v>0</v>
      </c>
      <c r="E38" s="126">
        <f>+'Purchased Power Model '!E38</f>
        <v>6.7000000000000004E-2</v>
      </c>
      <c r="F38" s="10">
        <f>+'Purchased Power Model '!F38</f>
        <v>31</v>
      </c>
      <c r="G38" s="10">
        <f>+'Purchased Power Model '!G38</f>
        <v>0</v>
      </c>
      <c r="H38" s="141">
        <f t="shared" si="2"/>
        <v>113731318.60922776</v>
      </c>
      <c r="I38" s="142">
        <f t="shared" si="3"/>
        <v>1601828.6092277616</v>
      </c>
      <c r="J38" s="5">
        <f t="shared" si="4"/>
        <v>1.4285524791272677E-2</v>
      </c>
      <c r="K38"/>
      <c r="L38"/>
      <c r="M38"/>
      <c r="N38"/>
      <c r="T38" s="135"/>
      <c r="U38" s="135"/>
      <c r="V38" s="135"/>
      <c r="W38" s="135"/>
      <c r="X38" s="135"/>
      <c r="Y38" s="135"/>
      <c r="Z38" s="135"/>
      <c r="AA38" s="135"/>
      <c r="AB38" s="135"/>
    </row>
    <row r="39" spans="1:28" x14ac:dyDescent="0.2">
      <c r="A39" s="140">
        <v>38718</v>
      </c>
      <c r="B39" s="41">
        <f>+'Purchased Power Model '!B39</f>
        <v>108586490</v>
      </c>
      <c r="C39" s="119">
        <f>+'Purchased Power Model '!C39</f>
        <v>558.20000000000005</v>
      </c>
      <c r="D39" s="119">
        <f>+'Purchased Power Model '!D39</f>
        <v>0</v>
      </c>
      <c r="E39" s="126">
        <f>+'Purchased Power Model '!E39</f>
        <v>6.6000000000000003E-2</v>
      </c>
      <c r="F39" s="10">
        <f>+'Purchased Power Model '!F39</f>
        <v>31</v>
      </c>
      <c r="G39" s="10">
        <f>+'Purchased Power Model '!G39</f>
        <v>0</v>
      </c>
      <c r="H39" s="141">
        <f t="shared" si="2"/>
        <v>110516693.15747507</v>
      </c>
      <c r="I39" s="142">
        <f t="shared" si="3"/>
        <v>1930203.1574750692</v>
      </c>
      <c r="J39" s="5">
        <f t="shared" si="4"/>
        <v>1.777572106322867E-2</v>
      </c>
      <c r="K39"/>
      <c r="L39"/>
      <c r="M39"/>
      <c r="N39"/>
      <c r="T39" s="135"/>
      <c r="U39" s="135"/>
      <c r="V39" s="135"/>
      <c r="W39" s="135"/>
      <c r="X39" s="135"/>
      <c r="Y39" s="135"/>
      <c r="Z39" s="135"/>
      <c r="AA39" s="135"/>
      <c r="AB39" s="135"/>
    </row>
    <row r="40" spans="1:28" x14ac:dyDescent="0.2">
      <c r="A40" s="140">
        <v>38749</v>
      </c>
      <c r="B40" s="41">
        <f>+'Purchased Power Model '!B40</f>
        <v>101769990</v>
      </c>
      <c r="C40" s="119">
        <f>+'Purchased Power Model '!C40</f>
        <v>608.79999999999995</v>
      </c>
      <c r="D40" s="119">
        <f>+'Purchased Power Model '!D40</f>
        <v>0</v>
      </c>
      <c r="E40" s="126">
        <f>+'Purchased Power Model '!E40</f>
        <v>6.6000000000000003E-2</v>
      </c>
      <c r="F40" s="10">
        <f>+'Purchased Power Model '!F40</f>
        <v>28</v>
      </c>
      <c r="G40" s="10">
        <f>+'Purchased Power Model '!G40</f>
        <v>0</v>
      </c>
      <c r="H40" s="141">
        <f t="shared" si="2"/>
        <v>104120550.85167682</v>
      </c>
      <c r="I40" s="142">
        <f t="shared" si="3"/>
        <v>2350560.8516768217</v>
      </c>
      <c r="J40" s="5">
        <f t="shared" si="4"/>
        <v>2.3096797510511906E-2</v>
      </c>
      <c r="K40"/>
      <c r="L40"/>
      <c r="M40"/>
      <c r="N40"/>
      <c r="T40" s="135"/>
      <c r="U40" s="135"/>
      <c r="V40" s="135"/>
      <c r="W40" s="135"/>
      <c r="X40" s="135"/>
      <c r="Y40" s="135"/>
      <c r="Z40" s="135"/>
      <c r="AA40" s="135"/>
      <c r="AB40" s="135"/>
    </row>
    <row r="41" spans="1:28" x14ac:dyDescent="0.2">
      <c r="A41" s="140">
        <v>38777</v>
      </c>
      <c r="B41" s="41">
        <f>+'Purchased Power Model '!B41</f>
        <v>102729300</v>
      </c>
      <c r="C41" s="119">
        <f>+'Purchased Power Model '!C41</f>
        <v>534</v>
      </c>
      <c r="D41" s="119">
        <f>+'Purchased Power Model '!D41</f>
        <v>0</v>
      </c>
      <c r="E41" s="126">
        <f>+'Purchased Power Model '!E41</f>
        <v>6.6000000000000003E-2</v>
      </c>
      <c r="F41" s="10">
        <f>+'Purchased Power Model '!F41</f>
        <v>31</v>
      </c>
      <c r="G41" s="10">
        <f>+'Purchased Power Model '!G41</f>
        <v>1</v>
      </c>
      <c r="H41" s="141">
        <f t="shared" si="2"/>
        <v>102520776.82129429</v>
      </c>
      <c r="I41" s="142">
        <f t="shared" si="3"/>
        <v>-208523.17870570719</v>
      </c>
      <c r="J41" s="5">
        <f t="shared" si="4"/>
        <v>-2.0298315933789794E-3</v>
      </c>
      <c r="K41"/>
      <c r="L41"/>
      <c r="M41"/>
      <c r="N41"/>
      <c r="T41" s="135"/>
      <c r="U41" s="135"/>
      <c r="V41" s="135"/>
      <c r="W41" s="135"/>
      <c r="X41" s="135"/>
      <c r="Y41" s="135"/>
      <c r="Z41" s="135"/>
      <c r="AA41" s="135"/>
      <c r="AB41" s="135"/>
    </row>
    <row r="42" spans="1:28" x14ac:dyDescent="0.2">
      <c r="A42" s="140">
        <v>38808</v>
      </c>
      <c r="B42" s="41">
        <f>+'Purchased Power Model '!B42</f>
        <v>85245280</v>
      </c>
      <c r="C42" s="119">
        <f>+'Purchased Power Model '!C42</f>
        <v>323.60000000000002</v>
      </c>
      <c r="D42" s="119">
        <f>+'Purchased Power Model '!D42</f>
        <v>0</v>
      </c>
      <c r="E42" s="126">
        <f>+'Purchased Power Model '!E42</f>
        <v>6.5000000000000002E-2</v>
      </c>
      <c r="F42" s="10">
        <f>+'Purchased Power Model '!F42</f>
        <v>30</v>
      </c>
      <c r="G42" s="10">
        <f>+'Purchased Power Model '!G42</f>
        <v>1</v>
      </c>
      <c r="H42" s="141">
        <f t="shared" si="2"/>
        <v>91362455.213135198</v>
      </c>
      <c r="I42" s="142">
        <f t="shared" si="3"/>
        <v>6117175.2131351978</v>
      </c>
      <c r="J42" s="5">
        <f t="shared" si="4"/>
        <v>7.1759694063239607E-2</v>
      </c>
      <c r="K42"/>
      <c r="L42"/>
      <c r="M42"/>
      <c r="N42"/>
      <c r="T42" s="135"/>
      <c r="U42" s="135"/>
      <c r="V42" s="135"/>
      <c r="W42" s="135"/>
      <c r="X42" s="135"/>
      <c r="Y42" s="135"/>
      <c r="Z42" s="135"/>
      <c r="AA42" s="135"/>
      <c r="AB42" s="135"/>
    </row>
    <row r="43" spans="1:28" x14ac:dyDescent="0.2">
      <c r="A43" s="140">
        <v>38838</v>
      </c>
      <c r="B43" s="41">
        <f>+'Purchased Power Model '!B43</f>
        <v>85191000</v>
      </c>
      <c r="C43" s="119">
        <f>+'Purchased Power Model '!C43</f>
        <v>172.6</v>
      </c>
      <c r="D43" s="119">
        <f>+'Purchased Power Model '!D43</f>
        <v>12.8</v>
      </c>
      <c r="E43" s="126">
        <f>+'Purchased Power Model '!E43</f>
        <v>6.5000000000000002E-2</v>
      </c>
      <c r="F43" s="10">
        <f>+'Purchased Power Model '!F43</f>
        <v>31</v>
      </c>
      <c r="G43" s="10">
        <f>+'Purchased Power Model '!G43</f>
        <v>1</v>
      </c>
      <c r="H43" s="141">
        <f t="shared" si="2"/>
        <v>89947155.384506181</v>
      </c>
      <c r="I43" s="142">
        <f t="shared" si="3"/>
        <v>4756155.3845061809</v>
      </c>
      <c r="J43" s="5">
        <f t="shared" si="4"/>
        <v>5.5829317469054021E-2</v>
      </c>
      <c r="K43"/>
      <c r="L43"/>
      <c r="M43"/>
      <c r="N43"/>
      <c r="T43" s="135"/>
      <c r="U43" s="135"/>
      <c r="V43" s="135"/>
      <c r="W43" s="135"/>
      <c r="X43" s="135"/>
      <c r="Y43" s="135"/>
      <c r="Z43" s="135"/>
      <c r="AA43" s="135"/>
      <c r="AB43" s="135"/>
    </row>
    <row r="44" spans="1:28" x14ac:dyDescent="0.2">
      <c r="A44" s="140">
        <v>38869</v>
      </c>
      <c r="B44" s="41">
        <f>+'Purchased Power Model '!B44</f>
        <v>91808310</v>
      </c>
      <c r="C44" s="119">
        <f>+'Purchased Power Model '!C44</f>
        <v>22.6</v>
      </c>
      <c r="D44" s="119">
        <f>+'Purchased Power Model '!D44</f>
        <v>36.200000000000003</v>
      </c>
      <c r="E44" s="126">
        <f>+'Purchased Power Model '!E44</f>
        <v>6.5000000000000002E-2</v>
      </c>
      <c r="F44" s="10">
        <f>+'Purchased Power Model '!F44</f>
        <v>30</v>
      </c>
      <c r="G44" s="10">
        <f>+'Purchased Power Model '!G44</f>
        <v>0</v>
      </c>
      <c r="H44" s="141">
        <f t="shared" si="2"/>
        <v>91505733.807103127</v>
      </c>
      <c r="I44" s="142">
        <f t="shared" si="3"/>
        <v>-302576.19289687276</v>
      </c>
      <c r="J44" s="5">
        <f t="shared" si="4"/>
        <v>-3.2957386199231067E-3</v>
      </c>
      <c r="K44"/>
      <c r="L44"/>
      <c r="M44"/>
      <c r="N44"/>
      <c r="T44" s="135"/>
      <c r="U44" s="135"/>
      <c r="V44" s="135"/>
      <c r="W44" s="135"/>
      <c r="X44" s="135"/>
      <c r="Y44" s="135"/>
      <c r="Z44" s="135"/>
      <c r="AA44" s="135"/>
      <c r="AB44" s="135"/>
    </row>
    <row r="45" spans="1:28" x14ac:dyDescent="0.2">
      <c r="A45" s="140">
        <v>38899</v>
      </c>
      <c r="B45" s="41">
        <f>+'Purchased Power Model '!B45</f>
        <v>103610940</v>
      </c>
      <c r="C45" s="119">
        <f>+'Purchased Power Model '!C45</f>
        <v>1.7</v>
      </c>
      <c r="D45" s="119">
        <f>+'Purchased Power Model '!D45</f>
        <v>107.6</v>
      </c>
      <c r="E45" s="126">
        <f>+'Purchased Power Model '!E45</f>
        <v>6.7000000000000004E-2</v>
      </c>
      <c r="F45" s="10">
        <f>+'Purchased Power Model '!F45</f>
        <v>31</v>
      </c>
      <c r="G45" s="10">
        <f>+'Purchased Power Model '!G45</f>
        <v>0</v>
      </c>
      <c r="H45" s="141">
        <f t="shared" si="2"/>
        <v>103562814.32690515</v>
      </c>
      <c r="I45" s="142">
        <f t="shared" si="3"/>
        <v>-48125.673094853759</v>
      </c>
      <c r="J45" s="5">
        <f t="shared" si="4"/>
        <v>-4.6448447523836535E-4</v>
      </c>
      <c r="K45"/>
      <c r="L45"/>
      <c r="M45"/>
      <c r="N45"/>
      <c r="T45" s="135"/>
      <c r="U45" s="135"/>
      <c r="V45" s="135"/>
      <c r="W45" s="135"/>
      <c r="X45" s="135"/>
      <c r="Y45" s="135"/>
      <c r="Z45" s="135"/>
      <c r="AA45" s="135"/>
      <c r="AB45" s="135"/>
    </row>
    <row r="46" spans="1:28" x14ac:dyDescent="0.2">
      <c r="A46" s="140">
        <v>38930</v>
      </c>
      <c r="B46" s="41">
        <f>+'Purchased Power Model '!B46</f>
        <v>98252830</v>
      </c>
      <c r="C46" s="119">
        <f>+'Purchased Power Model '!C46</f>
        <v>4.4000000000000004</v>
      </c>
      <c r="D46" s="119">
        <f>+'Purchased Power Model '!D46</f>
        <v>82.1</v>
      </c>
      <c r="E46" s="126">
        <f>+'Purchased Power Model '!E46</f>
        <v>6.7000000000000004E-2</v>
      </c>
      <c r="F46" s="10">
        <f>+'Purchased Power Model '!F46</f>
        <v>31</v>
      </c>
      <c r="G46" s="10">
        <f>+'Purchased Power Model '!G46</f>
        <v>0</v>
      </c>
      <c r="H46" s="141">
        <f t="shared" si="2"/>
        <v>99981284.085596755</v>
      </c>
      <c r="I46" s="142">
        <f t="shared" si="3"/>
        <v>1728454.0855967551</v>
      </c>
      <c r="J46" s="5">
        <f t="shared" si="4"/>
        <v>1.7591901277517964E-2</v>
      </c>
      <c r="K46"/>
      <c r="L46"/>
      <c r="M46"/>
      <c r="N46"/>
      <c r="T46" s="135"/>
      <c r="U46" s="135"/>
      <c r="V46" s="135"/>
      <c r="W46" s="135"/>
      <c r="X46" s="135"/>
      <c r="Y46" s="135"/>
      <c r="Z46" s="135"/>
      <c r="AA46" s="135"/>
      <c r="AB46" s="135"/>
    </row>
    <row r="47" spans="1:28" x14ac:dyDescent="0.2">
      <c r="A47" s="140">
        <v>38961</v>
      </c>
      <c r="B47" s="41">
        <f>+'Purchased Power Model '!B47</f>
        <v>83090470</v>
      </c>
      <c r="C47" s="119">
        <f>+'Purchased Power Model '!C47</f>
        <v>70.7</v>
      </c>
      <c r="D47" s="119">
        <f>+'Purchased Power Model '!D47</f>
        <v>5.0999999999999996</v>
      </c>
      <c r="E47" s="126">
        <f>+'Purchased Power Model '!E47</f>
        <v>6.7000000000000004E-2</v>
      </c>
      <c r="F47" s="10">
        <f>+'Purchased Power Model '!F47</f>
        <v>30</v>
      </c>
      <c r="G47" s="10">
        <f>+'Purchased Power Model '!G47</f>
        <v>1</v>
      </c>
      <c r="H47" s="141">
        <f t="shared" si="2"/>
        <v>81674493.144592658</v>
      </c>
      <c r="I47" s="142">
        <f t="shared" si="3"/>
        <v>-1415976.8554073423</v>
      </c>
      <c r="J47" s="5">
        <f t="shared" si="4"/>
        <v>-1.7041387001509829E-2</v>
      </c>
      <c r="K47"/>
      <c r="L47"/>
      <c r="M47"/>
      <c r="N47"/>
      <c r="T47" s="135"/>
      <c r="U47" s="135"/>
      <c r="V47" s="135"/>
      <c r="W47" s="135"/>
      <c r="X47" s="135"/>
      <c r="Y47" s="135"/>
      <c r="Z47" s="135"/>
      <c r="AA47" s="135"/>
      <c r="AB47" s="135"/>
    </row>
    <row r="48" spans="1:28" x14ac:dyDescent="0.2">
      <c r="A48" s="140">
        <v>38991</v>
      </c>
      <c r="B48" s="41">
        <f>+'Purchased Power Model '!B48</f>
        <v>90859410</v>
      </c>
      <c r="C48" s="119">
        <f>+'Purchased Power Model '!C48</f>
        <v>274.60000000000002</v>
      </c>
      <c r="D48" s="119">
        <f>+'Purchased Power Model '!D48</f>
        <v>0</v>
      </c>
      <c r="E48" s="126">
        <f>+'Purchased Power Model '!E48</f>
        <v>6.8000000000000005E-2</v>
      </c>
      <c r="F48" s="10">
        <f>+'Purchased Power Model '!F48</f>
        <v>31</v>
      </c>
      <c r="G48" s="10">
        <f>+'Purchased Power Model '!G48</f>
        <v>1</v>
      </c>
      <c r="H48" s="141">
        <f t="shared" si="2"/>
        <v>91833105.284978449</v>
      </c>
      <c r="I48" s="142">
        <f t="shared" si="3"/>
        <v>973695.28497844934</v>
      </c>
      <c r="J48" s="5">
        <f t="shared" si="4"/>
        <v>1.0716504597360354E-2</v>
      </c>
      <c r="K48"/>
      <c r="L48"/>
      <c r="M48"/>
      <c r="N48"/>
      <c r="T48" s="135"/>
      <c r="U48" s="135"/>
      <c r="V48" s="135"/>
      <c r="W48" s="135"/>
      <c r="X48" s="135"/>
      <c r="Y48" s="135"/>
      <c r="Z48" s="135"/>
      <c r="AA48" s="135"/>
      <c r="AB48" s="135"/>
    </row>
    <row r="49" spans="1:28" x14ac:dyDescent="0.2">
      <c r="A49" s="140">
        <v>39022</v>
      </c>
      <c r="B49" s="41">
        <f>+'Purchased Power Model '!B49</f>
        <v>95117460</v>
      </c>
      <c r="C49" s="119">
        <f>+'Purchased Power Model '!C49</f>
        <v>367.5</v>
      </c>
      <c r="D49" s="119">
        <f>+'Purchased Power Model '!D49</f>
        <v>0</v>
      </c>
      <c r="E49" s="126">
        <f>+'Purchased Power Model '!E49</f>
        <v>6.8000000000000005E-2</v>
      </c>
      <c r="F49" s="10">
        <f>+'Purchased Power Model '!F49</f>
        <v>30</v>
      </c>
      <c r="G49" s="10">
        <f>+'Purchased Power Model '!G49</f>
        <v>1</v>
      </c>
      <c r="H49" s="141">
        <f t="shared" si="2"/>
        <v>92761868.455327928</v>
      </c>
      <c r="I49" s="142">
        <f t="shared" si="3"/>
        <v>-2355591.5446720719</v>
      </c>
      <c r="J49" s="5">
        <f t="shared" si="4"/>
        <v>-2.4765080403451396E-2</v>
      </c>
      <c r="K49"/>
      <c r="L49"/>
      <c r="M49"/>
      <c r="N49"/>
      <c r="T49" s="135"/>
      <c r="U49" s="135"/>
      <c r="V49" s="135"/>
      <c r="W49" s="135"/>
      <c r="X49" s="135"/>
      <c r="Y49" s="135"/>
      <c r="Z49" s="135"/>
      <c r="AA49" s="135"/>
      <c r="AB49" s="135"/>
    </row>
    <row r="50" spans="1:28" x14ac:dyDescent="0.2">
      <c r="A50" s="140">
        <v>39052</v>
      </c>
      <c r="B50" s="41">
        <f>+'Purchased Power Model '!B50</f>
        <v>105098960</v>
      </c>
      <c r="C50" s="119">
        <f>+'Purchased Power Model '!C50</f>
        <v>471.5</v>
      </c>
      <c r="D50" s="119">
        <f>+'Purchased Power Model '!D50</f>
        <v>0</v>
      </c>
      <c r="E50" s="126">
        <f>+'Purchased Power Model '!E50</f>
        <v>6.8000000000000005E-2</v>
      </c>
      <c r="F50" s="10">
        <f>+'Purchased Power Model '!F50</f>
        <v>31</v>
      </c>
      <c r="G50" s="10">
        <f>+'Purchased Power Model '!G50</f>
        <v>0</v>
      </c>
      <c r="H50" s="141">
        <f t="shared" si="2"/>
        <v>106781261.75605369</v>
      </c>
      <c r="I50" s="142">
        <f t="shared" si="3"/>
        <v>1682301.7560536861</v>
      </c>
      <c r="J50" s="5">
        <f t="shared" si="4"/>
        <v>1.6006835424952695E-2</v>
      </c>
      <c r="K50"/>
      <c r="L50"/>
      <c r="M50"/>
      <c r="N50"/>
      <c r="T50" s="135"/>
      <c r="U50" s="135"/>
      <c r="V50" s="135"/>
      <c r="W50" s="135"/>
      <c r="X50" s="135"/>
      <c r="Y50" s="135"/>
      <c r="Z50" s="135"/>
      <c r="AA50" s="135"/>
      <c r="AB50" s="135"/>
    </row>
    <row r="51" spans="1:28" x14ac:dyDescent="0.2">
      <c r="A51" s="140">
        <v>39083</v>
      </c>
      <c r="B51" s="41">
        <f>+'Purchased Power Model '!B51</f>
        <v>112093789.99999999</v>
      </c>
      <c r="C51" s="119">
        <f>+'Purchased Power Model '!C51</f>
        <v>573.1</v>
      </c>
      <c r="D51" s="119">
        <f>+'Purchased Power Model '!D51</f>
        <v>0</v>
      </c>
      <c r="E51" s="126">
        <f>+'Purchased Power Model '!E51</f>
        <v>6.0999999999999999E-2</v>
      </c>
      <c r="F51" s="10">
        <f>+'Purchased Power Model '!F51</f>
        <v>31</v>
      </c>
      <c r="G51" s="10">
        <f>+'Purchased Power Model '!G51</f>
        <v>0</v>
      </c>
      <c r="H51" s="141">
        <f t="shared" si="2"/>
        <v>111729564.24221873</v>
      </c>
      <c r="I51" s="142">
        <f t="shared" si="3"/>
        <v>-364225.75778125226</v>
      </c>
      <c r="J51" s="5">
        <f t="shared" si="4"/>
        <v>-3.2492947002795811E-3</v>
      </c>
      <c r="K51"/>
      <c r="L51"/>
      <c r="M51"/>
      <c r="N51"/>
      <c r="T51" s="135"/>
      <c r="U51" s="135"/>
      <c r="V51" s="135"/>
      <c r="W51" s="135"/>
      <c r="X51" s="135"/>
      <c r="Y51" s="135"/>
      <c r="Z51" s="135"/>
      <c r="AA51" s="135"/>
      <c r="AB51" s="135"/>
    </row>
    <row r="52" spans="1:28" x14ac:dyDescent="0.2">
      <c r="A52" s="140">
        <v>39114</v>
      </c>
      <c r="B52" s="41">
        <f>+'Purchased Power Model '!B52</f>
        <v>109302770</v>
      </c>
      <c r="C52" s="119">
        <f>+'Purchased Power Model '!C52</f>
        <v>693.5</v>
      </c>
      <c r="D52" s="119">
        <f>+'Purchased Power Model '!D52</f>
        <v>0</v>
      </c>
      <c r="E52" s="126">
        <f>+'Purchased Power Model '!E52</f>
        <v>6.0999999999999999E-2</v>
      </c>
      <c r="F52" s="10">
        <f>+'Purchased Power Model '!F52</f>
        <v>28</v>
      </c>
      <c r="G52" s="10">
        <f>+'Purchased Power Model '!G52</f>
        <v>0</v>
      </c>
      <c r="H52" s="141">
        <f t="shared" si="2"/>
        <v>108143302.43101014</v>
      </c>
      <c r="I52" s="142">
        <f t="shared" si="3"/>
        <v>-1159467.568989858</v>
      </c>
      <c r="J52" s="5">
        <f t="shared" si="4"/>
        <v>-1.0607851649046571E-2</v>
      </c>
      <c r="K52"/>
      <c r="L52"/>
      <c r="M52"/>
      <c r="N52"/>
      <c r="T52" s="135"/>
      <c r="U52" s="135"/>
      <c r="V52" s="135"/>
      <c r="W52" s="135"/>
      <c r="X52" s="135"/>
      <c r="Y52" s="135"/>
      <c r="Z52" s="135"/>
      <c r="AA52" s="135"/>
      <c r="AB52" s="135"/>
    </row>
    <row r="53" spans="1:28" x14ac:dyDescent="0.2">
      <c r="A53" s="140">
        <v>39142</v>
      </c>
      <c r="B53" s="41">
        <f>+'Purchased Power Model '!B53</f>
        <v>106781890</v>
      </c>
      <c r="C53" s="119">
        <f>+'Purchased Power Model '!C53</f>
        <v>477.9</v>
      </c>
      <c r="D53" s="119">
        <f>+'Purchased Power Model '!D53</f>
        <v>0</v>
      </c>
      <c r="E53" s="126">
        <f>+'Purchased Power Model '!E53</f>
        <v>6.0999999999999999E-2</v>
      </c>
      <c r="F53" s="10">
        <f>+'Purchased Power Model '!F53</f>
        <v>31</v>
      </c>
      <c r="G53" s="10">
        <f>+'Purchased Power Model '!G53</f>
        <v>1</v>
      </c>
      <c r="H53" s="141">
        <f t="shared" si="2"/>
        <v>100875460.01039517</v>
      </c>
      <c r="I53" s="142">
        <f t="shared" si="3"/>
        <v>-5906429.9896048307</v>
      </c>
      <c r="J53" s="5">
        <f t="shared" si="4"/>
        <v>-5.5313030979362049E-2</v>
      </c>
      <c r="K53"/>
      <c r="L53"/>
      <c r="M53"/>
      <c r="N53"/>
      <c r="T53" s="135"/>
      <c r="U53" s="135"/>
      <c r="V53" s="135"/>
      <c r="W53" s="135"/>
      <c r="X53" s="135"/>
      <c r="Y53" s="135"/>
      <c r="Z53" s="135"/>
      <c r="AA53" s="135"/>
      <c r="AB53" s="135"/>
    </row>
    <row r="54" spans="1:28" x14ac:dyDescent="0.2">
      <c r="A54" s="140">
        <v>39173</v>
      </c>
      <c r="B54" s="41">
        <f>+'Purchased Power Model '!B54</f>
        <v>92267850</v>
      </c>
      <c r="C54" s="119">
        <f>+'Purchased Power Model '!C54</f>
        <v>280.39999999999998</v>
      </c>
      <c r="D54" s="119">
        <f>+'Purchased Power Model '!D54</f>
        <v>0</v>
      </c>
      <c r="E54" s="126">
        <f>+'Purchased Power Model '!E54</f>
        <v>0.06</v>
      </c>
      <c r="F54" s="10">
        <f>+'Purchased Power Model '!F54</f>
        <v>30</v>
      </c>
      <c r="G54" s="10">
        <f>+'Purchased Power Model '!G54</f>
        <v>1</v>
      </c>
      <c r="H54" s="141">
        <f t="shared" si="2"/>
        <v>90236442.963557094</v>
      </c>
      <c r="I54" s="142">
        <f t="shared" si="3"/>
        <v>-2031407.0364429057</v>
      </c>
      <c r="J54" s="5">
        <f t="shared" si="4"/>
        <v>-2.2016412395465004E-2</v>
      </c>
      <c r="K54"/>
      <c r="L54"/>
      <c r="M54"/>
      <c r="N54"/>
      <c r="T54" s="135"/>
      <c r="U54" s="135"/>
      <c r="V54" s="135"/>
      <c r="W54" s="135"/>
      <c r="X54" s="135"/>
      <c r="Y54" s="135"/>
      <c r="Z54" s="135"/>
      <c r="AA54" s="135"/>
      <c r="AB54" s="135"/>
    </row>
    <row r="55" spans="1:28" x14ac:dyDescent="0.2">
      <c r="A55" s="140">
        <v>39203</v>
      </c>
      <c r="B55" s="41">
        <f>+'Purchased Power Model '!B55</f>
        <v>86029130</v>
      </c>
      <c r="C55" s="119">
        <f>+'Purchased Power Model '!C55</f>
        <v>72.8</v>
      </c>
      <c r="D55" s="119">
        <f>+'Purchased Power Model '!D55</f>
        <v>4.5</v>
      </c>
      <c r="E55" s="126">
        <f>+'Purchased Power Model '!E55</f>
        <v>0.06</v>
      </c>
      <c r="F55" s="10">
        <f>+'Purchased Power Model '!F55</f>
        <v>31</v>
      </c>
      <c r="G55" s="10">
        <f>+'Purchased Power Model '!G55</f>
        <v>1</v>
      </c>
      <c r="H55" s="141">
        <f t="shared" si="2"/>
        <v>85341513.004176587</v>
      </c>
      <c r="I55" s="142">
        <f t="shared" si="3"/>
        <v>-687616.99582341313</v>
      </c>
      <c r="J55" s="5">
        <f t="shared" si="4"/>
        <v>-7.9928391211606248E-3</v>
      </c>
      <c r="K55"/>
      <c r="L55"/>
      <c r="M55"/>
      <c r="N55"/>
      <c r="T55" s="135"/>
      <c r="U55" s="135"/>
      <c r="V55" s="135"/>
      <c r="W55" s="135"/>
      <c r="X55" s="135"/>
      <c r="Y55" s="135"/>
      <c r="Z55" s="135"/>
      <c r="AA55" s="135"/>
      <c r="AB55" s="135"/>
    </row>
    <row r="56" spans="1:28" x14ac:dyDescent="0.2">
      <c r="A56" s="140">
        <v>39234</v>
      </c>
      <c r="B56" s="41">
        <f>+'Purchased Power Model '!B56</f>
        <v>96829929.999999985</v>
      </c>
      <c r="C56" s="119">
        <f>+'Purchased Power Model '!C56</f>
        <v>6.2</v>
      </c>
      <c r="D56" s="119">
        <f>+'Purchased Power Model '!D56</f>
        <v>32.799999999999997</v>
      </c>
      <c r="E56" s="126">
        <f>+'Purchased Power Model '!E56</f>
        <v>0.06</v>
      </c>
      <c r="F56" s="10">
        <f>+'Purchased Power Model '!F56</f>
        <v>30</v>
      </c>
      <c r="G56" s="10">
        <f>+'Purchased Power Model '!G56</f>
        <v>0</v>
      </c>
      <c r="H56" s="141">
        <f t="shared" si="2"/>
        <v>90966557.26188761</v>
      </c>
      <c r="I56" s="142">
        <f t="shared" si="3"/>
        <v>-5863372.7381123751</v>
      </c>
      <c r="J56" s="5">
        <f t="shared" si="4"/>
        <v>-6.0553309685469937E-2</v>
      </c>
      <c r="K56"/>
      <c r="L56"/>
      <c r="M56"/>
      <c r="N56"/>
      <c r="T56" s="135"/>
      <c r="U56" s="135"/>
      <c r="V56" s="135"/>
      <c r="W56" s="135"/>
      <c r="X56" s="135"/>
      <c r="Y56" s="135"/>
      <c r="Z56" s="135"/>
      <c r="AA56" s="135"/>
      <c r="AB56" s="135"/>
    </row>
    <row r="57" spans="1:28" x14ac:dyDescent="0.2">
      <c r="A57" s="140">
        <v>39264</v>
      </c>
      <c r="B57" s="41">
        <f>+'Purchased Power Model '!B57</f>
        <v>96919610</v>
      </c>
      <c r="C57" s="119">
        <f>+'Purchased Power Model '!C57</f>
        <v>8.6999999999999993</v>
      </c>
      <c r="D57" s="119">
        <f>+'Purchased Power Model '!D57</f>
        <v>41.6</v>
      </c>
      <c r="E57" s="126">
        <f>+'Purchased Power Model '!E57</f>
        <v>6.5000000000000002E-2</v>
      </c>
      <c r="F57" s="10">
        <f>+'Purchased Power Model '!F57</f>
        <v>31</v>
      </c>
      <c r="G57" s="10">
        <f>+'Purchased Power Model '!G57</f>
        <v>0</v>
      </c>
      <c r="H57" s="141">
        <f t="shared" si="2"/>
        <v>94538666.626705855</v>
      </c>
      <c r="I57" s="142">
        <f t="shared" si="3"/>
        <v>-2380943.3732941449</v>
      </c>
      <c r="J57" s="5">
        <f t="shared" si="4"/>
        <v>-2.4566167499994532E-2</v>
      </c>
      <c r="K57"/>
      <c r="L57"/>
      <c r="M57"/>
      <c r="N57"/>
      <c r="T57" s="135"/>
      <c r="U57" s="135"/>
      <c r="V57" s="135"/>
      <c r="W57" s="135"/>
      <c r="X57" s="135"/>
      <c r="Y57" s="135"/>
      <c r="Z57" s="135"/>
      <c r="AA57" s="135"/>
      <c r="AB57" s="135"/>
    </row>
    <row r="58" spans="1:28" x14ac:dyDescent="0.2">
      <c r="A58" s="140">
        <v>39295</v>
      </c>
      <c r="B58" s="41">
        <f>+'Purchased Power Model '!B58</f>
        <v>103644560</v>
      </c>
      <c r="C58" s="119">
        <f>+'Purchased Power Model '!C58</f>
        <v>4</v>
      </c>
      <c r="D58" s="119">
        <f>+'Purchased Power Model '!D58</f>
        <v>87.8</v>
      </c>
      <c r="E58" s="126">
        <f>+'Purchased Power Model '!E58</f>
        <v>6.5000000000000002E-2</v>
      </c>
      <c r="F58" s="10">
        <f>+'Purchased Power Model '!F58</f>
        <v>31</v>
      </c>
      <c r="G58" s="10">
        <f>+'Purchased Power Model '!G58</f>
        <v>0</v>
      </c>
      <c r="H58" s="141">
        <f t="shared" si="2"/>
        <v>101035276.42308776</v>
      </c>
      <c r="I58" s="142">
        <f t="shared" si="3"/>
        <v>-2609283.5769122392</v>
      </c>
      <c r="J58" s="5">
        <f t="shared" si="4"/>
        <v>-2.5175306614377439E-2</v>
      </c>
      <c r="K58"/>
      <c r="L58"/>
      <c r="M58"/>
      <c r="N58"/>
      <c r="T58" s="135"/>
      <c r="U58" s="135"/>
      <c r="V58" s="135"/>
      <c r="W58" s="135"/>
      <c r="X58" s="135"/>
      <c r="Y58" s="135"/>
      <c r="Z58" s="135"/>
      <c r="AA58" s="135"/>
      <c r="AB58" s="135"/>
    </row>
    <row r="59" spans="1:28" x14ac:dyDescent="0.2">
      <c r="A59" s="140">
        <v>39326</v>
      </c>
      <c r="B59" s="41">
        <f>+'Purchased Power Model '!B59</f>
        <v>87760000</v>
      </c>
      <c r="C59" s="119">
        <f>+'Purchased Power Model '!C59</f>
        <v>20.100000000000001</v>
      </c>
      <c r="D59" s="119">
        <f>+'Purchased Power Model '!D59</f>
        <v>12.3</v>
      </c>
      <c r="E59" s="126">
        <f>+'Purchased Power Model '!E59</f>
        <v>6.5000000000000002E-2</v>
      </c>
      <c r="F59" s="10">
        <f>+'Purchased Power Model '!F59</f>
        <v>30</v>
      </c>
      <c r="G59" s="10">
        <f>+'Purchased Power Model '!G59</f>
        <v>1</v>
      </c>
      <c r="H59" s="141">
        <f t="shared" si="2"/>
        <v>80924697.747460276</v>
      </c>
      <c r="I59" s="142">
        <f t="shared" si="3"/>
        <v>-6835302.2525397241</v>
      </c>
      <c r="J59" s="5">
        <f t="shared" si="4"/>
        <v>-7.7886306432768046E-2</v>
      </c>
      <c r="K59"/>
      <c r="L59"/>
      <c r="M59"/>
      <c r="N59"/>
      <c r="T59" s="135"/>
      <c r="U59" s="135"/>
      <c r="V59" s="135"/>
      <c r="W59" s="135"/>
      <c r="X59" s="135"/>
      <c r="Y59" s="135"/>
      <c r="Z59" s="135"/>
      <c r="AA59" s="135"/>
      <c r="AB59" s="135"/>
    </row>
    <row r="60" spans="1:28" x14ac:dyDescent="0.2">
      <c r="A60" s="140">
        <v>39356</v>
      </c>
      <c r="B60" s="41">
        <f>+'Purchased Power Model '!B60</f>
        <v>88883380</v>
      </c>
      <c r="C60" s="119">
        <f>+'Purchased Power Model '!C60</f>
        <v>101.5</v>
      </c>
      <c r="D60" s="119">
        <f>+'Purchased Power Model '!D60</f>
        <v>0</v>
      </c>
      <c r="E60" s="126">
        <f>+'Purchased Power Model '!E60</f>
        <v>6.3E-2</v>
      </c>
      <c r="F60" s="10">
        <f>+'Purchased Power Model '!F60</f>
        <v>31</v>
      </c>
      <c r="G60" s="10">
        <f>+'Purchased Power Model '!G60</f>
        <v>1</v>
      </c>
      <c r="H60" s="141">
        <f t="shared" si="2"/>
        <v>85477816.871400386</v>
      </c>
      <c r="I60" s="142">
        <f t="shared" si="3"/>
        <v>-3405563.1285996139</v>
      </c>
      <c r="J60" s="5">
        <f t="shared" si="4"/>
        <v>-3.831495976637718E-2</v>
      </c>
      <c r="K60"/>
      <c r="L60"/>
      <c r="M60"/>
      <c r="N60"/>
      <c r="T60" s="135"/>
      <c r="U60" s="135"/>
      <c r="V60" s="135"/>
      <c r="W60" s="135"/>
      <c r="X60" s="135"/>
      <c r="Y60" s="135"/>
      <c r="Z60" s="135"/>
      <c r="AA60" s="135"/>
      <c r="AB60" s="135"/>
    </row>
    <row r="61" spans="1:28" x14ac:dyDescent="0.2">
      <c r="A61" s="140">
        <v>39387</v>
      </c>
      <c r="B61" s="41">
        <f>+'Purchased Power Model '!B61</f>
        <v>97788230</v>
      </c>
      <c r="C61" s="119">
        <f>+'Purchased Power Model '!C61</f>
        <v>314.10000000000002</v>
      </c>
      <c r="D61" s="119">
        <f>+'Purchased Power Model '!D61</f>
        <v>0</v>
      </c>
      <c r="E61" s="126">
        <f>+'Purchased Power Model '!E61</f>
        <v>6.3E-2</v>
      </c>
      <c r="F61" s="10">
        <f>+'Purchased Power Model '!F61</f>
        <v>30</v>
      </c>
      <c r="G61" s="10">
        <f>+'Purchased Power Model '!G61</f>
        <v>1</v>
      </c>
      <c r="H61" s="141">
        <f t="shared" si="2"/>
        <v>91225243.296798334</v>
      </c>
      <c r="I61" s="142">
        <f t="shared" si="3"/>
        <v>-6562986.7032016665</v>
      </c>
      <c r="J61" s="5">
        <f t="shared" si="4"/>
        <v>-6.7114280555049075E-2</v>
      </c>
      <c r="K61"/>
      <c r="L61"/>
      <c r="M61"/>
      <c r="N61"/>
      <c r="T61" s="135"/>
      <c r="U61" s="135"/>
      <c r="V61" s="135"/>
      <c r="W61" s="135"/>
      <c r="X61" s="135"/>
      <c r="Y61" s="135"/>
      <c r="Z61" s="135"/>
      <c r="AA61" s="135"/>
      <c r="AB61" s="135"/>
    </row>
    <row r="62" spans="1:28" x14ac:dyDescent="0.2">
      <c r="A62" s="140">
        <v>39417</v>
      </c>
      <c r="B62" s="41">
        <f>+'Purchased Power Model '!B62</f>
        <v>112852450</v>
      </c>
      <c r="C62" s="119">
        <f>+'Purchased Power Model '!C62</f>
        <v>337.8</v>
      </c>
      <c r="D62" s="119">
        <f>+'Purchased Power Model '!D62</f>
        <v>0</v>
      </c>
      <c r="E62" s="126">
        <f>+'Purchased Power Model '!E62</f>
        <v>6.3E-2</v>
      </c>
      <c r="F62" s="10">
        <f>+'Purchased Power Model '!F62</f>
        <v>31</v>
      </c>
      <c r="G62" s="10">
        <f>+'Purchased Power Model '!G62</f>
        <v>0</v>
      </c>
      <c r="H62" s="141">
        <f t="shared" si="2"/>
        <v>102012066.34371966</v>
      </c>
      <c r="I62" s="142">
        <f t="shared" si="3"/>
        <v>-10840383.656280339</v>
      </c>
      <c r="J62" s="5">
        <f t="shared" si="4"/>
        <v>-9.605802670903768E-2</v>
      </c>
      <c r="K62"/>
      <c r="L62"/>
      <c r="M62"/>
      <c r="N62"/>
      <c r="T62" s="135"/>
      <c r="U62" s="135"/>
      <c r="V62" s="135"/>
      <c r="W62" s="135"/>
      <c r="X62" s="135"/>
      <c r="Y62" s="135"/>
      <c r="Z62" s="135"/>
      <c r="AA62" s="135"/>
      <c r="AB62" s="135"/>
    </row>
    <row r="63" spans="1:28" x14ac:dyDescent="0.2">
      <c r="A63" s="140">
        <v>39448</v>
      </c>
      <c r="B63" s="41">
        <f>+'Purchased Power Model '!B63</f>
        <v>111423480</v>
      </c>
      <c r="C63" s="119">
        <f>+'Purchased Power Model '!C63</f>
        <v>432.8</v>
      </c>
      <c r="D63" s="119">
        <f>+'Purchased Power Model '!D63</f>
        <v>0</v>
      </c>
      <c r="E63" s="126">
        <f>+'Purchased Power Model '!E63</f>
        <v>6.4000000000000001E-2</v>
      </c>
      <c r="F63" s="10">
        <f>+'Purchased Power Model '!F63</f>
        <v>31</v>
      </c>
      <c r="G63" s="10">
        <f>+'Purchased Power Model '!G63</f>
        <v>0</v>
      </c>
      <c r="H63" s="141">
        <f t="shared" si="2"/>
        <v>105713791.42275795</v>
      </c>
      <c r="I63" s="142">
        <f t="shared" si="3"/>
        <v>-5709688.5772420466</v>
      </c>
      <c r="J63" s="5">
        <f t="shared" si="4"/>
        <v>-5.1243136341119905E-2</v>
      </c>
      <c r="K63"/>
      <c r="L63"/>
      <c r="M63"/>
      <c r="N63"/>
      <c r="T63" s="135"/>
      <c r="U63" s="135"/>
      <c r="V63" s="135"/>
      <c r="W63" s="135"/>
      <c r="X63" s="135"/>
      <c r="Y63" s="135"/>
      <c r="Z63" s="135"/>
      <c r="AA63" s="135"/>
      <c r="AB63" s="135"/>
    </row>
    <row r="64" spans="1:28" x14ac:dyDescent="0.2">
      <c r="A64" s="140">
        <v>39479</v>
      </c>
      <c r="B64" s="41">
        <f>+'Purchased Power Model '!B64</f>
        <v>106527560</v>
      </c>
      <c r="C64" s="119">
        <f>+'Purchased Power Model '!C64</f>
        <v>317.60000000000002</v>
      </c>
      <c r="D64" s="119">
        <f>+'Purchased Power Model '!D64</f>
        <v>0</v>
      </c>
      <c r="E64" s="126">
        <f>+'Purchased Power Model '!E64</f>
        <v>6.4000000000000001E-2</v>
      </c>
      <c r="F64" s="10">
        <f>+'Purchased Power Model '!F64</f>
        <v>29</v>
      </c>
      <c r="G64" s="10">
        <f>+'Purchased Power Model '!G64</f>
        <v>0</v>
      </c>
      <c r="H64" s="141">
        <f t="shared" si="2"/>
        <v>95454211.332633346</v>
      </c>
      <c r="I64" s="142">
        <f t="shared" si="3"/>
        <v>-11073348.667366654</v>
      </c>
      <c r="J64" s="5">
        <f t="shared" si="4"/>
        <v>-0.10394820520968145</v>
      </c>
      <c r="K64"/>
      <c r="L64"/>
      <c r="M64"/>
      <c r="N64"/>
      <c r="T64" s="135"/>
      <c r="U64" s="135"/>
      <c r="V64" s="135"/>
      <c r="W64" s="135"/>
      <c r="X64" s="135"/>
      <c r="Y64" s="135"/>
      <c r="Z64" s="135"/>
      <c r="AA64" s="135"/>
      <c r="AB64" s="135"/>
    </row>
    <row r="65" spans="1:28" x14ac:dyDescent="0.2">
      <c r="A65" s="140">
        <v>39508</v>
      </c>
      <c r="B65" s="41">
        <f>+'Purchased Power Model '!B65</f>
        <v>105633899.99999999</v>
      </c>
      <c r="C65" s="119">
        <f>+'Purchased Power Model '!C65</f>
        <v>430</v>
      </c>
      <c r="D65" s="119">
        <f>+'Purchased Power Model '!D65</f>
        <v>0</v>
      </c>
      <c r="E65" s="126">
        <f>+'Purchased Power Model '!E65</f>
        <v>6.4000000000000001E-2</v>
      </c>
      <c r="F65" s="10">
        <f>+'Purchased Power Model '!F65</f>
        <v>31</v>
      </c>
      <c r="G65" s="10">
        <f>+'Purchased Power Model '!G65</f>
        <v>1</v>
      </c>
      <c r="H65" s="141">
        <f t="shared" si="2"/>
        <v>98579357.072024435</v>
      </c>
      <c r="I65" s="142">
        <f t="shared" si="3"/>
        <v>-7054542.9279755503</v>
      </c>
      <c r="J65" s="5">
        <f t="shared" si="4"/>
        <v>-6.6782944944525871E-2</v>
      </c>
      <c r="K65"/>
      <c r="L65"/>
      <c r="M65"/>
      <c r="N65"/>
      <c r="T65" s="135"/>
      <c r="U65" s="135"/>
      <c r="V65" s="135"/>
      <c r="W65" s="135"/>
      <c r="X65" s="135"/>
      <c r="Y65" s="135"/>
      <c r="Z65" s="135"/>
      <c r="AA65" s="135"/>
      <c r="AB65" s="135"/>
    </row>
    <row r="66" spans="1:28" x14ac:dyDescent="0.2">
      <c r="A66" s="140">
        <v>39539</v>
      </c>
      <c r="B66" s="41">
        <f>+'Purchased Power Model '!B66</f>
        <v>86147429.999999985</v>
      </c>
      <c r="C66" s="119">
        <f>+'Purchased Power Model '!C66</f>
        <v>144.6</v>
      </c>
      <c r="D66" s="119">
        <f>+'Purchased Power Model '!D66</f>
        <v>0</v>
      </c>
      <c r="E66" s="126">
        <f>+'Purchased Power Model '!E66</f>
        <v>7.400000000000001E-2</v>
      </c>
      <c r="F66" s="10">
        <f>+'Purchased Power Model '!F66</f>
        <v>30</v>
      </c>
      <c r="G66" s="10">
        <f>+'Purchased Power Model '!G66</f>
        <v>1</v>
      </c>
      <c r="H66" s="141">
        <f t="shared" si="2"/>
        <v>83053103.683710441</v>
      </c>
      <c r="I66" s="142">
        <f t="shared" si="3"/>
        <v>-3094326.3162895441</v>
      </c>
      <c r="J66" s="5">
        <f t="shared" si="4"/>
        <v>-3.5918962600388016E-2</v>
      </c>
      <c r="K66"/>
      <c r="L66"/>
      <c r="M66"/>
      <c r="N66"/>
      <c r="T66" s="135"/>
      <c r="U66" s="135"/>
      <c r="V66" s="135"/>
      <c r="W66" s="135"/>
      <c r="X66" s="135"/>
      <c r="Y66" s="135"/>
      <c r="Z66" s="135"/>
      <c r="AA66" s="135"/>
      <c r="AB66" s="135"/>
    </row>
    <row r="67" spans="1:28" x14ac:dyDescent="0.2">
      <c r="A67" s="140">
        <v>39569</v>
      </c>
      <c r="B67" s="41">
        <f>+'Purchased Power Model '!B67</f>
        <v>82776310</v>
      </c>
      <c r="C67" s="119">
        <f>+'Purchased Power Model '!C67</f>
        <v>151</v>
      </c>
      <c r="D67" s="119">
        <f>+'Purchased Power Model '!D67</f>
        <v>0</v>
      </c>
      <c r="E67" s="126">
        <f>+'Purchased Power Model '!E67</f>
        <v>7.400000000000001E-2</v>
      </c>
      <c r="F67" s="10">
        <f>+'Purchased Power Model '!F67</f>
        <v>31</v>
      </c>
      <c r="G67" s="10">
        <f>+'Purchased Power Model '!G67</f>
        <v>1</v>
      </c>
      <c r="H67" s="141">
        <f t="shared" si="2"/>
        <v>86121777.950506404</v>
      </c>
      <c r="I67" s="142">
        <f t="shared" si="3"/>
        <v>3345467.950506404</v>
      </c>
      <c r="J67" s="5">
        <f t="shared" si="4"/>
        <v>4.041576570043294E-2</v>
      </c>
      <c r="K67"/>
      <c r="L67"/>
      <c r="M67"/>
      <c r="N67"/>
      <c r="T67" s="135"/>
      <c r="U67" s="135"/>
      <c r="V67" s="135"/>
      <c r="W67" s="135"/>
      <c r="X67" s="135"/>
      <c r="Y67" s="135"/>
      <c r="Z67" s="135"/>
      <c r="AA67" s="135"/>
      <c r="AB67" s="135"/>
    </row>
    <row r="68" spans="1:28" x14ac:dyDescent="0.2">
      <c r="A68" s="140">
        <v>39600</v>
      </c>
      <c r="B68" s="41">
        <f>+'Purchased Power Model '!B68</f>
        <v>90692793</v>
      </c>
      <c r="C68" s="119">
        <f>+'Purchased Power Model '!C68</f>
        <v>15.5</v>
      </c>
      <c r="D68" s="119">
        <f>+'Purchased Power Model '!D68</f>
        <v>23.6</v>
      </c>
      <c r="E68" s="126">
        <f>+'Purchased Power Model '!E68</f>
        <v>7.400000000000001E-2</v>
      </c>
      <c r="F68" s="10">
        <f>+'Purchased Power Model '!F68</f>
        <v>30</v>
      </c>
      <c r="G68" s="10">
        <f>+'Purchased Power Model '!G68</f>
        <v>0</v>
      </c>
      <c r="H68" s="141">
        <f t="shared" ref="H68:H131" si="5">$M$18+C68*$M$19+D68*$M$20+E68*$M$21+F68*$M$22+G68*$M$23</f>
        <v>88293013.719308361</v>
      </c>
      <c r="I68" s="142">
        <f t="shared" ref="I68:I131" si="6">H68-B68</f>
        <v>-2399779.2806916386</v>
      </c>
      <c r="J68" s="5">
        <f t="shared" ref="J68:J131" si="7">I68/B68</f>
        <v>-2.6460529015702918E-2</v>
      </c>
      <c r="K68"/>
      <c r="L68"/>
      <c r="M68"/>
      <c r="N68"/>
      <c r="T68" s="135"/>
      <c r="U68" s="135"/>
      <c r="V68" s="135"/>
      <c r="W68" s="135"/>
      <c r="X68" s="135"/>
      <c r="Y68" s="135"/>
      <c r="Z68" s="135"/>
      <c r="AA68" s="135"/>
      <c r="AB68" s="135"/>
    </row>
    <row r="69" spans="1:28" x14ac:dyDescent="0.2">
      <c r="A69" s="140">
        <v>39630</v>
      </c>
      <c r="B69" s="41">
        <f>+'Purchased Power Model '!B69</f>
        <v>98868440</v>
      </c>
      <c r="C69" s="119">
        <f>+'Purchased Power Model '!C69</f>
        <v>1</v>
      </c>
      <c r="D69" s="119">
        <f>+'Purchased Power Model '!D69</f>
        <v>61.4</v>
      </c>
      <c r="E69" s="126">
        <f>+'Purchased Power Model '!E69</f>
        <v>6.8000000000000005E-2</v>
      </c>
      <c r="F69" s="10">
        <f>+'Purchased Power Model '!F69</f>
        <v>31</v>
      </c>
      <c r="G69" s="10">
        <f>+'Purchased Power Model '!G69</f>
        <v>0</v>
      </c>
      <c r="H69" s="141">
        <f t="shared" si="5"/>
        <v>96726210.388117373</v>
      </c>
      <c r="I69" s="142">
        <f t="shared" si="6"/>
        <v>-2142229.611882627</v>
      </c>
      <c r="J69" s="5">
        <f t="shared" si="7"/>
        <v>-2.1667476617236271E-2</v>
      </c>
      <c r="K69"/>
      <c r="L69"/>
      <c r="M69"/>
      <c r="N69"/>
      <c r="T69" s="135"/>
      <c r="U69" s="135"/>
      <c r="V69" s="135"/>
      <c r="W69" s="135"/>
      <c r="X69" s="135"/>
      <c r="Y69" s="135"/>
      <c r="Z69" s="135"/>
      <c r="AA69" s="135"/>
      <c r="AB69" s="135"/>
    </row>
    <row r="70" spans="1:28" x14ac:dyDescent="0.2">
      <c r="A70" s="140">
        <v>39661</v>
      </c>
      <c r="B70" s="41">
        <f>+'Purchased Power Model '!B70</f>
        <v>93432320</v>
      </c>
      <c r="C70" s="119">
        <f>+'Purchased Power Model '!C70</f>
        <v>13.8</v>
      </c>
      <c r="D70" s="119">
        <f>+'Purchased Power Model '!D70</f>
        <v>29.9</v>
      </c>
      <c r="E70" s="126">
        <f>+'Purchased Power Model '!E70</f>
        <v>6.8000000000000005E-2</v>
      </c>
      <c r="F70" s="10">
        <f>+'Purchased Power Model '!F70</f>
        <v>31</v>
      </c>
      <c r="G70" s="10">
        <f>+'Purchased Power Model '!G70</f>
        <v>0</v>
      </c>
      <c r="H70" s="141">
        <f t="shared" si="5"/>
        <v>92682979.934611261</v>
      </c>
      <c r="I70" s="142">
        <f t="shared" si="6"/>
        <v>-749340.06538873911</v>
      </c>
      <c r="J70" s="5">
        <f t="shared" si="7"/>
        <v>-8.0201376289140529E-3</v>
      </c>
      <c r="K70"/>
      <c r="L70"/>
      <c r="M70"/>
      <c r="N70"/>
      <c r="T70" s="135"/>
      <c r="U70" s="135"/>
      <c r="V70" s="135"/>
      <c r="W70" s="135"/>
      <c r="X70" s="135"/>
      <c r="Y70" s="135"/>
      <c r="Z70" s="135"/>
      <c r="AA70" s="135"/>
      <c r="AB70" s="135"/>
    </row>
    <row r="71" spans="1:28" x14ac:dyDescent="0.2">
      <c r="A71" s="140">
        <v>39692</v>
      </c>
      <c r="B71" s="41">
        <f>+'Purchased Power Model '!B71</f>
        <v>86855072</v>
      </c>
      <c r="C71" s="119">
        <f>+'Purchased Power Model '!C71</f>
        <v>51.6</v>
      </c>
      <c r="D71" s="119">
        <f>+'Purchased Power Model '!D71</f>
        <v>15.1</v>
      </c>
      <c r="E71" s="126">
        <f>+'Purchased Power Model '!E71</f>
        <v>6.8000000000000005E-2</v>
      </c>
      <c r="F71" s="10">
        <f>+'Purchased Power Model '!F71</f>
        <v>30</v>
      </c>
      <c r="G71" s="10">
        <f>+'Purchased Power Model '!G71</f>
        <v>1</v>
      </c>
      <c r="H71" s="141">
        <f t="shared" si="5"/>
        <v>82230135.347488374</v>
      </c>
      <c r="I71" s="142">
        <f t="shared" si="6"/>
        <v>-4624936.6525116265</v>
      </c>
      <c r="J71" s="5">
        <f t="shared" si="7"/>
        <v>-5.3248895499293659E-2</v>
      </c>
      <c r="K71"/>
      <c r="L71"/>
      <c r="M71"/>
      <c r="N71"/>
      <c r="T71" s="135"/>
      <c r="U71" s="135"/>
      <c r="V71" s="135"/>
      <c r="W71" s="135"/>
      <c r="X71" s="135"/>
      <c r="Y71" s="135"/>
      <c r="Z71" s="135"/>
      <c r="AA71" s="135"/>
      <c r="AB71" s="135"/>
    </row>
    <row r="72" spans="1:28" x14ac:dyDescent="0.2">
      <c r="A72" s="140">
        <v>39722</v>
      </c>
      <c r="B72" s="41">
        <f>+'Purchased Power Model '!B72</f>
        <v>88294618</v>
      </c>
      <c r="C72" s="119">
        <f>+'Purchased Power Model '!C72</f>
        <v>203.1</v>
      </c>
      <c r="D72" s="119">
        <f>+'Purchased Power Model '!D72</f>
        <v>0</v>
      </c>
      <c r="E72" s="126">
        <f>+'Purchased Power Model '!E72</f>
        <v>7.9000000000000001E-2</v>
      </c>
      <c r="F72" s="10">
        <f>+'Purchased Power Model '!F72</f>
        <v>31</v>
      </c>
      <c r="G72" s="10">
        <f>+'Purchased Power Model '!G72</f>
        <v>1</v>
      </c>
      <c r="H72" s="141">
        <f t="shared" si="5"/>
        <v>87606070.091228455</v>
      </c>
      <c r="I72" s="142">
        <f t="shared" si="6"/>
        <v>-688547.90877154469</v>
      </c>
      <c r="J72" s="5">
        <f t="shared" si="7"/>
        <v>-7.798299877933043E-3</v>
      </c>
      <c r="K72"/>
      <c r="L72"/>
      <c r="M72"/>
      <c r="N72"/>
      <c r="T72" s="135"/>
      <c r="U72" s="135"/>
      <c r="V72" s="135"/>
      <c r="W72" s="135"/>
      <c r="X72" s="135"/>
      <c r="Y72" s="135"/>
      <c r="Z72" s="135"/>
      <c r="AA72" s="135"/>
      <c r="AB72" s="135"/>
    </row>
    <row r="73" spans="1:28" x14ac:dyDescent="0.2">
      <c r="A73" s="140">
        <v>39753</v>
      </c>
      <c r="B73" s="41">
        <f>+'Purchased Power Model '!B73</f>
        <v>95870835</v>
      </c>
      <c r="C73" s="119">
        <f>+'Purchased Power Model '!C73</f>
        <v>268.8</v>
      </c>
      <c r="D73" s="119">
        <f>+'Purchased Power Model '!D73</f>
        <v>0</v>
      </c>
      <c r="E73" s="126">
        <f>+'Purchased Power Model '!E73</f>
        <v>7.9000000000000001E-2</v>
      </c>
      <c r="F73" s="10">
        <f>+'Purchased Power Model '!F73</f>
        <v>30</v>
      </c>
      <c r="G73" s="10">
        <f>+'Purchased Power Model '!G73</f>
        <v>1</v>
      </c>
      <c r="H73" s="141">
        <f t="shared" si="5"/>
        <v>87439865.504373953</v>
      </c>
      <c r="I73" s="142">
        <f t="shared" si="6"/>
        <v>-8430969.4956260473</v>
      </c>
      <c r="J73" s="5">
        <f t="shared" si="7"/>
        <v>-8.7940920673383591E-2</v>
      </c>
      <c r="K73"/>
      <c r="L73"/>
      <c r="M73"/>
      <c r="N73"/>
      <c r="T73" s="135"/>
      <c r="U73" s="135"/>
      <c r="V73" s="135"/>
      <c r="W73" s="135"/>
      <c r="X73" s="135"/>
      <c r="Y73" s="135"/>
      <c r="Z73" s="135"/>
      <c r="AA73" s="135"/>
      <c r="AB73" s="135"/>
    </row>
    <row r="74" spans="1:28" x14ac:dyDescent="0.2">
      <c r="A74" s="140">
        <v>39783</v>
      </c>
      <c r="B74" s="41">
        <f>+'Purchased Power Model '!B74</f>
        <v>112359168</v>
      </c>
      <c r="C74" s="119">
        <f>+'Purchased Power Model '!C74</f>
        <v>378.9</v>
      </c>
      <c r="D74" s="119">
        <f>+'Purchased Power Model '!D74</f>
        <v>0</v>
      </c>
      <c r="E74" s="126">
        <f>+'Purchased Power Model '!E74</f>
        <v>7.9000000000000001E-2</v>
      </c>
      <c r="F74" s="10">
        <f>+'Purchased Power Model '!F74</f>
        <v>31</v>
      </c>
      <c r="G74" s="10">
        <f>+'Purchased Power Model '!G74</f>
        <v>0</v>
      </c>
      <c r="H74" s="141">
        <f t="shared" si="5"/>
        <v>101704821.42711972</v>
      </c>
      <c r="I74" s="142">
        <f t="shared" si="6"/>
        <v>-10654346.572880283</v>
      </c>
      <c r="J74" s="5">
        <f t="shared" si="7"/>
        <v>-9.4824007355414769E-2</v>
      </c>
      <c r="K74"/>
      <c r="L74"/>
      <c r="M74"/>
      <c r="N74"/>
      <c r="T74" s="135"/>
      <c r="U74" s="135"/>
      <c r="V74" s="135"/>
      <c r="W74" s="135"/>
      <c r="X74" s="135"/>
      <c r="Y74" s="135"/>
      <c r="Z74" s="135"/>
      <c r="AA74" s="135"/>
      <c r="AB74" s="135"/>
    </row>
    <row r="75" spans="1:28" x14ac:dyDescent="0.2">
      <c r="A75" s="140">
        <v>39814</v>
      </c>
      <c r="B75" s="41">
        <f>+'Purchased Power Model '!B75</f>
        <v>119321706</v>
      </c>
      <c r="C75" s="119">
        <f>+'Purchased Power Model '!C75</f>
        <v>684.3</v>
      </c>
      <c r="D75" s="119">
        <f>+'Purchased Power Model '!D75</f>
        <v>0</v>
      </c>
      <c r="E75" s="126">
        <f>+'Purchased Power Model '!E75</f>
        <v>8.5000000000000006E-2</v>
      </c>
      <c r="F75" s="10">
        <f>+'Purchased Power Model '!F75</f>
        <v>31</v>
      </c>
      <c r="G75" s="10">
        <f>+'Purchased Power Model '!G75</f>
        <v>0</v>
      </c>
      <c r="H75" s="141">
        <f t="shared" si="5"/>
        <v>113263389.96913713</v>
      </c>
      <c r="I75" s="142">
        <f t="shared" si="6"/>
        <v>-6058316.0308628678</v>
      </c>
      <c r="J75" s="5">
        <f t="shared" si="7"/>
        <v>-5.0772958533318889E-2</v>
      </c>
      <c r="K75"/>
      <c r="L75"/>
      <c r="M75"/>
      <c r="N75"/>
      <c r="T75" s="144"/>
      <c r="U75" s="144"/>
      <c r="V75" s="144"/>
      <c r="W75" s="144"/>
      <c r="X75" s="144"/>
      <c r="Y75" s="144"/>
      <c r="Z75" s="144"/>
      <c r="AA75" s="144"/>
      <c r="AB75" s="144"/>
    </row>
    <row r="76" spans="1:28" x14ac:dyDescent="0.2">
      <c r="A76" s="140">
        <v>39845</v>
      </c>
      <c r="B76" s="41">
        <f>+'Purchased Power Model '!B76</f>
        <v>99385016</v>
      </c>
      <c r="C76" s="119">
        <f>+'Purchased Power Model '!C76</f>
        <v>595.29999999999995</v>
      </c>
      <c r="D76" s="119">
        <f>+'Purchased Power Model '!D76</f>
        <v>0</v>
      </c>
      <c r="E76" s="126">
        <f>+'Purchased Power Model '!E76</f>
        <v>8.5000000000000006E-2</v>
      </c>
      <c r="F76" s="10">
        <f>+'Purchased Power Model '!F76</f>
        <v>28</v>
      </c>
      <c r="G76" s="10">
        <f>+'Purchased Power Model '!G76</f>
        <v>0</v>
      </c>
      <c r="H76" s="141">
        <f t="shared" si="5"/>
        <v>101247486.67415957</v>
      </c>
      <c r="I76" s="142">
        <f t="shared" si="6"/>
        <v>1862470.6741595715</v>
      </c>
      <c r="J76" s="5">
        <f t="shared" si="7"/>
        <v>1.8739954463151381E-2</v>
      </c>
      <c r="K76"/>
      <c r="L76"/>
      <c r="M76"/>
      <c r="N76"/>
      <c r="T76" s="135"/>
      <c r="U76" s="135"/>
      <c r="V76" s="135"/>
      <c r="W76" s="135"/>
      <c r="X76" s="135"/>
      <c r="Y76" s="135"/>
      <c r="Z76" s="135"/>
      <c r="AA76" s="135"/>
      <c r="AB76" s="135"/>
    </row>
    <row r="77" spans="1:28" x14ac:dyDescent="0.2">
      <c r="A77" s="140">
        <v>39873</v>
      </c>
      <c r="B77" s="41">
        <f>+'Purchased Power Model '!B77</f>
        <v>100852310</v>
      </c>
      <c r="C77" s="119">
        <f>+'Purchased Power Model '!C77</f>
        <v>442.2</v>
      </c>
      <c r="D77" s="119">
        <f>+'Purchased Power Model '!D77</f>
        <v>0</v>
      </c>
      <c r="E77" s="126">
        <f>+'Purchased Power Model '!E77</f>
        <v>8.5000000000000006E-2</v>
      </c>
      <c r="F77" s="10">
        <f>+'Purchased Power Model '!F77</f>
        <v>31</v>
      </c>
      <c r="G77" s="10">
        <f>+'Purchased Power Model '!G77</f>
        <v>1</v>
      </c>
      <c r="H77" s="141">
        <f t="shared" si="5"/>
        <v>96495654.725061134</v>
      </c>
      <c r="I77" s="142">
        <f t="shared" si="6"/>
        <v>-4356655.2749388665</v>
      </c>
      <c r="J77" s="5">
        <f t="shared" si="7"/>
        <v>-4.3198368732841781E-2</v>
      </c>
      <c r="K77"/>
      <c r="L77"/>
      <c r="M77"/>
      <c r="N77"/>
      <c r="T77" s="135"/>
      <c r="U77" s="135"/>
      <c r="V77" s="135"/>
      <c r="W77" s="135"/>
      <c r="X77" s="135"/>
      <c r="Y77" s="135"/>
      <c r="Z77" s="135"/>
      <c r="AA77" s="135"/>
      <c r="AB77" s="135"/>
    </row>
    <row r="78" spans="1:28" x14ac:dyDescent="0.2">
      <c r="A78" s="140">
        <v>39904</v>
      </c>
      <c r="B78" s="41">
        <f>+'Purchased Power Model '!B78</f>
        <v>86741668</v>
      </c>
      <c r="C78" s="119">
        <f>+'Purchased Power Model '!C78</f>
        <v>313.8</v>
      </c>
      <c r="D78" s="119">
        <f>+'Purchased Power Model '!D78</f>
        <v>0</v>
      </c>
      <c r="E78" s="126">
        <f>+'Purchased Power Model '!E78</f>
        <v>8.6999999999999994E-2</v>
      </c>
      <c r="F78" s="10">
        <f>+'Purchased Power Model '!F78</f>
        <v>30</v>
      </c>
      <c r="G78" s="10">
        <f>+'Purchased Power Model '!G78</f>
        <v>1</v>
      </c>
      <c r="H78" s="141">
        <f t="shared" si="5"/>
        <v>88270506.342531264</v>
      </c>
      <c r="I78" s="142">
        <f t="shared" si="6"/>
        <v>1528838.3425312638</v>
      </c>
      <c r="J78" s="5">
        <f t="shared" si="7"/>
        <v>1.7625189574764274E-2</v>
      </c>
      <c r="K78"/>
      <c r="L78"/>
      <c r="M78"/>
      <c r="N78"/>
      <c r="T78" s="135"/>
      <c r="U78" s="135"/>
      <c r="V78" s="135"/>
      <c r="W78" s="135"/>
      <c r="X78" s="135"/>
      <c r="Y78" s="135"/>
      <c r="Z78" s="135"/>
      <c r="AA78" s="135"/>
      <c r="AB78" s="135"/>
    </row>
    <row r="79" spans="1:28" x14ac:dyDescent="0.2">
      <c r="A79" s="140">
        <v>39934</v>
      </c>
      <c r="B79" s="41">
        <f>+'Purchased Power Model '!B79</f>
        <v>80591893.384615391</v>
      </c>
      <c r="C79" s="119">
        <f>+'Purchased Power Model '!C79</f>
        <v>170.1</v>
      </c>
      <c r="D79" s="119">
        <f>+'Purchased Power Model '!D79</f>
        <v>0</v>
      </c>
      <c r="E79" s="126">
        <f>+'Purchased Power Model '!E79</f>
        <v>8.6999999999999994E-2</v>
      </c>
      <c r="F79" s="10">
        <f>+'Purchased Power Model '!F79</f>
        <v>31</v>
      </c>
      <c r="G79" s="10">
        <f>+'Purchased Power Model '!G79</f>
        <v>1</v>
      </c>
      <c r="H79" s="141">
        <f t="shared" si="5"/>
        <v>85296729.86093314</v>
      </c>
      <c r="I79" s="142">
        <f t="shared" si="6"/>
        <v>4704836.4763177484</v>
      </c>
      <c r="J79" s="5">
        <f t="shared" si="7"/>
        <v>5.837853261325511E-2</v>
      </c>
      <c r="K79"/>
      <c r="L79"/>
      <c r="M79"/>
      <c r="N79"/>
      <c r="T79" s="135"/>
      <c r="U79" s="135"/>
      <c r="V79" s="135"/>
      <c r="W79" s="135"/>
      <c r="X79" s="135"/>
      <c r="Y79" s="135"/>
      <c r="Z79" s="135"/>
      <c r="AA79" s="135"/>
      <c r="AB79" s="135"/>
    </row>
    <row r="80" spans="1:28" x14ac:dyDescent="0.2">
      <c r="A80" s="140">
        <v>39965</v>
      </c>
      <c r="B80" s="41">
        <f>+'Purchased Power Model '!B80</f>
        <v>84198050.923076928</v>
      </c>
      <c r="C80" s="119">
        <f>+'Purchased Power Model '!C80</f>
        <v>57.9</v>
      </c>
      <c r="D80" s="119">
        <f>+'Purchased Power Model '!D80</f>
        <v>26.3</v>
      </c>
      <c r="E80" s="126">
        <f>+'Purchased Power Model '!E80</f>
        <v>8.6999999999999994E-2</v>
      </c>
      <c r="F80" s="10">
        <f>+'Purchased Power Model '!F80</f>
        <v>30</v>
      </c>
      <c r="G80" s="10">
        <f>+'Purchased Power Model '!G80</f>
        <v>0</v>
      </c>
      <c r="H80" s="141">
        <f t="shared" si="5"/>
        <v>88796663.710494101</v>
      </c>
      <c r="I80" s="142">
        <f t="shared" si="6"/>
        <v>4598612.7874171734</v>
      </c>
      <c r="J80" s="5">
        <f t="shared" si="7"/>
        <v>5.4616618045214033E-2</v>
      </c>
      <c r="K80"/>
      <c r="L80"/>
      <c r="M80"/>
      <c r="N80"/>
      <c r="T80" s="135"/>
      <c r="U80" s="135"/>
      <c r="V80" s="135"/>
      <c r="W80" s="135"/>
      <c r="X80" s="135"/>
      <c r="Y80" s="135"/>
      <c r="Z80" s="135"/>
      <c r="AA80" s="135"/>
      <c r="AB80" s="135"/>
    </row>
    <row r="81" spans="1:28" x14ac:dyDescent="0.2">
      <c r="A81" s="140">
        <v>39995</v>
      </c>
      <c r="B81" s="41">
        <f>+'Purchased Power Model '!B81</f>
        <v>87831701.059230775</v>
      </c>
      <c r="C81" s="119">
        <f>+'Purchased Power Model '!C81</f>
        <v>16.8</v>
      </c>
      <c r="D81" s="119">
        <f>+'Purchased Power Model '!D81</f>
        <v>25.6</v>
      </c>
      <c r="E81" s="126">
        <f>+'Purchased Power Model '!E81</f>
        <v>9.1999999999999998E-2</v>
      </c>
      <c r="F81" s="10">
        <f>+'Purchased Power Model '!F81</f>
        <v>31</v>
      </c>
      <c r="G81" s="10">
        <f>+'Purchased Power Model '!G81</f>
        <v>0</v>
      </c>
      <c r="H81" s="141">
        <f t="shared" si="5"/>
        <v>89238815.621757329</v>
      </c>
      <c r="I81" s="142">
        <f t="shared" si="6"/>
        <v>1407114.5625265539</v>
      </c>
      <c r="J81" s="5">
        <f t="shared" si="7"/>
        <v>1.6020577371917716E-2</v>
      </c>
      <c r="K81"/>
      <c r="L81"/>
      <c r="M81"/>
      <c r="N81"/>
      <c r="T81" s="135"/>
      <c r="U81" s="135"/>
      <c r="V81" s="135"/>
      <c r="W81" s="135"/>
      <c r="X81" s="135"/>
      <c r="Y81" s="135"/>
      <c r="Z81" s="135"/>
      <c r="AA81" s="135"/>
      <c r="AB81" s="135"/>
    </row>
    <row r="82" spans="1:28" x14ac:dyDescent="0.2">
      <c r="A82" s="140">
        <v>40026</v>
      </c>
      <c r="B82" s="41">
        <f>+'Purchased Power Model '!B82</f>
        <v>97879755</v>
      </c>
      <c r="C82" s="119">
        <f>+'Purchased Power Model '!C82</f>
        <v>13.1</v>
      </c>
      <c r="D82" s="119">
        <f>+'Purchased Power Model '!D82</f>
        <v>77.7</v>
      </c>
      <c r="E82" s="126">
        <f>+'Purchased Power Model '!E82</f>
        <v>9.1999999999999998E-2</v>
      </c>
      <c r="F82" s="10">
        <f>+'Purchased Power Model '!F82</f>
        <v>31</v>
      </c>
      <c r="G82" s="10">
        <f>+'Purchased Power Model '!G82</f>
        <v>0</v>
      </c>
      <c r="H82" s="141">
        <f t="shared" si="5"/>
        <v>96629497.631671712</v>
      </c>
      <c r="I82" s="142">
        <f t="shared" si="6"/>
        <v>-1250257.3683282882</v>
      </c>
      <c r="J82" s="5">
        <f t="shared" si="7"/>
        <v>-1.2773401081033439E-2</v>
      </c>
      <c r="K82"/>
      <c r="L82"/>
      <c r="M82"/>
      <c r="N82"/>
      <c r="T82" s="135"/>
      <c r="U82" s="135"/>
      <c r="V82" s="135"/>
      <c r="W82" s="135"/>
      <c r="X82" s="135"/>
      <c r="Y82" s="135"/>
      <c r="Z82" s="135"/>
      <c r="AA82" s="135"/>
      <c r="AB82" s="135"/>
    </row>
    <row r="83" spans="1:28" x14ac:dyDescent="0.2">
      <c r="A83" s="140">
        <v>40057</v>
      </c>
      <c r="B83" s="41">
        <f>+'Purchased Power Model '!B83</f>
        <v>83907661.687692314</v>
      </c>
      <c r="C83" s="119">
        <f>+'Purchased Power Model '!C83</f>
        <v>64.8</v>
      </c>
      <c r="D83" s="119">
        <f>+'Purchased Power Model '!D83</f>
        <v>9</v>
      </c>
      <c r="E83" s="126">
        <f>+'Purchased Power Model '!E83</f>
        <v>9.1999999999999998E-2</v>
      </c>
      <c r="F83" s="10">
        <f>+'Purchased Power Model '!F83</f>
        <v>30</v>
      </c>
      <c r="G83" s="10">
        <f>+'Purchased Power Model '!G83</f>
        <v>1</v>
      </c>
      <c r="H83" s="141">
        <f t="shared" si="5"/>
        <v>78936097.692267492</v>
      </c>
      <c r="I83" s="142">
        <f t="shared" si="6"/>
        <v>-4971563.995424822</v>
      </c>
      <c r="J83" s="5">
        <f t="shared" si="7"/>
        <v>-5.9250417607025957E-2</v>
      </c>
      <c r="K83"/>
      <c r="L83"/>
      <c r="M83"/>
      <c r="N83"/>
      <c r="T83" s="135"/>
      <c r="U83" s="135"/>
      <c r="V83" s="135"/>
      <c r="W83" s="135"/>
      <c r="X83" s="135"/>
      <c r="Y83" s="135"/>
      <c r="Z83" s="135"/>
      <c r="AA83" s="135"/>
      <c r="AB83" s="135"/>
    </row>
    <row r="84" spans="1:28" x14ac:dyDescent="0.2">
      <c r="A84" s="140">
        <v>40087</v>
      </c>
      <c r="B84" s="41">
        <f>+'Purchased Power Model '!B84</f>
        <v>88097164.336923078</v>
      </c>
      <c r="C84" s="119">
        <f>+'Purchased Power Model '!C84</f>
        <v>287.89999999999998</v>
      </c>
      <c r="D84" s="119">
        <f>+'Purchased Power Model '!D84</f>
        <v>0</v>
      </c>
      <c r="E84" s="126">
        <f>+'Purchased Power Model '!E84</f>
        <v>9.9000000000000005E-2</v>
      </c>
      <c r="F84" s="10">
        <f>+'Purchased Power Model '!F84</f>
        <v>31</v>
      </c>
      <c r="G84" s="10">
        <f>+'Purchased Power Model '!G84</f>
        <v>1</v>
      </c>
      <c r="H84" s="141">
        <f t="shared" si="5"/>
        <v>88567576.345645592</v>
      </c>
      <c r="I84" s="142">
        <f t="shared" si="6"/>
        <v>470412.00872251391</v>
      </c>
      <c r="J84" s="5">
        <f t="shared" si="7"/>
        <v>5.3396952360855498E-3</v>
      </c>
      <c r="K84"/>
      <c r="L84"/>
      <c r="M84"/>
      <c r="N84"/>
      <c r="T84" s="135"/>
      <c r="U84" s="135"/>
      <c r="V84" s="135"/>
      <c r="W84" s="135"/>
      <c r="X84" s="135"/>
      <c r="Y84" s="135"/>
      <c r="Z84" s="135"/>
      <c r="AA84" s="135"/>
      <c r="AB84" s="135"/>
    </row>
    <row r="85" spans="1:28" x14ac:dyDescent="0.2">
      <c r="A85" s="140">
        <v>40118</v>
      </c>
      <c r="B85" s="41">
        <f>+'Purchased Power Model '!B85</f>
        <v>89873866.688461557</v>
      </c>
      <c r="C85" s="119">
        <f>+'Purchased Power Model '!C85</f>
        <v>347.4</v>
      </c>
      <c r="D85" s="119">
        <f>+'Purchased Power Model '!D85</f>
        <v>0</v>
      </c>
      <c r="E85" s="126">
        <f>+'Purchased Power Model '!E85</f>
        <v>9.9000000000000005E-2</v>
      </c>
      <c r="F85" s="10">
        <f>+'Purchased Power Model '!F85</f>
        <v>30</v>
      </c>
      <c r="G85" s="10">
        <f>+'Purchased Power Model '!G85</f>
        <v>1</v>
      </c>
      <c r="H85" s="141">
        <f t="shared" si="5"/>
        <v>88151783.52001664</v>
      </c>
      <c r="I85" s="142">
        <f t="shared" si="6"/>
        <v>-1722083.1684449166</v>
      </c>
      <c r="J85" s="5">
        <f t="shared" si="7"/>
        <v>-1.9161111365268609E-2</v>
      </c>
      <c r="K85"/>
      <c r="L85"/>
      <c r="M85"/>
      <c r="N85"/>
      <c r="T85" s="135"/>
      <c r="U85" s="135"/>
      <c r="V85" s="135"/>
      <c r="W85" s="135"/>
      <c r="X85" s="135"/>
      <c r="Y85" s="135"/>
      <c r="Z85" s="135"/>
      <c r="AA85" s="135"/>
      <c r="AB85" s="135"/>
    </row>
    <row r="86" spans="1:28" x14ac:dyDescent="0.2">
      <c r="A86" s="140">
        <v>40148</v>
      </c>
      <c r="B86" s="41">
        <f>+'Purchased Power Model '!B86</f>
        <v>109709991.43076923</v>
      </c>
      <c r="C86" s="119">
        <f>+'Purchased Power Model '!C86</f>
        <v>619.1</v>
      </c>
      <c r="D86" s="119">
        <f>+'Purchased Power Model '!D86</f>
        <v>0</v>
      </c>
      <c r="E86" s="126">
        <f>+'Purchased Power Model '!E86</f>
        <v>9.9000000000000005E-2</v>
      </c>
      <c r="F86" s="10">
        <f>+'Purchased Power Model '!F86</f>
        <v>31</v>
      </c>
      <c r="G86" s="10">
        <f>+'Purchased Power Model '!G86</f>
        <v>0</v>
      </c>
      <c r="H86" s="141">
        <f t="shared" si="5"/>
        <v>108922136.11791554</v>
      </c>
      <c r="I86" s="142">
        <f t="shared" si="6"/>
        <v>-787855.31285369396</v>
      </c>
      <c r="J86" s="5">
        <f t="shared" si="7"/>
        <v>-7.1812539822396909E-3</v>
      </c>
      <c r="K86"/>
      <c r="L86"/>
      <c r="M86"/>
      <c r="N86"/>
      <c r="T86" s="145"/>
      <c r="U86" s="145"/>
      <c r="V86" s="145"/>
      <c r="W86" s="145"/>
      <c r="X86" s="145"/>
      <c r="Y86" s="145"/>
      <c r="Z86" s="145"/>
      <c r="AA86" s="145"/>
      <c r="AB86" s="145"/>
    </row>
    <row r="87" spans="1:28" x14ac:dyDescent="0.2">
      <c r="A87" s="140">
        <v>40179</v>
      </c>
      <c r="B87" s="41">
        <f>+'Purchased Power Model '!B87</f>
        <v>114148404.02769232</v>
      </c>
      <c r="C87" s="119">
        <f>+'Purchased Power Model '!C87</f>
        <v>699.9</v>
      </c>
      <c r="D87" s="119">
        <f>+'Purchased Power Model '!D87</f>
        <v>0</v>
      </c>
      <c r="E87" s="126">
        <f>+'Purchased Power Model '!E87</f>
        <v>0.10300000000000001</v>
      </c>
      <c r="F87" s="10">
        <f>+'Purchased Power Model '!F87</f>
        <v>31</v>
      </c>
      <c r="G87" s="10">
        <f>+'Purchased Power Model '!G87</f>
        <v>0</v>
      </c>
      <c r="H87" s="141">
        <f t="shared" si="5"/>
        <v>111684391.10482481</v>
      </c>
      <c r="I87" s="142">
        <f t="shared" si="6"/>
        <v>-2464012.9228675067</v>
      </c>
      <c r="J87" s="5">
        <f t="shared" si="7"/>
        <v>-2.1586047950961619E-2</v>
      </c>
      <c r="K87"/>
      <c r="L87"/>
      <c r="M87"/>
      <c r="N87"/>
      <c r="T87" s="144"/>
      <c r="U87" s="144"/>
      <c r="V87" s="144"/>
      <c r="W87" s="135"/>
      <c r="X87" s="135"/>
      <c r="Y87" s="135"/>
      <c r="Z87" s="135"/>
      <c r="AA87" s="135"/>
      <c r="AB87" s="135"/>
    </row>
    <row r="88" spans="1:28" x14ac:dyDescent="0.2">
      <c r="A88" s="140">
        <v>40210</v>
      </c>
      <c r="B88" s="41">
        <f>+'Purchased Power Model '!B88</f>
        <v>100280891.65769231</v>
      </c>
      <c r="C88" s="119">
        <f>+'Purchased Power Model '!C88</f>
        <v>583.79999999999995</v>
      </c>
      <c r="D88" s="119">
        <f>+'Purchased Power Model '!D88</f>
        <v>0</v>
      </c>
      <c r="E88" s="126">
        <f>+'Purchased Power Model '!E88</f>
        <v>0.10300000000000001</v>
      </c>
      <c r="F88" s="10">
        <f>+'Purchased Power Model '!F88</f>
        <v>28</v>
      </c>
      <c r="G88" s="10">
        <f>+'Purchased Power Model '!G88</f>
        <v>0</v>
      </c>
      <c r="H88" s="141">
        <f t="shared" si="5"/>
        <v>98577545.669397682</v>
      </c>
      <c r="I88" s="142">
        <f t="shared" si="6"/>
        <v>-1703345.9882946312</v>
      </c>
      <c r="J88" s="5">
        <f t="shared" si="7"/>
        <v>-1.6985748332882633E-2</v>
      </c>
      <c r="K88"/>
      <c r="L88"/>
      <c r="M88"/>
      <c r="N88"/>
      <c r="T88" s="135"/>
      <c r="U88" s="135"/>
      <c r="V88" s="135"/>
      <c r="W88" s="135"/>
      <c r="X88" s="135"/>
      <c r="Y88" s="135"/>
      <c r="Z88" s="135"/>
      <c r="AA88" s="135"/>
      <c r="AB88" s="135"/>
    </row>
    <row r="89" spans="1:28" x14ac:dyDescent="0.2">
      <c r="A89" s="140">
        <v>40238</v>
      </c>
      <c r="B89" s="41">
        <f>+'Purchased Power Model '!B89</f>
        <v>95443611.384615391</v>
      </c>
      <c r="C89" s="119">
        <f>+'Purchased Power Model '!C89</f>
        <v>411</v>
      </c>
      <c r="D89" s="119">
        <f>+'Purchased Power Model '!D89</f>
        <v>0</v>
      </c>
      <c r="E89" s="126">
        <f>+'Purchased Power Model '!E89</f>
        <v>0.10300000000000001</v>
      </c>
      <c r="F89" s="10">
        <f>+'Purchased Power Model '!F89</f>
        <v>31</v>
      </c>
      <c r="G89" s="10">
        <f>+'Purchased Power Model '!G89</f>
        <v>1</v>
      </c>
      <c r="H89" s="141">
        <f t="shared" si="5"/>
        <v>93032667.21967724</v>
      </c>
      <c r="I89" s="142">
        <f t="shared" si="6"/>
        <v>-2410944.1649381518</v>
      </c>
      <c r="J89" s="5">
        <f t="shared" si="7"/>
        <v>-2.5260403812913279E-2</v>
      </c>
      <c r="K89"/>
      <c r="L89"/>
      <c r="M89"/>
      <c r="N89"/>
      <c r="T89" s="135"/>
      <c r="U89" s="135"/>
      <c r="V89" s="135"/>
      <c r="W89" s="135"/>
      <c r="X89" s="135"/>
      <c r="Y89" s="135"/>
      <c r="Z89" s="135"/>
      <c r="AA89" s="135"/>
      <c r="AB89" s="135"/>
    </row>
    <row r="90" spans="1:28" x14ac:dyDescent="0.2">
      <c r="A90" s="140">
        <v>40269</v>
      </c>
      <c r="B90" s="41">
        <f>+'Purchased Power Model '!B90</f>
        <v>80941805.90538463</v>
      </c>
      <c r="C90" s="119">
        <f>+'Purchased Power Model '!C90</f>
        <v>244</v>
      </c>
      <c r="D90" s="119">
        <f>+'Purchased Power Model '!D90</f>
        <v>0</v>
      </c>
      <c r="E90" s="126">
        <f>+'Purchased Power Model '!E90</f>
        <v>9.9000000000000005E-2</v>
      </c>
      <c r="F90" s="10">
        <f>+'Purchased Power Model '!F90</f>
        <v>30</v>
      </c>
      <c r="G90" s="10">
        <f>+'Purchased Power Model '!G90</f>
        <v>1</v>
      </c>
      <c r="H90" s="141">
        <f t="shared" si="5"/>
        <v>83989295.795939699</v>
      </c>
      <c r="I90" s="142">
        <f t="shared" si="6"/>
        <v>3047489.8905550689</v>
      </c>
      <c r="J90" s="5">
        <f t="shared" si="7"/>
        <v>3.7650381733728228E-2</v>
      </c>
      <c r="K90"/>
      <c r="L90"/>
      <c r="M90"/>
      <c r="N90"/>
      <c r="T90" s="135"/>
      <c r="U90" s="135"/>
      <c r="V90" s="135"/>
      <c r="W90" s="135"/>
      <c r="X90" s="135"/>
      <c r="Y90" s="135"/>
      <c r="Z90" s="135"/>
      <c r="AA90" s="135"/>
      <c r="AB90" s="135"/>
    </row>
    <row r="91" spans="1:28" x14ac:dyDescent="0.2">
      <c r="A91" s="140">
        <v>40299</v>
      </c>
      <c r="B91" s="41">
        <f>+'Purchased Power Model '!B91</f>
        <v>87418768.25846155</v>
      </c>
      <c r="C91" s="119">
        <f>+'Purchased Power Model '!C91</f>
        <v>121.7</v>
      </c>
      <c r="D91" s="119">
        <f>+'Purchased Power Model '!D91</f>
        <v>23.2</v>
      </c>
      <c r="E91" s="126">
        <f>+'Purchased Power Model '!E91</f>
        <v>9.9000000000000005E-2</v>
      </c>
      <c r="F91" s="10">
        <f>+'Purchased Power Model '!F91</f>
        <v>31</v>
      </c>
      <c r="G91" s="10">
        <f>+'Purchased Power Model '!G91</f>
        <v>1</v>
      </c>
      <c r="H91" s="141">
        <f t="shared" si="5"/>
        <v>85234379.650115386</v>
      </c>
      <c r="I91" s="142">
        <f t="shared" si="6"/>
        <v>-2184388.6083461642</v>
      </c>
      <c r="J91" s="5">
        <f t="shared" si="7"/>
        <v>-2.4987638831604448E-2</v>
      </c>
      <c r="K91"/>
      <c r="L91"/>
      <c r="M91"/>
      <c r="N91"/>
      <c r="T91" s="135"/>
      <c r="U91" s="135"/>
      <c r="V91" s="135"/>
      <c r="W91" s="135"/>
      <c r="X91" s="135"/>
      <c r="Y91" s="135"/>
      <c r="Z91" s="135"/>
      <c r="AA91" s="135"/>
      <c r="AB91" s="135"/>
    </row>
    <row r="92" spans="1:28" x14ac:dyDescent="0.2">
      <c r="A92" s="140">
        <v>40330</v>
      </c>
      <c r="B92" s="41">
        <f>+'Purchased Power Model '!B92</f>
        <v>89087288.937692314</v>
      </c>
      <c r="C92" s="119">
        <f>+'Purchased Power Model '!C92</f>
        <v>19.399999999999999</v>
      </c>
      <c r="D92" s="119">
        <f>+'Purchased Power Model '!D92</f>
        <v>46.6</v>
      </c>
      <c r="E92" s="126">
        <f>+'Purchased Power Model '!E92</f>
        <v>9.9000000000000005E-2</v>
      </c>
      <c r="F92" s="10">
        <f>+'Purchased Power Model '!F92</f>
        <v>30</v>
      </c>
      <c r="G92" s="10">
        <f>+'Purchased Power Model '!G92</f>
        <v>0</v>
      </c>
      <c r="H92" s="141">
        <f t="shared" si="5"/>
        <v>88713177.264573753</v>
      </c>
      <c r="I92" s="142">
        <f t="shared" si="6"/>
        <v>-374111.67311856151</v>
      </c>
      <c r="J92" s="5">
        <f t="shared" si="7"/>
        <v>-4.199383296759826E-3</v>
      </c>
      <c r="K92"/>
      <c r="L92"/>
      <c r="M92"/>
      <c r="N92"/>
      <c r="T92" s="135"/>
      <c r="U92" s="135"/>
      <c r="V92" s="135"/>
      <c r="W92" s="135"/>
      <c r="X92" s="135"/>
      <c r="Y92" s="135"/>
      <c r="Z92" s="135"/>
      <c r="AA92" s="135"/>
      <c r="AB92" s="135"/>
    </row>
    <row r="93" spans="1:28" x14ac:dyDescent="0.2">
      <c r="A93" s="140">
        <v>40360</v>
      </c>
      <c r="B93" s="41">
        <f>+'Purchased Power Model '!B93</f>
        <v>107904059.08</v>
      </c>
      <c r="C93" s="119">
        <f>+'Purchased Power Model '!C93</f>
        <v>3.5</v>
      </c>
      <c r="D93" s="119">
        <f>+'Purchased Power Model '!D93</f>
        <v>124</v>
      </c>
      <c r="E93" s="126">
        <f>+'Purchased Power Model '!E93</f>
        <v>0.10400000000000001</v>
      </c>
      <c r="F93" s="10">
        <f>+'Purchased Power Model '!F93</f>
        <v>31</v>
      </c>
      <c r="G93" s="10">
        <f>+'Purchased Power Model '!G93</f>
        <v>0</v>
      </c>
      <c r="H93" s="141">
        <f t="shared" si="5"/>
        <v>101471993.61349142</v>
      </c>
      <c r="I93" s="142">
        <f t="shared" si="6"/>
        <v>-6432065.4665085822</v>
      </c>
      <c r="J93" s="5">
        <f t="shared" si="7"/>
        <v>-5.9609114998536369E-2</v>
      </c>
      <c r="K93"/>
      <c r="L93"/>
      <c r="M93"/>
      <c r="N93"/>
      <c r="T93" s="135"/>
      <c r="U93" s="135"/>
      <c r="V93" s="135"/>
      <c r="W93" s="135"/>
      <c r="X93" s="135"/>
      <c r="Y93" s="135"/>
      <c r="Z93" s="135"/>
      <c r="AA93" s="135"/>
      <c r="AB93" s="135"/>
    </row>
    <row r="94" spans="1:28" x14ac:dyDescent="0.2">
      <c r="A94" s="140">
        <v>40391</v>
      </c>
      <c r="B94" s="41">
        <f>+'Purchased Power Model '!B94</f>
        <v>102274426.19461538</v>
      </c>
      <c r="C94" s="119">
        <f>+'Purchased Power Model '!C94</f>
        <v>3.2</v>
      </c>
      <c r="D94" s="119">
        <f>+'Purchased Power Model '!D94</f>
        <v>96.8</v>
      </c>
      <c r="E94" s="126">
        <f>+'Purchased Power Model '!E94</f>
        <v>0.10400000000000001</v>
      </c>
      <c r="F94" s="10">
        <f>+'Purchased Power Model '!F94</f>
        <v>31</v>
      </c>
      <c r="G94" s="10">
        <f>+'Purchased Power Model '!G94</f>
        <v>0</v>
      </c>
      <c r="H94" s="141">
        <f t="shared" si="5"/>
        <v>97523680.076638371</v>
      </c>
      <c r="I94" s="142">
        <f t="shared" si="6"/>
        <v>-4750746.1179770082</v>
      </c>
      <c r="J94" s="5">
        <f t="shared" si="7"/>
        <v>-4.645096819156859E-2</v>
      </c>
      <c r="K94"/>
      <c r="L94"/>
      <c r="M94"/>
      <c r="N94"/>
      <c r="T94" s="135"/>
      <c r="U94" s="135"/>
      <c r="V94" s="135"/>
      <c r="W94" s="135"/>
      <c r="X94" s="135"/>
      <c r="Y94" s="135"/>
      <c r="Z94" s="135"/>
      <c r="AA94" s="135"/>
      <c r="AB94" s="135"/>
    </row>
    <row r="95" spans="1:28" x14ac:dyDescent="0.2">
      <c r="A95" s="140">
        <v>40422</v>
      </c>
      <c r="B95" s="41">
        <f>+'Purchased Power Model '!B95</f>
        <v>83491002.500769228</v>
      </c>
      <c r="C95" s="119">
        <f>+'Purchased Power Model '!C95</f>
        <v>85.5</v>
      </c>
      <c r="D95" s="119">
        <f>+'Purchased Power Model '!D95</f>
        <v>18.5</v>
      </c>
      <c r="E95" s="126">
        <f>+'Purchased Power Model '!E95</f>
        <v>0.10400000000000001</v>
      </c>
      <c r="F95" s="10">
        <f>+'Purchased Power Model '!F95</f>
        <v>30</v>
      </c>
      <c r="G95" s="10">
        <f>+'Purchased Power Model '!G95</f>
        <v>1</v>
      </c>
      <c r="H95" s="141">
        <f t="shared" si="5"/>
        <v>79672858.85705696</v>
      </c>
      <c r="I95" s="142">
        <f t="shared" si="6"/>
        <v>-3818143.6437122673</v>
      </c>
      <c r="J95" s="5">
        <f t="shared" si="7"/>
        <v>-4.5731198923825232E-2</v>
      </c>
      <c r="K95"/>
      <c r="L95"/>
      <c r="M95"/>
      <c r="N95"/>
      <c r="T95" s="135"/>
      <c r="U95" s="135"/>
      <c r="V95" s="135"/>
      <c r="W95" s="135"/>
      <c r="X95" s="135"/>
      <c r="Y95" s="135"/>
      <c r="Z95" s="135"/>
      <c r="AA95" s="135"/>
      <c r="AB95" s="135"/>
    </row>
    <row r="96" spans="1:28" x14ac:dyDescent="0.2">
      <c r="A96" s="140">
        <v>40452</v>
      </c>
      <c r="B96" s="41">
        <f>+'Purchased Power Model '!B96</f>
        <v>84900189.230769232</v>
      </c>
      <c r="C96" s="119">
        <f>+'Purchased Power Model '!C96</f>
        <v>247.8</v>
      </c>
      <c r="D96" s="119">
        <f>+'Purchased Power Model '!D96</f>
        <v>0</v>
      </c>
      <c r="E96" s="126">
        <f>+'Purchased Power Model '!E96</f>
        <v>9.3000000000000013E-2</v>
      </c>
      <c r="F96" s="10">
        <f>+'Purchased Power Model '!F96</f>
        <v>31</v>
      </c>
      <c r="G96" s="10">
        <f>+'Purchased Power Model '!G96</f>
        <v>1</v>
      </c>
      <c r="H96" s="141">
        <f t="shared" si="5"/>
        <v>87688969.053121537</v>
      </c>
      <c r="I96" s="142">
        <f t="shared" si="6"/>
        <v>2788779.8223523051</v>
      </c>
      <c r="J96" s="5">
        <f t="shared" si="7"/>
        <v>3.2847745660166384E-2</v>
      </c>
      <c r="K96"/>
      <c r="L96"/>
      <c r="M96"/>
      <c r="N96"/>
      <c r="T96" s="135"/>
      <c r="U96" s="135"/>
      <c r="V96" s="135"/>
      <c r="W96" s="135"/>
      <c r="X96" s="135"/>
      <c r="Y96" s="135"/>
      <c r="Z96" s="135"/>
      <c r="AA96" s="135"/>
      <c r="AB96" s="135"/>
    </row>
    <row r="97" spans="1:28" x14ac:dyDescent="0.2">
      <c r="A97" s="140">
        <v>40483</v>
      </c>
      <c r="B97" s="41">
        <f>+'Purchased Power Model '!B97</f>
        <v>91736751.63692309</v>
      </c>
      <c r="C97" s="119">
        <f>+'Purchased Power Model '!C97</f>
        <v>389.2</v>
      </c>
      <c r="D97" s="119">
        <f>+'Purchased Power Model '!D97</f>
        <v>0</v>
      </c>
      <c r="E97" s="126">
        <f>+'Purchased Power Model '!E97</f>
        <v>9.3000000000000013E-2</v>
      </c>
      <c r="F97" s="10">
        <f>+'Purchased Power Model '!F97</f>
        <v>30</v>
      </c>
      <c r="G97" s="10">
        <f>+'Purchased Power Model '!G97</f>
        <v>1</v>
      </c>
      <c r="H97" s="141">
        <f t="shared" si="5"/>
        <v>90570156.349367842</v>
      </c>
      <c r="I97" s="142">
        <f t="shared" si="6"/>
        <v>-1166595.2875552475</v>
      </c>
      <c r="J97" s="5">
        <f t="shared" si="7"/>
        <v>-1.2716771269299066E-2</v>
      </c>
      <c r="K97"/>
      <c r="L97"/>
      <c r="M97"/>
      <c r="N97"/>
      <c r="T97" s="135"/>
      <c r="U97" s="135"/>
      <c r="V97" s="135"/>
      <c r="W97" s="135"/>
      <c r="X97" s="135"/>
      <c r="Y97" s="135"/>
      <c r="Z97" s="135"/>
      <c r="AA97" s="135"/>
      <c r="AB97" s="135"/>
    </row>
    <row r="98" spans="1:28" x14ac:dyDescent="0.2">
      <c r="A98" s="140">
        <v>40513</v>
      </c>
      <c r="B98" s="41">
        <f>+'Purchased Power Model '!B98</f>
        <v>110862133</v>
      </c>
      <c r="C98" s="119">
        <f>+'Purchased Power Model '!C98</f>
        <v>628.70000000000005</v>
      </c>
      <c r="D98" s="119">
        <f>+'Purchased Power Model '!D98</f>
        <v>0</v>
      </c>
      <c r="E98" s="126">
        <f>+'Purchased Power Model '!E98</f>
        <v>9.3000000000000013E-2</v>
      </c>
      <c r="F98" s="10">
        <f>+'Purchased Power Model '!F98</f>
        <v>31</v>
      </c>
      <c r="G98" s="10">
        <f>+'Purchased Power Model '!G98</f>
        <v>0</v>
      </c>
      <c r="H98" s="141">
        <f t="shared" si="5"/>
        <v>110044260.35234143</v>
      </c>
      <c r="I98" s="142">
        <f t="shared" si="6"/>
        <v>-817872.6476585716</v>
      </c>
      <c r="J98" s="5">
        <f t="shared" si="7"/>
        <v>-7.3773850955814787E-3</v>
      </c>
      <c r="K98"/>
      <c r="L98"/>
      <c r="M98"/>
      <c r="N98"/>
      <c r="T98" s="135"/>
      <c r="U98" s="135"/>
      <c r="V98" s="135"/>
      <c r="W98" s="135"/>
      <c r="X98" s="135"/>
      <c r="Y98" s="135"/>
      <c r="Z98" s="135"/>
      <c r="AA98" s="135"/>
      <c r="AB98" s="135"/>
    </row>
    <row r="99" spans="1:28" x14ac:dyDescent="0.2">
      <c r="A99" s="140">
        <v>40544</v>
      </c>
      <c r="B99" s="41">
        <f>+'Purchased Power Model '!B99</f>
        <v>113644387.32076925</v>
      </c>
      <c r="C99" s="119">
        <f>+'Purchased Power Model '!C99</f>
        <v>760.9</v>
      </c>
      <c r="D99" s="119">
        <f>+'Purchased Power Model '!D99</f>
        <v>0</v>
      </c>
      <c r="E99" s="126">
        <f>+'Purchased Power Model '!E99</f>
        <v>8.6999999999999994E-2</v>
      </c>
      <c r="F99" s="10">
        <f>+'Purchased Power Model '!F99</f>
        <v>31</v>
      </c>
      <c r="G99" s="10">
        <f>+'Purchased Power Model '!G99</f>
        <v>0</v>
      </c>
      <c r="H99" s="141">
        <f t="shared" si="5"/>
        <v>116101790.72769414</v>
      </c>
      <c r="I99" s="142">
        <f t="shared" si="6"/>
        <v>2457403.4069248885</v>
      </c>
      <c r="J99" s="5">
        <f t="shared" si="7"/>
        <v>2.1623623171012355E-2</v>
      </c>
      <c r="K99"/>
      <c r="L99"/>
      <c r="M99"/>
      <c r="N99"/>
      <c r="T99" s="144"/>
      <c r="U99" s="144"/>
      <c r="V99" s="144"/>
      <c r="W99" s="135"/>
      <c r="X99" s="135"/>
      <c r="Y99" s="135"/>
      <c r="Z99" s="135"/>
      <c r="AA99" s="135"/>
      <c r="AB99" s="135"/>
    </row>
    <row r="100" spans="1:28" x14ac:dyDescent="0.2">
      <c r="A100" s="140">
        <v>40575</v>
      </c>
      <c r="B100" s="41">
        <f>+'Purchased Power Model '!B100</f>
        <v>100561048.38461539</v>
      </c>
      <c r="C100" s="119">
        <f>+'Purchased Power Model '!C100</f>
        <v>634.19999999999993</v>
      </c>
      <c r="D100" s="119">
        <f>+'Purchased Power Model '!D100</f>
        <v>0</v>
      </c>
      <c r="E100" s="126">
        <f>+'Purchased Power Model '!E100</f>
        <v>8.6999999999999994E-2</v>
      </c>
      <c r="F100" s="10">
        <f>+'Purchased Power Model '!F100</f>
        <v>28</v>
      </c>
      <c r="G100" s="10">
        <f>+'Purchased Power Model '!G100</f>
        <v>0</v>
      </c>
      <c r="H100" s="141">
        <f t="shared" si="5"/>
        <v>102568229.91629781</v>
      </c>
      <c r="I100" s="142">
        <f t="shared" si="6"/>
        <v>2007181.5316824168</v>
      </c>
      <c r="J100" s="5">
        <f t="shared" si="7"/>
        <v>1.995983100738527E-2</v>
      </c>
      <c r="K100"/>
      <c r="L100"/>
      <c r="M100"/>
      <c r="N100"/>
      <c r="T100" s="135"/>
      <c r="U100" s="135"/>
      <c r="V100" s="135"/>
      <c r="W100" s="135"/>
      <c r="X100" s="135"/>
      <c r="Y100" s="135"/>
      <c r="Z100" s="135"/>
      <c r="AA100" s="135"/>
      <c r="AB100" s="135"/>
    </row>
    <row r="101" spans="1:28" x14ac:dyDescent="0.2">
      <c r="A101" s="140">
        <v>40603</v>
      </c>
      <c r="B101" s="41">
        <f>+'Purchased Power Model '!B101</f>
        <v>102613396.81846155</v>
      </c>
      <c r="C101" s="119">
        <f>+'Purchased Power Model '!C101</f>
        <v>559.80000000000007</v>
      </c>
      <c r="D101" s="119">
        <f>+'Purchased Power Model '!D101</f>
        <v>0</v>
      </c>
      <c r="E101" s="126">
        <f>+'Purchased Power Model '!E101</f>
        <v>8.6999999999999994E-2</v>
      </c>
      <c r="F101" s="10">
        <f>+'Purchased Power Model '!F101</f>
        <v>31</v>
      </c>
      <c r="G101" s="10">
        <f>+'Purchased Power Model '!G101</f>
        <v>1</v>
      </c>
      <c r="H101" s="141">
        <f t="shared" si="5"/>
        <v>100984558.35293299</v>
      </c>
      <c r="I101" s="142">
        <f t="shared" si="6"/>
        <v>-1628838.4655285627</v>
      </c>
      <c r="J101" s="5">
        <f t="shared" si="7"/>
        <v>-1.5873545911458536E-2</v>
      </c>
      <c r="K101"/>
      <c r="L101"/>
      <c r="M101"/>
      <c r="N101"/>
      <c r="T101" s="135"/>
      <c r="U101" s="135"/>
      <c r="V101" s="135"/>
      <c r="W101" s="135"/>
      <c r="X101" s="135"/>
      <c r="Y101" s="135"/>
      <c r="Z101" s="135"/>
      <c r="AA101" s="135"/>
      <c r="AB101" s="135"/>
    </row>
    <row r="102" spans="1:28" x14ac:dyDescent="0.2">
      <c r="A102" s="140">
        <v>40634</v>
      </c>
      <c r="B102" s="41">
        <f>+'Purchased Power Model '!B102</f>
        <v>87015565.163076922</v>
      </c>
      <c r="C102" s="119">
        <f>+'Purchased Power Model '!C102</f>
        <v>350.79999999999995</v>
      </c>
      <c r="D102" s="119">
        <f>+'Purchased Power Model '!D102</f>
        <v>0</v>
      </c>
      <c r="E102" s="126">
        <f>+'Purchased Power Model '!E102</f>
        <v>9.3000000000000013E-2</v>
      </c>
      <c r="F102" s="10">
        <f>+'Purchased Power Model '!F102</f>
        <v>30</v>
      </c>
      <c r="G102" s="10">
        <f>+'Purchased Power Model '!G102</f>
        <v>1</v>
      </c>
      <c r="H102" s="141">
        <f t="shared" si="5"/>
        <v>89024319.515668094</v>
      </c>
      <c r="I102" s="142">
        <f t="shared" si="6"/>
        <v>2008754.3525911719</v>
      </c>
      <c r="J102" s="5">
        <f t="shared" si="7"/>
        <v>2.3085000353977373E-2</v>
      </c>
      <c r="K102"/>
      <c r="L102"/>
      <c r="M102"/>
      <c r="N102"/>
      <c r="T102" s="135"/>
      <c r="U102" s="135"/>
      <c r="V102" s="135"/>
      <c r="W102" s="135"/>
      <c r="X102" s="135"/>
      <c r="Y102" s="135"/>
      <c r="Z102" s="135"/>
      <c r="AA102" s="135"/>
      <c r="AB102" s="135"/>
    </row>
    <row r="103" spans="1:28" x14ac:dyDescent="0.2">
      <c r="A103" s="140">
        <v>40664</v>
      </c>
      <c r="B103" s="41">
        <f>+'Purchased Power Model '!B103</f>
        <v>82921009.75</v>
      </c>
      <c r="C103" s="119">
        <f>+'Purchased Power Model '!C103</f>
        <v>157.69999999999996</v>
      </c>
      <c r="D103" s="119">
        <f>+'Purchased Power Model '!D103</f>
        <v>2.8</v>
      </c>
      <c r="E103" s="126">
        <f>+'Purchased Power Model '!E103</f>
        <v>9.3000000000000013E-2</v>
      </c>
      <c r="F103" s="10">
        <f>+'Purchased Power Model '!F103</f>
        <v>31</v>
      </c>
      <c r="G103" s="10">
        <f>+'Purchased Power Model '!G103</f>
        <v>1</v>
      </c>
      <c r="H103" s="141">
        <f t="shared" si="5"/>
        <v>84467089.192767546</v>
      </c>
      <c r="I103" s="142">
        <f t="shared" si="6"/>
        <v>1546079.4427675456</v>
      </c>
      <c r="J103" s="5">
        <f t="shared" si="7"/>
        <v>1.8645207619020169E-2</v>
      </c>
      <c r="K103"/>
      <c r="L103"/>
      <c r="M103"/>
      <c r="N103"/>
      <c r="T103" s="135"/>
      <c r="U103" s="135"/>
      <c r="V103" s="135"/>
      <c r="W103" s="135"/>
      <c r="X103" s="135"/>
      <c r="Y103" s="135"/>
      <c r="Z103" s="135"/>
      <c r="AA103" s="135"/>
      <c r="AB103" s="135"/>
    </row>
    <row r="104" spans="1:28" x14ac:dyDescent="0.2">
      <c r="A104" s="140">
        <v>40695</v>
      </c>
      <c r="B104" s="41">
        <f>+'Purchased Power Model '!B104</f>
        <v>88149132.009230778</v>
      </c>
      <c r="C104" s="119">
        <f>+'Purchased Power Model '!C104</f>
        <v>26.699999999999996</v>
      </c>
      <c r="D104" s="119">
        <f>+'Purchased Power Model '!D104</f>
        <v>36.900000000000006</v>
      </c>
      <c r="E104" s="126">
        <f>+'Purchased Power Model '!E104</f>
        <v>9.3000000000000013E-2</v>
      </c>
      <c r="F104" s="10">
        <f>+'Purchased Power Model '!F104</f>
        <v>30</v>
      </c>
      <c r="G104" s="10">
        <f>+'Purchased Power Model '!G104</f>
        <v>0</v>
      </c>
      <c r="H104" s="141">
        <f t="shared" si="5"/>
        <v>88338980.848209575</v>
      </c>
      <c r="I104" s="142">
        <f t="shared" si="6"/>
        <v>189848.8389787972</v>
      </c>
      <c r="J104" s="5">
        <f t="shared" si="7"/>
        <v>2.153723294279479E-3</v>
      </c>
      <c r="K104"/>
      <c r="L104"/>
      <c r="M104"/>
      <c r="N104"/>
      <c r="T104" s="135"/>
      <c r="U104" s="135"/>
      <c r="V104" s="135"/>
      <c r="W104" s="135"/>
      <c r="X104" s="135"/>
      <c r="Y104" s="135"/>
      <c r="Z104" s="135"/>
      <c r="AA104" s="135"/>
      <c r="AB104" s="135"/>
    </row>
    <row r="105" spans="1:28" x14ac:dyDescent="0.2">
      <c r="A105" s="140">
        <v>40725</v>
      </c>
      <c r="B105" s="41">
        <f>+'Purchased Power Model '!B105</f>
        <v>108927664.71923079</v>
      </c>
      <c r="C105" s="119">
        <f>+'Purchased Power Model '!C105</f>
        <v>0.2</v>
      </c>
      <c r="D105" s="119">
        <f>+'Purchased Power Model '!D105</f>
        <v>141.19999999999999</v>
      </c>
      <c r="E105" s="126">
        <f>+'Purchased Power Model '!E105</f>
        <v>7.2000000000000008E-2</v>
      </c>
      <c r="F105" s="10">
        <f>+'Purchased Power Model '!F105</f>
        <v>31</v>
      </c>
      <c r="G105" s="10">
        <f>+'Purchased Power Model '!G105</f>
        <v>0</v>
      </c>
      <c r="H105" s="141">
        <f t="shared" si="5"/>
        <v>107751785.91186549</v>
      </c>
      <c r="I105" s="142">
        <f t="shared" si="6"/>
        <v>-1175878.8073652983</v>
      </c>
      <c r="J105" s="5">
        <f t="shared" si="7"/>
        <v>-1.0795042842387321E-2</v>
      </c>
      <c r="K105"/>
      <c r="L105"/>
      <c r="M105"/>
      <c r="N105"/>
      <c r="T105" s="135"/>
      <c r="U105" s="135"/>
      <c r="V105" s="135"/>
      <c r="W105" s="135"/>
      <c r="X105" s="135"/>
      <c r="Y105" s="135"/>
      <c r="Z105" s="135"/>
      <c r="AA105" s="135"/>
      <c r="AB105" s="135"/>
    </row>
    <row r="106" spans="1:28" x14ac:dyDescent="0.2">
      <c r="A106" s="140">
        <v>40756</v>
      </c>
      <c r="B106" s="41">
        <f>+'Purchased Power Model '!B106</f>
        <v>100307973.92692308</v>
      </c>
      <c r="C106" s="119">
        <f>+'Purchased Power Model '!C106</f>
        <v>3.7</v>
      </c>
      <c r="D106" s="119">
        <f>+'Purchased Power Model '!D106</f>
        <v>80.499999999999957</v>
      </c>
      <c r="E106" s="126">
        <f>+'Purchased Power Model '!E106</f>
        <v>7.2000000000000008E-2</v>
      </c>
      <c r="F106" s="10">
        <f>+'Purchased Power Model '!F106</f>
        <v>31</v>
      </c>
      <c r="G106" s="10">
        <f>+'Purchased Power Model '!G106</f>
        <v>0</v>
      </c>
      <c r="H106" s="141">
        <f t="shared" si="5"/>
        <v>99108507.245476365</v>
      </c>
      <c r="I106" s="142">
        <f t="shared" si="6"/>
        <v>-1199466.6814467162</v>
      </c>
      <c r="J106" s="5">
        <f t="shared" si="7"/>
        <v>-1.1957839785703958E-2</v>
      </c>
      <c r="K106"/>
      <c r="L106"/>
      <c r="M106"/>
      <c r="N106"/>
      <c r="T106" s="135"/>
      <c r="U106" s="135"/>
      <c r="V106" s="135"/>
      <c r="W106" s="135"/>
      <c r="X106" s="135"/>
      <c r="Y106" s="135"/>
      <c r="Z106" s="135"/>
      <c r="AA106" s="135"/>
      <c r="AB106" s="135"/>
    </row>
    <row r="107" spans="1:28" x14ac:dyDescent="0.2">
      <c r="A107" s="140">
        <v>40787</v>
      </c>
      <c r="B107" s="41">
        <f>+'Purchased Power Model '!B107</f>
        <v>85805170.040769234</v>
      </c>
      <c r="C107" s="119">
        <f>+'Purchased Power Model '!C107</f>
        <v>48.900000000000006</v>
      </c>
      <c r="D107" s="119">
        <f>+'Purchased Power Model '!D107</f>
        <v>34.6</v>
      </c>
      <c r="E107" s="126">
        <f>+'Purchased Power Model '!E107</f>
        <v>7.2000000000000008E-2</v>
      </c>
      <c r="F107" s="10">
        <f>+'Purchased Power Model '!F107</f>
        <v>30</v>
      </c>
      <c r="G107" s="10">
        <f>+'Purchased Power Model '!G107</f>
        <v>1</v>
      </c>
      <c r="H107" s="141">
        <f t="shared" si="5"/>
        <v>84452934.733734667</v>
      </c>
      <c r="I107" s="142">
        <f t="shared" si="6"/>
        <v>-1352235.307034567</v>
      </c>
      <c r="J107" s="5">
        <f t="shared" si="7"/>
        <v>-1.5759368653334872E-2</v>
      </c>
      <c r="K107"/>
      <c r="L107"/>
      <c r="M107"/>
      <c r="N107"/>
      <c r="T107" s="135"/>
      <c r="U107" s="135"/>
      <c r="V107" s="135"/>
      <c r="W107" s="135"/>
      <c r="X107" s="135"/>
      <c r="Y107" s="135"/>
      <c r="Z107" s="135"/>
      <c r="AA107" s="135"/>
      <c r="AB107" s="135"/>
    </row>
    <row r="108" spans="1:28" x14ac:dyDescent="0.2">
      <c r="A108" s="140">
        <v>40817</v>
      </c>
      <c r="B108" s="41">
        <f>+'Purchased Power Model '!B108</f>
        <v>85767949.723076925</v>
      </c>
      <c r="C108" s="119">
        <f>+'Purchased Power Model '!C108</f>
        <v>225.29999999999998</v>
      </c>
      <c r="D108" s="119">
        <f>+'Purchased Power Model '!D108</f>
        <v>0</v>
      </c>
      <c r="E108" s="126">
        <f>+'Purchased Power Model '!E108</f>
        <v>7.2000000000000008E-2</v>
      </c>
      <c r="F108" s="10">
        <f>+'Purchased Power Model '!F108</f>
        <v>31</v>
      </c>
      <c r="G108" s="10">
        <f>+'Purchased Power Model '!G108</f>
        <v>1</v>
      </c>
      <c r="H108" s="141">
        <f t="shared" si="5"/>
        <v>89358032.874378905</v>
      </c>
      <c r="I108" s="142">
        <f t="shared" si="6"/>
        <v>3590083.15130198</v>
      </c>
      <c r="J108" s="5">
        <f t="shared" si="7"/>
        <v>4.1858096910249727E-2</v>
      </c>
      <c r="K108"/>
      <c r="L108"/>
      <c r="M108"/>
      <c r="N108"/>
      <c r="T108" s="135"/>
      <c r="U108" s="135"/>
      <c r="V108" s="135"/>
      <c r="W108" s="135"/>
      <c r="X108" s="135"/>
      <c r="Y108" s="135"/>
      <c r="Z108" s="135"/>
      <c r="AA108" s="135"/>
      <c r="AB108" s="135"/>
    </row>
    <row r="109" spans="1:28" x14ac:dyDescent="0.2">
      <c r="A109" s="140">
        <v>40848</v>
      </c>
      <c r="B109" s="41">
        <f>+'Purchased Power Model '!B109</f>
        <v>89407468.154615387</v>
      </c>
      <c r="C109" s="119">
        <f>+'Purchased Power Model '!C109</f>
        <v>349.69999999999993</v>
      </c>
      <c r="D109" s="119">
        <f>+'Purchased Power Model '!D109</f>
        <v>0</v>
      </c>
      <c r="E109" s="126">
        <f>+'Purchased Power Model '!E109</f>
        <v>7.2000000000000008E-2</v>
      </c>
      <c r="F109" s="10">
        <f>+'Purchased Power Model '!F109</f>
        <v>30</v>
      </c>
      <c r="G109" s="10">
        <f>+'Purchased Power Model '!G109</f>
        <v>1</v>
      </c>
      <c r="H109" s="141">
        <f t="shared" si="5"/>
        <v>91554865.32237272</v>
      </c>
      <c r="I109" s="142">
        <f t="shared" si="6"/>
        <v>2147397.1677573323</v>
      </c>
      <c r="J109" s="5">
        <f t="shared" si="7"/>
        <v>2.4018096162210577E-2</v>
      </c>
      <c r="K109"/>
      <c r="L109"/>
      <c r="M109"/>
      <c r="N109"/>
      <c r="T109" s="135"/>
      <c r="U109" s="135"/>
      <c r="V109" s="135"/>
      <c r="W109" s="135"/>
      <c r="X109" s="135"/>
      <c r="Y109" s="135"/>
      <c r="Z109" s="135"/>
      <c r="AA109" s="135"/>
      <c r="AB109" s="135"/>
    </row>
    <row r="110" spans="1:28" x14ac:dyDescent="0.2">
      <c r="A110" s="140">
        <v>40878</v>
      </c>
      <c r="B110" s="41">
        <f>+'Purchased Power Model '!B110</f>
        <v>103511621.38461539</v>
      </c>
      <c r="C110" s="119">
        <f>+'Purchased Power Model '!C110</f>
        <v>531.20000000000005</v>
      </c>
      <c r="D110" s="119">
        <f>+'Purchased Power Model '!D110</f>
        <v>0</v>
      </c>
      <c r="E110" s="126">
        <f>+'Purchased Power Model '!E110</f>
        <v>7.2000000000000008E-2</v>
      </c>
      <c r="F110" s="10">
        <f>+'Purchased Power Model '!F110</f>
        <v>31</v>
      </c>
      <c r="G110" s="10">
        <f>+'Purchased Power Model '!G110</f>
        <v>0</v>
      </c>
      <c r="H110" s="141">
        <f t="shared" si="5"/>
        <v>108694111.60777897</v>
      </c>
      <c r="I110" s="142">
        <f t="shared" si="6"/>
        <v>5182490.2231635749</v>
      </c>
      <c r="J110" s="5">
        <f t="shared" si="7"/>
        <v>5.0066747615778652E-2</v>
      </c>
      <c r="K110"/>
      <c r="L110"/>
      <c r="M110"/>
      <c r="N110"/>
      <c r="T110" s="135"/>
      <c r="U110" s="135"/>
      <c r="V110" s="135"/>
      <c r="W110" s="135"/>
      <c r="X110" s="135"/>
      <c r="Y110" s="135"/>
      <c r="Z110" s="135"/>
      <c r="AA110" s="135"/>
      <c r="AB110" s="135"/>
    </row>
    <row r="111" spans="1:28" x14ac:dyDescent="0.2">
      <c r="A111" s="140">
        <v>40909</v>
      </c>
      <c r="B111" s="41">
        <f>+'Purchased Power Model '!B111</f>
        <v>107982172.33461541</v>
      </c>
      <c r="C111" s="119">
        <f>+'Purchased Power Model '!C111</f>
        <v>611</v>
      </c>
      <c r="D111" s="119">
        <f>+'Purchased Power Model '!D111</f>
        <v>0</v>
      </c>
      <c r="E111" s="126">
        <f>+'Purchased Power Model '!E111</f>
        <v>0.08</v>
      </c>
      <c r="F111" s="10">
        <f>+'Purchased Power Model '!F111</f>
        <v>31</v>
      </c>
      <c r="G111" s="10">
        <f>+'Purchased Power Model '!G111</f>
        <v>0</v>
      </c>
      <c r="H111" s="141">
        <f t="shared" si="5"/>
        <v>110925667.07647668</v>
      </c>
      <c r="I111" s="142">
        <f t="shared" si="6"/>
        <v>2943494.7418612689</v>
      </c>
      <c r="J111" s="5">
        <f t="shared" si="7"/>
        <v>2.7259080626197817E-2</v>
      </c>
      <c r="K111"/>
      <c r="L111"/>
      <c r="M111"/>
      <c r="N111"/>
      <c r="T111" s="144"/>
      <c r="U111" s="144"/>
      <c r="V111" s="144"/>
      <c r="W111" s="135"/>
      <c r="X111" s="135"/>
      <c r="Y111" s="135"/>
      <c r="Z111" s="135"/>
      <c r="AA111" s="135"/>
      <c r="AB111" s="135"/>
    </row>
    <row r="112" spans="1:28" x14ac:dyDescent="0.2">
      <c r="A112" s="140">
        <v>40940</v>
      </c>
      <c r="B112" s="41">
        <f>+'Purchased Power Model '!B112</f>
        <v>97310518.529230773</v>
      </c>
      <c r="C112" s="119">
        <f>+'Purchased Power Model '!C112</f>
        <v>536.20000000000005</v>
      </c>
      <c r="D112" s="119">
        <f>+'Purchased Power Model '!D112</f>
        <v>0</v>
      </c>
      <c r="E112" s="126">
        <f>+'Purchased Power Model '!E112</f>
        <v>0.08</v>
      </c>
      <c r="F112" s="10">
        <f>+'Purchased Power Model '!F112</f>
        <v>29</v>
      </c>
      <c r="G112" s="10">
        <f>+'Purchased Power Model '!G112</f>
        <v>0</v>
      </c>
      <c r="H112" s="141">
        <f t="shared" si="5"/>
        <v>102292436.15514034</v>
      </c>
      <c r="I112" s="142">
        <f t="shared" si="6"/>
        <v>4981917.6259095669</v>
      </c>
      <c r="J112" s="5">
        <f t="shared" si="7"/>
        <v>5.1196085492166664E-2</v>
      </c>
      <c r="K112"/>
      <c r="L112"/>
      <c r="M112"/>
      <c r="N112"/>
      <c r="T112" s="135"/>
      <c r="U112" s="135"/>
      <c r="V112" s="135"/>
      <c r="W112" s="135"/>
      <c r="X112" s="135"/>
      <c r="Y112" s="135"/>
      <c r="Z112" s="135"/>
      <c r="AA112" s="135"/>
      <c r="AB112" s="135"/>
    </row>
    <row r="113" spans="1:28" x14ac:dyDescent="0.2">
      <c r="A113" s="140">
        <v>40969</v>
      </c>
      <c r="B113" s="41">
        <f>+'Purchased Power Model '!B113</f>
        <v>92940593.720769227</v>
      </c>
      <c r="C113" s="119">
        <f>+'Purchased Power Model '!C113</f>
        <v>399.39999999999992</v>
      </c>
      <c r="D113" s="119">
        <f>+'Purchased Power Model '!D113</f>
        <v>0</v>
      </c>
      <c r="E113" s="126">
        <f>+'Purchased Power Model '!E113</f>
        <v>0.08</v>
      </c>
      <c r="F113" s="10">
        <f>+'Purchased Power Model '!F113</f>
        <v>31</v>
      </c>
      <c r="G113" s="10">
        <f>+'Purchased Power Model '!G113</f>
        <v>1</v>
      </c>
      <c r="H113" s="141">
        <f t="shared" si="5"/>
        <v>95385744.94250074</v>
      </c>
      <c r="I113" s="142">
        <f t="shared" si="6"/>
        <v>2445151.2217315137</v>
      </c>
      <c r="J113" s="5">
        <f t="shared" si="7"/>
        <v>2.6308754052913923E-2</v>
      </c>
      <c r="K113"/>
      <c r="L113"/>
      <c r="M113"/>
      <c r="N113"/>
      <c r="T113" s="135"/>
      <c r="U113" s="135"/>
      <c r="V113" s="135"/>
      <c r="W113" s="135"/>
      <c r="X113" s="135"/>
      <c r="Y113" s="135"/>
      <c r="Z113" s="135"/>
      <c r="AA113" s="135"/>
      <c r="AB113" s="135"/>
    </row>
    <row r="114" spans="1:28" x14ac:dyDescent="0.2">
      <c r="A114" s="140">
        <v>41000</v>
      </c>
      <c r="B114" s="41">
        <f>+'Purchased Power Model '!B114</f>
        <v>84061512.170000002</v>
      </c>
      <c r="C114" s="119">
        <f>+'Purchased Power Model '!C114</f>
        <v>336.89999999999992</v>
      </c>
      <c r="D114" s="119">
        <f>+'Purchased Power Model '!D114</f>
        <v>0</v>
      </c>
      <c r="E114" s="126">
        <f>+'Purchased Power Model '!E114</f>
        <v>8.4000000000000005E-2</v>
      </c>
      <c r="F114" s="10">
        <f>+'Purchased Power Model '!F114</f>
        <v>30</v>
      </c>
      <c r="G114" s="10">
        <f>+'Purchased Power Model '!G114</f>
        <v>1</v>
      </c>
      <c r="H114" s="141">
        <f t="shared" si="5"/>
        <v>89568256.325804234</v>
      </c>
      <c r="I114" s="142">
        <f t="shared" si="6"/>
        <v>5506744.1558042318</v>
      </c>
      <c r="J114" s="5">
        <f t="shared" si="7"/>
        <v>6.5508506968894223E-2</v>
      </c>
      <c r="K114"/>
      <c r="L114"/>
      <c r="M114"/>
      <c r="N114"/>
      <c r="T114" s="135"/>
      <c r="U114" s="135"/>
      <c r="V114" s="135"/>
      <c r="W114" s="135"/>
      <c r="X114" s="135"/>
      <c r="Y114" s="135"/>
      <c r="Z114" s="135"/>
      <c r="AA114" s="135"/>
      <c r="AB114" s="135"/>
    </row>
    <row r="115" spans="1:28" x14ac:dyDescent="0.2">
      <c r="A115" s="140">
        <v>41030</v>
      </c>
      <c r="B115" s="41">
        <f>+'Purchased Power Model '!B115</f>
        <v>84298340.921818167</v>
      </c>
      <c r="C115" s="119">
        <f>+'Purchased Power Model '!C115</f>
        <v>109.30000000000001</v>
      </c>
      <c r="D115" s="119">
        <f>+'Purchased Power Model '!D115</f>
        <v>21.8</v>
      </c>
      <c r="E115" s="126">
        <f>+'Purchased Power Model '!E115</f>
        <v>8.4000000000000005E-2</v>
      </c>
      <c r="F115" s="10">
        <f>+'Purchased Power Model '!F115</f>
        <v>31</v>
      </c>
      <c r="G115" s="10">
        <f>+'Purchased Power Model '!G115</f>
        <v>1</v>
      </c>
      <c r="H115" s="141">
        <f t="shared" si="5"/>
        <v>86371765.31987676</v>
      </c>
      <c r="I115" s="142">
        <f t="shared" si="6"/>
        <v>2073424.3980585933</v>
      </c>
      <c r="J115" s="5">
        <f t="shared" si="7"/>
        <v>2.4596265779199312E-2</v>
      </c>
      <c r="K115"/>
      <c r="L115"/>
      <c r="M115"/>
      <c r="N115"/>
      <c r="T115" s="135"/>
      <c r="U115" s="135"/>
      <c r="V115" s="135"/>
      <c r="W115" s="135"/>
      <c r="X115" s="135"/>
      <c r="Y115" s="135"/>
      <c r="Z115" s="135"/>
      <c r="AA115" s="135"/>
      <c r="AB115" s="135"/>
    </row>
    <row r="116" spans="1:28" x14ac:dyDescent="0.2">
      <c r="A116" s="140">
        <v>41061</v>
      </c>
      <c r="B116" s="41">
        <f>+'Purchased Power Model '!B116</f>
        <v>93187121.853636354</v>
      </c>
      <c r="C116" s="119">
        <f>+'Purchased Power Model '!C116</f>
        <v>28.2</v>
      </c>
      <c r="D116" s="119">
        <f>+'Purchased Power Model '!D116</f>
        <v>64.3</v>
      </c>
      <c r="E116" s="126">
        <f>+'Purchased Power Model '!E116</f>
        <v>8.4000000000000005E-2</v>
      </c>
      <c r="F116" s="10">
        <f>+'Purchased Power Model '!F116</f>
        <v>30</v>
      </c>
      <c r="G116" s="10">
        <f>+'Purchased Power Model '!G116</f>
        <v>0</v>
      </c>
      <c r="H116" s="141">
        <f t="shared" si="5"/>
        <v>93468042.241930321</v>
      </c>
      <c r="I116" s="142">
        <f t="shared" si="6"/>
        <v>280920.38829396665</v>
      </c>
      <c r="J116" s="5">
        <f t="shared" si="7"/>
        <v>3.014583804135427E-3</v>
      </c>
      <c r="K116"/>
      <c r="L116"/>
      <c r="M116"/>
      <c r="N116"/>
      <c r="T116" s="135"/>
      <c r="U116" s="135"/>
      <c r="V116" s="135"/>
      <c r="W116" s="135"/>
      <c r="X116" s="135"/>
      <c r="Y116" s="135"/>
      <c r="Z116" s="135"/>
      <c r="AA116" s="135"/>
      <c r="AB116" s="135"/>
    </row>
    <row r="117" spans="1:28" x14ac:dyDescent="0.2">
      <c r="A117" s="140">
        <v>41091</v>
      </c>
      <c r="B117" s="41">
        <f>+'Purchased Power Model '!B117</f>
        <v>110767074.55090907</v>
      </c>
      <c r="C117" s="119">
        <f>+'Purchased Power Model '!C117</f>
        <v>0</v>
      </c>
      <c r="D117" s="119">
        <f>+'Purchased Power Model '!D117</f>
        <v>155.30000000000001</v>
      </c>
      <c r="E117" s="126">
        <f>+'Purchased Power Model '!E117</f>
        <v>9.3000000000000013E-2</v>
      </c>
      <c r="F117" s="10">
        <f>+'Purchased Power Model '!F117</f>
        <v>31</v>
      </c>
      <c r="G117" s="10">
        <f>+'Purchased Power Model '!G117</f>
        <v>0</v>
      </c>
      <c r="H117" s="141">
        <f t="shared" si="5"/>
        <v>107209382.72268109</v>
      </c>
      <c r="I117" s="142">
        <f t="shared" si="6"/>
        <v>-3557691.8282279819</v>
      </c>
      <c r="J117" s="5">
        <f t="shared" si="7"/>
        <v>-3.211867644471237E-2</v>
      </c>
      <c r="K117"/>
      <c r="L117"/>
      <c r="M117"/>
      <c r="N117"/>
      <c r="T117" s="135"/>
      <c r="U117" s="135"/>
      <c r="V117" s="135"/>
      <c r="W117" s="135"/>
      <c r="X117" s="135"/>
      <c r="Y117" s="135"/>
      <c r="Z117" s="135"/>
      <c r="AA117" s="135"/>
      <c r="AB117" s="135"/>
    </row>
    <row r="118" spans="1:28" x14ac:dyDescent="0.2">
      <c r="A118" s="140">
        <v>41122</v>
      </c>
      <c r="B118" s="41">
        <f>+'Purchased Power Model '!B118</f>
        <v>101373951.59181817</v>
      </c>
      <c r="C118" s="119">
        <f>+'Purchased Power Model '!C118</f>
        <v>4.4000000000000004</v>
      </c>
      <c r="D118" s="119">
        <f>+'Purchased Power Model '!D118</f>
        <v>102.79999999999998</v>
      </c>
      <c r="E118" s="126">
        <f>+'Purchased Power Model '!E118</f>
        <v>9.3000000000000013E-2</v>
      </c>
      <c r="F118" s="10">
        <f>+'Purchased Power Model '!F118</f>
        <v>31</v>
      </c>
      <c r="G118" s="10">
        <f>+'Purchased Power Model '!G118</f>
        <v>0</v>
      </c>
      <c r="H118" s="141">
        <f t="shared" si="5"/>
        <v>99788994.19642137</v>
      </c>
      <c r="I118" s="142">
        <f t="shared" si="6"/>
        <v>-1584957.3953967988</v>
      </c>
      <c r="J118" s="5">
        <f t="shared" si="7"/>
        <v>-1.5634759921154338E-2</v>
      </c>
      <c r="K118"/>
      <c r="L118"/>
      <c r="M118"/>
      <c r="N118"/>
      <c r="T118" s="135"/>
      <c r="U118" s="135"/>
      <c r="V118" s="135"/>
      <c r="W118" s="135"/>
      <c r="X118" s="135"/>
      <c r="Y118" s="135"/>
      <c r="Z118" s="135"/>
      <c r="AA118" s="135"/>
      <c r="AB118" s="135"/>
    </row>
    <row r="119" spans="1:28" x14ac:dyDescent="0.2">
      <c r="A119" s="140">
        <v>41153</v>
      </c>
      <c r="B119" s="41">
        <f>+'Purchased Power Model '!B119</f>
        <v>85023139.218181819</v>
      </c>
      <c r="C119" s="119">
        <f>+'Purchased Power Model '!C119</f>
        <v>84</v>
      </c>
      <c r="D119" s="119">
        <f>+'Purchased Power Model '!D119</f>
        <v>24.400000000000002</v>
      </c>
      <c r="E119" s="126">
        <f>+'Purchased Power Model '!E119</f>
        <v>9.3000000000000013E-2</v>
      </c>
      <c r="F119" s="10">
        <f>+'Purchased Power Model '!F119</f>
        <v>30</v>
      </c>
      <c r="G119" s="10">
        <f>+'Purchased Power Model '!G119</f>
        <v>1</v>
      </c>
      <c r="H119" s="141">
        <f t="shared" si="5"/>
        <v>81815009.866063863</v>
      </c>
      <c r="I119" s="142">
        <f t="shared" si="6"/>
        <v>-3208129.3521179557</v>
      </c>
      <c r="J119" s="5">
        <f t="shared" si="7"/>
        <v>-3.7732426509040393E-2</v>
      </c>
      <c r="K119"/>
      <c r="L119"/>
      <c r="M119"/>
      <c r="N119"/>
      <c r="T119" s="135"/>
      <c r="U119" s="135"/>
      <c r="V119" s="135"/>
      <c r="W119" s="135"/>
      <c r="X119" s="135"/>
      <c r="Y119" s="135"/>
      <c r="Z119" s="135"/>
      <c r="AA119" s="135"/>
      <c r="AB119" s="135"/>
    </row>
    <row r="120" spans="1:28" x14ac:dyDescent="0.2">
      <c r="A120" s="140">
        <v>41183</v>
      </c>
      <c r="B120" s="41">
        <f>+'Purchased Power Model '!B120</f>
        <v>85295690.281818166</v>
      </c>
      <c r="C120" s="119">
        <f>+'Purchased Power Model '!C120</f>
        <v>228.99999999999994</v>
      </c>
      <c r="D120" s="119">
        <f>+'Purchased Power Model '!D120</f>
        <v>0</v>
      </c>
      <c r="E120" s="126">
        <f>+'Purchased Power Model '!E120</f>
        <v>9.4E-2</v>
      </c>
      <c r="F120" s="10">
        <f>+'Purchased Power Model '!F120</f>
        <v>31</v>
      </c>
      <c r="G120" s="10">
        <f>+'Purchased Power Model '!G120</f>
        <v>1</v>
      </c>
      <c r="H120" s="141">
        <f t="shared" si="5"/>
        <v>86809542.265622526</v>
      </c>
      <c r="I120" s="142">
        <f t="shared" si="6"/>
        <v>1513851.98380436</v>
      </c>
      <c r="J120" s="5">
        <f t="shared" si="7"/>
        <v>1.7748282226248146E-2</v>
      </c>
      <c r="K120"/>
      <c r="L120"/>
      <c r="M120"/>
      <c r="N120"/>
      <c r="T120" s="135"/>
      <c r="U120" s="135"/>
      <c r="V120" s="135"/>
      <c r="W120" s="135"/>
      <c r="X120" s="135"/>
      <c r="Y120" s="135"/>
      <c r="Z120" s="135"/>
      <c r="AA120" s="135"/>
      <c r="AB120" s="135"/>
    </row>
    <row r="121" spans="1:28" x14ac:dyDescent="0.2">
      <c r="A121" s="140">
        <v>41214</v>
      </c>
      <c r="B121" s="41">
        <f>+'Purchased Power Model '!B121</f>
        <v>91679199.734545454</v>
      </c>
      <c r="C121" s="119">
        <f>+'Purchased Power Model '!C121</f>
        <v>427.89999999999992</v>
      </c>
      <c r="D121" s="119">
        <f>+'Purchased Power Model '!D121</f>
        <v>0</v>
      </c>
      <c r="E121" s="126">
        <f>+'Purchased Power Model '!E121</f>
        <v>9.4E-2</v>
      </c>
      <c r="F121" s="10">
        <f>+'Purchased Power Model '!F121</f>
        <v>30</v>
      </c>
      <c r="G121" s="10">
        <f>+'Purchased Power Model '!G121</f>
        <v>1</v>
      </c>
      <c r="H121" s="141">
        <f t="shared" si="5"/>
        <v>92005459.195664048</v>
      </c>
      <c r="I121" s="142">
        <f t="shared" si="6"/>
        <v>326259.46111859381</v>
      </c>
      <c r="J121" s="5">
        <f t="shared" si="7"/>
        <v>3.5587075592202911E-3</v>
      </c>
      <c r="K121"/>
      <c r="L121"/>
      <c r="M121"/>
      <c r="N121"/>
      <c r="T121" s="135"/>
      <c r="U121" s="135"/>
      <c r="V121" s="135"/>
      <c r="W121" s="135"/>
      <c r="X121" s="135"/>
      <c r="Y121" s="135"/>
      <c r="Z121" s="135"/>
      <c r="AA121" s="135"/>
      <c r="AB121" s="135"/>
    </row>
    <row r="122" spans="1:28" x14ac:dyDescent="0.2">
      <c r="A122" s="140">
        <v>41244</v>
      </c>
      <c r="B122" s="41">
        <f>+'Purchased Power Model '!B122</f>
        <v>102292637.76363637</v>
      </c>
      <c r="C122" s="119">
        <f>+'Purchased Power Model '!C122</f>
        <v>451.09999999999997</v>
      </c>
      <c r="D122" s="119">
        <f>+'Purchased Power Model '!D122</f>
        <v>0</v>
      </c>
      <c r="E122" s="126">
        <f>+'Purchased Power Model '!E122</f>
        <v>9.4E-2</v>
      </c>
      <c r="F122" s="10">
        <f>+'Purchased Power Model '!F122</f>
        <v>31</v>
      </c>
      <c r="G122" s="10">
        <f>+'Purchased Power Model '!G122</f>
        <v>0</v>
      </c>
      <c r="H122" s="141">
        <f t="shared" si="5"/>
        <v>102772154.15881324</v>
      </c>
      <c r="I122" s="142">
        <f t="shared" si="6"/>
        <v>479516.39517687261</v>
      </c>
      <c r="J122" s="5">
        <f t="shared" si="7"/>
        <v>4.6876921512657883E-3</v>
      </c>
      <c r="K122"/>
      <c r="L122"/>
      <c r="M122"/>
      <c r="N122"/>
      <c r="T122" s="135"/>
      <c r="U122" s="135"/>
      <c r="V122" s="135"/>
      <c r="W122" s="135"/>
      <c r="X122" s="135"/>
      <c r="Y122" s="135"/>
      <c r="Z122" s="135"/>
      <c r="AA122" s="135"/>
      <c r="AB122" s="135"/>
    </row>
    <row r="123" spans="1:28" x14ac:dyDescent="0.2">
      <c r="A123" s="3">
        <v>41275</v>
      </c>
      <c r="B123" s="41">
        <f>+'Purchased Power Model '!B123</f>
        <v>107376383.33333334</v>
      </c>
      <c r="C123" s="119">
        <f>+'Purchased Power Model '!C123</f>
        <v>615.40000000000009</v>
      </c>
      <c r="D123" s="119">
        <f>+'Purchased Power Model '!D123</f>
        <v>0</v>
      </c>
      <c r="E123" s="126">
        <f>+'Purchased Power Model '!E123</f>
        <v>8.4000000000000005E-2</v>
      </c>
      <c r="F123" s="10">
        <f>+'Purchased Power Model '!F123</f>
        <v>31</v>
      </c>
      <c r="G123" s="10">
        <f>+'Purchased Power Model '!G123</f>
        <v>0</v>
      </c>
      <c r="H123" s="141">
        <f t="shared" si="5"/>
        <v>110612350.86300415</v>
      </c>
      <c r="I123" s="142">
        <f t="shared" si="6"/>
        <v>3235967.5296708047</v>
      </c>
      <c r="J123" s="5">
        <f t="shared" si="7"/>
        <v>3.0136678375776962E-2</v>
      </c>
      <c r="K123"/>
      <c r="L123"/>
      <c r="M123"/>
      <c r="N123"/>
      <c r="T123" s="135"/>
      <c r="U123" s="135"/>
      <c r="V123" s="135"/>
      <c r="W123" s="135"/>
      <c r="X123" s="135"/>
      <c r="Y123" s="135"/>
      <c r="Z123" s="135"/>
      <c r="AA123" s="135"/>
      <c r="AB123" s="135"/>
    </row>
    <row r="124" spans="1:28" x14ac:dyDescent="0.2">
      <c r="A124" s="3">
        <v>41306</v>
      </c>
      <c r="B124" s="41">
        <f>+'Purchased Power Model '!B124</f>
        <v>98702891.666666672</v>
      </c>
      <c r="C124" s="119">
        <f>+'Purchased Power Model '!C124</f>
        <v>611.5</v>
      </c>
      <c r="D124" s="119">
        <f>+'Purchased Power Model '!D124</f>
        <v>0</v>
      </c>
      <c r="E124" s="126">
        <f>+'Purchased Power Model '!E124</f>
        <v>8.4000000000000005E-2</v>
      </c>
      <c r="F124" s="10">
        <f>+'Purchased Power Model '!F124</f>
        <v>28</v>
      </c>
      <c r="G124" s="10">
        <f>+'Purchased Power Model '!G124</f>
        <v>0</v>
      </c>
      <c r="H124" s="141">
        <f t="shared" si="5"/>
        <v>102022247.42604348</v>
      </c>
      <c r="I124" s="142">
        <f t="shared" si="6"/>
        <v>3319355.759376809</v>
      </c>
      <c r="J124" s="5">
        <f t="shared" si="7"/>
        <v>3.3629772171080187E-2</v>
      </c>
      <c r="K124"/>
      <c r="L124"/>
      <c r="M124"/>
      <c r="N124"/>
      <c r="T124" s="135"/>
      <c r="U124" s="135"/>
      <c r="V124" s="135"/>
      <c r="W124" s="135"/>
      <c r="X124" s="135"/>
      <c r="Y124" s="135"/>
      <c r="Z124" s="135"/>
      <c r="AA124" s="135"/>
      <c r="AB124" s="135"/>
    </row>
    <row r="125" spans="1:28" x14ac:dyDescent="0.2">
      <c r="A125" s="3">
        <v>41334</v>
      </c>
      <c r="B125" s="41">
        <f>+'Purchased Power Model '!B125</f>
        <v>98851083.333333343</v>
      </c>
      <c r="C125" s="119">
        <f>+'Purchased Power Model '!C125</f>
        <v>545</v>
      </c>
      <c r="D125" s="119">
        <f>+'Purchased Power Model '!D125</f>
        <v>0</v>
      </c>
      <c r="E125" s="126">
        <f>+'Purchased Power Model '!E125</f>
        <v>8.4000000000000005E-2</v>
      </c>
      <c r="F125" s="10">
        <f>+'Purchased Power Model '!F125</f>
        <v>31</v>
      </c>
      <c r="G125" s="10">
        <f>+'Purchased Power Model '!G125</f>
        <v>1</v>
      </c>
      <c r="H125" s="141">
        <f t="shared" si="5"/>
        <v>100756599.58627835</v>
      </c>
      <c r="I125" s="142">
        <f t="shared" si="6"/>
        <v>1905516.2529450059</v>
      </c>
      <c r="J125" s="5">
        <f t="shared" si="7"/>
        <v>1.927663500175775E-2</v>
      </c>
      <c r="K125"/>
      <c r="L125"/>
      <c r="M125"/>
      <c r="N125"/>
      <c r="T125" s="135"/>
      <c r="U125" s="135"/>
      <c r="V125" s="135"/>
      <c r="W125" s="135"/>
      <c r="X125" s="135"/>
      <c r="Y125" s="135"/>
      <c r="Z125" s="135"/>
      <c r="AA125" s="135"/>
      <c r="AB125" s="135"/>
    </row>
    <row r="126" spans="1:28" x14ac:dyDescent="0.2">
      <c r="A126" s="3">
        <v>41365</v>
      </c>
      <c r="B126" s="41">
        <f>+'Purchased Power Model '!B126</f>
        <v>87330008.333333343</v>
      </c>
      <c r="C126" s="119">
        <f>+'Purchased Power Model '!C126</f>
        <v>366.49999999999994</v>
      </c>
      <c r="D126" s="119">
        <f>+'Purchased Power Model '!D126</f>
        <v>0</v>
      </c>
      <c r="E126" s="126">
        <f>+'Purchased Power Model '!E126</f>
        <v>7.0999999999999994E-2</v>
      </c>
      <c r="F126" s="10">
        <f>+'Purchased Power Model '!F126</f>
        <v>30</v>
      </c>
      <c r="G126" s="10">
        <f>+'Purchased Power Model '!G126</f>
        <v>1</v>
      </c>
      <c r="H126" s="141">
        <f t="shared" si="5"/>
        <v>92353779.774783194</v>
      </c>
      <c r="I126" s="142">
        <f t="shared" si="6"/>
        <v>5023771.4414498508</v>
      </c>
      <c r="J126" s="5">
        <f t="shared" si="7"/>
        <v>5.7526290645415035E-2</v>
      </c>
      <c r="K126"/>
      <c r="L126"/>
      <c r="M126"/>
      <c r="N126"/>
      <c r="T126" s="135"/>
      <c r="U126" s="135"/>
      <c r="V126" s="135"/>
      <c r="W126" s="135"/>
      <c r="X126" s="135"/>
      <c r="Y126" s="135"/>
      <c r="Z126" s="135"/>
      <c r="AA126" s="135"/>
      <c r="AB126" s="135"/>
    </row>
    <row r="127" spans="1:28" x14ac:dyDescent="0.2">
      <c r="A127" s="3">
        <v>41395</v>
      </c>
      <c r="B127" s="41">
        <f>+'Purchased Power Model '!B127</f>
        <v>81913958.333333343</v>
      </c>
      <c r="C127" s="119">
        <f>+'Purchased Power Model '!C127</f>
        <v>133.4</v>
      </c>
      <c r="D127" s="119">
        <f>+'Purchased Power Model '!D127</f>
        <v>3</v>
      </c>
      <c r="E127" s="126">
        <f>+'Purchased Power Model '!E127</f>
        <v>7.0999999999999994E-2</v>
      </c>
      <c r="F127" s="10">
        <f>+'Purchased Power Model '!F127</f>
        <v>31</v>
      </c>
      <c r="G127" s="10">
        <f>+'Purchased Power Model '!G127</f>
        <v>1</v>
      </c>
      <c r="H127" s="141">
        <f t="shared" si="5"/>
        <v>86215245.666925222</v>
      </c>
      <c r="I127" s="142">
        <f t="shared" si="6"/>
        <v>4301287.3335918784</v>
      </c>
      <c r="J127" s="5">
        <f t="shared" si="7"/>
        <v>5.2509821538456292E-2</v>
      </c>
      <c r="K127"/>
      <c r="L127"/>
      <c r="M127"/>
      <c r="N127"/>
      <c r="T127" s="135"/>
      <c r="U127" s="135"/>
      <c r="V127" s="135"/>
      <c r="W127" s="135"/>
      <c r="X127" s="135"/>
      <c r="Y127" s="135"/>
      <c r="Z127" s="135"/>
      <c r="AA127" s="135"/>
      <c r="AB127" s="135"/>
    </row>
    <row r="128" spans="1:28" x14ac:dyDescent="0.2">
      <c r="A128" s="3">
        <v>41426</v>
      </c>
      <c r="B128" s="41">
        <f>+'Purchased Power Model '!B128</f>
        <v>86391933.333333343</v>
      </c>
      <c r="C128" s="119">
        <f>+'Purchased Power Model '!C128</f>
        <v>42.900000000000006</v>
      </c>
      <c r="D128" s="119">
        <f>+'Purchased Power Model '!D128</f>
        <v>32.200000000000003</v>
      </c>
      <c r="E128" s="126">
        <f>+'Purchased Power Model '!E128</f>
        <v>7.0999999999999994E-2</v>
      </c>
      <c r="F128" s="10">
        <f>+'Purchased Power Model '!F128</f>
        <v>30</v>
      </c>
      <c r="G128" s="10">
        <f>+'Purchased Power Model '!G128</f>
        <v>0</v>
      </c>
      <c r="H128" s="141">
        <f t="shared" si="5"/>
        <v>91008410.645987555</v>
      </c>
      <c r="I128" s="142">
        <f t="shared" si="6"/>
        <v>4616477.3126542121</v>
      </c>
      <c r="J128" s="5">
        <f t="shared" si="7"/>
        <v>5.3436439428228386E-2</v>
      </c>
      <c r="K128"/>
      <c r="L128"/>
      <c r="M128"/>
      <c r="N128"/>
      <c r="T128" s="135"/>
      <c r="U128" s="135"/>
      <c r="V128" s="135"/>
      <c r="W128" s="135"/>
      <c r="X128" s="135"/>
      <c r="Y128" s="135"/>
      <c r="Z128" s="135"/>
      <c r="AA128" s="135"/>
      <c r="AB128" s="135"/>
    </row>
    <row r="129" spans="1:28" x14ac:dyDescent="0.2">
      <c r="A129" s="3">
        <v>41456</v>
      </c>
      <c r="B129" s="41">
        <f>+'Purchased Power Model '!B129</f>
        <v>104037066.66666667</v>
      </c>
      <c r="C129" s="119">
        <f>+'Purchased Power Model '!C129</f>
        <v>4.4000000000000004</v>
      </c>
      <c r="D129" s="119">
        <f>+'Purchased Power Model '!D129</f>
        <v>109.99999999999999</v>
      </c>
      <c r="E129" s="126">
        <f>+'Purchased Power Model '!E129</f>
        <v>6.3E-2</v>
      </c>
      <c r="F129" s="10">
        <f>+'Purchased Power Model '!F129</f>
        <v>31</v>
      </c>
      <c r="G129" s="10">
        <f>+'Purchased Power Model '!G129</f>
        <v>0</v>
      </c>
      <c r="H129" s="141">
        <f t="shared" si="5"/>
        <v>104509264.33169988</v>
      </c>
      <c r="I129" s="142">
        <f t="shared" si="6"/>
        <v>472197.66503320634</v>
      </c>
      <c r="J129" s="5">
        <f t="shared" si="7"/>
        <v>4.5387445086867081E-3</v>
      </c>
      <c r="K129"/>
      <c r="L129"/>
      <c r="M129"/>
      <c r="N129"/>
      <c r="T129" s="135"/>
      <c r="U129" s="135"/>
      <c r="V129" s="135"/>
      <c r="W129" s="135"/>
      <c r="X129" s="135"/>
      <c r="Y129" s="135"/>
      <c r="Z129" s="135"/>
      <c r="AA129" s="135"/>
      <c r="AB129" s="135"/>
    </row>
    <row r="130" spans="1:28" x14ac:dyDescent="0.2">
      <c r="A130" s="3">
        <v>41487</v>
      </c>
      <c r="B130" s="41">
        <f>+'Purchased Power Model '!B130</f>
        <v>95663441.666666672</v>
      </c>
      <c r="C130" s="119">
        <f>+'Purchased Power Model '!C130</f>
        <v>11</v>
      </c>
      <c r="D130" s="119">
        <f>+'Purchased Power Model '!D130</f>
        <v>57.899999999999991</v>
      </c>
      <c r="E130" s="126">
        <f>+'Purchased Power Model '!E130</f>
        <v>6.3E-2</v>
      </c>
      <c r="F130" s="10">
        <f>+'Purchased Power Model '!F130</f>
        <v>31</v>
      </c>
      <c r="G130" s="10">
        <f>+'Purchased Power Model '!G130</f>
        <v>0</v>
      </c>
      <c r="H130" s="141">
        <f t="shared" si="5"/>
        <v>97235325.207663849</v>
      </c>
      <c r="I130" s="142">
        <f t="shared" si="6"/>
        <v>1571883.5409971774</v>
      </c>
      <c r="J130" s="5">
        <f t="shared" si="7"/>
        <v>1.6431392323039223E-2</v>
      </c>
      <c r="K130"/>
      <c r="L130"/>
      <c r="M130"/>
      <c r="N130"/>
      <c r="T130" s="135"/>
      <c r="U130" s="135"/>
      <c r="V130" s="135"/>
      <c r="W130" s="135"/>
      <c r="X130" s="135"/>
      <c r="Y130" s="135"/>
      <c r="Z130" s="135"/>
      <c r="AA130" s="135"/>
      <c r="AB130" s="135"/>
    </row>
    <row r="131" spans="1:28" x14ac:dyDescent="0.2">
      <c r="A131" s="3">
        <v>41518</v>
      </c>
      <c r="B131" s="41">
        <f>+'Purchased Power Model '!B131</f>
        <v>83012108.333333343</v>
      </c>
      <c r="C131" s="119">
        <f>+'Purchased Power Model '!C131</f>
        <v>96.600000000000009</v>
      </c>
      <c r="D131" s="119">
        <f>+'Purchased Power Model '!D131</f>
        <v>15.700000000000001</v>
      </c>
      <c r="E131" s="126">
        <f>+'Purchased Power Model '!E131</f>
        <v>6.3E-2</v>
      </c>
      <c r="F131" s="10">
        <f>+'Purchased Power Model '!F131</f>
        <v>30</v>
      </c>
      <c r="G131" s="10">
        <f>+'Purchased Power Model '!G131</f>
        <v>1</v>
      </c>
      <c r="H131" s="141">
        <f t="shared" si="5"/>
        <v>84741545.825753883</v>
      </c>
      <c r="I131" s="142">
        <f t="shared" si="6"/>
        <v>1729437.4924205393</v>
      </c>
      <c r="J131" s="5">
        <f t="shared" si="7"/>
        <v>2.083355702129646E-2</v>
      </c>
      <c r="K131"/>
      <c r="L131"/>
      <c r="M131"/>
      <c r="N131"/>
      <c r="T131" s="135"/>
      <c r="U131" s="135"/>
      <c r="V131" s="135"/>
      <c r="W131" s="135"/>
      <c r="X131" s="135"/>
      <c r="Y131" s="135"/>
      <c r="Z131" s="135"/>
      <c r="AA131" s="135"/>
      <c r="AB131" s="135"/>
    </row>
    <row r="132" spans="1:28" x14ac:dyDescent="0.2">
      <c r="A132" s="3">
        <v>41548</v>
      </c>
      <c r="B132" s="41">
        <f>+'Purchased Power Model '!B132</f>
        <v>84463400.000000015</v>
      </c>
      <c r="C132" s="119">
        <f>+'Purchased Power Model '!C132</f>
        <v>221</v>
      </c>
      <c r="D132" s="119">
        <f>+'Purchased Power Model '!D132</f>
        <v>3</v>
      </c>
      <c r="E132" s="126">
        <f>+'Purchased Power Model '!E132</f>
        <v>7.0000000000000007E-2</v>
      </c>
      <c r="F132" s="10">
        <f>+'Purchased Power Model '!F132</f>
        <v>31</v>
      </c>
      <c r="G132" s="10">
        <f>+'Purchased Power Model '!G132</f>
        <v>1</v>
      </c>
      <c r="H132" s="141">
        <f t="shared" ref="H132:H195" si="8">$M$18+C132*$M$19+D132*$M$20+E132*$M$21+F132*$M$22+G132*$M$23</f>
        <v>89864296.781469613</v>
      </c>
      <c r="I132" s="142">
        <f t="shared" ref="I132:I133" si="9">H132-B132</f>
        <v>5400896.7814695984</v>
      </c>
      <c r="J132" s="5">
        <f t="shared" ref="J132:J133" si="10">I132/B132</f>
        <v>6.3943634538387015E-2</v>
      </c>
      <c r="K132"/>
      <c r="L132"/>
      <c r="M132"/>
      <c r="N132"/>
      <c r="T132" s="135"/>
      <c r="U132" s="135"/>
      <c r="V132" s="135"/>
      <c r="W132" s="135"/>
      <c r="X132" s="135"/>
      <c r="Y132" s="135"/>
      <c r="Z132" s="135"/>
      <c r="AA132" s="135"/>
      <c r="AB132" s="135"/>
    </row>
    <row r="133" spans="1:28" x14ac:dyDescent="0.2">
      <c r="A133" s="3">
        <v>41579</v>
      </c>
      <c r="B133" s="41">
        <f>+'Purchased Power Model '!B133</f>
        <v>94249183.333333343</v>
      </c>
      <c r="C133" s="119">
        <f>+'Purchased Power Model '!C133</f>
        <v>458.6</v>
      </c>
      <c r="D133" s="119">
        <f>+'Purchased Power Model '!D133</f>
        <v>0</v>
      </c>
      <c r="E133" s="126">
        <f>+'Purchased Power Model '!E133</f>
        <v>7.0000000000000007E-2</v>
      </c>
      <c r="F133" s="10">
        <f>+'Purchased Power Model '!F133</f>
        <v>30</v>
      </c>
      <c r="G133" s="10">
        <f>+'Purchased Power Model '!G133</f>
        <v>1</v>
      </c>
      <c r="H133" s="141">
        <f t="shared" si="8"/>
        <v>96183983.643276781</v>
      </c>
      <c r="I133" s="142">
        <f t="shared" si="9"/>
        <v>1934800.3099434376</v>
      </c>
      <c r="J133" s="5">
        <f t="shared" si="10"/>
        <v>2.0528563129301427E-2</v>
      </c>
      <c r="K133"/>
      <c r="L133"/>
      <c r="M133"/>
      <c r="N133"/>
      <c r="T133" s="135"/>
      <c r="U133" s="135"/>
      <c r="V133" s="135"/>
      <c r="W133" s="135"/>
      <c r="X133" s="135"/>
      <c r="Y133" s="135"/>
      <c r="Z133" s="135"/>
      <c r="AA133" s="135"/>
      <c r="AB133" s="135"/>
    </row>
    <row r="134" spans="1:28" x14ac:dyDescent="0.2">
      <c r="A134" s="3">
        <v>41609</v>
      </c>
      <c r="B134" s="41">
        <f>+'Purchased Power Model '!B134</f>
        <v>108415583.33333334</v>
      </c>
      <c r="C134" s="119">
        <f>+'Purchased Power Model '!C134</f>
        <v>472.8</v>
      </c>
      <c r="D134" s="119">
        <f ca="1">+'Purchased Power Model '!D134</f>
        <v>0</v>
      </c>
      <c r="E134" s="126">
        <f>+'Purchased Power Model '!E134</f>
        <v>7.0000000000000007E-2</v>
      </c>
      <c r="F134" s="10">
        <f>+'Purchased Power Model '!F134</f>
        <v>31</v>
      </c>
      <c r="G134" s="10">
        <f>+'Purchased Power Model '!G134</f>
        <v>0</v>
      </c>
      <c r="H134" s="141">
        <f t="shared" ca="1" si="8"/>
        <v>106588373.09852758</v>
      </c>
      <c r="I134" s="142">
        <f t="shared" ref="I134" ca="1" si="11">H134-B134</f>
        <v>-1827210.2348057628</v>
      </c>
      <c r="J134" s="5">
        <f t="shared" ref="J134" ca="1" si="12">I134/B134</f>
        <v>-1.6853760120331063E-2</v>
      </c>
      <c r="L134"/>
      <c r="M134"/>
      <c r="N134"/>
      <c r="T134" s="135"/>
      <c r="U134" s="135"/>
      <c r="V134" s="135"/>
      <c r="W134" s="135"/>
      <c r="X134" s="135"/>
      <c r="Y134" s="135"/>
      <c r="Z134" s="135"/>
      <c r="AA134" s="135"/>
      <c r="AB134" s="135"/>
    </row>
    <row r="135" spans="1:28" x14ac:dyDescent="0.2">
      <c r="A135" s="3">
        <v>41640</v>
      </c>
      <c r="B135" s="41">
        <f>+'Purchased Power Model '!B135</f>
        <v>117702582.33333334</v>
      </c>
      <c r="C135" s="119">
        <f>+'Purchased Power Model '!C135</f>
        <v>771.3</v>
      </c>
      <c r="D135" s="119">
        <f>+'Purchased Power Model '!D135</f>
        <v>0</v>
      </c>
      <c r="E135" s="126">
        <f>+'Purchased Power Model '!E135</f>
        <v>7.0999869999999993E-2</v>
      </c>
      <c r="F135" s="10">
        <f>+'Purchased Power Model '!F135</f>
        <v>31</v>
      </c>
      <c r="G135" s="10">
        <f>+'Purchased Power Model '!G135</f>
        <v>0</v>
      </c>
      <c r="H135" s="141">
        <f t="shared" ref="H135:H146" si="13">$M$18+C135*$M$19+D135*$M$20+E135*$M$21+F135*$M$22+G135*$M$23</f>
        <v>118482244.21223259</v>
      </c>
      <c r="I135" s="142">
        <f t="shared" ref="I135:I146" si="14">H135-B135</f>
        <v>779661.87889924645</v>
      </c>
      <c r="J135" s="5">
        <f t="shared" ref="J135:J146" si="15">I135/B135</f>
        <v>6.6239997750537575E-3</v>
      </c>
      <c r="L135"/>
      <c r="M135"/>
      <c r="N135"/>
      <c r="T135" s="135"/>
      <c r="U135" s="135"/>
      <c r="V135" s="135"/>
      <c r="W135" s="135"/>
      <c r="X135" s="135"/>
      <c r="Y135" s="135"/>
      <c r="Z135" s="135"/>
      <c r="AA135" s="135"/>
      <c r="AB135" s="135"/>
    </row>
    <row r="136" spans="1:28" x14ac:dyDescent="0.2">
      <c r="A136" s="3">
        <v>41671</v>
      </c>
      <c r="B136" s="41">
        <f>+'Purchased Power Model '!B136</f>
        <v>101945538.33333334</v>
      </c>
      <c r="C136" s="119">
        <f>+'Purchased Power Model '!C136</f>
        <v>690.84999999999991</v>
      </c>
      <c r="D136" s="119">
        <f>+'Purchased Power Model '!D136</f>
        <v>0</v>
      </c>
      <c r="E136" s="126">
        <f>+'Purchased Power Model '!E136</f>
        <v>7.0999869999999993E-2</v>
      </c>
      <c r="F136" s="10">
        <f>+'Purchased Power Model '!F136</f>
        <v>28</v>
      </c>
      <c r="G136" s="10">
        <f>+'Purchased Power Model '!G136</f>
        <v>0</v>
      </c>
      <c r="H136" s="141">
        <f t="shared" si="13"/>
        <v>106810531.14975849</v>
      </c>
      <c r="I136" s="142">
        <f t="shared" si="14"/>
        <v>4864992.8164251447</v>
      </c>
      <c r="J136" s="5">
        <f t="shared" si="15"/>
        <v>4.7721488315829785E-2</v>
      </c>
      <c r="L136"/>
      <c r="M136"/>
      <c r="N136"/>
      <c r="T136" s="135"/>
      <c r="U136" s="135"/>
      <c r="V136" s="135"/>
      <c r="W136" s="135"/>
      <c r="X136" s="135"/>
      <c r="Y136" s="135"/>
      <c r="Z136" s="135"/>
      <c r="AA136" s="135"/>
      <c r="AB136" s="135"/>
    </row>
    <row r="137" spans="1:28" x14ac:dyDescent="0.2">
      <c r="A137" s="3">
        <v>41699</v>
      </c>
      <c r="B137" s="41">
        <f>+'Purchased Power Model '!B137</f>
        <v>106417935.35000001</v>
      </c>
      <c r="C137" s="119">
        <f>+'Purchased Power Model '!C137</f>
        <v>677.95</v>
      </c>
      <c r="D137" s="119">
        <f>+'Purchased Power Model '!D137</f>
        <v>0</v>
      </c>
      <c r="E137" s="126">
        <f>+'Purchased Power Model '!E137</f>
        <v>7.0999869999999993E-2</v>
      </c>
      <c r="F137" s="10">
        <f>+'Purchased Power Model '!F137</f>
        <v>31</v>
      </c>
      <c r="G137" s="10">
        <f>+'Purchased Power Model '!G137</f>
        <v>1</v>
      </c>
      <c r="H137" s="141">
        <f t="shared" si="13"/>
        <v>107702613.89036593</v>
      </c>
      <c r="I137" s="142">
        <f t="shared" si="14"/>
        <v>1284678.5403659195</v>
      </c>
      <c r="J137" s="5">
        <f t="shared" si="15"/>
        <v>1.2072011509532818E-2</v>
      </c>
      <c r="L137"/>
      <c r="M137"/>
      <c r="N137"/>
      <c r="T137" s="135"/>
      <c r="U137" s="135"/>
      <c r="V137" s="135"/>
      <c r="W137" s="135"/>
      <c r="X137" s="135"/>
      <c r="Y137" s="135"/>
      <c r="Z137" s="135"/>
      <c r="AA137" s="135"/>
      <c r="AB137" s="135"/>
    </row>
    <row r="138" spans="1:28" x14ac:dyDescent="0.2">
      <c r="A138" s="3">
        <v>41730</v>
      </c>
      <c r="B138" s="41">
        <f>+'Purchased Power Model '!B138</f>
        <v>86925100.333333343</v>
      </c>
      <c r="C138" s="119">
        <f>+'Purchased Power Model '!C138</f>
        <v>371.2999999999999</v>
      </c>
      <c r="D138" s="119">
        <f>+'Purchased Power Model '!D138</f>
        <v>0</v>
      </c>
      <c r="E138" s="126">
        <f>+'Purchased Power Model '!E138</f>
        <v>7.2000069999999999E-2</v>
      </c>
      <c r="F138" s="10">
        <f>+'Purchased Power Model '!F138</f>
        <v>30</v>
      </c>
      <c r="G138" s="10">
        <f>+'Purchased Power Model '!G138</f>
        <v>1</v>
      </c>
      <c r="H138" s="141">
        <f t="shared" si="13"/>
        <v>92424389.958570197</v>
      </c>
      <c r="I138" s="142">
        <f t="shared" si="14"/>
        <v>5499289.625236854</v>
      </c>
      <c r="J138" s="5">
        <f t="shared" si="15"/>
        <v>6.3264691143853996E-2</v>
      </c>
      <c r="L138"/>
      <c r="M138"/>
      <c r="N138"/>
      <c r="T138" s="135"/>
      <c r="U138" s="135"/>
      <c r="V138" s="135"/>
      <c r="W138" s="135"/>
      <c r="X138" s="135"/>
      <c r="Y138" s="135"/>
      <c r="Z138" s="135"/>
      <c r="AA138" s="135"/>
      <c r="AB138" s="135"/>
    </row>
    <row r="139" spans="1:28" x14ac:dyDescent="0.2">
      <c r="A139" s="3">
        <v>41760</v>
      </c>
      <c r="B139" s="41">
        <f>+'Purchased Power Model '!B139</f>
        <v>81755065.176384613</v>
      </c>
      <c r="C139" s="119">
        <f>+'Purchased Power Model '!C139</f>
        <v>160.49999999999994</v>
      </c>
      <c r="D139" s="119">
        <f>+'Purchased Power Model '!D139</f>
        <v>1.3</v>
      </c>
      <c r="E139" s="126">
        <f>+'Purchased Power Model '!E139</f>
        <v>7.2000069999999999E-2</v>
      </c>
      <c r="F139" s="10">
        <f>+'Purchased Power Model '!F139</f>
        <v>31</v>
      </c>
      <c r="G139" s="10">
        <f>+'Purchased Power Model '!G139</f>
        <v>1</v>
      </c>
      <c r="H139" s="141">
        <f t="shared" si="13"/>
        <v>86937553.594037473</v>
      </c>
      <c r="I139" s="142">
        <f t="shared" si="14"/>
        <v>5182488.4176528603</v>
      </c>
      <c r="J139" s="5">
        <f t="shared" si="15"/>
        <v>6.3390426103529671E-2</v>
      </c>
      <c r="L139"/>
      <c r="M139"/>
      <c r="N139"/>
      <c r="T139" s="135"/>
      <c r="U139" s="135"/>
      <c r="V139" s="135"/>
      <c r="W139" s="135"/>
      <c r="X139" s="135"/>
      <c r="Y139" s="135"/>
      <c r="Z139" s="135"/>
      <c r="AA139" s="135"/>
      <c r="AB139" s="135"/>
    </row>
    <row r="140" spans="1:28" x14ac:dyDescent="0.2">
      <c r="A140" s="3">
        <v>41791</v>
      </c>
      <c r="B140" s="41">
        <f>+'Purchased Power Model '!B140</f>
        <v>88119245.461538464</v>
      </c>
      <c r="C140" s="119">
        <f>+'Purchased Power Model '!C140</f>
        <v>26.9</v>
      </c>
      <c r="D140" s="119">
        <f>+'Purchased Power Model '!D140</f>
        <v>40.1</v>
      </c>
      <c r="E140" s="126">
        <f>+'Purchased Power Model '!E140</f>
        <v>7.2000069999999999E-2</v>
      </c>
      <c r="F140" s="10">
        <f>+'Purchased Power Model '!F140</f>
        <v>30</v>
      </c>
      <c r="G140" s="10">
        <f>+'Purchased Power Model '!G140</f>
        <v>0</v>
      </c>
      <c r="H140" s="141">
        <f t="shared" si="13"/>
        <v>91384937.758973688</v>
      </c>
      <c r="I140" s="142">
        <f t="shared" si="14"/>
        <v>3265692.2974352241</v>
      </c>
      <c r="J140" s="5">
        <f t="shared" si="15"/>
        <v>3.7059921250240456E-2</v>
      </c>
      <c r="L140"/>
      <c r="M140"/>
      <c r="N140"/>
      <c r="T140" s="135"/>
      <c r="U140" s="135"/>
      <c r="V140" s="135"/>
      <c r="W140" s="135"/>
      <c r="X140" s="135"/>
      <c r="Y140" s="135"/>
      <c r="Z140" s="135"/>
      <c r="AA140" s="135"/>
      <c r="AB140" s="135"/>
    </row>
    <row r="141" spans="1:28" x14ac:dyDescent="0.2">
      <c r="A141" s="3">
        <v>41821</v>
      </c>
      <c r="B141" s="41">
        <f>+'Purchased Power Model '!B141</f>
        <v>93045474.15384616</v>
      </c>
      <c r="C141" s="119">
        <f>+'Purchased Power Model '!C141</f>
        <v>9.5999999999999979</v>
      </c>
      <c r="D141" s="119">
        <f>+'Purchased Power Model '!D141</f>
        <v>54.599999999999994</v>
      </c>
      <c r="E141" s="126">
        <f>+'Purchased Power Model '!E141</f>
        <v>7.6999829999999991E-2</v>
      </c>
      <c r="F141" s="10">
        <f>+'Purchased Power Model '!F141</f>
        <v>31</v>
      </c>
      <c r="G141" s="10">
        <f>+'Purchased Power Model '!G141</f>
        <v>0</v>
      </c>
      <c r="H141" s="141">
        <f t="shared" si="13"/>
        <v>94984877.562191591</v>
      </c>
      <c r="I141" s="142">
        <f t="shared" si="14"/>
        <v>1939403.4083454311</v>
      </c>
      <c r="J141" s="5">
        <f t="shared" si="15"/>
        <v>2.0843608203218161E-2</v>
      </c>
      <c r="L141"/>
      <c r="M141"/>
      <c r="N141"/>
      <c r="T141" s="135"/>
      <c r="U141" s="135"/>
      <c r="V141" s="135"/>
      <c r="W141" s="135"/>
      <c r="X141" s="135"/>
      <c r="Y141" s="135"/>
      <c r="Z141" s="135"/>
      <c r="AA141" s="135"/>
      <c r="AB141" s="135"/>
    </row>
    <row r="142" spans="1:28" x14ac:dyDescent="0.2">
      <c r="A142" s="3">
        <v>41852</v>
      </c>
      <c r="B142" s="41">
        <f>+'Purchased Power Model '!B142</f>
        <v>92680248.923076928</v>
      </c>
      <c r="C142" s="119">
        <f>+'Purchased Power Model '!C142</f>
        <v>12.7</v>
      </c>
      <c r="D142" s="119">
        <f>+'Purchased Power Model '!D142</f>
        <v>58</v>
      </c>
      <c r="E142" s="126">
        <f>+'Purchased Power Model '!E142</f>
        <v>7.6999829999999991E-2</v>
      </c>
      <c r="F142" s="10">
        <f>+'Purchased Power Model '!F142</f>
        <v>31</v>
      </c>
      <c r="G142" s="10">
        <f>+'Purchased Power Model '!G142</f>
        <v>0</v>
      </c>
      <c r="H142" s="141">
        <f t="shared" si="13"/>
        <v>95601701.26740253</v>
      </c>
      <c r="I142" s="142">
        <f t="shared" si="14"/>
        <v>2921452.3443256021</v>
      </c>
      <c r="J142" s="5">
        <f t="shared" si="15"/>
        <v>3.1521843955666963E-2</v>
      </c>
      <c r="L142"/>
      <c r="M142"/>
      <c r="N142"/>
      <c r="T142" s="135"/>
      <c r="U142" s="135"/>
      <c r="V142" s="135"/>
      <c r="W142" s="135"/>
      <c r="X142" s="135"/>
      <c r="Y142" s="135"/>
      <c r="Z142" s="135"/>
      <c r="AA142" s="135"/>
      <c r="AB142" s="135"/>
    </row>
    <row r="143" spans="1:28" x14ac:dyDescent="0.2">
      <c r="A143" s="3">
        <v>41883</v>
      </c>
      <c r="B143" s="41">
        <f>+'Purchased Power Model '!B143</f>
        <v>84852396.923076928</v>
      </c>
      <c r="C143" s="119">
        <f>+'Purchased Power Model '!C143</f>
        <v>77.400000000000006</v>
      </c>
      <c r="D143" s="119">
        <f>+'Purchased Power Model '!D143</f>
        <v>22.5</v>
      </c>
      <c r="E143" s="126">
        <f>+'Purchased Power Model '!E143</f>
        <v>7.6999829999999991E-2</v>
      </c>
      <c r="F143" s="10">
        <f>+'Purchased Power Model '!F143</f>
        <v>30</v>
      </c>
      <c r="G143" s="10">
        <f>+'Purchased Power Model '!G143</f>
        <v>1</v>
      </c>
      <c r="H143" s="141">
        <f t="shared" si="13"/>
        <v>83236155.69705829</v>
      </c>
      <c r="I143" s="142">
        <f t="shared" si="14"/>
        <v>-1616241.2260186374</v>
      </c>
      <c r="J143" s="5">
        <f t="shared" si="15"/>
        <v>-1.9047679083053402E-2</v>
      </c>
      <c r="L143"/>
      <c r="M143"/>
      <c r="N143"/>
      <c r="T143" s="135"/>
      <c r="U143" s="135"/>
      <c r="V143" s="135"/>
      <c r="W143" s="135"/>
      <c r="X143" s="135"/>
      <c r="Y143" s="135"/>
      <c r="Z143" s="135"/>
      <c r="AA143" s="135"/>
      <c r="AB143" s="135"/>
    </row>
    <row r="144" spans="1:28" x14ac:dyDescent="0.2">
      <c r="A144" s="3">
        <v>41913</v>
      </c>
      <c r="B144" s="41">
        <f>+'Purchased Power Model '!B144</f>
        <v>84720129.461538464</v>
      </c>
      <c r="C144" s="119">
        <f>+'Purchased Power Model '!C144</f>
        <v>216.29999999999998</v>
      </c>
      <c r="D144" s="119">
        <f>+'Purchased Power Model '!D144</f>
        <v>0.5</v>
      </c>
      <c r="E144" s="126">
        <f>+'Purchased Power Model '!E144</f>
        <v>7.3406150000000003E-2</v>
      </c>
      <c r="F144" s="10">
        <f>+'Purchased Power Model '!F144</f>
        <v>31</v>
      </c>
      <c r="G144" s="10">
        <f>+'Purchased Power Model '!G144</f>
        <v>1</v>
      </c>
      <c r="H144" s="141">
        <f t="shared" si="13"/>
        <v>88895675.429128215</v>
      </c>
      <c r="I144" s="142">
        <f t="shared" si="14"/>
        <v>4175545.9675897509</v>
      </c>
      <c r="J144" s="5">
        <f t="shared" si="15"/>
        <v>4.9286350175909252E-2</v>
      </c>
      <c r="L144"/>
      <c r="M144"/>
      <c r="N144"/>
      <c r="T144" s="135"/>
      <c r="U144" s="135"/>
      <c r="V144" s="135"/>
      <c r="W144" s="135"/>
      <c r="X144" s="135"/>
      <c r="Y144" s="135"/>
      <c r="Z144" s="135"/>
      <c r="AA144" s="135"/>
      <c r="AB144" s="135"/>
    </row>
    <row r="145" spans="1:28" x14ac:dyDescent="0.2">
      <c r="A145" s="3">
        <v>41944</v>
      </c>
      <c r="B145" s="41">
        <f>+'Purchased Power Model '!B145</f>
        <v>94073964.750000015</v>
      </c>
      <c r="C145" s="119">
        <f>+'Purchased Power Model '!C145</f>
        <v>407.30000000000013</v>
      </c>
      <c r="D145" s="119">
        <f>+'Purchased Power Model '!D145</f>
        <v>0</v>
      </c>
      <c r="E145" s="126">
        <f>+'Purchased Power Model '!E145</f>
        <v>7.3406150000000003E-2</v>
      </c>
      <c r="F145" s="10">
        <f>+'Purchased Power Model '!F145</f>
        <v>30</v>
      </c>
      <c r="G145" s="10">
        <f>+'Purchased Power Model '!G145</f>
        <v>1</v>
      </c>
      <c r="H145" s="141">
        <f t="shared" si="13"/>
        <v>93701211.343537152</v>
      </c>
      <c r="I145" s="142">
        <f t="shared" si="14"/>
        <v>-372753.40646286309</v>
      </c>
      <c r="J145" s="5">
        <f t="shared" si="15"/>
        <v>-3.962343964703189E-3</v>
      </c>
      <c r="L145"/>
      <c r="M145"/>
      <c r="N145"/>
      <c r="T145" s="135"/>
      <c r="U145" s="135"/>
      <c r="V145" s="135"/>
      <c r="W145" s="135"/>
      <c r="X145" s="135"/>
      <c r="Y145" s="135"/>
      <c r="Z145" s="135"/>
      <c r="AA145" s="135"/>
      <c r="AB145" s="135"/>
    </row>
    <row r="146" spans="1:28" x14ac:dyDescent="0.2">
      <c r="A146" s="3">
        <v>41974</v>
      </c>
      <c r="B146" s="41">
        <f>+'Purchased Power Model '!B146</f>
        <v>102732461.57384616</v>
      </c>
      <c r="C146" s="119">
        <f>+'Purchased Power Model '!C146</f>
        <v>551.79999999999995</v>
      </c>
      <c r="D146" s="119">
        <f>+'Purchased Power Model '!D146</f>
        <v>0</v>
      </c>
      <c r="E146" s="126">
        <f>+'Purchased Power Model '!E146</f>
        <v>7.3406150000000003E-2</v>
      </c>
      <c r="F146" s="10">
        <f>+'Purchased Power Model '!F146</f>
        <v>31</v>
      </c>
      <c r="G146" s="10">
        <f>+'Purchased Power Model '!G146</f>
        <v>0</v>
      </c>
      <c r="H146" s="141">
        <f t="shared" si="13"/>
        <v>109350979.42980561</v>
      </c>
      <c r="I146" s="142">
        <f t="shared" si="14"/>
        <v>6618517.8559594452</v>
      </c>
      <c r="J146" s="5">
        <f t="shared" si="15"/>
        <v>6.4424795771119744E-2</v>
      </c>
      <c r="L146"/>
      <c r="M146"/>
      <c r="N146"/>
      <c r="T146" s="135"/>
      <c r="U146" s="135"/>
      <c r="V146" s="135"/>
      <c r="W146" s="135"/>
      <c r="X146" s="135"/>
      <c r="Y146" s="135"/>
      <c r="Z146" s="135"/>
      <c r="AA146" s="135"/>
      <c r="AB146" s="135"/>
    </row>
    <row r="147" spans="1:28" x14ac:dyDescent="0.2">
      <c r="A147" s="3">
        <v>42005</v>
      </c>
      <c r="B147" s="135"/>
      <c r="C147" s="121">
        <f>(+C135/SUM(C$135:C$146))*Trends!B$22</f>
        <v>711.94424771634988</v>
      </c>
      <c r="D147" s="121">
        <f>(+D135/SUM(D$135:D$146))*Trends!C$22</f>
        <v>0</v>
      </c>
      <c r="E147" s="126">
        <f>+'Purchased Power Model '!E147</f>
        <v>7.3406150000000003E-2</v>
      </c>
      <c r="F147" s="10">
        <f>+'Purchased Power Model '!F147</f>
        <v>31</v>
      </c>
      <c r="G147" s="10">
        <f>+'Purchased Power Model '!G147</f>
        <v>0</v>
      </c>
      <c r="H147" s="141">
        <f t="shared" si="8"/>
        <v>115797773.09712517</v>
      </c>
      <c r="I147" s="142"/>
      <c r="J147" s="143"/>
      <c r="L147"/>
      <c r="M147"/>
      <c r="N147"/>
      <c r="T147" s="135"/>
      <c r="U147" s="135"/>
      <c r="V147" s="135"/>
      <c r="W147" s="135"/>
      <c r="X147" s="135"/>
      <c r="Y147" s="135"/>
      <c r="Z147" s="135"/>
      <c r="AA147" s="135"/>
      <c r="AB147" s="135"/>
    </row>
    <row r="148" spans="1:28" x14ac:dyDescent="0.2">
      <c r="A148" s="3">
        <v>42036</v>
      </c>
      <c r="B148" s="135"/>
      <c r="C148" s="121">
        <f>(+C136/SUM(C$135:C$146))*Trends!B$22</f>
        <v>637.68531509767968</v>
      </c>
      <c r="D148" s="121">
        <f>(+D136/SUM(D$135:D$146))*Trends!C$22</f>
        <v>0</v>
      </c>
      <c r="E148" s="126">
        <f>+'Purchased Power Model '!E148</f>
        <v>7.3406150000000003E-2</v>
      </c>
      <c r="F148" s="10">
        <f>+'Purchased Power Model '!F148</f>
        <v>28</v>
      </c>
      <c r="G148" s="10">
        <f>+'Purchased Power Model '!G148</f>
        <v>0</v>
      </c>
      <c r="H148" s="141">
        <f t="shared" si="8"/>
        <v>104375288.68043172</v>
      </c>
      <c r="I148" s="142"/>
      <c r="J148" s="143"/>
      <c r="L148"/>
      <c r="M148"/>
      <c r="N148"/>
      <c r="T148" s="135"/>
      <c r="U148" s="135"/>
      <c r="V148" s="135"/>
      <c r="W148" s="135"/>
      <c r="X148" s="135"/>
      <c r="Y148" s="135"/>
      <c r="Z148" s="135"/>
      <c r="AA148" s="135"/>
      <c r="AB148" s="135"/>
    </row>
    <row r="149" spans="1:28" x14ac:dyDescent="0.2">
      <c r="A149" s="3">
        <v>42064</v>
      </c>
      <c r="B149" s="135"/>
      <c r="C149" s="121">
        <f>(+C137/SUM(C$135:C$146))*Trends!B$22</f>
        <v>625.77804063178985</v>
      </c>
      <c r="D149" s="121">
        <f>(+D137/SUM(D$135:D$146))*Trends!C$22</f>
        <v>0</v>
      </c>
      <c r="E149" s="126">
        <f>+'Purchased Power Model '!E149</f>
        <v>7.3406150000000003E-2</v>
      </c>
      <c r="F149" s="10">
        <f>+'Purchased Power Model '!F149</f>
        <v>31</v>
      </c>
      <c r="G149" s="10">
        <f>+'Purchased Power Model '!G149</f>
        <v>1</v>
      </c>
      <c r="H149" s="141">
        <f t="shared" si="8"/>
        <v>105307334.74646577</v>
      </c>
      <c r="I149" s="142"/>
      <c r="J149" s="143"/>
      <c r="L149"/>
      <c r="M149"/>
      <c r="N149"/>
      <c r="T149" s="135"/>
      <c r="U149" s="135"/>
      <c r="V149" s="135"/>
      <c r="W149" s="135"/>
      <c r="X149" s="135"/>
      <c r="Y149" s="135"/>
      <c r="Z149" s="135"/>
      <c r="AA149" s="135"/>
      <c r="AB149" s="135"/>
    </row>
    <row r="150" spans="1:28" x14ac:dyDescent="0.2">
      <c r="A150" s="3">
        <v>42095</v>
      </c>
      <c r="B150" s="135"/>
      <c r="C150" s="121">
        <f>(+C138/SUM(C$135:C$146))*Trends!B$22</f>
        <v>342.72643482053763</v>
      </c>
      <c r="D150" s="121">
        <f>(+D138/SUM(D$135:D$146))*Trends!C$22</f>
        <v>0</v>
      </c>
      <c r="E150" s="126">
        <f>+'Purchased Power Model '!E150</f>
        <v>7.3406150000000003E-2</v>
      </c>
      <c r="F150" s="10">
        <f>+'Purchased Power Model '!F150</f>
        <v>30</v>
      </c>
      <c r="G150" s="10">
        <f>+'Purchased Power Model '!G150</f>
        <v>1</v>
      </c>
      <c r="H150" s="141">
        <f t="shared" si="8"/>
        <v>91101727.084742233</v>
      </c>
      <c r="I150" s="142"/>
      <c r="J150" s="143"/>
      <c r="L150"/>
      <c r="M150"/>
      <c r="N150"/>
      <c r="T150" s="135"/>
      <c r="U150" s="135"/>
      <c r="V150" s="135"/>
      <c r="W150" s="135"/>
      <c r="X150" s="135"/>
      <c r="Y150" s="135"/>
      <c r="Z150" s="135"/>
      <c r="AA150" s="135"/>
      <c r="AB150" s="135"/>
    </row>
    <row r="151" spans="1:28" x14ac:dyDescent="0.2">
      <c r="A151" s="3">
        <v>42125</v>
      </c>
      <c r="B151" s="135"/>
      <c r="C151" s="121">
        <f>(+C139/SUM(C$135:C$146))*Trends!B$22</f>
        <v>148.14864742444462</v>
      </c>
      <c r="D151" s="121">
        <f>(+D139/SUM(D$135:D$146))*Trends!C$22</f>
        <v>1.6991073446327658</v>
      </c>
      <c r="E151" s="126">
        <f>+'Purchased Power Model '!E151</f>
        <v>7.3406150000000003E-2</v>
      </c>
      <c r="F151" s="10">
        <f>+'Purchased Power Model '!F151</f>
        <v>31</v>
      </c>
      <c r="G151" s="10">
        <f>+'Purchased Power Model '!G151</f>
        <v>1</v>
      </c>
      <c r="H151" s="141">
        <f t="shared" si="8"/>
        <v>86325691.482107192</v>
      </c>
      <c r="I151" s="142"/>
      <c r="J151" s="143"/>
      <c r="L151"/>
      <c r="M151"/>
      <c r="N151"/>
      <c r="T151" s="135"/>
      <c r="U151" s="135"/>
      <c r="V151" s="135"/>
      <c r="W151" s="135"/>
      <c r="X151" s="135"/>
      <c r="Y151" s="135"/>
      <c r="Z151" s="135"/>
      <c r="AA151" s="135"/>
      <c r="AB151" s="135"/>
    </row>
    <row r="152" spans="1:28" x14ac:dyDescent="0.2">
      <c r="A152" s="3">
        <v>42156</v>
      </c>
      <c r="B152" s="135"/>
      <c r="C152" s="121">
        <f>(+C140/SUM(C$135:C$146))*Trends!B$22</f>
        <v>24.829897917243372</v>
      </c>
      <c r="D152" s="121">
        <f>(+D140/SUM(D$135:D$146))*Trends!C$22</f>
        <v>52.410926553672233</v>
      </c>
      <c r="E152" s="126">
        <f>+'Purchased Power Model '!E152</f>
        <v>7.3406150000000003E-2</v>
      </c>
      <c r="F152" s="10">
        <f>+'Purchased Power Model '!F152</f>
        <v>30</v>
      </c>
      <c r="G152" s="10">
        <f>+'Purchased Power Model '!G152</f>
        <v>0</v>
      </c>
      <c r="H152" s="141">
        <f t="shared" si="8"/>
        <v>92910773.351749212</v>
      </c>
      <c r="I152" s="142"/>
      <c r="J152" s="143"/>
      <c r="L152"/>
      <c r="M152"/>
      <c r="N152"/>
      <c r="T152" s="135"/>
      <c r="U152" s="135"/>
      <c r="V152" s="135"/>
      <c r="W152" s="135"/>
      <c r="X152" s="135"/>
      <c r="Y152" s="135"/>
      <c r="Z152" s="135"/>
      <c r="AA152" s="135"/>
      <c r="AB152" s="135"/>
    </row>
    <row r="153" spans="1:28" x14ac:dyDescent="0.2">
      <c r="A153" s="3">
        <v>42186</v>
      </c>
      <c r="B153" s="135"/>
      <c r="C153" s="121">
        <f>(+C141/SUM(C$135:C$146))*Trends!B$22</f>
        <v>8.8612275094994928</v>
      </c>
      <c r="D153" s="121">
        <f>(+D141/SUM(D$135:D$146))*Trends!C$22</f>
        <v>71.362508474576146</v>
      </c>
      <c r="E153" s="126">
        <f>+'Purchased Power Model '!E153</f>
        <v>7.3406150000000003E-2</v>
      </c>
      <c r="F153" s="10">
        <f>+'Purchased Power Model '!F153</f>
        <v>31</v>
      </c>
      <c r="G153" s="10">
        <f>+'Purchased Power Model '!G153</f>
        <v>0</v>
      </c>
      <c r="H153" s="141">
        <f t="shared" si="8"/>
        <v>97821540.969941154</v>
      </c>
      <c r="I153" s="142"/>
      <c r="J153" s="143"/>
      <c r="L153"/>
      <c r="M153"/>
      <c r="N153"/>
      <c r="T153" s="135"/>
      <c r="U153" s="135"/>
      <c r="V153" s="135"/>
      <c r="W153" s="135"/>
      <c r="X153" s="135"/>
      <c r="Y153" s="135"/>
      <c r="Z153" s="135"/>
      <c r="AA153" s="135"/>
      <c r="AB153" s="135"/>
    </row>
    <row r="154" spans="1:28" x14ac:dyDescent="0.2">
      <c r="A154" s="3">
        <v>42217</v>
      </c>
      <c r="B154" s="135"/>
      <c r="C154" s="121">
        <f>(+C142/SUM(C$135:C$146))*Trends!B$22</f>
        <v>11.722665559442037</v>
      </c>
      <c r="D154" s="121">
        <f>(+D142/SUM(D$135:D$146))*Trends!C$22</f>
        <v>75.806327683615692</v>
      </c>
      <c r="E154" s="126">
        <f>+'Purchased Power Model '!E154</f>
        <v>7.3406150000000003E-2</v>
      </c>
      <c r="F154" s="10">
        <f>+'Purchased Power Model '!F154</f>
        <v>31</v>
      </c>
      <c r="G154" s="10">
        <f>+'Purchased Power Model '!G154</f>
        <v>0</v>
      </c>
      <c r="H154" s="141">
        <f t="shared" si="8"/>
        <v>98579816.947996944</v>
      </c>
      <c r="I154" s="142"/>
      <c r="J154" s="143"/>
      <c r="L154"/>
      <c r="M154"/>
      <c r="N154"/>
      <c r="T154" s="135"/>
      <c r="U154" s="135"/>
      <c r="V154" s="135"/>
      <c r="W154" s="135"/>
      <c r="X154" s="135"/>
      <c r="Y154" s="135"/>
      <c r="Z154" s="135"/>
      <c r="AA154" s="135"/>
      <c r="AB154" s="135"/>
    </row>
    <row r="155" spans="1:28" x14ac:dyDescent="0.2">
      <c r="A155" s="3">
        <v>42248</v>
      </c>
      <c r="B155" s="135"/>
      <c r="C155" s="121">
        <f>(+C143/SUM(C$135:C$146))*Trends!B$22</f>
        <v>71.443646795339674</v>
      </c>
      <c r="D155" s="121">
        <f>(+D143/SUM(D$135:D$146))*Trends!C$22</f>
        <v>29.407627118644019</v>
      </c>
      <c r="E155" s="126">
        <f>+'Purchased Power Model '!E155</f>
        <v>7.3406150000000003E-2</v>
      </c>
      <c r="F155" s="10">
        <f>+'Purchased Power Model '!F155</f>
        <v>30</v>
      </c>
      <c r="G155" s="10">
        <f>+'Purchased Power Model '!G155</f>
        <v>1</v>
      </c>
      <c r="H155" s="141">
        <f t="shared" si="8"/>
        <v>84436634.244961396</v>
      </c>
      <c r="I155" s="142"/>
      <c r="J155" s="143"/>
      <c r="L155"/>
      <c r="M155"/>
      <c r="N155"/>
      <c r="T155" s="135"/>
      <c r="U155" s="135"/>
      <c r="V155" s="135"/>
      <c r="W155" s="135"/>
      <c r="X155" s="135"/>
      <c r="Y155" s="135"/>
      <c r="Z155" s="135"/>
      <c r="AA155" s="135"/>
      <c r="AB155" s="135"/>
    </row>
    <row r="156" spans="1:28" x14ac:dyDescent="0.2">
      <c r="A156" s="3">
        <v>42278</v>
      </c>
      <c r="B156" s="135"/>
      <c r="C156" s="121">
        <f>(+C144/SUM(C$135:C$146))*Trends!B$22</f>
        <v>199.65453232341045</v>
      </c>
      <c r="D156" s="121">
        <f>(+D144/SUM(D$135:D$146))*Trends!C$22</f>
        <v>0.65350282485875599</v>
      </c>
      <c r="E156" s="126">
        <f>+'Purchased Power Model '!E156</f>
        <v>7.3406150000000003E-2</v>
      </c>
      <c r="F156" s="10">
        <f>+'Purchased Power Model '!F156</f>
        <v>31</v>
      </c>
      <c r="G156" s="10">
        <f>+'Purchased Power Model '!G156</f>
        <v>1</v>
      </c>
      <c r="H156" s="141">
        <f t="shared" si="8"/>
        <v>88247806.790939152</v>
      </c>
      <c r="I156" s="142"/>
      <c r="J156" s="143"/>
      <c r="L156"/>
      <c r="M156"/>
      <c r="N156"/>
      <c r="T156" s="135"/>
      <c r="U156" s="135"/>
      <c r="V156" s="135"/>
      <c r="W156" s="135"/>
      <c r="X156" s="135"/>
      <c r="Y156" s="135"/>
      <c r="Z156" s="135"/>
      <c r="AA156" s="135"/>
      <c r="AB156" s="135"/>
    </row>
    <row r="157" spans="1:28" x14ac:dyDescent="0.2">
      <c r="A157" s="3">
        <v>42309</v>
      </c>
      <c r="B157" s="135"/>
      <c r="C157" s="121">
        <f>(+C145/SUM(C$135:C$146))*Trends!B$22</f>
        <v>375.95603798116093</v>
      </c>
      <c r="D157" s="121">
        <f>(+D145/SUM(D$135:D$146))*Trends!C$22</f>
        <v>0</v>
      </c>
      <c r="E157" s="126">
        <f>+'Purchased Power Model '!E157</f>
        <v>7.3406150000000003E-2</v>
      </c>
      <c r="F157" s="10">
        <f>+'Purchased Power Model '!F157</f>
        <v>30</v>
      </c>
      <c r="G157" s="10">
        <f>+'Purchased Power Model '!G157</f>
        <v>1</v>
      </c>
      <c r="H157" s="141">
        <f t="shared" si="8"/>
        <v>92439423.557005703</v>
      </c>
      <c r="I157" s="142"/>
      <c r="J157" s="143"/>
      <c r="L157"/>
      <c r="M157"/>
      <c r="N157"/>
      <c r="T157" s="135"/>
      <c r="U157" s="135"/>
      <c r="V157" s="135"/>
      <c r="W157" s="135"/>
      <c r="X157" s="135"/>
      <c r="Y157" s="135"/>
      <c r="Z157" s="135"/>
      <c r="AA157" s="135"/>
      <c r="AB157" s="135"/>
    </row>
    <row r="158" spans="1:28" x14ac:dyDescent="0.2">
      <c r="A158" s="3">
        <v>42339</v>
      </c>
      <c r="B158" s="135"/>
      <c r="C158" s="121">
        <f>(+C146/SUM(C$135:C$146))*Trends!B$22</f>
        <v>509.3359728897729</v>
      </c>
      <c r="D158" s="121">
        <f>(+D146/SUM(D$135:D$146))*Trends!C$22</f>
        <v>0</v>
      </c>
      <c r="E158" s="126">
        <f>+'Purchased Power Model '!E158</f>
        <v>7.3406150000000003E-2</v>
      </c>
      <c r="F158" s="10">
        <f>+'Purchased Power Model '!F158</f>
        <v>31</v>
      </c>
      <c r="G158" s="10">
        <f>+'Purchased Power Model '!G158</f>
        <v>0</v>
      </c>
      <c r="H158" s="141">
        <f t="shared" si="8"/>
        <v>107641540.43985212</v>
      </c>
      <c r="I158" s="142"/>
      <c r="J158" s="143"/>
      <c r="L158"/>
      <c r="M158"/>
      <c r="N158"/>
      <c r="T158" s="135"/>
      <c r="U158" s="135"/>
      <c r="V158" s="135"/>
      <c r="W158" s="135"/>
      <c r="X158" s="135"/>
      <c r="Y158" s="135"/>
      <c r="Z158" s="135"/>
      <c r="AA158" s="135"/>
      <c r="AB158" s="135"/>
    </row>
    <row r="159" spans="1:28" x14ac:dyDescent="0.2">
      <c r="A159" s="3">
        <v>42370</v>
      </c>
      <c r="B159" s="135"/>
      <c r="C159" s="121">
        <f>(+C147/SUM(C$147:C$158))*Trends!B$22</f>
        <v>711.94424771634965</v>
      </c>
      <c r="D159" s="121">
        <f>(+D147/SUM(D$147:D$158))*Trends!C$22</f>
        <v>0</v>
      </c>
      <c r="E159" s="126">
        <f>+'Purchased Power Model '!E159</f>
        <v>7.3406150000000003E-2</v>
      </c>
      <c r="F159" s="10">
        <f>+'Purchased Power Model '!F159</f>
        <v>31</v>
      </c>
      <c r="G159" s="10">
        <f>+'Purchased Power Model '!G159</f>
        <v>0</v>
      </c>
      <c r="H159" s="141">
        <f t="shared" si="8"/>
        <v>115797773.09712517</v>
      </c>
      <c r="I159" s="142"/>
      <c r="J159" s="143"/>
      <c r="L159"/>
      <c r="M159"/>
      <c r="N159"/>
      <c r="T159" s="135"/>
      <c r="U159" s="135"/>
      <c r="V159" s="135"/>
      <c r="W159" s="135"/>
      <c r="X159" s="135"/>
      <c r="Y159" s="135"/>
      <c r="Z159" s="135"/>
      <c r="AA159" s="135"/>
      <c r="AB159" s="135"/>
    </row>
    <row r="160" spans="1:28" x14ac:dyDescent="0.2">
      <c r="A160" s="3">
        <v>42401</v>
      </c>
      <c r="B160" s="135"/>
      <c r="C160" s="121">
        <f>(+C148/SUM(C$147:C$158))*Trends!B$22</f>
        <v>637.68531509767956</v>
      </c>
      <c r="D160" s="121">
        <f>(+D148/SUM(D$147:D$158))*Trends!C$22</f>
        <v>0</v>
      </c>
      <c r="E160" s="126">
        <f>+'Purchased Power Model '!E160</f>
        <v>7.3406150000000003E-2</v>
      </c>
      <c r="F160" s="10">
        <f>+'Purchased Power Model '!F160</f>
        <v>29</v>
      </c>
      <c r="G160" s="10">
        <f>+'Purchased Power Model '!G160</f>
        <v>0</v>
      </c>
      <c r="H160" s="141">
        <f t="shared" si="8"/>
        <v>107186323.4749444</v>
      </c>
      <c r="I160" s="142"/>
      <c r="J160" s="143"/>
      <c r="L160"/>
      <c r="M160"/>
      <c r="N160"/>
      <c r="T160" s="135"/>
      <c r="U160" s="135"/>
      <c r="V160" s="135"/>
      <c r="W160" s="135"/>
      <c r="X160" s="135"/>
      <c r="Y160" s="135"/>
      <c r="Z160" s="135"/>
      <c r="AA160" s="135"/>
      <c r="AB160" s="135"/>
    </row>
    <row r="161" spans="1:28" x14ac:dyDescent="0.2">
      <c r="A161" s="3">
        <v>42430</v>
      </c>
      <c r="B161" s="135"/>
      <c r="C161" s="121">
        <f>(+C149/SUM(C$147:C$158))*Trends!B$22</f>
        <v>625.77804063178974</v>
      </c>
      <c r="D161" s="121">
        <f>(+D149/SUM(D$147:D$158))*Trends!C$22</f>
        <v>0</v>
      </c>
      <c r="E161" s="126">
        <f>+'Purchased Power Model '!E161</f>
        <v>7.3406150000000003E-2</v>
      </c>
      <c r="F161" s="10">
        <f>+'Purchased Power Model '!F161</f>
        <v>31</v>
      </c>
      <c r="G161" s="10">
        <f>+'Purchased Power Model '!G161</f>
        <v>1</v>
      </c>
      <c r="H161" s="141">
        <f t="shared" si="8"/>
        <v>105307334.74646577</v>
      </c>
      <c r="I161" s="142"/>
      <c r="J161" s="143"/>
      <c r="L161"/>
      <c r="M161"/>
      <c r="N161"/>
      <c r="T161" s="135"/>
      <c r="U161" s="135"/>
      <c r="V161" s="135"/>
      <c r="W161" s="135"/>
      <c r="X161" s="135"/>
      <c r="Y161" s="135"/>
      <c r="Z161" s="135"/>
      <c r="AA161" s="135"/>
      <c r="AB161" s="135"/>
    </row>
    <row r="162" spans="1:28" x14ac:dyDescent="0.2">
      <c r="A162" s="3">
        <v>42461</v>
      </c>
      <c r="B162" s="135"/>
      <c r="C162" s="121">
        <f>(+C150/SUM(C$147:C$158))*Trends!B$22</f>
        <v>342.72643482053758</v>
      </c>
      <c r="D162" s="121">
        <f>(+D150/SUM(D$147:D$158))*Trends!C$22</f>
        <v>0</v>
      </c>
      <c r="E162" s="126">
        <f>+'Purchased Power Model '!E162</f>
        <v>7.3406150000000003E-2</v>
      </c>
      <c r="F162" s="10">
        <f>+'Purchased Power Model '!F162</f>
        <v>30</v>
      </c>
      <c r="G162" s="10">
        <f>+'Purchased Power Model '!G162</f>
        <v>1</v>
      </c>
      <c r="H162" s="141">
        <f t="shared" si="8"/>
        <v>91101727.084742233</v>
      </c>
      <c r="I162" s="142"/>
      <c r="J162" s="143"/>
      <c r="L162"/>
      <c r="M162"/>
      <c r="N162"/>
      <c r="T162" s="135"/>
      <c r="U162" s="135"/>
      <c r="V162" s="135"/>
      <c r="W162" s="135"/>
      <c r="X162" s="135"/>
      <c r="Y162" s="135"/>
      <c r="Z162" s="135"/>
      <c r="AA162" s="135"/>
      <c r="AB162" s="135"/>
    </row>
    <row r="163" spans="1:28" x14ac:dyDescent="0.2">
      <c r="A163" s="3">
        <v>42491</v>
      </c>
      <c r="B163" s="135"/>
      <c r="C163" s="121">
        <f>(+C151/SUM(C$147:C$158))*Trends!B$22</f>
        <v>148.14864742444459</v>
      </c>
      <c r="D163" s="121">
        <f>(+D151/SUM(D$147:D$158))*Trends!C$22</f>
        <v>1.699107344632766</v>
      </c>
      <c r="E163" s="126">
        <f>+'Purchased Power Model '!E163</f>
        <v>7.3406150000000003E-2</v>
      </c>
      <c r="F163" s="10">
        <f>+'Purchased Power Model '!F163</f>
        <v>31</v>
      </c>
      <c r="G163" s="10">
        <f>+'Purchased Power Model '!G163</f>
        <v>1</v>
      </c>
      <c r="H163" s="141">
        <f t="shared" si="8"/>
        <v>86325691.482107192</v>
      </c>
      <c r="I163" s="142"/>
      <c r="J163" s="143"/>
      <c r="L163"/>
      <c r="M163"/>
      <c r="N163"/>
      <c r="T163" s="135"/>
      <c r="U163" s="135"/>
      <c r="V163" s="135"/>
      <c r="W163" s="135"/>
      <c r="X163" s="135"/>
      <c r="Y163" s="135"/>
      <c r="Z163" s="135"/>
      <c r="AA163" s="135"/>
      <c r="AB163" s="135"/>
    </row>
    <row r="164" spans="1:28" x14ac:dyDescent="0.2">
      <c r="A164" s="3">
        <v>42522</v>
      </c>
      <c r="B164" s="135"/>
      <c r="C164" s="121">
        <f>(+C152/SUM(C$147:C$158))*Trends!B$22</f>
        <v>24.829897917243368</v>
      </c>
      <c r="D164" s="121">
        <f>(+D152/SUM(D$147:D$158))*Trends!C$22</f>
        <v>52.41092655367224</v>
      </c>
      <c r="E164" s="126">
        <f>+'Purchased Power Model '!E164</f>
        <v>7.3406150000000003E-2</v>
      </c>
      <c r="F164" s="10">
        <f>+'Purchased Power Model '!F164</f>
        <v>30</v>
      </c>
      <c r="G164" s="10">
        <f>+'Purchased Power Model '!G164</f>
        <v>0</v>
      </c>
      <c r="H164" s="141">
        <f t="shared" si="8"/>
        <v>92910773.351749212</v>
      </c>
      <c r="I164" s="142"/>
      <c r="J164" s="143"/>
      <c r="L164"/>
      <c r="M164"/>
      <c r="N164"/>
      <c r="T164" s="135"/>
      <c r="U164" s="135"/>
      <c r="V164" s="135"/>
      <c r="W164" s="135"/>
      <c r="X164" s="135"/>
      <c r="Y164" s="135"/>
      <c r="Z164" s="135"/>
      <c r="AA164" s="135"/>
      <c r="AB164" s="135"/>
    </row>
    <row r="165" spans="1:28" x14ac:dyDescent="0.2">
      <c r="A165" s="3">
        <v>42552</v>
      </c>
      <c r="B165" s="135"/>
      <c r="C165" s="121">
        <f>(+C153/SUM(C$147:C$158))*Trends!B$22</f>
        <v>8.861227509499491</v>
      </c>
      <c r="D165" s="121">
        <f>(+D153/SUM(D$147:D$158))*Trends!C$22</f>
        <v>71.362508474576146</v>
      </c>
      <c r="E165" s="126">
        <f>+'Purchased Power Model '!E165</f>
        <v>7.3406150000000003E-2</v>
      </c>
      <c r="F165" s="10">
        <f>+'Purchased Power Model '!F165</f>
        <v>31</v>
      </c>
      <c r="G165" s="10">
        <f>+'Purchased Power Model '!G165</f>
        <v>0</v>
      </c>
      <c r="H165" s="141">
        <f t="shared" si="8"/>
        <v>97821540.969941154</v>
      </c>
      <c r="I165" s="142"/>
      <c r="J165" s="143"/>
      <c r="L165"/>
      <c r="M165"/>
      <c r="N165"/>
      <c r="T165" s="135"/>
      <c r="U165" s="135"/>
      <c r="V165" s="135"/>
      <c r="W165" s="135"/>
      <c r="X165" s="135"/>
      <c r="Y165" s="135"/>
      <c r="Z165" s="135"/>
      <c r="AA165" s="135"/>
      <c r="AB165" s="135"/>
    </row>
    <row r="166" spans="1:28" x14ac:dyDescent="0.2">
      <c r="A166" s="3">
        <v>42583</v>
      </c>
      <c r="B166" s="135"/>
      <c r="C166" s="121">
        <f>(+C154/SUM(C$147:C$158))*Trends!B$22</f>
        <v>11.722665559442033</v>
      </c>
      <c r="D166" s="121">
        <f>(+D154/SUM(D$147:D$158))*Trends!C$22</f>
        <v>75.806327683615706</v>
      </c>
      <c r="E166" s="126">
        <f>+'Purchased Power Model '!E166</f>
        <v>7.3406150000000003E-2</v>
      </c>
      <c r="F166" s="10">
        <f>+'Purchased Power Model '!F166</f>
        <v>31</v>
      </c>
      <c r="G166" s="10">
        <f>+'Purchased Power Model '!G166</f>
        <v>0</v>
      </c>
      <c r="H166" s="141">
        <f t="shared" si="8"/>
        <v>98579816.947996944</v>
      </c>
      <c r="I166" s="142"/>
      <c r="J166" s="143"/>
      <c r="L166"/>
      <c r="M166"/>
      <c r="N166"/>
      <c r="T166" s="135"/>
      <c r="U166" s="135"/>
      <c r="V166" s="135"/>
      <c r="W166" s="135"/>
      <c r="X166" s="135"/>
      <c r="Y166" s="135"/>
      <c r="Z166" s="135"/>
      <c r="AA166" s="135"/>
      <c r="AB166" s="135"/>
    </row>
    <row r="167" spans="1:28" x14ac:dyDescent="0.2">
      <c r="A167" s="3">
        <v>42614</v>
      </c>
      <c r="B167" s="135"/>
      <c r="C167" s="121">
        <f>(+C155/SUM(C$147:C$158))*Trends!B$22</f>
        <v>71.44364679533966</v>
      </c>
      <c r="D167" s="121">
        <f>(+D155/SUM(D$147:D$158))*Trends!C$22</f>
        <v>29.407627118644019</v>
      </c>
      <c r="E167" s="126">
        <f>+'Purchased Power Model '!E167</f>
        <v>7.3406150000000003E-2</v>
      </c>
      <c r="F167" s="10">
        <f>+'Purchased Power Model '!F167</f>
        <v>30</v>
      </c>
      <c r="G167" s="10">
        <f>+'Purchased Power Model '!G167</f>
        <v>1</v>
      </c>
      <c r="H167" s="141">
        <f t="shared" si="8"/>
        <v>84436634.244961396</v>
      </c>
      <c r="I167" s="142"/>
      <c r="J167" s="143"/>
      <c r="L167"/>
      <c r="M167"/>
      <c r="N167"/>
      <c r="T167" s="135"/>
      <c r="U167" s="135"/>
      <c r="V167" s="135"/>
      <c r="W167" s="135"/>
      <c r="X167" s="135"/>
      <c r="Y167" s="135"/>
      <c r="Z167" s="135"/>
      <c r="AA167" s="135"/>
      <c r="AB167" s="135"/>
    </row>
    <row r="168" spans="1:28" x14ac:dyDescent="0.2">
      <c r="A168" s="3">
        <v>42644</v>
      </c>
      <c r="B168" s="135"/>
      <c r="C168" s="121">
        <f>(+C156/SUM(C$147:C$158))*Trends!B$22</f>
        <v>199.65453232341042</v>
      </c>
      <c r="D168" s="121">
        <f>(+D156/SUM(D$147:D$158))*Trends!C$22</f>
        <v>0.65350282485875599</v>
      </c>
      <c r="E168" s="126">
        <f>+'Purchased Power Model '!E168</f>
        <v>7.3406150000000003E-2</v>
      </c>
      <c r="F168" s="10">
        <f>+'Purchased Power Model '!F168</f>
        <v>31</v>
      </c>
      <c r="G168" s="10">
        <f>+'Purchased Power Model '!G168</f>
        <v>1</v>
      </c>
      <c r="H168" s="141">
        <f t="shared" si="8"/>
        <v>88247806.790939152</v>
      </c>
      <c r="I168" s="142"/>
      <c r="J168" s="143"/>
      <c r="L168"/>
      <c r="M168"/>
      <c r="N168"/>
      <c r="T168" s="135"/>
      <c r="U168" s="135"/>
      <c r="V168" s="135"/>
      <c r="W168" s="135"/>
      <c r="X168" s="135"/>
      <c r="Y168" s="135"/>
      <c r="Z168" s="135"/>
      <c r="AA168" s="135"/>
      <c r="AB168" s="135"/>
    </row>
    <row r="169" spans="1:28" x14ac:dyDescent="0.2">
      <c r="A169" s="3">
        <v>42675</v>
      </c>
      <c r="B169" s="135"/>
      <c r="C169" s="121">
        <f>(+C157/SUM(C$147:C$158))*Trends!B$22</f>
        <v>375.95603798116082</v>
      </c>
      <c r="D169" s="121">
        <f>(+D157/SUM(D$147:D$158))*Trends!C$22</f>
        <v>0</v>
      </c>
      <c r="E169" s="126">
        <f>+'Purchased Power Model '!E169</f>
        <v>7.3406150000000003E-2</v>
      </c>
      <c r="F169" s="10">
        <f>+'Purchased Power Model '!F169</f>
        <v>30</v>
      </c>
      <c r="G169" s="10">
        <f>+'Purchased Power Model '!G169</f>
        <v>1</v>
      </c>
      <c r="H169" s="141">
        <f t="shared" si="8"/>
        <v>92439423.557005703</v>
      </c>
      <c r="I169" s="142"/>
      <c r="J169" s="143"/>
      <c r="L169"/>
      <c r="M169"/>
      <c r="N169"/>
      <c r="T169" s="135"/>
      <c r="U169" s="135"/>
      <c r="V169" s="135"/>
      <c r="W169" s="135"/>
      <c r="X169" s="135"/>
      <c r="Y169" s="135"/>
      <c r="Z169" s="135"/>
      <c r="AA169" s="135"/>
      <c r="AB169" s="135"/>
    </row>
    <row r="170" spans="1:28" x14ac:dyDescent="0.2">
      <c r="A170" s="3">
        <v>42705</v>
      </c>
      <c r="B170" s="135"/>
      <c r="C170" s="121">
        <f>(+C158/SUM(C$147:C$158))*Trends!B$22</f>
        <v>509.33597288977279</v>
      </c>
      <c r="D170" s="121">
        <f>(+D158/SUM(D$147:D$158))*Trends!C$22</f>
        <v>0</v>
      </c>
      <c r="E170" s="126">
        <f>+'Purchased Power Model '!E170</f>
        <v>7.3406150000000003E-2</v>
      </c>
      <c r="F170" s="10">
        <f>+'Purchased Power Model '!F170</f>
        <v>31</v>
      </c>
      <c r="G170" s="10">
        <f>+'Purchased Power Model '!G170</f>
        <v>0</v>
      </c>
      <c r="H170" s="141">
        <f t="shared" si="8"/>
        <v>107641540.43985212</v>
      </c>
      <c r="I170" s="142"/>
      <c r="J170" s="143"/>
      <c r="L170"/>
      <c r="M170"/>
      <c r="N170"/>
      <c r="T170" s="135"/>
      <c r="U170" s="135"/>
      <c r="V170" s="135"/>
      <c r="W170" s="135"/>
      <c r="X170" s="135"/>
      <c r="Y170" s="135"/>
      <c r="Z170" s="135"/>
      <c r="AA170" s="135"/>
      <c r="AB170" s="135"/>
    </row>
    <row r="171" spans="1:28" x14ac:dyDescent="0.2">
      <c r="A171" s="3">
        <v>42736</v>
      </c>
      <c r="B171" s="135"/>
      <c r="C171" s="121">
        <f>(+C159/SUM(C$159:C$170))*Trends!B$22</f>
        <v>711.94424771634965</v>
      </c>
      <c r="D171" s="121">
        <f>(+D159/SUM(D$159:D$170))*Trends!C$22</f>
        <v>0</v>
      </c>
      <c r="E171" s="126">
        <f>+'Purchased Power Model '!E171</f>
        <v>7.3406150000000003E-2</v>
      </c>
      <c r="F171" s="10">
        <f>+'Purchased Power Model '!F171</f>
        <v>31</v>
      </c>
      <c r="G171" s="10">
        <f>+'Purchased Power Model '!G171</f>
        <v>0</v>
      </c>
      <c r="H171" s="141">
        <f t="shared" si="8"/>
        <v>115797773.09712517</v>
      </c>
      <c r="I171" s="142"/>
      <c r="J171" s="143"/>
      <c r="L171"/>
      <c r="M171"/>
      <c r="N171"/>
      <c r="T171" s="135"/>
      <c r="U171" s="135"/>
      <c r="V171" s="135"/>
      <c r="W171" s="135"/>
      <c r="X171" s="135"/>
      <c r="Y171" s="135"/>
      <c r="Z171" s="135"/>
      <c r="AA171" s="135"/>
      <c r="AB171" s="135"/>
    </row>
    <row r="172" spans="1:28" x14ac:dyDescent="0.2">
      <c r="A172" s="3">
        <v>42767</v>
      </c>
      <c r="B172" s="135"/>
      <c r="C172" s="121">
        <f>(+C160/SUM(C$159:C$170))*Trends!B$22</f>
        <v>637.68531509767956</v>
      </c>
      <c r="D172" s="121">
        <f>(+D160/SUM(D$159:D$170))*Trends!C$22</f>
        <v>0</v>
      </c>
      <c r="E172" s="126">
        <f>+'Purchased Power Model '!E172</f>
        <v>7.3406150000000003E-2</v>
      </c>
      <c r="F172" s="10">
        <f>+'Purchased Power Model '!F172</f>
        <v>28</v>
      </c>
      <c r="G172" s="10">
        <f>+'Purchased Power Model '!G172</f>
        <v>0</v>
      </c>
      <c r="H172" s="141">
        <f t="shared" si="8"/>
        <v>104375288.68043172</v>
      </c>
      <c r="I172" s="142"/>
      <c r="J172" s="143"/>
      <c r="L172"/>
      <c r="M172"/>
      <c r="N172"/>
      <c r="T172" s="135"/>
      <c r="U172" s="135"/>
      <c r="V172" s="135"/>
      <c r="W172" s="135"/>
      <c r="X172" s="135"/>
      <c r="Y172" s="135"/>
      <c r="Z172" s="135"/>
      <c r="AA172" s="135"/>
      <c r="AB172" s="135"/>
    </row>
    <row r="173" spans="1:28" x14ac:dyDescent="0.2">
      <c r="A173" s="3">
        <v>42795</v>
      </c>
      <c r="B173" s="135"/>
      <c r="C173" s="121">
        <f>(+C161/SUM(C$159:C$170))*Trends!B$22</f>
        <v>625.77804063178974</v>
      </c>
      <c r="D173" s="121">
        <f>(+D161/SUM(D$159:D$170))*Trends!C$22</f>
        <v>0</v>
      </c>
      <c r="E173" s="126">
        <f>+'Purchased Power Model '!E173</f>
        <v>7.3406150000000003E-2</v>
      </c>
      <c r="F173" s="10">
        <f>+'Purchased Power Model '!F173</f>
        <v>31</v>
      </c>
      <c r="G173" s="10">
        <f>+'Purchased Power Model '!G173</f>
        <v>1</v>
      </c>
      <c r="H173" s="141">
        <f t="shared" si="8"/>
        <v>105307334.74646577</v>
      </c>
      <c r="I173" s="142"/>
      <c r="J173" s="143"/>
      <c r="L173"/>
      <c r="M173"/>
      <c r="N173"/>
      <c r="T173" s="135"/>
      <c r="U173" s="135"/>
      <c r="V173" s="135"/>
      <c r="W173" s="135"/>
      <c r="X173" s="135"/>
      <c r="Y173" s="135"/>
      <c r="Z173" s="135"/>
      <c r="AA173" s="135"/>
      <c r="AB173" s="135"/>
    </row>
    <row r="174" spans="1:28" x14ac:dyDescent="0.2">
      <c r="A174" s="3">
        <v>42826</v>
      </c>
      <c r="B174" s="135"/>
      <c r="C174" s="121">
        <f>(+C162/SUM(C$159:C$170))*Trends!B$22</f>
        <v>342.72643482053758</v>
      </c>
      <c r="D174" s="121">
        <f>(+D162/SUM(D$159:D$170))*Trends!C$22</f>
        <v>0</v>
      </c>
      <c r="E174" s="126">
        <f>+'Purchased Power Model '!E174</f>
        <v>7.3406150000000003E-2</v>
      </c>
      <c r="F174" s="10">
        <f>+'Purchased Power Model '!F174</f>
        <v>30</v>
      </c>
      <c r="G174" s="10">
        <f>+'Purchased Power Model '!G174</f>
        <v>1</v>
      </c>
      <c r="H174" s="141">
        <f t="shared" si="8"/>
        <v>91101727.084742233</v>
      </c>
      <c r="I174" s="142"/>
      <c r="J174" s="143"/>
      <c r="L174"/>
      <c r="M174"/>
      <c r="N174"/>
      <c r="T174" s="135"/>
      <c r="U174" s="135"/>
      <c r="V174" s="135"/>
      <c r="W174" s="135"/>
      <c r="X174" s="135"/>
      <c r="Y174" s="135"/>
      <c r="Z174" s="135"/>
      <c r="AA174" s="135"/>
      <c r="AB174" s="135"/>
    </row>
    <row r="175" spans="1:28" x14ac:dyDescent="0.2">
      <c r="A175" s="3">
        <v>42856</v>
      </c>
      <c r="B175" s="135"/>
      <c r="C175" s="121">
        <f>(+C163/SUM(C$159:C$170))*Trends!B$22</f>
        <v>148.14864742444459</v>
      </c>
      <c r="D175" s="121">
        <f>(+D163/SUM(D$159:D$170))*Trends!C$22</f>
        <v>1.699107344632766</v>
      </c>
      <c r="E175" s="126">
        <f>+'Purchased Power Model '!E175</f>
        <v>7.3406150000000003E-2</v>
      </c>
      <c r="F175" s="10">
        <f>+'Purchased Power Model '!F175</f>
        <v>31</v>
      </c>
      <c r="G175" s="10">
        <f>+'Purchased Power Model '!G175</f>
        <v>1</v>
      </c>
      <c r="H175" s="141">
        <f t="shared" si="8"/>
        <v>86325691.482107192</v>
      </c>
      <c r="I175" s="142"/>
      <c r="J175" s="143"/>
      <c r="L175"/>
      <c r="M175"/>
      <c r="N175"/>
      <c r="T175" s="135"/>
      <c r="U175" s="135"/>
      <c r="V175" s="135"/>
      <c r="W175" s="135"/>
      <c r="X175" s="135"/>
      <c r="Y175" s="135"/>
      <c r="Z175" s="135"/>
      <c r="AA175" s="135"/>
      <c r="AB175" s="135"/>
    </row>
    <row r="176" spans="1:28" x14ac:dyDescent="0.2">
      <c r="A176" s="3">
        <v>42887</v>
      </c>
      <c r="B176" s="135"/>
      <c r="C176" s="121">
        <f>(+C164/SUM(C$159:C$170))*Trends!B$22</f>
        <v>24.829897917243368</v>
      </c>
      <c r="D176" s="121">
        <f>(+D164/SUM(D$159:D$170))*Trends!C$22</f>
        <v>52.41092655367224</v>
      </c>
      <c r="E176" s="126">
        <f>+'Purchased Power Model '!E176</f>
        <v>7.3406150000000003E-2</v>
      </c>
      <c r="F176" s="10">
        <f>+'Purchased Power Model '!F176</f>
        <v>30</v>
      </c>
      <c r="G176" s="10">
        <f>+'Purchased Power Model '!G176</f>
        <v>0</v>
      </c>
      <c r="H176" s="141">
        <f t="shared" si="8"/>
        <v>92910773.351749212</v>
      </c>
      <c r="I176" s="142"/>
      <c r="J176" s="143"/>
      <c r="L176"/>
      <c r="M176"/>
      <c r="N176"/>
      <c r="T176" s="135"/>
      <c r="U176" s="135"/>
      <c r="V176" s="135"/>
      <c r="W176" s="135"/>
      <c r="X176" s="135"/>
      <c r="Y176" s="135"/>
      <c r="Z176" s="135"/>
      <c r="AA176" s="135"/>
      <c r="AB176" s="135"/>
    </row>
    <row r="177" spans="1:28" x14ac:dyDescent="0.2">
      <c r="A177" s="3">
        <v>42917</v>
      </c>
      <c r="B177" s="135"/>
      <c r="C177" s="121">
        <f>(+C165/SUM(C$159:C$170))*Trends!B$22</f>
        <v>8.861227509499491</v>
      </c>
      <c r="D177" s="121">
        <f>(+D165/SUM(D$159:D$170))*Trends!C$22</f>
        <v>71.362508474576146</v>
      </c>
      <c r="E177" s="126">
        <f>+'Purchased Power Model '!E177</f>
        <v>7.3406150000000003E-2</v>
      </c>
      <c r="F177" s="10">
        <f>+'Purchased Power Model '!F177</f>
        <v>31</v>
      </c>
      <c r="G177" s="10">
        <f>+'Purchased Power Model '!G177</f>
        <v>0</v>
      </c>
      <c r="H177" s="141">
        <f t="shared" si="8"/>
        <v>97821540.969941154</v>
      </c>
      <c r="I177" s="142"/>
      <c r="J177" s="143"/>
      <c r="L177"/>
      <c r="M177"/>
      <c r="N177"/>
      <c r="T177" s="135"/>
      <c r="U177" s="135"/>
      <c r="V177" s="135"/>
      <c r="W177" s="135"/>
      <c r="X177" s="135"/>
      <c r="Y177" s="135"/>
      <c r="Z177" s="135"/>
      <c r="AA177" s="135"/>
      <c r="AB177" s="135"/>
    </row>
    <row r="178" spans="1:28" x14ac:dyDescent="0.2">
      <c r="A178" s="3">
        <v>42948</v>
      </c>
      <c r="B178" s="135"/>
      <c r="C178" s="121">
        <f>(+C166/SUM(C$159:C$170))*Trends!B$22</f>
        <v>11.722665559442033</v>
      </c>
      <c r="D178" s="121">
        <f>(+D166/SUM(D$159:D$170))*Trends!C$22</f>
        <v>75.806327683615706</v>
      </c>
      <c r="E178" s="126">
        <f>+'Purchased Power Model '!E178</f>
        <v>7.3406150000000003E-2</v>
      </c>
      <c r="F178" s="10">
        <f>+'Purchased Power Model '!F178</f>
        <v>31</v>
      </c>
      <c r="G178" s="10">
        <f>+'Purchased Power Model '!G178</f>
        <v>0</v>
      </c>
      <c r="H178" s="141">
        <f t="shared" si="8"/>
        <v>98579816.947996944</v>
      </c>
      <c r="I178" s="142"/>
      <c r="J178" s="143"/>
      <c r="L178"/>
      <c r="M178"/>
      <c r="N178"/>
      <c r="T178" s="135"/>
      <c r="U178" s="135"/>
      <c r="V178" s="135"/>
      <c r="W178" s="135"/>
      <c r="X178" s="135"/>
      <c r="Y178" s="135"/>
      <c r="Z178" s="135"/>
      <c r="AA178" s="135"/>
      <c r="AB178" s="135"/>
    </row>
    <row r="179" spans="1:28" x14ac:dyDescent="0.2">
      <c r="A179" s="3">
        <v>42979</v>
      </c>
      <c r="B179" s="135"/>
      <c r="C179" s="121">
        <f>(+C167/SUM(C$159:C$170))*Trends!B$22</f>
        <v>71.44364679533966</v>
      </c>
      <c r="D179" s="121">
        <f>(+D167/SUM(D$159:D$170))*Trends!C$22</f>
        <v>29.407627118644019</v>
      </c>
      <c r="E179" s="126">
        <f>+'Purchased Power Model '!E179</f>
        <v>7.3406150000000003E-2</v>
      </c>
      <c r="F179" s="10">
        <f>+'Purchased Power Model '!F179</f>
        <v>30</v>
      </c>
      <c r="G179" s="10">
        <f>+'Purchased Power Model '!G179</f>
        <v>1</v>
      </c>
      <c r="H179" s="141">
        <f t="shared" si="8"/>
        <v>84436634.244961396</v>
      </c>
      <c r="I179" s="142"/>
      <c r="J179" s="143"/>
      <c r="L179"/>
      <c r="M179"/>
      <c r="N179"/>
      <c r="T179" s="135"/>
      <c r="U179" s="135"/>
      <c r="V179" s="135"/>
      <c r="W179" s="135"/>
      <c r="X179" s="135"/>
      <c r="Y179" s="135"/>
      <c r="Z179" s="135"/>
      <c r="AA179" s="135"/>
      <c r="AB179" s="135"/>
    </row>
    <row r="180" spans="1:28" x14ac:dyDescent="0.2">
      <c r="A180" s="3">
        <v>43009</v>
      </c>
      <c r="B180" s="135"/>
      <c r="C180" s="121">
        <f>(+C168/SUM(C$159:C$170))*Trends!B$22</f>
        <v>199.65453232341042</v>
      </c>
      <c r="D180" s="121">
        <f>(+D168/SUM(D$159:D$170))*Trends!C$22</f>
        <v>0.65350282485875599</v>
      </c>
      <c r="E180" s="126">
        <f>+'Purchased Power Model '!E180</f>
        <v>7.3406150000000003E-2</v>
      </c>
      <c r="F180" s="10">
        <f>+'Purchased Power Model '!F180</f>
        <v>31</v>
      </c>
      <c r="G180" s="10">
        <f>+'Purchased Power Model '!G180</f>
        <v>1</v>
      </c>
      <c r="H180" s="141">
        <f t="shared" si="8"/>
        <v>88247806.790939152</v>
      </c>
      <c r="I180" s="142"/>
      <c r="J180" s="143"/>
      <c r="L180"/>
      <c r="M180"/>
      <c r="N180"/>
      <c r="T180" s="135"/>
      <c r="U180" s="135"/>
      <c r="V180" s="135"/>
      <c r="W180" s="135"/>
      <c r="X180" s="135"/>
      <c r="Y180" s="135"/>
      <c r="Z180" s="135"/>
      <c r="AA180" s="135"/>
      <c r="AB180" s="135"/>
    </row>
    <row r="181" spans="1:28" x14ac:dyDescent="0.2">
      <c r="A181" s="3">
        <v>43040</v>
      </c>
      <c r="B181" s="135"/>
      <c r="C181" s="121">
        <f>(+C169/SUM(C$159:C$170))*Trends!B$22</f>
        <v>375.95603798116082</v>
      </c>
      <c r="D181" s="121">
        <f>(+D169/SUM(D$159:D$170))*Trends!C$22</f>
        <v>0</v>
      </c>
      <c r="E181" s="126">
        <f>+'Purchased Power Model '!E181</f>
        <v>7.3406150000000003E-2</v>
      </c>
      <c r="F181" s="10">
        <f>+'Purchased Power Model '!F181</f>
        <v>30</v>
      </c>
      <c r="G181" s="10">
        <f>+'Purchased Power Model '!G181</f>
        <v>1</v>
      </c>
      <c r="H181" s="141">
        <f t="shared" si="8"/>
        <v>92439423.557005703</v>
      </c>
      <c r="I181" s="142"/>
      <c r="J181" s="143"/>
      <c r="L181"/>
      <c r="M181"/>
      <c r="N181"/>
      <c r="T181" s="135"/>
      <c r="U181" s="135"/>
      <c r="V181" s="135"/>
      <c r="W181" s="135"/>
      <c r="X181" s="135"/>
      <c r="Y181" s="135"/>
      <c r="Z181" s="135"/>
      <c r="AA181" s="135"/>
      <c r="AB181" s="135"/>
    </row>
    <row r="182" spans="1:28" x14ac:dyDescent="0.2">
      <c r="A182" s="3">
        <v>43070</v>
      </c>
      <c r="B182" s="135"/>
      <c r="C182" s="121">
        <f>(+C170/SUM(C$159:C$170))*Trends!B$22</f>
        <v>509.33597288977279</v>
      </c>
      <c r="D182" s="121">
        <f>(+D170/SUM(D$159:D$170))*Trends!C$22</f>
        <v>0</v>
      </c>
      <c r="E182" s="126">
        <f>+'Purchased Power Model '!E182</f>
        <v>7.3406150000000003E-2</v>
      </c>
      <c r="F182" s="10">
        <f>+'Purchased Power Model '!F182</f>
        <v>31</v>
      </c>
      <c r="G182" s="10">
        <f>+'Purchased Power Model '!G182</f>
        <v>0</v>
      </c>
      <c r="H182" s="141">
        <f t="shared" si="8"/>
        <v>107641540.43985212</v>
      </c>
      <c r="I182" s="142"/>
      <c r="J182" s="143"/>
      <c r="L182"/>
      <c r="M182"/>
      <c r="N182"/>
      <c r="T182" s="135"/>
      <c r="U182" s="135"/>
      <c r="V182" s="135"/>
      <c r="W182" s="135"/>
      <c r="X182" s="135"/>
      <c r="Y182" s="135"/>
      <c r="Z182" s="135"/>
      <c r="AA182" s="135"/>
      <c r="AB182" s="135"/>
    </row>
    <row r="183" spans="1:28" x14ac:dyDescent="0.2">
      <c r="A183" s="3">
        <v>43101</v>
      </c>
      <c r="B183" s="135"/>
      <c r="C183" s="121">
        <f>(+C171/SUM(C$171:C$182))*Trends!B$22</f>
        <v>711.94424771634965</v>
      </c>
      <c r="D183" s="121">
        <f>(+D171/SUM(D$171:D$182))*Trends!C$22</f>
        <v>0</v>
      </c>
      <c r="E183" s="126">
        <f>+'Purchased Power Model '!E183</f>
        <v>7.3406150000000003E-2</v>
      </c>
      <c r="F183" s="10">
        <f>+'Purchased Power Model '!F183</f>
        <v>31</v>
      </c>
      <c r="G183" s="10">
        <f>+'Purchased Power Model '!G183</f>
        <v>0</v>
      </c>
      <c r="H183" s="141">
        <f t="shared" si="8"/>
        <v>115797773.09712517</v>
      </c>
      <c r="I183" s="142"/>
      <c r="J183" s="143"/>
      <c r="L183"/>
      <c r="M183"/>
      <c r="N183"/>
      <c r="T183" s="135"/>
      <c r="U183" s="135"/>
      <c r="V183" s="135"/>
      <c r="W183" s="135"/>
      <c r="X183" s="135"/>
      <c r="Y183" s="135"/>
      <c r="Z183" s="135"/>
      <c r="AA183" s="135"/>
      <c r="AB183" s="135"/>
    </row>
    <row r="184" spans="1:28" x14ac:dyDescent="0.2">
      <c r="A184" s="3">
        <v>43132</v>
      </c>
      <c r="B184" s="135"/>
      <c r="C184" s="121">
        <f>(+C172/SUM(C$171:C$182))*Trends!B$22</f>
        <v>637.68531509767956</v>
      </c>
      <c r="D184" s="121">
        <f>(+D172/SUM(D$171:D$182))*Trends!C$22</f>
        <v>0</v>
      </c>
      <c r="E184" s="126">
        <f>+'Purchased Power Model '!E184</f>
        <v>7.3406150000000003E-2</v>
      </c>
      <c r="F184" s="10">
        <f>+'Purchased Power Model '!F184</f>
        <v>28</v>
      </c>
      <c r="G184" s="10">
        <f>+'Purchased Power Model '!G184</f>
        <v>0</v>
      </c>
      <c r="H184" s="141">
        <f t="shared" si="8"/>
        <v>104375288.68043172</v>
      </c>
      <c r="I184" s="142"/>
      <c r="J184" s="143"/>
      <c r="L184"/>
      <c r="M184"/>
      <c r="N184"/>
      <c r="T184" s="135"/>
      <c r="U184" s="135"/>
      <c r="V184" s="135"/>
      <c r="W184" s="135"/>
      <c r="X184" s="135"/>
      <c r="Y184" s="135"/>
      <c r="Z184" s="135"/>
      <c r="AA184" s="135"/>
      <c r="AB184" s="135"/>
    </row>
    <row r="185" spans="1:28" x14ac:dyDescent="0.2">
      <c r="A185" s="3">
        <v>43160</v>
      </c>
      <c r="B185" s="135"/>
      <c r="C185" s="121">
        <f>(+C173/SUM(C$171:C$182))*Trends!B$22</f>
        <v>625.77804063178974</v>
      </c>
      <c r="D185" s="121">
        <f>(+D173/SUM(D$171:D$182))*Trends!C$22</f>
        <v>0</v>
      </c>
      <c r="E185" s="126">
        <f>+'Purchased Power Model '!E185</f>
        <v>7.3406150000000003E-2</v>
      </c>
      <c r="F185" s="10">
        <f>+'Purchased Power Model '!F185</f>
        <v>31</v>
      </c>
      <c r="G185" s="10">
        <f>+'Purchased Power Model '!G185</f>
        <v>1</v>
      </c>
      <c r="H185" s="141">
        <f t="shared" si="8"/>
        <v>105307334.74646577</v>
      </c>
      <c r="I185" s="142"/>
      <c r="J185" s="143"/>
      <c r="L185"/>
      <c r="M185"/>
      <c r="N185"/>
      <c r="T185" s="135"/>
      <c r="U185" s="135"/>
      <c r="V185" s="135"/>
      <c r="W185" s="135"/>
      <c r="X185" s="135"/>
      <c r="Y185" s="135"/>
      <c r="Z185" s="135"/>
      <c r="AA185" s="135"/>
      <c r="AB185" s="135"/>
    </row>
    <row r="186" spans="1:28" x14ac:dyDescent="0.2">
      <c r="A186" s="3">
        <v>43191</v>
      </c>
      <c r="B186" s="135"/>
      <c r="C186" s="121">
        <f>(+C174/SUM(C$171:C$182))*Trends!B$22</f>
        <v>342.72643482053758</v>
      </c>
      <c r="D186" s="121">
        <f>(+D174/SUM(D$171:D$182))*Trends!C$22</f>
        <v>0</v>
      </c>
      <c r="E186" s="126">
        <f>+'Purchased Power Model '!E186</f>
        <v>7.3406150000000003E-2</v>
      </c>
      <c r="F186" s="10">
        <f>+'Purchased Power Model '!F186</f>
        <v>30</v>
      </c>
      <c r="G186" s="10">
        <f>+'Purchased Power Model '!G186</f>
        <v>1</v>
      </c>
      <c r="H186" s="141">
        <f t="shared" si="8"/>
        <v>91101727.084742233</v>
      </c>
      <c r="I186" s="142"/>
      <c r="J186" s="143"/>
      <c r="L186"/>
      <c r="M186"/>
      <c r="N186"/>
      <c r="T186" s="135"/>
      <c r="U186" s="135"/>
      <c r="V186" s="135"/>
      <c r="W186" s="135"/>
      <c r="X186" s="135"/>
      <c r="Y186" s="135"/>
      <c r="Z186" s="135"/>
      <c r="AA186" s="135"/>
      <c r="AB186" s="135"/>
    </row>
    <row r="187" spans="1:28" x14ac:dyDescent="0.2">
      <c r="A187" s="3">
        <v>43221</v>
      </c>
      <c r="B187" s="135"/>
      <c r="C187" s="121">
        <f>(+C175/SUM(C$171:C$182))*Trends!B$22</f>
        <v>148.14864742444459</v>
      </c>
      <c r="D187" s="121">
        <f>(+D175/SUM(D$171:D$182))*Trends!C$22</f>
        <v>1.699107344632766</v>
      </c>
      <c r="E187" s="126">
        <f>+'Purchased Power Model '!E187</f>
        <v>7.3406150000000003E-2</v>
      </c>
      <c r="F187" s="10">
        <f>+'Purchased Power Model '!F187</f>
        <v>31</v>
      </c>
      <c r="G187" s="10">
        <f>+'Purchased Power Model '!G187</f>
        <v>1</v>
      </c>
      <c r="H187" s="141">
        <f t="shared" si="8"/>
        <v>86325691.482107192</v>
      </c>
      <c r="I187" s="142"/>
      <c r="J187" s="143"/>
      <c r="L187"/>
      <c r="M187"/>
      <c r="N187"/>
      <c r="T187" s="135"/>
      <c r="U187" s="135"/>
      <c r="V187" s="135"/>
      <c r="W187" s="135"/>
      <c r="X187" s="135"/>
      <c r="Y187" s="135"/>
      <c r="Z187" s="135"/>
      <c r="AA187" s="135"/>
      <c r="AB187" s="135"/>
    </row>
    <row r="188" spans="1:28" x14ac:dyDescent="0.2">
      <c r="A188" s="3">
        <v>43252</v>
      </c>
      <c r="B188" s="135"/>
      <c r="C188" s="121">
        <f>(+C176/SUM(C$171:C$182))*Trends!B$22</f>
        <v>24.829897917243368</v>
      </c>
      <c r="D188" s="121">
        <f>(+D176/SUM(D$171:D$182))*Trends!C$22</f>
        <v>52.41092655367224</v>
      </c>
      <c r="E188" s="126">
        <f>+'Purchased Power Model '!E188</f>
        <v>7.3406150000000003E-2</v>
      </c>
      <c r="F188" s="10">
        <f>+'Purchased Power Model '!F188</f>
        <v>30</v>
      </c>
      <c r="G188" s="10">
        <f>+'Purchased Power Model '!G188</f>
        <v>0</v>
      </c>
      <c r="H188" s="141">
        <f t="shared" si="8"/>
        <v>92910773.351749212</v>
      </c>
      <c r="I188" s="142"/>
      <c r="J188" s="143"/>
      <c r="L188"/>
      <c r="M188"/>
      <c r="N188"/>
      <c r="T188" s="135"/>
      <c r="U188" s="135"/>
      <c r="V188" s="135"/>
      <c r="W188" s="135"/>
      <c r="X188" s="135"/>
      <c r="Y188" s="135"/>
      <c r="Z188" s="135"/>
      <c r="AA188" s="135"/>
      <c r="AB188" s="135"/>
    </row>
    <row r="189" spans="1:28" x14ac:dyDescent="0.2">
      <c r="A189" s="3">
        <v>43282</v>
      </c>
      <c r="B189" s="135"/>
      <c r="C189" s="121">
        <f>(+C177/SUM(C$171:C$182))*Trends!B$22</f>
        <v>8.861227509499491</v>
      </c>
      <c r="D189" s="121">
        <f>(+D177/SUM(D$171:D$182))*Trends!C$22</f>
        <v>71.362508474576146</v>
      </c>
      <c r="E189" s="126">
        <f>+'Purchased Power Model '!E189</f>
        <v>7.3406150000000003E-2</v>
      </c>
      <c r="F189" s="10">
        <f>+'Purchased Power Model '!F189</f>
        <v>31</v>
      </c>
      <c r="G189" s="10">
        <f>+'Purchased Power Model '!G189</f>
        <v>0</v>
      </c>
      <c r="H189" s="141">
        <f t="shared" si="8"/>
        <v>97821540.969941154</v>
      </c>
      <c r="I189" s="142"/>
      <c r="J189" s="143"/>
      <c r="L189"/>
      <c r="M189"/>
      <c r="N189"/>
      <c r="T189" s="135"/>
      <c r="U189" s="135"/>
      <c r="V189" s="135"/>
      <c r="W189" s="135"/>
      <c r="X189" s="135"/>
      <c r="Y189" s="135"/>
      <c r="Z189" s="135"/>
      <c r="AA189" s="135"/>
      <c r="AB189" s="135"/>
    </row>
    <row r="190" spans="1:28" x14ac:dyDescent="0.2">
      <c r="A190" s="3">
        <v>43313</v>
      </c>
      <c r="B190" s="135"/>
      <c r="C190" s="121">
        <f>(+C178/SUM(C$171:C$182))*Trends!B$22</f>
        <v>11.722665559442033</v>
      </c>
      <c r="D190" s="121">
        <f>(+D178/SUM(D$171:D$182))*Trends!C$22</f>
        <v>75.806327683615706</v>
      </c>
      <c r="E190" s="126">
        <f>+'Purchased Power Model '!E190</f>
        <v>7.3406150000000003E-2</v>
      </c>
      <c r="F190" s="10">
        <f>+'Purchased Power Model '!F190</f>
        <v>31</v>
      </c>
      <c r="G190" s="10">
        <f>+'Purchased Power Model '!G190</f>
        <v>0</v>
      </c>
      <c r="H190" s="141">
        <f t="shared" si="8"/>
        <v>98579816.947996944</v>
      </c>
      <c r="I190" s="142"/>
      <c r="J190" s="143"/>
      <c r="L190"/>
      <c r="M190"/>
      <c r="N190"/>
      <c r="T190" s="135"/>
      <c r="U190" s="135"/>
      <c r="V190" s="135"/>
      <c r="W190" s="135"/>
      <c r="X190" s="135"/>
      <c r="Y190" s="135"/>
      <c r="Z190" s="135"/>
      <c r="AA190" s="135"/>
      <c r="AB190" s="135"/>
    </row>
    <row r="191" spans="1:28" x14ac:dyDescent="0.2">
      <c r="A191" s="3">
        <v>43344</v>
      </c>
      <c r="B191" s="135"/>
      <c r="C191" s="121">
        <f>(+C179/SUM(C$171:C$182))*Trends!B$22</f>
        <v>71.44364679533966</v>
      </c>
      <c r="D191" s="121">
        <f>(+D179/SUM(D$171:D$182))*Trends!C$22</f>
        <v>29.407627118644019</v>
      </c>
      <c r="E191" s="126">
        <f>+'Purchased Power Model '!E191</f>
        <v>7.3406150000000003E-2</v>
      </c>
      <c r="F191" s="10">
        <f>+'Purchased Power Model '!F191</f>
        <v>30</v>
      </c>
      <c r="G191" s="10">
        <f>+'Purchased Power Model '!G191</f>
        <v>1</v>
      </c>
      <c r="H191" s="141">
        <f t="shared" si="8"/>
        <v>84436634.244961396</v>
      </c>
      <c r="I191" s="142"/>
      <c r="J191" s="143"/>
      <c r="L191"/>
      <c r="M191"/>
      <c r="N191"/>
      <c r="T191" s="135"/>
      <c r="U191" s="135"/>
      <c r="V191" s="135"/>
      <c r="W191" s="135"/>
      <c r="X191" s="135"/>
      <c r="Y191" s="135"/>
      <c r="Z191" s="135"/>
      <c r="AA191" s="135"/>
      <c r="AB191" s="135"/>
    </row>
    <row r="192" spans="1:28" x14ac:dyDescent="0.2">
      <c r="A192" s="3">
        <v>43374</v>
      </c>
      <c r="B192" s="135"/>
      <c r="C192" s="121">
        <f>(+C180/SUM(C$171:C$182))*Trends!B$22</f>
        <v>199.65453232341042</v>
      </c>
      <c r="D192" s="121">
        <f>(+D180/SUM(D$171:D$182))*Trends!C$22</f>
        <v>0.65350282485875599</v>
      </c>
      <c r="E192" s="126">
        <f>+'Purchased Power Model '!E192</f>
        <v>7.3406150000000003E-2</v>
      </c>
      <c r="F192" s="10">
        <f>+'Purchased Power Model '!F192</f>
        <v>31</v>
      </c>
      <c r="G192" s="10">
        <f>+'Purchased Power Model '!G192</f>
        <v>1</v>
      </c>
      <c r="H192" s="141">
        <f t="shared" si="8"/>
        <v>88247806.790939152</v>
      </c>
      <c r="I192" s="142"/>
      <c r="J192" s="143"/>
      <c r="L192"/>
      <c r="M192"/>
      <c r="N192"/>
      <c r="T192" s="135"/>
      <c r="U192" s="135"/>
      <c r="V192" s="135"/>
      <c r="W192" s="135"/>
      <c r="X192" s="135"/>
      <c r="Y192" s="135"/>
      <c r="Z192" s="135"/>
      <c r="AA192" s="135"/>
      <c r="AB192" s="135"/>
    </row>
    <row r="193" spans="1:28" x14ac:dyDescent="0.2">
      <c r="A193" s="3">
        <v>43405</v>
      </c>
      <c r="B193" s="135"/>
      <c r="C193" s="121">
        <f>(+C181/SUM(C$171:C$182))*Trends!B$22</f>
        <v>375.95603798116082</v>
      </c>
      <c r="D193" s="121">
        <f>(+D181/SUM(D$171:D$182))*Trends!C$22</f>
        <v>0</v>
      </c>
      <c r="E193" s="126">
        <f>+'Purchased Power Model '!E193</f>
        <v>7.3406150000000003E-2</v>
      </c>
      <c r="F193" s="10">
        <f>+'Purchased Power Model '!F193</f>
        <v>30</v>
      </c>
      <c r="G193" s="10">
        <f>+'Purchased Power Model '!G193</f>
        <v>1</v>
      </c>
      <c r="H193" s="141">
        <f t="shared" si="8"/>
        <v>92439423.557005703</v>
      </c>
      <c r="I193" s="142"/>
      <c r="J193" s="143"/>
      <c r="L193"/>
      <c r="M193"/>
      <c r="N193"/>
      <c r="T193" s="135"/>
      <c r="U193" s="135"/>
      <c r="V193" s="135"/>
      <c r="W193" s="135"/>
      <c r="X193" s="135"/>
      <c r="Y193" s="135"/>
      <c r="Z193" s="135"/>
      <c r="AA193" s="135"/>
      <c r="AB193" s="135"/>
    </row>
    <row r="194" spans="1:28" x14ac:dyDescent="0.2">
      <c r="A194" s="3">
        <v>43435</v>
      </c>
      <c r="B194" s="135"/>
      <c r="C194" s="121">
        <f>(+C182/SUM(C$171:C$182))*Trends!B$22</f>
        <v>509.33597288977279</v>
      </c>
      <c r="D194" s="121">
        <f>(+D182/SUM(D$171:D$182))*Trends!C$22</f>
        <v>0</v>
      </c>
      <c r="E194" s="126">
        <f>+'Purchased Power Model '!E194</f>
        <v>7.3406150000000003E-2</v>
      </c>
      <c r="F194" s="10">
        <f>+'Purchased Power Model '!F194</f>
        <v>31</v>
      </c>
      <c r="G194" s="10">
        <f>+'Purchased Power Model '!G194</f>
        <v>0</v>
      </c>
      <c r="H194" s="141">
        <f t="shared" si="8"/>
        <v>107641540.43985212</v>
      </c>
      <c r="I194" s="142"/>
      <c r="J194" s="143"/>
      <c r="L194"/>
      <c r="M194"/>
      <c r="N194"/>
      <c r="T194" s="135"/>
      <c r="U194" s="135"/>
      <c r="V194" s="135"/>
      <c r="W194" s="135"/>
      <c r="X194" s="135"/>
      <c r="Y194" s="135"/>
      <c r="Z194" s="135"/>
      <c r="AA194" s="135"/>
      <c r="AB194" s="135"/>
    </row>
    <row r="195" spans="1:28" x14ac:dyDescent="0.2">
      <c r="A195" s="3">
        <v>43466</v>
      </c>
      <c r="B195" s="135"/>
      <c r="C195" s="121">
        <f>(+C183/SUM(C$183:C$194))*Trends!B$22</f>
        <v>711.94424771634965</v>
      </c>
      <c r="D195" s="121">
        <f>(+D183/SUM(D$183:D$194))*Trends!C$22</f>
        <v>0</v>
      </c>
      <c r="E195" s="126">
        <f>+'Purchased Power Model '!E195</f>
        <v>7.3406150000000003E-2</v>
      </c>
      <c r="F195" s="10">
        <f>+'Purchased Power Model '!F195</f>
        <v>31</v>
      </c>
      <c r="G195" s="10">
        <f>+'Purchased Power Model '!G195</f>
        <v>0</v>
      </c>
      <c r="H195" s="141">
        <f t="shared" si="8"/>
        <v>115797773.09712517</v>
      </c>
      <c r="I195" s="142"/>
      <c r="J195" s="143"/>
      <c r="L195"/>
      <c r="M195"/>
      <c r="N195"/>
      <c r="T195" s="135"/>
      <c r="U195" s="135"/>
      <c r="V195" s="135"/>
      <c r="W195" s="135"/>
      <c r="X195" s="135"/>
      <c r="Y195" s="135"/>
      <c r="Z195" s="135"/>
      <c r="AA195" s="135"/>
      <c r="AB195" s="135"/>
    </row>
    <row r="196" spans="1:28" x14ac:dyDescent="0.2">
      <c r="A196" s="3">
        <v>43497</v>
      </c>
      <c r="B196" s="135"/>
      <c r="C196" s="121">
        <f>(+C184/SUM(C$183:C$194))*Trends!B$22</f>
        <v>637.68531509767956</v>
      </c>
      <c r="D196" s="121">
        <f>(+D184/SUM(D$183:D$194))*Trends!C$22</f>
        <v>0</v>
      </c>
      <c r="E196" s="126">
        <f>+'Purchased Power Model '!E196</f>
        <v>7.3406150000000003E-2</v>
      </c>
      <c r="F196" s="10">
        <f>+'Purchased Power Model '!F196</f>
        <v>28</v>
      </c>
      <c r="G196" s="10">
        <f>+'Purchased Power Model '!G196</f>
        <v>0</v>
      </c>
      <c r="H196" s="141">
        <f t="shared" ref="H196:H206" si="16">$M$18+C196*$M$19+D196*$M$20+E196*$M$21+F196*$M$22+G196*$M$23</f>
        <v>104375288.68043172</v>
      </c>
      <c r="I196" s="142"/>
      <c r="J196" s="143"/>
      <c r="L196"/>
      <c r="M196"/>
      <c r="N196"/>
      <c r="T196" s="135"/>
      <c r="U196" s="135"/>
      <c r="V196" s="135"/>
      <c r="W196" s="135"/>
      <c r="X196" s="135"/>
      <c r="Y196" s="135"/>
      <c r="Z196" s="135"/>
      <c r="AA196" s="135"/>
      <c r="AB196" s="135"/>
    </row>
    <row r="197" spans="1:28" x14ac:dyDescent="0.2">
      <c r="A197" s="3">
        <v>43525</v>
      </c>
      <c r="B197" s="135"/>
      <c r="C197" s="121">
        <f>(+C185/SUM(C$183:C$194))*Trends!B$22</f>
        <v>625.77804063178974</v>
      </c>
      <c r="D197" s="121">
        <f>(+D185/SUM(D$183:D$194))*Trends!C$22</f>
        <v>0</v>
      </c>
      <c r="E197" s="126">
        <f>+'Purchased Power Model '!E197</f>
        <v>7.3406150000000003E-2</v>
      </c>
      <c r="F197" s="10">
        <f>+'Purchased Power Model '!F197</f>
        <v>31</v>
      </c>
      <c r="G197" s="10">
        <f>+'Purchased Power Model '!G197</f>
        <v>1</v>
      </c>
      <c r="H197" s="141">
        <f t="shared" si="16"/>
        <v>105307334.74646577</v>
      </c>
      <c r="I197" s="142"/>
      <c r="J197" s="143"/>
      <c r="L197"/>
      <c r="M197"/>
      <c r="N197"/>
      <c r="T197" s="135"/>
      <c r="U197" s="135"/>
      <c r="V197" s="135"/>
      <c r="W197" s="135"/>
      <c r="X197" s="135"/>
      <c r="Y197" s="135"/>
      <c r="Z197" s="135"/>
      <c r="AA197" s="135"/>
      <c r="AB197" s="135"/>
    </row>
    <row r="198" spans="1:28" x14ac:dyDescent="0.2">
      <c r="A198" s="3">
        <v>43556</v>
      </c>
      <c r="B198" s="135"/>
      <c r="C198" s="121">
        <f>(+C186/SUM(C$183:C$194))*Trends!B$22</f>
        <v>342.72643482053758</v>
      </c>
      <c r="D198" s="121">
        <f>(+D186/SUM(D$183:D$194))*Trends!C$22</f>
        <v>0</v>
      </c>
      <c r="E198" s="126">
        <f>+'Purchased Power Model '!E198</f>
        <v>7.3406150000000003E-2</v>
      </c>
      <c r="F198" s="10">
        <f>+'Purchased Power Model '!F198</f>
        <v>30</v>
      </c>
      <c r="G198" s="10">
        <f>+'Purchased Power Model '!G198</f>
        <v>1</v>
      </c>
      <c r="H198" s="141">
        <f t="shared" si="16"/>
        <v>91101727.084742233</v>
      </c>
      <c r="I198" s="142"/>
      <c r="J198" s="143"/>
      <c r="L198"/>
      <c r="M198"/>
      <c r="N198"/>
      <c r="T198" s="135"/>
      <c r="U198" s="135"/>
      <c r="V198" s="135"/>
      <c r="W198" s="135"/>
      <c r="X198" s="135"/>
      <c r="Y198" s="135"/>
      <c r="Z198" s="135"/>
      <c r="AA198" s="135"/>
      <c r="AB198" s="135"/>
    </row>
    <row r="199" spans="1:28" x14ac:dyDescent="0.2">
      <c r="A199" s="3">
        <v>43586</v>
      </c>
      <c r="B199" s="135"/>
      <c r="C199" s="121">
        <f>(+C187/SUM(C$183:C$194))*Trends!B$22</f>
        <v>148.14864742444459</v>
      </c>
      <c r="D199" s="121">
        <f>(+D187/SUM(D$183:D$194))*Trends!C$22</f>
        <v>1.699107344632766</v>
      </c>
      <c r="E199" s="126">
        <f>+'Purchased Power Model '!E199</f>
        <v>7.3406150000000003E-2</v>
      </c>
      <c r="F199" s="10">
        <f>+'Purchased Power Model '!F199</f>
        <v>31</v>
      </c>
      <c r="G199" s="10">
        <f>+'Purchased Power Model '!G199</f>
        <v>1</v>
      </c>
      <c r="H199" s="141">
        <f t="shared" si="16"/>
        <v>86325691.482107192</v>
      </c>
      <c r="I199" s="142"/>
      <c r="J199" s="143"/>
      <c r="L199"/>
      <c r="M199"/>
      <c r="N199"/>
      <c r="T199" s="135"/>
      <c r="U199" s="135"/>
      <c r="V199" s="135"/>
      <c r="W199" s="135"/>
      <c r="X199" s="135"/>
      <c r="Y199" s="135"/>
      <c r="Z199" s="135"/>
      <c r="AA199" s="135"/>
      <c r="AB199" s="135"/>
    </row>
    <row r="200" spans="1:28" x14ac:dyDescent="0.2">
      <c r="A200" s="3">
        <v>43617</v>
      </c>
      <c r="B200" s="135"/>
      <c r="C200" s="121">
        <f>(+C188/SUM(C$183:C$194))*Trends!B$22</f>
        <v>24.829897917243368</v>
      </c>
      <c r="D200" s="121">
        <f>(+D188/SUM(D$183:D$194))*Trends!C$22</f>
        <v>52.41092655367224</v>
      </c>
      <c r="E200" s="126">
        <f>+'Purchased Power Model '!E200</f>
        <v>7.3406150000000003E-2</v>
      </c>
      <c r="F200" s="10">
        <f>+'Purchased Power Model '!F200</f>
        <v>30</v>
      </c>
      <c r="G200" s="10">
        <f>+'Purchased Power Model '!G200</f>
        <v>0</v>
      </c>
      <c r="H200" s="141">
        <f t="shared" si="16"/>
        <v>92910773.351749212</v>
      </c>
      <c r="I200" s="142"/>
      <c r="J200" s="143"/>
      <c r="L200"/>
      <c r="M200"/>
      <c r="N200"/>
      <c r="T200" s="135"/>
      <c r="U200" s="135"/>
      <c r="V200" s="135"/>
      <c r="W200" s="135"/>
      <c r="X200" s="135"/>
      <c r="Y200" s="135"/>
      <c r="Z200" s="135"/>
      <c r="AA200" s="135"/>
      <c r="AB200" s="135"/>
    </row>
    <row r="201" spans="1:28" x14ac:dyDescent="0.2">
      <c r="A201" s="3">
        <v>43647</v>
      </c>
      <c r="B201" s="135"/>
      <c r="C201" s="121">
        <f>(+C189/SUM(C$183:C$194))*Trends!B$22</f>
        <v>8.861227509499491</v>
      </c>
      <c r="D201" s="121">
        <f>(+D189/SUM(D$183:D$194))*Trends!C$22</f>
        <v>71.362508474576146</v>
      </c>
      <c r="E201" s="126">
        <f>+'Purchased Power Model '!E201</f>
        <v>7.3406150000000003E-2</v>
      </c>
      <c r="F201" s="10">
        <f>+'Purchased Power Model '!F201</f>
        <v>31</v>
      </c>
      <c r="G201" s="10">
        <f>+'Purchased Power Model '!G201</f>
        <v>0</v>
      </c>
      <c r="H201" s="141">
        <f t="shared" si="16"/>
        <v>97821540.969941154</v>
      </c>
      <c r="I201" s="142"/>
      <c r="J201" s="143"/>
      <c r="L201"/>
      <c r="M201"/>
      <c r="N201"/>
      <c r="T201" s="135"/>
      <c r="U201" s="135"/>
      <c r="V201" s="135"/>
      <c r="W201" s="135"/>
      <c r="X201" s="135"/>
      <c r="Y201" s="135"/>
      <c r="Z201" s="135"/>
      <c r="AA201" s="135"/>
      <c r="AB201" s="135"/>
    </row>
    <row r="202" spans="1:28" x14ac:dyDescent="0.2">
      <c r="A202" s="3">
        <v>43678</v>
      </c>
      <c r="B202" s="135"/>
      <c r="C202" s="121">
        <f>(+C190/SUM(C$183:C$194))*Trends!B$22</f>
        <v>11.722665559442033</v>
      </c>
      <c r="D202" s="121">
        <f>(+D190/SUM(D$183:D$194))*Trends!C$22</f>
        <v>75.806327683615706</v>
      </c>
      <c r="E202" s="126">
        <f>+'Purchased Power Model '!E202</f>
        <v>7.3406150000000003E-2</v>
      </c>
      <c r="F202" s="10">
        <f>+'Purchased Power Model '!F202</f>
        <v>31</v>
      </c>
      <c r="G202" s="10">
        <f>+'Purchased Power Model '!G202</f>
        <v>0</v>
      </c>
      <c r="H202" s="141">
        <f t="shared" si="16"/>
        <v>98579816.947996944</v>
      </c>
      <c r="I202" s="142"/>
      <c r="J202" s="143"/>
      <c r="L202"/>
      <c r="M202"/>
      <c r="N202"/>
      <c r="T202" s="135"/>
      <c r="U202" s="135"/>
      <c r="V202" s="135"/>
      <c r="W202" s="135"/>
      <c r="X202" s="135"/>
      <c r="Y202" s="135"/>
      <c r="Z202" s="135"/>
      <c r="AA202" s="135"/>
      <c r="AB202" s="135"/>
    </row>
    <row r="203" spans="1:28" x14ac:dyDescent="0.2">
      <c r="A203" s="3">
        <v>43709</v>
      </c>
      <c r="B203" s="135"/>
      <c r="C203" s="121">
        <f>(+C191/SUM(C$183:C$194))*Trends!B$22</f>
        <v>71.44364679533966</v>
      </c>
      <c r="D203" s="121">
        <f>(+D191/SUM(D$183:D$194))*Trends!C$22</f>
        <v>29.407627118644019</v>
      </c>
      <c r="E203" s="126">
        <f>+'Purchased Power Model '!E203</f>
        <v>7.3406150000000003E-2</v>
      </c>
      <c r="F203" s="10">
        <f>+'Purchased Power Model '!F203</f>
        <v>30</v>
      </c>
      <c r="G203" s="10">
        <f>+'Purchased Power Model '!G203</f>
        <v>1</v>
      </c>
      <c r="H203" s="141">
        <f t="shared" si="16"/>
        <v>84436634.244961396</v>
      </c>
      <c r="I203" s="142"/>
      <c r="J203" s="143"/>
      <c r="L203"/>
      <c r="M203"/>
      <c r="N203"/>
      <c r="T203" s="135"/>
      <c r="U203" s="135"/>
      <c r="V203" s="135"/>
      <c r="W203" s="135"/>
      <c r="X203" s="135"/>
      <c r="Y203" s="135"/>
      <c r="Z203" s="135"/>
      <c r="AA203" s="135"/>
      <c r="AB203" s="135"/>
    </row>
    <row r="204" spans="1:28" x14ac:dyDescent="0.2">
      <c r="A204" s="3">
        <v>43739</v>
      </c>
      <c r="B204" s="135"/>
      <c r="C204" s="121">
        <f>(+C192/SUM(C$183:C$194))*Trends!B$22</f>
        <v>199.65453232341042</v>
      </c>
      <c r="D204" s="121">
        <f>(+D192/SUM(D$183:D$194))*Trends!C$22</f>
        <v>0.65350282485875599</v>
      </c>
      <c r="E204" s="126">
        <f>+'Purchased Power Model '!E204</f>
        <v>7.3406150000000003E-2</v>
      </c>
      <c r="F204" s="10">
        <f>+'Purchased Power Model '!F204</f>
        <v>31</v>
      </c>
      <c r="G204" s="10">
        <f>+'Purchased Power Model '!G204</f>
        <v>1</v>
      </c>
      <c r="H204" s="141">
        <f t="shared" si="16"/>
        <v>88247806.790939152</v>
      </c>
      <c r="I204" s="142"/>
      <c r="J204" s="143"/>
      <c r="L204"/>
      <c r="M204"/>
      <c r="N204"/>
      <c r="T204" s="135"/>
      <c r="U204" s="135"/>
      <c r="V204" s="135"/>
      <c r="W204" s="135"/>
      <c r="X204" s="135"/>
      <c r="Y204" s="135"/>
      <c r="Z204" s="135"/>
      <c r="AA204" s="135"/>
      <c r="AB204" s="135"/>
    </row>
    <row r="205" spans="1:28" x14ac:dyDescent="0.2">
      <c r="A205" s="3">
        <v>43770</v>
      </c>
      <c r="B205" s="135"/>
      <c r="C205" s="121">
        <f>(+C193/SUM(C$183:C$194))*Trends!B$22</f>
        <v>375.95603798116082</v>
      </c>
      <c r="D205" s="121">
        <f>(+D193/SUM(D$183:D$194))*Trends!C$22</f>
        <v>0</v>
      </c>
      <c r="E205" s="126">
        <f>+'Purchased Power Model '!E205</f>
        <v>7.3406150000000003E-2</v>
      </c>
      <c r="F205" s="10">
        <f>+'Purchased Power Model '!F205</f>
        <v>30</v>
      </c>
      <c r="G205" s="10">
        <f>+'Purchased Power Model '!G205</f>
        <v>1</v>
      </c>
      <c r="H205" s="141">
        <f t="shared" si="16"/>
        <v>92439423.557005703</v>
      </c>
      <c r="I205" s="142"/>
      <c r="J205" s="143"/>
      <c r="L205"/>
      <c r="M205"/>
      <c r="N205"/>
      <c r="T205" s="135"/>
      <c r="U205" s="135"/>
      <c r="V205" s="135"/>
      <c r="W205" s="135"/>
      <c r="X205" s="135"/>
      <c r="Y205" s="135"/>
      <c r="Z205" s="135"/>
      <c r="AA205" s="135"/>
      <c r="AB205" s="135"/>
    </row>
    <row r="206" spans="1:28" x14ac:dyDescent="0.2">
      <c r="A206" s="3">
        <v>43800</v>
      </c>
      <c r="B206" s="135"/>
      <c r="C206" s="121">
        <f>(+C194/SUM(C$183:C$194))*Trends!B$22</f>
        <v>509.33597288977279</v>
      </c>
      <c r="D206" s="121">
        <f>(+D194/SUM(D$183:D$194))*Trends!C$22</f>
        <v>0</v>
      </c>
      <c r="E206" s="126">
        <f>+'Purchased Power Model '!E206</f>
        <v>7.3406150000000003E-2</v>
      </c>
      <c r="F206" s="10">
        <f>+'Purchased Power Model '!F206</f>
        <v>31</v>
      </c>
      <c r="G206" s="10">
        <f>+'Purchased Power Model '!G206</f>
        <v>0</v>
      </c>
      <c r="H206" s="141">
        <f t="shared" si="16"/>
        <v>107641540.43985212</v>
      </c>
      <c r="I206" s="142"/>
      <c r="J206" s="143"/>
      <c r="L206"/>
      <c r="M206"/>
      <c r="N206"/>
      <c r="T206" s="135"/>
      <c r="U206" s="135"/>
      <c r="V206" s="135"/>
      <c r="W206" s="135"/>
      <c r="X206" s="135"/>
      <c r="Y206" s="135"/>
      <c r="Z206" s="135"/>
      <c r="AA206" s="135"/>
      <c r="AB206" s="135"/>
    </row>
    <row r="207" spans="1:28" x14ac:dyDescent="0.2">
      <c r="A207" s="140"/>
      <c r="B207" s="135"/>
      <c r="C207" s="136"/>
      <c r="D207" s="136"/>
      <c r="E207" s="137"/>
      <c r="F207" s="136"/>
      <c r="G207" s="136"/>
      <c r="H207" s="136"/>
      <c r="I207" s="142"/>
      <c r="J207" s="143"/>
      <c r="L207"/>
      <c r="M207"/>
      <c r="N207"/>
      <c r="T207" s="144"/>
      <c r="U207" s="144"/>
      <c r="V207" s="144"/>
      <c r="W207" s="135"/>
      <c r="X207" s="135"/>
      <c r="Y207" s="135"/>
      <c r="Z207" s="135"/>
      <c r="AA207" s="135"/>
      <c r="AB207" s="135"/>
    </row>
    <row r="208" spans="1:28" x14ac:dyDescent="0.2">
      <c r="A208" s="3"/>
      <c r="B208" s="6"/>
      <c r="C208" s="18"/>
      <c r="D208" s="209" t="s">
        <v>60</v>
      </c>
      <c r="E208" s="34"/>
      <c r="F208" s="209"/>
      <c r="G208" s="209"/>
      <c r="H208" s="47">
        <f ca="1">SUM(H3:H206)</f>
        <v>19741902098.592842</v>
      </c>
      <c r="I208" s="36"/>
      <c r="J208" s="5"/>
      <c r="L208"/>
      <c r="M208"/>
      <c r="N208"/>
      <c r="T208" s="135"/>
      <c r="U208" s="135"/>
      <c r="V208" s="135"/>
      <c r="W208" s="135"/>
      <c r="X208" s="135"/>
      <c r="Y208" s="135"/>
      <c r="Z208" s="135"/>
      <c r="AA208" s="135"/>
      <c r="AB208" s="135"/>
    </row>
    <row r="209" spans="1:28" ht="25.5" x14ac:dyDescent="0.2">
      <c r="A209" s="3"/>
      <c r="B209" s="6"/>
      <c r="C209" s="23"/>
      <c r="D209" s="23"/>
      <c r="E209" s="34"/>
      <c r="F209"/>
      <c r="G209"/>
      <c r="H209" s="209"/>
      <c r="I209" s="36"/>
      <c r="J209" s="5" t="s">
        <v>201</v>
      </c>
      <c r="L209" s="427" t="s">
        <v>301</v>
      </c>
      <c r="M209" s="424" t="s">
        <v>299</v>
      </c>
      <c r="N209" s="427" t="s">
        <v>304</v>
      </c>
      <c r="O209" s="425" t="s">
        <v>300</v>
      </c>
      <c r="P209" s="427" t="s">
        <v>303</v>
      </c>
      <c r="Q209" s="425" t="s">
        <v>302</v>
      </c>
      <c r="T209" s="135"/>
      <c r="U209" s="135"/>
      <c r="V209" s="135"/>
      <c r="W209" s="135"/>
      <c r="X209" s="135"/>
      <c r="Y209" s="135"/>
      <c r="Z209" s="135"/>
      <c r="AA209" s="135"/>
      <c r="AB209" s="135"/>
    </row>
    <row r="210" spans="1:28" x14ac:dyDescent="0.2">
      <c r="A210" s="16">
        <v>2003</v>
      </c>
      <c r="B210" s="6">
        <f>SUM(B3:B14)</f>
        <v>1232724170</v>
      </c>
      <c r="C210" s="131"/>
      <c r="D210" s="23" t="s">
        <v>200</v>
      </c>
      <c r="E210" s="132" t="s">
        <v>112</v>
      </c>
      <c r="F210"/>
      <c r="G210"/>
      <c r="H210" s="6">
        <f>SUM(H3:H14)</f>
        <v>1208483234.4312544</v>
      </c>
      <c r="I210" s="36">
        <f t="shared" ref="I210:I224" si="17">H210-B210</f>
        <v>-24240935.568745613</v>
      </c>
      <c r="J210" s="5">
        <f t="shared" ref="J210:J226" si="18">I210/B210</f>
        <v>-1.9664525251213021E-2</v>
      </c>
      <c r="L210" s="212"/>
      <c r="M210" s="426">
        <f>+H210-L210</f>
        <v>1208483234.4312544</v>
      </c>
      <c r="N210" s="212"/>
      <c r="O210" s="426">
        <f>+M210-N210</f>
        <v>1208483234.4312544</v>
      </c>
      <c r="P210" s="212"/>
      <c r="Q210" s="426">
        <f>+O210+P210</f>
        <v>1208483234.4312544</v>
      </c>
      <c r="T210" s="135"/>
      <c r="U210" s="135"/>
      <c r="V210" s="135"/>
      <c r="W210" s="135"/>
      <c r="X210" s="135"/>
      <c r="Y210" s="135"/>
      <c r="Z210" s="135"/>
      <c r="AA210" s="135"/>
      <c r="AB210" s="135"/>
    </row>
    <row r="211" spans="1:28" x14ac:dyDescent="0.2">
      <c r="A211">
        <v>2004</v>
      </c>
      <c r="B211" s="6">
        <f>SUM(B15:B26)</f>
        <v>1178441190</v>
      </c>
      <c r="C211" s="131">
        <f>+B211-B210</f>
        <v>-54282980</v>
      </c>
      <c r="D211" s="133">
        <f>+C211/B210</f>
        <v>-4.4034976616058402E-2</v>
      </c>
      <c r="E211" s="133">
        <f>RATE(1,0,-B$210,B211)</f>
        <v>-4.4034976616058499E-2</v>
      </c>
      <c r="F211"/>
      <c r="G211"/>
      <c r="H211" s="6">
        <f>SUM(H15:H26)</f>
        <v>1193278221.7053266</v>
      </c>
      <c r="I211" s="36">
        <f t="shared" si="17"/>
        <v>14837031.705326557</v>
      </c>
      <c r="J211" s="5">
        <f t="shared" si="18"/>
        <v>1.2590387904997242E-2</v>
      </c>
      <c r="L211" s="212"/>
      <c r="M211" s="426">
        <f t="shared" ref="M211:M226" si="19">+H211-L211</f>
        <v>1193278221.7053266</v>
      </c>
      <c r="N211" s="212"/>
      <c r="O211" s="426">
        <f t="shared" ref="O211:O226" si="20">+M211-N211</f>
        <v>1193278221.7053266</v>
      </c>
      <c r="P211" s="212"/>
      <c r="Q211" s="426">
        <f t="shared" ref="Q211:Q226" si="21">+O211+P211</f>
        <v>1193278221.7053266</v>
      </c>
      <c r="T211" s="135"/>
      <c r="U211" s="135"/>
      <c r="V211" s="135"/>
      <c r="W211" s="135"/>
      <c r="X211" s="135"/>
      <c r="Y211" s="135"/>
      <c r="Z211" s="135"/>
      <c r="AA211" s="135"/>
      <c r="AB211" s="135"/>
    </row>
    <row r="212" spans="1:28" x14ac:dyDescent="0.2">
      <c r="A212" s="16">
        <v>2005</v>
      </c>
      <c r="B212" s="6">
        <f>SUM(B27:B38)</f>
        <v>1174501350</v>
      </c>
      <c r="C212" s="131">
        <f t="shared" ref="C212:C226" si="22">+B212-B211</f>
        <v>-3939840</v>
      </c>
      <c r="D212" s="133">
        <f t="shared" ref="D212:D226" si="23">+C212/B211</f>
        <v>-3.3432639943619079E-3</v>
      </c>
      <c r="E212" s="133">
        <f>RATE(2,0,-B$210,B212)</f>
        <v>-2.3901142331683341E-2</v>
      </c>
      <c r="F212"/>
      <c r="G212"/>
      <c r="H212" s="6">
        <f>SUM(H27:H38)</f>
        <v>1203281045.2314129</v>
      </c>
      <c r="I212" s="36">
        <f t="shared" si="17"/>
        <v>28779695.231412888</v>
      </c>
      <c r="J212" s="5">
        <f t="shared" si="18"/>
        <v>2.4503756620980373E-2</v>
      </c>
      <c r="L212" s="212"/>
      <c r="M212" s="426">
        <f t="shared" si="19"/>
        <v>1203281045.2314129</v>
      </c>
      <c r="N212" s="212"/>
      <c r="O212" s="426">
        <f t="shared" si="20"/>
        <v>1203281045.2314129</v>
      </c>
      <c r="P212" s="212"/>
      <c r="Q212" s="426">
        <f t="shared" si="21"/>
        <v>1203281045.2314129</v>
      </c>
      <c r="T212" s="144"/>
      <c r="U212" s="144"/>
      <c r="V212" s="144"/>
      <c r="W212" s="135"/>
      <c r="X212" s="135"/>
      <c r="Y212" s="135"/>
      <c r="Z212" s="135"/>
      <c r="AA212" s="135"/>
      <c r="AB212" s="135"/>
    </row>
    <row r="213" spans="1:28" x14ac:dyDescent="0.2">
      <c r="A213">
        <v>2006</v>
      </c>
      <c r="B213" s="6">
        <f>SUM(B39:B50)</f>
        <v>1151360440</v>
      </c>
      <c r="C213" s="131">
        <f t="shared" si="22"/>
        <v>-23140910</v>
      </c>
      <c r="D213" s="133">
        <f t="shared" si="23"/>
        <v>-1.9702753002369899E-2</v>
      </c>
      <c r="E213" s="133">
        <f>RATE(3,0,-B$210,B213)</f>
        <v>-2.2503680894619967E-2</v>
      </c>
      <c r="F213"/>
      <c r="G213"/>
      <c r="H213" s="6">
        <f>SUM(H39:H50)</f>
        <v>1166568192.2886453</v>
      </c>
      <c r="I213" s="36">
        <f t="shared" si="17"/>
        <v>15207752.288645267</v>
      </c>
      <c r="J213" s="5">
        <f t="shared" si="18"/>
        <v>1.3208506876131046E-2</v>
      </c>
      <c r="L213" s="212"/>
      <c r="M213" s="426">
        <f t="shared" si="19"/>
        <v>1166568192.2886453</v>
      </c>
      <c r="N213" s="212"/>
      <c r="O213" s="426">
        <f t="shared" si="20"/>
        <v>1166568192.2886453</v>
      </c>
      <c r="P213" s="212"/>
      <c r="Q213" s="426">
        <f t="shared" si="21"/>
        <v>1166568192.2886453</v>
      </c>
      <c r="T213" s="135"/>
      <c r="U213" s="135"/>
      <c r="V213" s="135"/>
      <c r="W213" s="135"/>
      <c r="X213" s="135"/>
      <c r="Y213" s="135"/>
      <c r="Z213" s="135"/>
      <c r="AA213" s="135"/>
      <c r="AB213" s="135"/>
    </row>
    <row r="214" spans="1:28" x14ac:dyDescent="0.2">
      <c r="A214" s="16">
        <v>2007</v>
      </c>
      <c r="B214" s="6">
        <f>SUM(B51:B62)</f>
        <v>1191153590</v>
      </c>
      <c r="C214" s="131">
        <f t="shared" si="22"/>
        <v>39793150</v>
      </c>
      <c r="D214" s="133">
        <f t="shared" si="23"/>
        <v>3.4561852759158546E-2</v>
      </c>
      <c r="E214" s="133">
        <f>RATE(4,0,-B$210,B214)</f>
        <v>-8.5393934317338754E-3</v>
      </c>
      <c r="F214"/>
      <c r="G214"/>
      <c r="H214" s="6">
        <f>SUM(H51:H62)</f>
        <v>1142506607.2224176</v>
      </c>
      <c r="I214" s="36">
        <f t="shared" si="17"/>
        <v>-48646982.777582407</v>
      </c>
      <c r="J214" s="5">
        <f t="shared" si="18"/>
        <v>-4.0840226807008495E-2</v>
      </c>
      <c r="L214" s="212"/>
      <c r="M214" s="426">
        <f t="shared" si="19"/>
        <v>1142506607.2224176</v>
      </c>
      <c r="N214" s="212"/>
      <c r="O214" s="426">
        <f t="shared" si="20"/>
        <v>1142506607.2224176</v>
      </c>
      <c r="P214" s="212"/>
      <c r="Q214" s="426">
        <f t="shared" si="21"/>
        <v>1142506607.2224176</v>
      </c>
      <c r="T214" s="135"/>
      <c r="U214" s="135"/>
      <c r="V214" s="135"/>
      <c r="W214" s="135"/>
      <c r="X214" s="135"/>
      <c r="Y214" s="135"/>
      <c r="Z214" s="135"/>
      <c r="AA214" s="135"/>
      <c r="AB214" s="135"/>
    </row>
    <row r="215" spans="1:28" x14ac:dyDescent="0.2">
      <c r="A215">
        <v>2008</v>
      </c>
      <c r="B215" s="6">
        <f>SUM(B63:B74)</f>
        <v>1158881926</v>
      </c>
      <c r="C215" s="131">
        <f t="shared" si="22"/>
        <v>-32271664</v>
      </c>
      <c r="D215" s="133">
        <f t="shared" si="23"/>
        <v>-2.70927815446537E-2</v>
      </c>
      <c r="E215" s="133">
        <f>RATE(5,0,-B$210,B215)</f>
        <v>-1.2278162500929547E-2</v>
      </c>
      <c r="F215"/>
      <c r="G215"/>
      <c r="H215" s="6">
        <f>SUM(H63:H74)</f>
        <v>1105605337.8738799</v>
      </c>
      <c r="I215" s="36">
        <f t="shared" si="17"/>
        <v>-53276588.12612009</v>
      </c>
      <c r="J215" s="5">
        <f t="shared" si="18"/>
        <v>-4.5972404030848686E-2</v>
      </c>
      <c r="L215" s="212"/>
      <c r="M215" s="426">
        <f t="shared" si="19"/>
        <v>1105605337.8738799</v>
      </c>
      <c r="N215" s="212"/>
      <c r="O215" s="426">
        <f t="shared" si="20"/>
        <v>1105605337.8738799</v>
      </c>
      <c r="P215" s="212"/>
      <c r="Q215" s="426">
        <f t="shared" si="21"/>
        <v>1105605337.8738799</v>
      </c>
      <c r="T215" s="135"/>
      <c r="U215" s="135"/>
      <c r="V215" s="135"/>
      <c r="W215" s="135"/>
      <c r="X215" s="135"/>
      <c r="Y215" s="135"/>
      <c r="Z215" s="135"/>
      <c r="AA215" s="135"/>
      <c r="AB215" s="135"/>
    </row>
    <row r="216" spans="1:28" x14ac:dyDescent="0.2">
      <c r="A216" s="16">
        <v>2009</v>
      </c>
      <c r="B216" s="6">
        <f>SUM(B75:B86)</f>
        <v>1128390784.5107694</v>
      </c>
      <c r="C216" s="131">
        <f t="shared" si="22"/>
        <v>-30491141.489230633</v>
      </c>
      <c r="D216" s="133">
        <f t="shared" si="23"/>
        <v>-2.6310826672803447E-2</v>
      </c>
      <c r="E216" s="133">
        <f>RATE(6,0,-B$210,B216)</f>
        <v>-1.4630905973235077E-2</v>
      </c>
      <c r="F216"/>
      <c r="G216"/>
      <c r="H216" s="6">
        <f>SUM(H75:H86)</f>
        <v>1123816338.2115908</v>
      </c>
      <c r="I216" s="36">
        <f t="shared" si="17"/>
        <v>-4574446.2991786003</v>
      </c>
      <c r="J216" s="5">
        <f t="shared" si="18"/>
        <v>-4.0539557411946783E-3</v>
      </c>
      <c r="L216" s="212"/>
      <c r="M216" s="426">
        <f t="shared" si="19"/>
        <v>1123816338.2115908</v>
      </c>
      <c r="N216" s="212"/>
      <c r="O216" s="426">
        <f t="shared" si="20"/>
        <v>1123816338.2115908</v>
      </c>
      <c r="P216" s="212"/>
      <c r="Q216" s="426">
        <f t="shared" si="21"/>
        <v>1123816338.2115908</v>
      </c>
      <c r="T216" s="135"/>
      <c r="U216" s="135"/>
      <c r="V216" s="135"/>
      <c r="W216" s="135"/>
      <c r="X216" s="135"/>
      <c r="Y216" s="135"/>
      <c r="Z216" s="135"/>
      <c r="AA216" s="135"/>
      <c r="AB216" s="135"/>
    </row>
    <row r="217" spans="1:28" x14ac:dyDescent="0.2">
      <c r="A217">
        <v>2010</v>
      </c>
      <c r="B217" s="6">
        <f>SUM(B87:B98)</f>
        <v>1148489331.8146157</v>
      </c>
      <c r="C217" s="131">
        <f t="shared" si="22"/>
        <v>20098547.303846359</v>
      </c>
      <c r="D217" s="133">
        <f t="shared" si="23"/>
        <v>1.781169039993568E-2</v>
      </c>
      <c r="E217" s="133">
        <f>RATE(7,0,-B$210,B217)</f>
        <v>-1.0060343960087228E-2</v>
      </c>
      <c r="F217"/>
      <c r="G217"/>
      <c r="H217" s="6">
        <f>SUM(H87:H98)</f>
        <v>1128203375.0065463</v>
      </c>
      <c r="I217" s="36">
        <f t="shared" si="17"/>
        <v>-20285956.808069468</v>
      </c>
      <c r="J217" s="5">
        <f t="shared" si="18"/>
        <v>-1.7663165208524498E-2</v>
      </c>
      <c r="L217" s="212"/>
      <c r="M217" s="426">
        <f t="shared" si="19"/>
        <v>1128203375.0065463</v>
      </c>
      <c r="N217" s="212"/>
      <c r="O217" s="426">
        <f t="shared" si="20"/>
        <v>1128203375.0065463</v>
      </c>
      <c r="P217" s="212"/>
      <c r="Q217" s="426">
        <f t="shared" si="21"/>
        <v>1128203375.0065463</v>
      </c>
      <c r="T217" s="135"/>
      <c r="U217" s="135"/>
      <c r="V217" s="135"/>
      <c r="W217" s="135"/>
      <c r="X217" s="135"/>
      <c r="Y217" s="135"/>
      <c r="Z217" s="135"/>
      <c r="AA217" s="135"/>
      <c r="AB217" s="135"/>
    </row>
    <row r="218" spans="1:28" x14ac:dyDescent="0.2">
      <c r="A218">
        <v>2011</v>
      </c>
      <c r="B218" s="6">
        <f>SUM(B99:B110)</f>
        <v>1148632387.3953846</v>
      </c>
      <c r="C218" s="131">
        <f t="shared" si="22"/>
        <v>143055.58076882362</v>
      </c>
      <c r="D218" s="133">
        <f t="shared" si="23"/>
        <v>1.2455978197272019E-4</v>
      </c>
      <c r="E218" s="133">
        <f>RATE(8,0,-B$210,B218)</f>
        <v>-8.7929249231188996E-3</v>
      </c>
      <c r="F218"/>
      <c r="G218"/>
      <c r="H218" s="6">
        <f>SUM(H99:H110)</f>
        <v>1162405206.2491772</v>
      </c>
      <c r="I218" s="36">
        <f t="shared" si="17"/>
        <v>13772818.853792667</v>
      </c>
      <c r="J218" s="5">
        <f t="shared" si="18"/>
        <v>1.1990623810480942E-2</v>
      </c>
      <c r="L218" s="212"/>
      <c r="M218" s="426">
        <f t="shared" si="19"/>
        <v>1162405206.2491772</v>
      </c>
      <c r="N218" s="212"/>
      <c r="O218" s="426">
        <f t="shared" si="20"/>
        <v>1162405206.2491772</v>
      </c>
      <c r="P218" s="212"/>
      <c r="Q218" s="426">
        <f t="shared" si="21"/>
        <v>1162405206.2491772</v>
      </c>
      <c r="T218" s="135"/>
      <c r="U218" s="135"/>
      <c r="V218" s="135"/>
      <c r="W218" s="135"/>
      <c r="X218" s="135"/>
      <c r="Y218" s="135"/>
      <c r="Z218" s="135"/>
      <c r="AA218" s="135"/>
      <c r="AB218" s="135"/>
    </row>
    <row r="219" spans="1:28" x14ac:dyDescent="0.2">
      <c r="A219">
        <v>2012</v>
      </c>
      <c r="B219" s="6">
        <f>SUM(B111:B122)</f>
        <v>1136211952.670979</v>
      </c>
      <c r="C219" s="131">
        <f t="shared" si="22"/>
        <v>-12420434.724405527</v>
      </c>
      <c r="D219" s="133">
        <f t="shared" si="23"/>
        <v>-1.0813237429748827E-2</v>
      </c>
      <c r="E219" s="133">
        <f>RATE(9,0,-B$210,B219)</f>
        <v>-9.0176077035169049E-3</v>
      </c>
      <c r="F219"/>
      <c r="G219"/>
      <c r="H219" s="6">
        <f>SUM(H111:H122)</f>
        <v>1148412454.4669952</v>
      </c>
      <c r="I219" s="36">
        <f t="shared" si="17"/>
        <v>12200501.796016216</v>
      </c>
      <c r="J219" s="5">
        <f t="shared" si="18"/>
        <v>1.0737874889747092E-2</v>
      </c>
      <c r="L219" s="212"/>
      <c r="M219" s="426">
        <f t="shared" si="19"/>
        <v>1148412454.4669952</v>
      </c>
      <c r="N219" s="212"/>
      <c r="O219" s="426">
        <f t="shared" si="20"/>
        <v>1148412454.4669952</v>
      </c>
      <c r="P219" s="212"/>
      <c r="Q219" s="426">
        <f t="shared" si="21"/>
        <v>1148412454.4669952</v>
      </c>
      <c r="T219" s="135"/>
      <c r="U219" s="135"/>
      <c r="V219" s="135"/>
      <c r="W219" s="135"/>
      <c r="X219" s="135"/>
      <c r="Y219" s="135"/>
      <c r="Z219" s="135"/>
      <c r="AA219" s="135"/>
      <c r="AB219" s="135"/>
    </row>
    <row r="220" spans="1:28" x14ac:dyDescent="0.2">
      <c r="A220">
        <v>2013</v>
      </c>
      <c r="B220" s="6">
        <f>SUM(B123:B134)</f>
        <v>1130407041.6666667</v>
      </c>
      <c r="C220" s="131">
        <f t="shared" si="22"/>
        <v>-5804911.0043122768</v>
      </c>
      <c r="D220" s="133">
        <f t="shared" si="23"/>
        <v>-5.1090036420284399E-3</v>
      </c>
      <c r="E220" s="133">
        <f>RATE(10,0,-B$210,B220)</f>
        <v>-8.6274392985243292E-3</v>
      </c>
      <c r="F220"/>
      <c r="G220"/>
      <c r="H220" s="6">
        <f ca="1">SUM(H123:H134)</f>
        <v>1162091422.8514135</v>
      </c>
      <c r="I220" s="36">
        <f t="shared" ca="1" si="17"/>
        <v>31684381.184746742</v>
      </c>
      <c r="J220" s="5">
        <f t="shared" ca="1" si="18"/>
        <v>2.8029178885891796E-2</v>
      </c>
      <c r="L220" s="212"/>
      <c r="M220" s="426">
        <f t="shared" ca="1" si="19"/>
        <v>1162091422.8514135</v>
      </c>
      <c r="N220" s="212"/>
      <c r="O220" s="426">
        <f t="shared" ca="1" si="20"/>
        <v>1162091422.8514135</v>
      </c>
      <c r="P220" s="212"/>
      <c r="Q220" s="426">
        <f t="shared" ca="1" si="21"/>
        <v>1162091422.8514135</v>
      </c>
      <c r="T220" s="135"/>
      <c r="U220" s="135"/>
      <c r="V220" s="135"/>
      <c r="W220" s="135"/>
      <c r="X220" s="135"/>
      <c r="Y220" s="135"/>
      <c r="Z220" s="135"/>
      <c r="AA220" s="135"/>
      <c r="AB220" s="135"/>
    </row>
    <row r="221" spans="1:28" x14ac:dyDescent="0.2">
      <c r="A221">
        <v>2014</v>
      </c>
      <c r="B221" s="6">
        <f>SUM(B135:B146)</f>
        <v>1134970142.7733078</v>
      </c>
      <c r="C221" s="131">
        <f t="shared" ref="C221" si="24">+B221-B220</f>
        <v>4563101.1066410542</v>
      </c>
      <c r="D221" s="133">
        <f t="shared" ref="D221" si="25">+C221/B220</f>
        <v>4.0366885010847415E-3</v>
      </c>
      <c r="E221" s="133">
        <f>RATE(10,0,-B$210,B221)</f>
        <v>-8.2279781660642495E-3</v>
      </c>
      <c r="F221"/>
      <c r="G221"/>
      <c r="H221" s="6">
        <f>SUM(H135:H146)</f>
        <v>1169512871.2930617</v>
      </c>
      <c r="I221" s="36">
        <f t="shared" si="17"/>
        <v>34542728.519753933</v>
      </c>
      <c r="J221" s="5">
        <f t="shared" si="18"/>
        <v>3.0434922662677739E-2</v>
      </c>
      <c r="L221" s="6"/>
      <c r="M221" s="426">
        <f t="shared" si="19"/>
        <v>1169512871.2930617</v>
      </c>
      <c r="N221" s="6"/>
      <c r="O221" s="426">
        <f t="shared" si="20"/>
        <v>1169512871.2930617</v>
      </c>
      <c r="P221" s="6"/>
      <c r="Q221" s="426">
        <f t="shared" si="21"/>
        <v>1169512871.2930617</v>
      </c>
      <c r="T221" s="135"/>
      <c r="U221" s="135"/>
      <c r="V221" s="135"/>
      <c r="W221" s="135"/>
      <c r="X221" s="135"/>
      <c r="Y221" s="135"/>
      <c r="Z221" s="135"/>
      <c r="AA221" s="135"/>
      <c r="AB221" s="135"/>
    </row>
    <row r="222" spans="1:28" x14ac:dyDescent="0.2">
      <c r="A222">
        <v>2015</v>
      </c>
      <c r="B222" s="6">
        <f t="shared" ref="B222:B224" si="26">+H222</f>
        <v>1164985351.3933177</v>
      </c>
      <c r="C222" s="131">
        <f t="shared" si="22"/>
        <v>30015208.620009899</v>
      </c>
      <c r="D222" s="133">
        <f t="shared" si="23"/>
        <v>2.6445813408507397E-2</v>
      </c>
      <c r="E222" s="133">
        <f>RATE(12,0,-B$210,B222)</f>
        <v>-4.6987577785930126E-3</v>
      </c>
      <c r="F222"/>
      <c r="G222"/>
      <c r="H222" s="6">
        <f>SUM(H147:H158)</f>
        <v>1164985351.3933177</v>
      </c>
      <c r="I222" s="36">
        <f t="shared" si="17"/>
        <v>0</v>
      </c>
      <c r="J222" s="5">
        <f t="shared" si="18"/>
        <v>0</v>
      </c>
      <c r="L222" s="6">
        <f ca="1">+' CDM Summary'!K$19</f>
        <v>9413841.9541798308</v>
      </c>
      <c r="M222" s="426">
        <f t="shared" ca="1" si="19"/>
        <v>1155571509.4391379</v>
      </c>
      <c r="N222" s="6">
        <f ca="1">+' CDM Summary'!K$18</f>
        <v>2308528.8762076488</v>
      </c>
      <c r="O222" s="426">
        <f t="shared" ca="1" si="20"/>
        <v>1153262980.5629303</v>
      </c>
      <c r="P222" s="6">
        <f ca="1">+'City Expansion'!C103*'Rate Class Energy Model'!$F$25</f>
        <v>26089672.579534147</v>
      </c>
      <c r="Q222" s="426">
        <f t="shared" ca="1" si="21"/>
        <v>1179352653.1424644</v>
      </c>
      <c r="T222" s="135"/>
      <c r="U222" s="135"/>
      <c r="V222" s="135"/>
      <c r="W222" s="135"/>
      <c r="X222" s="135"/>
      <c r="Y222" s="135"/>
      <c r="Z222" s="135"/>
      <c r="AA222" s="135"/>
      <c r="AB222" s="135"/>
    </row>
    <row r="223" spans="1:28" x14ac:dyDescent="0.2">
      <c r="A223">
        <v>2016</v>
      </c>
      <c r="B223" s="6">
        <f t="shared" si="26"/>
        <v>1167796386.1878304</v>
      </c>
      <c r="C223" s="131">
        <f t="shared" si="22"/>
        <v>2811034.7945127487</v>
      </c>
      <c r="D223" s="133">
        <f t="shared" si="23"/>
        <v>2.4129357430552776E-3</v>
      </c>
      <c r="E223" s="133">
        <f>RATE(13,0,-B$210,B223)</f>
        <v>-4.1535002915805315E-3</v>
      </c>
      <c r="F223"/>
      <c r="G223"/>
      <c r="H223" s="6">
        <f>SUM(H159:H170)</f>
        <v>1167796386.1878304</v>
      </c>
      <c r="I223" s="36">
        <f t="shared" si="17"/>
        <v>0</v>
      </c>
      <c r="J223" s="5">
        <f t="shared" si="18"/>
        <v>0</v>
      </c>
      <c r="L223" s="6">
        <f ca="1">+' CDM Summary'!L$19</f>
        <v>19420761.457170092</v>
      </c>
      <c r="M223" s="426">
        <f t="shared" ca="1" si="19"/>
        <v>1148375624.7306604</v>
      </c>
      <c r="N223" s="6">
        <f ca="1">+' CDM Summary'!L$18</f>
        <v>4704931.1836450314</v>
      </c>
      <c r="O223" s="426">
        <f t="shared" ca="1" si="20"/>
        <v>1143670693.5470154</v>
      </c>
      <c r="P223" s="6">
        <f ca="1">+'City Expansion'!C104*'Rate Class Energy Model'!$F$25</f>
        <v>53571524.113800667</v>
      </c>
      <c r="Q223" s="426">
        <f t="shared" ca="1" si="21"/>
        <v>1197242217.6608162</v>
      </c>
      <c r="T223" s="135"/>
      <c r="U223" s="135"/>
      <c r="V223" s="135"/>
      <c r="W223" s="135"/>
      <c r="X223" s="135"/>
      <c r="Y223" s="135"/>
      <c r="Z223" s="135"/>
      <c r="AA223" s="135"/>
      <c r="AB223" s="135"/>
    </row>
    <row r="224" spans="1:28" x14ac:dyDescent="0.2">
      <c r="A224">
        <v>2017</v>
      </c>
      <c r="B224" s="6">
        <f t="shared" si="26"/>
        <v>1164985351.3933177</v>
      </c>
      <c r="C224" s="131">
        <f t="shared" si="22"/>
        <v>-2811034.7945127487</v>
      </c>
      <c r="D224" s="133">
        <f t="shared" si="23"/>
        <v>-2.407127499074669E-3</v>
      </c>
      <c r="E224" s="133">
        <f>RATE(14,0,-B$210,B224)</f>
        <v>-4.0288608272453516E-3</v>
      </c>
      <c r="F224"/>
      <c r="G224"/>
      <c r="H224" s="6">
        <f>SUM(H171:H182)</f>
        <v>1164985351.3933177</v>
      </c>
      <c r="I224" s="36">
        <f t="shared" si="17"/>
        <v>0</v>
      </c>
      <c r="J224" s="5">
        <f t="shared" si="18"/>
        <v>0</v>
      </c>
      <c r="L224" s="6">
        <f ca="1">+' CDM Summary'!M$19</f>
        <v>26961023.922424112</v>
      </c>
      <c r="M224" s="426">
        <f t="shared" ca="1" si="19"/>
        <v>1138024327.4708936</v>
      </c>
      <c r="N224" s="6">
        <f ca="1">+' CDM Summary'!M$18</f>
        <v>4835595.1543917023</v>
      </c>
      <c r="O224" s="426">
        <f t="shared" ca="1" si="20"/>
        <v>1133188732.3165019</v>
      </c>
      <c r="P224" s="6">
        <f ca="1">+'City Expansion'!C105*'Rate Class Energy Model'!$F$25</f>
        <v>80477914.047624961</v>
      </c>
      <c r="Q224" s="426">
        <f t="shared" ca="1" si="21"/>
        <v>1213666646.3641269</v>
      </c>
      <c r="T224" s="135"/>
      <c r="U224" s="135"/>
      <c r="V224" s="135"/>
      <c r="W224" s="135"/>
      <c r="X224" s="135"/>
      <c r="Y224" s="135"/>
      <c r="Z224" s="135"/>
      <c r="AA224" s="135"/>
      <c r="AB224" s="135"/>
    </row>
    <row r="225" spans="1:28" x14ac:dyDescent="0.2">
      <c r="A225">
        <v>2018</v>
      </c>
      <c r="B225" s="6">
        <f>+H225</f>
        <v>1164985351.3933177</v>
      </c>
      <c r="C225" s="131">
        <f t="shared" si="22"/>
        <v>0</v>
      </c>
      <c r="D225" s="133">
        <f t="shared" si="23"/>
        <v>0</v>
      </c>
      <c r="E225" s="133">
        <f>RATE(15,0,-B$210,B225)</f>
        <v>-3.7607758171549332E-3</v>
      </c>
      <c r="F225"/>
      <c r="G225"/>
      <c r="H225" s="6">
        <f>SUM(H183:H194)</f>
        <v>1164985351.3933177</v>
      </c>
      <c r="I225" s="36">
        <f>H225-B225</f>
        <v>0</v>
      </c>
      <c r="J225" s="5">
        <f t="shared" si="18"/>
        <v>0</v>
      </c>
      <c r="L225" s="6">
        <f ca="1">+' CDM Summary'!N$19</f>
        <v>37146682.181555964</v>
      </c>
      <c r="M225" s="426">
        <f t="shared" ca="1" si="19"/>
        <v>1127838669.2117617</v>
      </c>
      <c r="N225" s="6">
        <f ca="1">+' CDM Summary'!N$18</f>
        <v>4966578.4117474053</v>
      </c>
      <c r="O225" s="426">
        <f t="shared" ca="1" si="20"/>
        <v>1122872090.8000143</v>
      </c>
      <c r="P225" s="6">
        <f ca="1">+'City Expansion'!C106*'Rate Class Energy Model'!$F$25</f>
        <v>108845925.0016157</v>
      </c>
      <c r="Q225" s="426">
        <f t="shared" ca="1" si="21"/>
        <v>1231718015.80163</v>
      </c>
      <c r="T225" s="135"/>
      <c r="U225" s="135"/>
      <c r="V225" s="135"/>
      <c r="W225" s="135"/>
      <c r="X225" s="135"/>
      <c r="Y225" s="135"/>
      <c r="Z225" s="135"/>
      <c r="AA225" s="135"/>
      <c r="AB225" s="135"/>
    </row>
    <row r="226" spans="1:28" x14ac:dyDescent="0.2">
      <c r="A226">
        <v>2019</v>
      </c>
      <c r="B226" s="6">
        <f>+H226</f>
        <v>1164985351.3933177</v>
      </c>
      <c r="C226" s="131">
        <f t="shared" si="22"/>
        <v>0</v>
      </c>
      <c r="D226" s="133">
        <f t="shared" si="23"/>
        <v>0</v>
      </c>
      <c r="E226" s="133">
        <f>RATE(16,0,-B$210,B226)</f>
        <v>-3.5261422399963348E-3</v>
      </c>
      <c r="F226"/>
      <c r="G226"/>
      <c r="H226" s="6">
        <f>SUM(H195:H206)</f>
        <v>1164985351.3933177</v>
      </c>
      <c r="I226" s="36">
        <f>H226-B226</f>
        <v>0</v>
      </c>
      <c r="J226" s="5">
        <f t="shared" si="18"/>
        <v>0</v>
      </c>
      <c r="L226" s="6">
        <f ca="1">+' CDM Summary'!O$19</f>
        <v>54812221.480027743</v>
      </c>
      <c r="M226" s="426">
        <f t="shared" ca="1" si="19"/>
        <v>1110173129.91329</v>
      </c>
      <c r="N226" s="6">
        <f ca="1">+' CDM Summary'!O$18</f>
        <v>5097930.7780981716</v>
      </c>
      <c r="O226" s="426">
        <f t="shared" ca="1" si="20"/>
        <v>1105075199.1351919</v>
      </c>
      <c r="P226" s="6">
        <f ca="1">+'City Expansion'!C107*'Rate Class Energy Model'!$F$25</f>
        <v>137642896.32207018</v>
      </c>
      <c r="Q226" s="426">
        <f t="shared" ca="1" si="21"/>
        <v>1242718095.457262</v>
      </c>
      <c r="T226" s="135"/>
      <c r="U226" s="135"/>
      <c r="V226" s="135"/>
      <c r="W226" s="135"/>
      <c r="X226" s="135"/>
      <c r="Y226" s="135"/>
      <c r="Z226" s="135"/>
      <c r="AA226" s="135"/>
      <c r="AB226" s="135"/>
    </row>
    <row r="227" spans="1:28" x14ac:dyDescent="0.2">
      <c r="A227"/>
      <c r="B227" s="6"/>
      <c r="C227" s="124"/>
      <c r="D227" s="209"/>
      <c r="E227" s="34"/>
      <c r="F227" s="209"/>
      <c r="G227" s="209"/>
      <c r="H227" s="6"/>
      <c r="I227" s="209"/>
      <c r="J227" s="209"/>
      <c r="L227"/>
      <c r="M227"/>
      <c r="N227"/>
      <c r="T227" s="135"/>
      <c r="U227" s="135"/>
      <c r="V227" s="135"/>
      <c r="W227" s="135"/>
      <c r="X227" s="135"/>
      <c r="Y227" s="135"/>
      <c r="Z227" s="135"/>
      <c r="AA227" s="135"/>
      <c r="AB227" s="135"/>
    </row>
    <row r="228" spans="1:28" x14ac:dyDescent="0.2">
      <c r="A228" t="s">
        <v>9</v>
      </c>
      <c r="B228" s="6">
        <f>SUM(B210:B226)</f>
        <v>19741902098.592823</v>
      </c>
      <c r="C228" s="124"/>
      <c r="D228" s="209"/>
      <c r="E228" s="34"/>
      <c r="F228" s="209"/>
      <c r="G228" s="209"/>
      <c r="H228" s="6">
        <f ca="1">SUM(H210:H226)</f>
        <v>19741902098.592827</v>
      </c>
      <c r="I228" s="213">
        <f ca="1">H228-B228</f>
        <v>0</v>
      </c>
      <c r="J228" s="209"/>
      <c r="L228"/>
      <c r="M228"/>
      <c r="N228"/>
      <c r="T228" s="135"/>
      <c r="U228" s="135"/>
      <c r="V228" s="135"/>
      <c r="W228" s="135"/>
      <c r="X228" s="135"/>
      <c r="Y228" s="135"/>
      <c r="Z228" s="135"/>
      <c r="AA228" s="135"/>
      <c r="AB228" s="135"/>
    </row>
    <row r="229" spans="1:28" x14ac:dyDescent="0.2">
      <c r="A229"/>
      <c r="B229" s="6"/>
      <c r="C229" s="209"/>
      <c r="D229" s="209"/>
      <c r="E229" s="34"/>
      <c r="F229" s="209"/>
      <c r="G229" s="209"/>
      <c r="H229" s="209"/>
      <c r="I229" s="62"/>
      <c r="J229" s="209"/>
      <c r="T229" s="135"/>
      <c r="U229" s="135"/>
      <c r="V229" s="135"/>
      <c r="W229" s="135"/>
      <c r="X229" s="135"/>
      <c r="Y229" s="135"/>
      <c r="Z229" s="135"/>
      <c r="AA229" s="135"/>
      <c r="AB229" s="135"/>
    </row>
    <row r="230" spans="1:28" x14ac:dyDescent="0.2">
      <c r="A230"/>
      <c r="B230" s="6"/>
      <c r="C230" s="209"/>
      <c r="D230" s="209"/>
      <c r="E230" s="34"/>
      <c r="F230" s="209"/>
      <c r="G230" s="209"/>
      <c r="H230" s="6">
        <f ca="1">SUM(H210:H226)</f>
        <v>19741902098.592827</v>
      </c>
      <c r="I230" s="213">
        <f ca="1">H208-H230</f>
        <v>0</v>
      </c>
      <c r="J230" s="209"/>
      <c r="T230" s="135"/>
      <c r="U230" s="135"/>
      <c r="V230" s="135"/>
      <c r="W230" s="135"/>
      <c r="X230" s="135"/>
      <c r="Y230" s="135"/>
      <c r="Z230" s="135"/>
      <c r="AA230" s="135"/>
      <c r="AB230" s="135"/>
    </row>
    <row r="231" spans="1:28" x14ac:dyDescent="0.2">
      <c r="A231"/>
      <c r="B231" s="6"/>
      <c r="C231" s="209"/>
      <c r="D231" s="209"/>
      <c r="E231" s="34"/>
      <c r="F231" s="209"/>
      <c r="G231" s="209"/>
      <c r="H231" s="23"/>
      <c r="I231" s="214" t="s">
        <v>69</v>
      </c>
      <c r="J231" s="18"/>
      <c r="T231" s="135"/>
      <c r="U231" s="135"/>
      <c r="V231" s="135"/>
      <c r="W231" s="135"/>
      <c r="X231" s="135"/>
      <c r="Y231" s="135"/>
      <c r="Z231" s="135"/>
      <c r="AA231" s="135"/>
      <c r="AB231" s="135"/>
    </row>
    <row r="232" spans="1:28" x14ac:dyDescent="0.2">
      <c r="B232" s="135"/>
      <c r="C232" s="136"/>
      <c r="D232" s="136"/>
      <c r="E232" s="137"/>
      <c r="F232" s="136"/>
      <c r="G232" s="136"/>
      <c r="H232" s="136"/>
      <c r="I232" s="136"/>
      <c r="J232" s="136"/>
      <c r="T232" s="135"/>
      <c r="U232" s="135"/>
      <c r="V232" s="135"/>
      <c r="W232" s="135"/>
      <c r="X232" s="135"/>
      <c r="Y232" s="135"/>
      <c r="Z232" s="135"/>
      <c r="AA232" s="135"/>
      <c r="AB232" s="135"/>
    </row>
    <row r="233" spans="1:28" x14ac:dyDescent="0.2">
      <c r="B233" s="135"/>
      <c r="C233" s="135"/>
      <c r="D233" s="135"/>
      <c r="E233" s="137"/>
      <c r="F233" s="135"/>
      <c r="G233" s="135"/>
      <c r="H233" s="135"/>
      <c r="I233" s="136"/>
      <c r="J233" s="136"/>
      <c r="T233" s="135"/>
      <c r="U233" s="135"/>
      <c r="V233" s="135"/>
      <c r="W233" s="135"/>
      <c r="X233" s="135"/>
      <c r="Y233" s="135"/>
      <c r="Z233" s="135"/>
      <c r="AA233" s="135"/>
      <c r="AB233" s="135"/>
    </row>
    <row r="234" spans="1:28" x14ac:dyDescent="0.2">
      <c r="B234" s="135"/>
      <c r="C234" s="136"/>
      <c r="D234" s="136"/>
      <c r="E234" s="137"/>
      <c r="F234" s="136"/>
      <c r="G234" s="136"/>
      <c r="H234" s="135"/>
      <c r="I234" s="136"/>
      <c r="J234" s="136"/>
      <c r="T234" s="135"/>
      <c r="U234" s="135"/>
      <c r="V234" s="135"/>
      <c r="W234" s="135"/>
      <c r="X234" s="135"/>
      <c r="Y234" s="135"/>
      <c r="Z234" s="135"/>
      <c r="AA234" s="135"/>
      <c r="AB234" s="135"/>
    </row>
  </sheetData>
  <pageMargins left="0.7" right="0.7" top="0.75" bottom="0.75" header="0.3" footer="0.3"/>
  <pageSetup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32"/>
  <sheetViews>
    <sheetView workbookViewId="0"/>
  </sheetViews>
  <sheetFormatPr defaultRowHeight="12.75" x14ac:dyDescent="0.2"/>
  <cols>
    <col min="1" max="1" width="11.85546875" style="134" customWidth="1"/>
    <col min="2" max="2" width="18" style="134" customWidth="1"/>
    <col min="3" max="3" width="13.42578125" style="134" bestFit="1" customWidth="1"/>
    <col min="4" max="4" width="13.42578125" style="134" customWidth="1"/>
    <col min="5" max="5" width="14.42578125" style="134" customWidth="1"/>
    <col min="6" max="6" width="14" style="134" bestFit="1" customWidth="1"/>
    <col min="7" max="7" width="12.7109375" style="134" bestFit="1" customWidth="1"/>
    <col min="8" max="8" width="17.5703125" style="134" bestFit="1" customWidth="1"/>
    <col min="9" max="9" width="17" style="134" customWidth="1"/>
    <col min="10" max="10" width="13" style="134" customWidth="1"/>
    <col min="11" max="11" width="2.5703125" style="134" customWidth="1"/>
    <col min="12" max="12" width="30.42578125" style="134" bestFit="1" customWidth="1"/>
    <col min="13" max="13" width="15.5703125" style="134" bestFit="1" customWidth="1"/>
    <col min="14" max="14" width="25.140625" style="134" bestFit="1" customWidth="1"/>
    <col min="15" max="15" width="24.140625" style="134" bestFit="1" customWidth="1"/>
    <col min="16" max="16" width="17.140625" style="134" bestFit="1" customWidth="1"/>
    <col min="17" max="17" width="17.85546875" style="134" bestFit="1" customWidth="1"/>
    <col min="18" max="18" width="17.140625" style="134" bestFit="1" customWidth="1"/>
    <col min="19" max="19" width="15.5703125" style="134" bestFit="1" customWidth="1"/>
    <col min="20" max="20" width="14.5703125" style="134" bestFit="1" customWidth="1"/>
    <col min="21" max="21" width="11.28515625" style="134" customWidth="1"/>
    <col min="22" max="22" width="11.5703125" style="134" customWidth="1"/>
    <col min="23" max="23" width="9.28515625" style="134" customWidth="1"/>
    <col min="24" max="24" width="9.140625" style="134"/>
    <col min="25" max="25" width="11.7109375" style="134" bestFit="1" customWidth="1"/>
    <col min="26" max="26" width="10.7109375" style="134" bestFit="1" customWidth="1"/>
    <col min="27" max="16384" width="9.140625" style="134"/>
  </cols>
  <sheetData>
    <row r="1" spans="1:28" x14ac:dyDescent="0.2">
      <c r="B1" s="135"/>
      <c r="C1" s="136"/>
      <c r="D1" s="136"/>
      <c r="E1" s="137"/>
      <c r="F1" s="136"/>
      <c r="G1" s="136"/>
      <c r="H1" s="136"/>
      <c r="I1" s="136"/>
      <c r="J1" s="136"/>
      <c r="T1" s="135"/>
      <c r="U1" s="135"/>
      <c r="V1" s="135"/>
      <c r="W1" s="135"/>
      <c r="X1" s="135"/>
      <c r="Y1" s="135"/>
      <c r="Z1" s="135"/>
      <c r="AA1" s="135"/>
      <c r="AB1" s="135"/>
    </row>
    <row r="2" spans="1:28" ht="38.25" x14ac:dyDescent="0.2">
      <c r="B2" s="7" t="s">
        <v>0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38" t="s">
        <v>10</v>
      </c>
      <c r="I2" s="138" t="s">
        <v>11</v>
      </c>
      <c r="L2" t="s">
        <v>18</v>
      </c>
      <c r="M2"/>
      <c r="N2"/>
      <c r="O2"/>
      <c r="P2"/>
      <c r="Q2"/>
      <c r="R2"/>
      <c r="S2"/>
      <c r="T2"/>
      <c r="U2" s="139"/>
      <c r="V2" s="139"/>
      <c r="W2" s="135"/>
      <c r="X2" s="135"/>
      <c r="Y2" s="135"/>
      <c r="Z2" s="135"/>
      <c r="AA2" s="135"/>
      <c r="AB2" s="135"/>
    </row>
    <row r="3" spans="1:28" ht="13.5" thickBot="1" x14ac:dyDescent="0.25">
      <c r="A3" s="140">
        <v>37622</v>
      </c>
      <c r="B3" s="41">
        <f>+'Purchased Power Model '!B3</f>
        <v>126011890</v>
      </c>
      <c r="C3" s="119">
        <f>+'Purchased Power Model '!C3</f>
        <v>786</v>
      </c>
      <c r="D3" s="119">
        <f>+'Purchased Power Model '!D3</f>
        <v>0</v>
      </c>
      <c r="E3" s="126">
        <f>+'Purchased Power Model '!E3</f>
        <v>4.7E-2</v>
      </c>
      <c r="F3" s="10">
        <f>+'Purchased Power Model '!F3</f>
        <v>31</v>
      </c>
      <c r="G3" s="10">
        <f>+'Purchased Power Model '!G3</f>
        <v>0</v>
      </c>
      <c r="H3" s="141">
        <f>$M$18+C3*$M$19+D3*$M$20+E3*$M$21+F3*$M$22+G3*$M$23</f>
        <v>122016654.03972816</v>
      </c>
      <c r="I3" s="142">
        <f t="shared" ref="I3:I66" si="0">H3-B3</f>
        <v>-3995235.9602718353</v>
      </c>
      <c r="J3" s="5">
        <f t="shared" ref="J3:J66" si="1">I3/B3</f>
        <v>-3.1705230040370277E-2</v>
      </c>
      <c r="K3"/>
      <c r="L3"/>
      <c r="M3"/>
      <c r="N3"/>
      <c r="O3"/>
      <c r="P3"/>
      <c r="Q3"/>
      <c r="R3"/>
      <c r="S3"/>
      <c r="T3"/>
      <c r="U3" s="135"/>
      <c r="V3" s="135"/>
      <c r="W3" s="135"/>
      <c r="X3" s="135"/>
      <c r="Y3" s="135"/>
      <c r="Z3" s="135"/>
      <c r="AA3" s="135"/>
      <c r="AB3" s="135"/>
    </row>
    <row r="4" spans="1:28" x14ac:dyDescent="0.2">
      <c r="A4" s="140">
        <v>37653</v>
      </c>
      <c r="B4" s="41">
        <f>+'Purchased Power Model '!B4</f>
        <v>112581000</v>
      </c>
      <c r="C4" s="119">
        <f>+'Purchased Power Model '!C4</f>
        <v>686.5</v>
      </c>
      <c r="D4" s="119">
        <f>+'Purchased Power Model '!D4</f>
        <v>0</v>
      </c>
      <c r="E4" s="126">
        <f>+'Purchased Power Model '!E4</f>
        <v>4.7E-2</v>
      </c>
      <c r="F4" s="10">
        <f>+'Purchased Power Model '!F4</f>
        <v>28</v>
      </c>
      <c r="G4" s="10">
        <f>+'Purchased Power Model '!G4</f>
        <v>0</v>
      </c>
      <c r="H4" s="141">
        <f t="shared" ref="H4:H67" si="2">$M$18+C4*$M$19+D4*$M$20+E4*$M$21+F4*$M$22+G4*$M$23</f>
        <v>109578060.98553585</v>
      </c>
      <c r="I4" s="142">
        <f t="shared" si="0"/>
        <v>-3002939.0144641548</v>
      </c>
      <c r="J4" s="5">
        <f t="shared" si="1"/>
        <v>-2.6673586257575922E-2</v>
      </c>
      <c r="K4"/>
      <c r="L4" s="53" t="s">
        <v>19</v>
      </c>
      <c r="M4" s="53"/>
      <c r="N4"/>
      <c r="O4"/>
      <c r="P4"/>
      <c r="Q4"/>
      <c r="R4"/>
      <c r="S4"/>
      <c r="T4"/>
      <c r="U4" s="135"/>
      <c r="V4" s="135"/>
      <c r="W4" s="135"/>
      <c r="X4" s="135"/>
      <c r="Y4" s="135"/>
      <c r="Z4" s="135"/>
      <c r="AA4" s="135"/>
      <c r="AB4" s="135"/>
    </row>
    <row r="5" spans="1:28" x14ac:dyDescent="0.2">
      <c r="A5" s="140">
        <v>37681</v>
      </c>
      <c r="B5" s="41">
        <f>+'Purchased Power Model '!B5</f>
        <v>110536430</v>
      </c>
      <c r="C5" s="119">
        <f>+'Purchased Power Model '!C5</f>
        <v>572.5</v>
      </c>
      <c r="D5" s="119">
        <f>+'Purchased Power Model '!D5</f>
        <v>0</v>
      </c>
      <c r="E5" s="126">
        <f>+'Purchased Power Model '!E5</f>
        <v>4.7E-2</v>
      </c>
      <c r="F5" s="10">
        <f>+'Purchased Power Model '!F5</f>
        <v>31</v>
      </c>
      <c r="G5" s="10">
        <f>+'Purchased Power Model '!G5</f>
        <v>1</v>
      </c>
      <c r="H5" s="141">
        <f t="shared" si="2"/>
        <v>106400245.18741813</v>
      </c>
      <c r="I5" s="142">
        <f t="shared" si="0"/>
        <v>-4136184.812581867</v>
      </c>
      <c r="J5" s="5">
        <f t="shared" si="1"/>
        <v>-3.7419200281589217E-2</v>
      </c>
      <c r="K5"/>
      <c r="L5" s="35" t="s">
        <v>20</v>
      </c>
      <c r="M5" s="118">
        <v>0.93163631503424083</v>
      </c>
      <c r="N5"/>
      <c r="O5"/>
      <c r="P5"/>
      <c r="Q5"/>
      <c r="R5"/>
      <c r="S5"/>
      <c r="T5"/>
      <c r="U5" s="135"/>
      <c r="V5" s="135"/>
      <c r="W5" s="135"/>
      <c r="X5" s="135"/>
      <c r="Y5" s="135"/>
      <c r="Z5" s="135"/>
      <c r="AA5" s="135"/>
      <c r="AB5" s="135"/>
    </row>
    <row r="6" spans="1:28" x14ac:dyDescent="0.2">
      <c r="A6" s="140">
        <v>37712</v>
      </c>
      <c r="B6" s="41">
        <f>+'Purchased Power Model '!B6</f>
        <v>97712940</v>
      </c>
      <c r="C6" s="119">
        <f>+'Purchased Power Model '!C6</f>
        <v>403.9</v>
      </c>
      <c r="D6" s="119">
        <f>+'Purchased Power Model '!D6</f>
        <v>0</v>
      </c>
      <c r="E6" s="126">
        <f>+'Purchased Power Model '!E6</f>
        <v>5.5999999999999994E-2</v>
      </c>
      <c r="F6" s="10">
        <f>+'Purchased Power Model '!F6</f>
        <v>30</v>
      </c>
      <c r="G6" s="10">
        <f>+'Purchased Power Model '!G6</f>
        <v>1</v>
      </c>
      <c r="H6" s="141">
        <f t="shared" si="2"/>
        <v>95698523.005941063</v>
      </c>
      <c r="I6" s="142">
        <f t="shared" si="0"/>
        <v>-2014416.9940589368</v>
      </c>
      <c r="J6" s="5">
        <f t="shared" si="1"/>
        <v>-2.0615662511627803E-2</v>
      </c>
      <c r="K6"/>
      <c r="L6" s="35" t="s">
        <v>21</v>
      </c>
      <c r="M6" s="118">
        <v>0.86794622349057915</v>
      </c>
      <c r="N6"/>
      <c r="O6"/>
      <c r="P6"/>
      <c r="Q6"/>
      <c r="R6"/>
      <c r="S6"/>
      <c r="T6"/>
      <c r="U6" s="135"/>
      <c r="V6" s="135"/>
      <c r="W6" s="135"/>
      <c r="X6" s="135"/>
      <c r="Y6" s="135"/>
      <c r="Z6" s="135"/>
      <c r="AA6" s="135"/>
      <c r="AB6" s="135"/>
    </row>
    <row r="7" spans="1:28" x14ac:dyDescent="0.2">
      <c r="A7" s="140">
        <v>37742</v>
      </c>
      <c r="B7" s="41">
        <f>+'Purchased Power Model '!B7</f>
        <v>90261150</v>
      </c>
      <c r="C7" s="119">
        <f>+'Purchased Power Model '!C7</f>
        <v>192</v>
      </c>
      <c r="D7" s="119">
        <f>+'Purchased Power Model '!D7</f>
        <v>0</v>
      </c>
      <c r="E7" s="126">
        <f>+'Purchased Power Model '!E7</f>
        <v>5.5999999999999994E-2</v>
      </c>
      <c r="F7" s="10">
        <f>+'Purchased Power Model '!F7</f>
        <v>31</v>
      </c>
      <c r="G7" s="10">
        <f>+'Purchased Power Model '!G7</f>
        <v>1</v>
      </c>
      <c r="H7" s="141">
        <f t="shared" si="2"/>
        <v>89979275.897824094</v>
      </c>
      <c r="I7" s="142">
        <f t="shared" si="0"/>
        <v>-281874.1021759063</v>
      </c>
      <c r="J7" s="5">
        <f t="shared" si="1"/>
        <v>-3.1228729323292061E-3</v>
      </c>
      <c r="K7"/>
      <c r="L7" s="35" t="s">
        <v>22</v>
      </c>
      <c r="M7" s="118">
        <v>0.8631616663706726</v>
      </c>
      <c r="N7"/>
      <c r="O7"/>
      <c r="P7"/>
      <c r="Q7"/>
      <c r="R7"/>
      <c r="S7"/>
      <c r="T7"/>
      <c r="U7" s="135"/>
      <c r="V7" s="135"/>
      <c r="W7" s="135"/>
      <c r="X7" s="135"/>
      <c r="Y7" s="135"/>
      <c r="Z7" s="135"/>
      <c r="AA7" s="135"/>
      <c r="AB7" s="135"/>
    </row>
    <row r="8" spans="1:28" x14ac:dyDescent="0.2">
      <c r="A8" s="140">
        <v>37773</v>
      </c>
      <c r="B8" s="41">
        <f>+'Purchased Power Model '!B8</f>
        <v>92476040</v>
      </c>
      <c r="C8" s="119">
        <f>+'Purchased Power Model '!C8</f>
        <v>55.1</v>
      </c>
      <c r="D8" s="119">
        <f>+'Purchased Power Model '!D8</f>
        <v>31</v>
      </c>
      <c r="E8" s="126">
        <f>+'Purchased Power Model '!E8</f>
        <v>5.5999999999999994E-2</v>
      </c>
      <c r="F8" s="10">
        <f>+'Purchased Power Model '!F8</f>
        <v>30</v>
      </c>
      <c r="G8" s="10">
        <f>+'Purchased Power Model '!G8</f>
        <v>0</v>
      </c>
      <c r="H8" s="141">
        <f t="shared" si="2"/>
        <v>93165040.95415099</v>
      </c>
      <c r="I8" s="142">
        <f t="shared" si="0"/>
        <v>689000.95415098965</v>
      </c>
      <c r="J8" s="5">
        <f t="shared" si="1"/>
        <v>7.4505888676784779E-3</v>
      </c>
      <c r="K8"/>
      <c r="L8" s="35" t="s">
        <v>23</v>
      </c>
      <c r="M8" s="68">
        <v>3859208.8665064001</v>
      </c>
      <c r="N8"/>
      <c r="O8"/>
      <c r="P8"/>
      <c r="Q8"/>
      <c r="R8"/>
      <c r="S8"/>
      <c r="T8"/>
      <c r="U8" s="135"/>
      <c r="V8" s="135"/>
      <c r="W8" s="135"/>
      <c r="X8" s="135"/>
      <c r="Y8" s="135"/>
      <c r="Z8" s="135"/>
      <c r="AA8" s="135"/>
      <c r="AB8" s="135"/>
    </row>
    <row r="9" spans="1:28" ht="13.5" thickBot="1" x14ac:dyDescent="0.25">
      <c r="A9" s="140">
        <v>37803</v>
      </c>
      <c r="B9" s="41">
        <f>+'Purchased Power Model '!B9</f>
        <v>100371630</v>
      </c>
      <c r="C9" s="119">
        <f>+'Purchased Power Model '!C9</f>
        <v>5.7</v>
      </c>
      <c r="D9" s="119">
        <f>+'Purchased Power Model '!D9</f>
        <v>59.1</v>
      </c>
      <c r="E9" s="126">
        <f>+'Purchased Power Model '!E9</f>
        <v>5.2000000000000005E-2</v>
      </c>
      <c r="F9" s="10">
        <f>+'Purchased Power Model '!F9</f>
        <v>31</v>
      </c>
      <c r="G9" s="10">
        <f>+'Purchased Power Model '!G9</f>
        <v>0</v>
      </c>
      <c r="H9" s="141">
        <f t="shared" si="2"/>
        <v>98544344.234893277</v>
      </c>
      <c r="I9" s="142">
        <f t="shared" si="0"/>
        <v>-1827285.7651067227</v>
      </c>
      <c r="J9" s="5">
        <f t="shared" si="1"/>
        <v>-1.8205201660137657E-2</v>
      </c>
      <c r="K9"/>
      <c r="L9" s="51" t="s">
        <v>24</v>
      </c>
      <c r="M9" s="69">
        <v>144</v>
      </c>
      <c r="N9"/>
      <c r="O9"/>
      <c r="P9"/>
      <c r="Q9"/>
      <c r="R9"/>
      <c r="S9"/>
      <c r="T9"/>
      <c r="U9" s="135"/>
      <c r="V9" s="135"/>
      <c r="W9" s="135"/>
      <c r="X9" s="135"/>
      <c r="Y9" s="135"/>
      <c r="Z9" s="135"/>
      <c r="AA9" s="135"/>
      <c r="AB9" s="135"/>
    </row>
    <row r="10" spans="1:28" x14ac:dyDescent="0.2">
      <c r="A10" s="140">
        <v>37834</v>
      </c>
      <c r="B10" s="41">
        <f>+'Purchased Power Model '!B10</f>
        <v>101507680</v>
      </c>
      <c r="C10" s="119">
        <f>+'Purchased Power Model '!C10</f>
        <v>10.4</v>
      </c>
      <c r="D10" s="119">
        <f>+'Purchased Power Model '!D10</f>
        <v>106.5</v>
      </c>
      <c r="E10" s="126">
        <f>+'Purchased Power Model '!E10</f>
        <v>5.2000000000000005E-2</v>
      </c>
      <c r="F10" s="10">
        <f>+'Purchased Power Model '!F10</f>
        <v>31</v>
      </c>
      <c r="G10" s="10">
        <f>+'Purchased Power Model '!G10</f>
        <v>0</v>
      </c>
      <c r="H10" s="141">
        <f t="shared" si="2"/>
        <v>105593019.50707024</v>
      </c>
      <c r="I10" s="142">
        <f t="shared" si="0"/>
        <v>4085339.5070702434</v>
      </c>
      <c r="J10" s="5">
        <f t="shared" si="1"/>
        <v>4.0246605055600161E-2</v>
      </c>
      <c r="K10"/>
      <c r="L10"/>
      <c r="M10"/>
      <c r="N10"/>
      <c r="O10"/>
      <c r="P10"/>
      <c r="Q10"/>
      <c r="R10"/>
      <c r="S10"/>
      <c r="T10"/>
      <c r="U10" s="135"/>
      <c r="V10" s="135"/>
      <c r="W10" s="135"/>
      <c r="X10" s="135"/>
      <c r="Y10" s="135"/>
      <c r="Z10" s="135"/>
      <c r="AA10" s="135"/>
      <c r="AB10" s="135"/>
    </row>
    <row r="11" spans="1:28" ht="13.5" thickBot="1" x14ac:dyDescent="0.25">
      <c r="A11" s="140">
        <v>37865</v>
      </c>
      <c r="B11" s="41">
        <f>+'Purchased Power Model '!B11</f>
        <v>91341000</v>
      </c>
      <c r="C11" s="119">
        <f>+'Purchased Power Model '!C11</f>
        <v>55.2</v>
      </c>
      <c r="D11" s="119">
        <f>+'Purchased Power Model '!D11</f>
        <v>12.1</v>
      </c>
      <c r="E11" s="126">
        <f>+'Purchased Power Model '!E11</f>
        <v>5.2000000000000005E-2</v>
      </c>
      <c r="F11" s="10">
        <f>+'Purchased Power Model '!F11</f>
        <v>30</v>
      </c>
      <c r="G11" s="10">
        <f>+'Purchased Power Model '!G11</f>
        <v>1</v>
      </c>
      <c r="H11" s="141">
        <f t="shared" si="2"/>
        <v>83902687.201119527</v>
      </c>
      <c r="I11" s="142">
        <f t="shared" si="0"/>
        <v>-7438312.7988804728</v>
      </c>
      <c r="J11" s="5">
        <f t="shared" si="1"/>
        <v>-8.1434545263140021E-2</v>
      </c>
      <c r="K11"/>
      <c r="L11" t="s">
        <v>25</v>
      </c>
      <c r="M11"/>
      <c r="N11"/>
      <c r="O11"/>
      <c r="P11"/>
      <c r="Q11"/>
      <c r="R11"/>
      <c r="S11"/>
      <c r="T11"/>
      <c r="U11" s="135"/>
      <c r="V11" s="135"/>
      <c r="W11" s="135"/>
      <c r="X11" s="135"/>
      <c r="Y11" s="135"/>
      <c r="Z11" s="135"/>
      <c r="AA11" s="135"/>
      <c r="AB11" s="135"/>
    </row>
    <row r="12" spans="1:28" x14ac:dyDescent="0.2">
      <c r="A12" s="140">
        <v>37895</v>
      </c>
      <c r="B12" s="41">
        <f>+'Purchased Power Model '!B12</f>
        <v>95672250</v>
      </c>
      <c r="C12" s="119">
        <f>+'Purchased Power Model '!C12</f>
        <v>289.7</v>
      </c>
      <c r="D12" s="119">
        <f>+'Purchased Power Model '!D12</f>
        <v>0</v>
      </c>
      <c r="E12" s="126">
        <f>+'Purchased Power Model '!E12</f>
        <v>4.7E-2</v>
      </c>
      <c r="F12" s="10">
        <f>+'Purchased Power Model '!F12</f>
        <v>31</v>
      </c>
      <c r="G12" s="10">
        <f>+'Purchased Power Model '!G12</f>
        <v>1</v>
      </c>
      <c r="H12" s="141">
        <f t="shared" si="2"/>
        <v>95015801.005900159</v>
      </c>
      <c r="I12" s="142">
        <f t="shared" si="0"/>
        <v>-656448.99409984052</v>
      </c>
      <c r="J12" s="5">
        <f t="shared" si="1"/>
        <v>-6.8614357256136498E-3</v>
      </c>
      <c r="K12"/>
      <c r="L12" s="52"/>
      <c r="M12" s="52" t="s">
        <v>29</v>
      </c>
      <c r="N12" s="52" t="s">
        <v>30</v>
      </c>
      <c r="O12" s="52" t="s">
        <v>31</v>
      </c>
      <c r="P12" s="52" t="s">
        <v>32</v>
      </c>
      <c r="Q12" s="52" t="s">
        <v>33</v>
      </c>
      <c r="R12"/>
      <c r="S12"/>
      <c r="T12"/>
      <c r="U12" s="135"/>
      <c r="V12" s="135"/>
      <c r="W12" s="135"/>
      <c r="X12" s="135"/>
      <c r="Y12" s="135"/>
      <c r="Z12" s="135"/>
      <c r="AA12" s="135"/>
      <c r="AB12" s="135"/>
    </row>
    <row r="13" spans="1:28" x14ac:dyDescent="0.2">
      <c r="A13" s="140">
        <v>37926</v>
      </c>
      <c r="B13" s="41">
        <f>+'Purchased Power Model '!B13</f>
        <v>101404920</v>
      </c>
      <c r="C13" s="119">
        <f>+'Purchased Power Model '!C13</f>
        <v>387.6</v>
      </c>
      <c r="D13" s="119">
        <f>+'Purchased Power Model '!D13</f>
        <v>0</v>
      </c>
      <c r="E13" s="126">
        <f>+'Purchased Power Model '!E13</f>
        <v>4.7E-2</v>
      </c>
      <c r="F13" s="10">
        <f>+'Purchased Power Model '!F13</f>
        <v>30</v>
      </c>
      <c r="G13" s="10">
        <f>+'Purchased Power Model '!G13</f>
        <v>1</v>
      </c>
      <c r="H13" s="141">
        <f t="shared" si="2"/>
        <v>96145845.013970971</v>
      </c>
      <c r="I13" s="142">
        <f t="shared" si="0"/>
        <v>-5259074.9860290289</v>
      </c>
      <c r="J13" s="5">
        <f t="shared" si="1"/>
        <v>-5.1862128445336074E-2</v>
      </c>
      <c r="K13"/>
      <c r="L13" s="35" t="s">
        <v>26</v>
      </c>
      <c r="M13" s="68">
        <v>5</v>
      </c>
      <c r="N13" s="68">
        <v>1.3508827196905696E+16</v>
      </c>
      <c r="O13" s="68">
        <v>2701765439381139</v>
      </c>
      <c r="P13" s="68">
        <v>181.40576060413528</v>
      </c>
      <c r="Q13" s="68">
        <v>7.7141439968961941E-59</v>
      </c>
      <c r="R13"/>
      <c r="S13"/>
      <c r="T13"/>
      <c r="U13" s="135"/>
      <c r="V13" s="135"/>
      <c r="W13" s="135"/>
      <c r="X13" s="135"/>
      <c r="Y13" s="135"/>
      <c r="Z13" s="135"/>
      <c r="AA13" s="135"/>
      <c r="AB13" s="135"/>
    </row>
    <row r="14" spans="1:28" x14ac:dyDescent="0.2">
      <c r="A14" s="140">
        <v>37956</v>
      </c>
      <c r="B14" s="41">
        <f>+'Purchased Power Model '!B14</f>
        <v>112847240</v>
      </c>
      <c r="C14" s="119">
        <f>+'Purchased Power Model '!C14</f>
        <v>548.20000000000005</v>
      </c>
      <c r="D14" s="119">
        <f>+'Purchased Power Model '!D14</f>
        <v>0</v>
      </c>
      <c r="E14" s="126">
        <f>+'Purchased Power Model '!E14</f>
        <v>4.7E-2</v>
      </c>
      <c r="F14" s="10">
        <f>+'Purchased Power Model '!F14</f>
        <v>31</v>
      </c>
      <c r="G14" s="10">
        <f>+'Purchased Power Model '!G14</f>
        <v>0</v>
      </c>
      <c r="H14" s="141">
        <f t="shared" si="2"/>
        <v>112443737.3977021</v>
      </c>
      <c r="I14" s="142">
        <f t="shared" si="0"/>
        <v>-403502.60229790211</v>
      </c>
      <c r="J14" s="5">
        <f t="shared" si="1"/>
        <v>-3.5756532662908026E-3</v>
      </c>
      <c r="K14"/>
      <c r="L14" s="35" t="s">
        <v>27</v>
      </c>
      <c r="M14" s="68">
        <v>138</v>
      </c>
      <c r="N14" s="68">
        <v>2055302044394382.7</v>
      </c>
      <c r="O14" s="68">
        <v>14893493075321.613</v>
      </c>
      <c r="P14" s="68"/>
      <c r="Q14" s="68"/>
      <c r="R14"/>
      <c r="S14"/>
      <c r="T14"/>
      <c r="U14" s="135"/>
      <c r="V14" s="135"/>
      <c r="W14" s="135"/>
      <c r="X14" s="135"/>
      <c r="Y14" s="135"/>
      <c r="Z14" s="135"/>
      <c r="AA14" s="135"/>
      <c r="AB14" s="135"/>
    </row>
    <row r="15" spans="1:28" ht="13.5" thickBot="1" x14ac:dyDescent="0.25">
      <c r="A15" s="140">
        <v>37987</v>
      </c>
      <c r="B15" s="41">
        <f>+'Purchased Power Model '!B15</f>
        <v>127196340</v>
      </c>
      <c r="C15" s="119">
        <f>+'Purchased Power Model '!C15</f>
        <v>828.8</v>
      </c>
      <c r="D15" s="119">
        <f>+'Purchased Power Model '!D15</f>
        <v>0</v>
      </c>
      <c r="E15" s="126">
        <f>+'Purchased Power Model '!E15</f>
        <v>0.05</v>
      </c>
      <c r="F15" s="10">
        <f>+'Purchased Power Model '!F15</f>
        <v>31</v>
      </c>
      <c r="G15" s="10">
        <f>+'Purchased Power Model '!G15</f>
        <v>0</v>
      </c>
      <c r="H15" s="141">
        <f t="shared" si="2"/>
        <v>123371785.49762222</v>
      </c>
      <c r="I15" s="142">
        <f t="shared" si="0"/>
        <v>-3824554.5023777783</v>
      </c>
      <c r="J15" s="5">
        <f t="shared" si="1"/>
        <v>-3.0068117544716919E-2</v>
      </c>
      <c r="K15"/>
      <c r="L15" s="51" t="s">
        <v>9</v>
      </c>
      <c r="M15" s="69">
        <v>143</v>
      </c>
      <c r="N15" s="69">
        <v>1.5564129241300078E+16</v>
      </c>
      <c r="O15" s="69"/>
      <c r="P15" s="69"/>
      <c r="Q15" s="69"/>
      <c r="R15"/>
      <c r="S15"/>
      <c r="T15"/>
      <c r="U15" s="135"/>
      <c r="V15" s="135"/>
      <c r="W15" s="135"/>
      <c r="X15" s="135"/>
      <c r="Y15" s="135"/>
      <c r="Z15" s="135"/>
      <c r="AA15" s="135"/>
      <c r="AB15" s="135"/>
    </row>
    <row r="16" spans="1:28" ht="13.5" thickBot="1" x14ac:dyDescent="0.25">
      <c r="A16" s="140">
        <v>38018</v>
      </c>
      <c r="B16" s="41">
        <f>+'Purchased Power Model '!B16</f>
        <v>108928270</v>
      </c>
      <c r="C16" s="119">
        <f>+'Purchased Power Model '!C16</f>
        <v>615.6</v>
      </c>
      <c r="D16" s="119">
        <f>+'Purchased Power Model '!D16</f>
        <v>0</v>
      </c>
      <c r="E16" s="126">
        <f>+'Purchased Power Model '!E16</f>
        <v>0.05</v>
      </c>
      <c r="F16" s="10">
        <f>+'Purchased Power Model '!F16</f>
        <v>29</v>
      </c>
      <c r="G16" s="10">
        <f>+'Purchased Power Model '!G16</f>
        <v>0</v>
      </c>
      <c r="H16" s="141">
        <f t="shared" si="2"/>
        <v>109167100.98815969</v>
      </c>
      <c r="I16" s="142">
        <f t="shared" si="0"/>
        <v>238830.98815968633</v>
      </c>
      <c r="J16" s="5">
        <f t="shared" si="1"/>
        <v>2.1925528438089242E-3</v>
      </c>
      <c r="K16"/>
      <c r="L16"/>
      <c r="M16"/>
      <c r="N16"/>
      <c r="O16"/>
      <c r="P16"/>
      <c r="Q16"/>
      <c r="R16"/>
      <c r="S16"/>
      <c r="T16"/>
      <c r="U16" s="135"/>
      <c r="V16" s="135"/>
      <c r="W16" s="135"/>
      <c r="X16" s="135"/>
      <c r="Y16" s="135"/>
      <c r="Z16" s="135"/>
      <c r="AA16" s="135"/>
      <c r="AB16" s="135"/>
    </row>
    <row r="17" spans="1:28" x14ac:dyDescent="0.2">
      <c r="A17" s="140">
        <v>38047</v>
      </c>
      <c r="B17" s="41">
        <f>+'Purchased Power Model '!B17</f>
        <v>105064150</v>
      </c>
      <c r="C17" s="119">
        <f>+'Purchased Power Model '!C17</f>
        <v>487.1</v>
      </c>
      <c r="D17" s="119">
        <f>+'Purchased Power Model '!D17</f>
        <v>0</v>
      </c>
      <c r="E17" s="126">
        <f>+'Purchased Power Model '!E17</f>
        <v>0.05</v>
      </c>
      <c r="F17" s="10">
        <f>+'Purchased Power Model '!F17</f>
        <v>31</v>
      </c>
      <c r="G17" s="10">
        <f>+'Purchased Power Model '!G17</f>
        <v>1</v>
      </c>
      <c r="H17" s="141">
        <f t="shared" si="2"/>
        <v>102594535.96613748</v>
      </c>
      <c r="I17" s="142">
        <f t="shared" si="0"/>
        <v>-2469614.0338625163</v>
      </c>
      <c r="J17" s="5">
        <f t="shared" si="1"/>
        <v>-2.3505772748006967E-2</v>
      </c>
      <c r="K17"/>
      <c r="L17" s="52"/>
      <c r="M17" s="52" t="s">
        <v>34</v>
      </c>
      <c r="N17" s="52" t="s">
        <v>23</v>
      </c>
      <c r="O17" s="52" t="s">
        <v>35</v>
      </c>
      <c r="P17" s="52" t="s">
        <v>36</v>
      </c>
      <c r="Q17" s="52" t="s">
        <v>37</v>
      </c>
      <c r="R17" s="52" t="s">
        <v>38</v>
      </c>
      <c r="S17" s="52" t="s">
        <v>39</v>
      </c>
      <c r="T17" s="52" t="s">
        <v>40</v>
      </c>
      <c r="U17" s="135"/>
      <c r="V17" s="135"/>
      <c r="W17" s="135"/>
      <c r="X17" s="135"/>
      <c r="Y17" s="135"/>
      <c r="Z17" s="135"/>
      <c r="AA17" s="135"/>
      <c r="AB17" s="135"/>
    </row>
    <row r="18" spans="1:28" x14ac:dyDescent="0.2">
      <c r="A18" s="140">
        <v>38078</v>
      </c>
      <c r="B18" s="41">
        <f>+'Purchased Power Model '!B18</f>
        <v>91322380</v>
      </c>
      <c r="C18" s="119">
        <f>+'Purchased Power Model '!C18</f>
        <v>345</v>
      </c>
      <c r="D18" s="119">
        <f>+'Purchased Power Model '!D18</f>
        <v>0</v>
      </c>
      <c r="E18" s="126">
        <f>+'Purchased Power Model '!E18</f>
        <v>5.4000000000000006E-2</v>
      </c>
      <c r="F18" s="10">
        <f>+'Purchased Power Model '!F18</f>
        <v>30</v>
      </c>
      <c r="G18" s="10">
        <f>+'Purchased Power Model '!G18</f>
        <v>1</v>
      </c>
      <c r="H18" s="141">
        <f t="shared" si="2"/>
        <v>93572656.412917539</v>
      </c>
      <c r="I18" s="142">
        <f t="shared" si="0"/>
        <v>2250276.4129175395</v>
      </c>
      <c r="J18" s="5">
        <f t="shared" si="1"/>
        <v>2.464101803870573E-2</v>
      </c>
      <c r="K18"/>
      <c r="L18" s="35" t="s">
        <v>28</v>
      </c>
      <c r="M18" s="68">
        <v>8995937.0903842468</v>
      </c>
      <c r="N18" s="68">
        <v>12604326.836800277</v>
      </c>
      <c r="O18" s="68">
        <v>0.71371817050310216</v>
      </c>
      <c r="P18" s="68">
        <v>0.47660680663414789</v>
      </c>
      <c r="Q18" s="68">
        <v>-15926643.008895164</v>
      </c>
      <c r="R18" s="68">
        <v>33918517.189663656</v>
      </c>
      <c r="S18" s="68">
        <v>-15926643.008895164</v>
      </c>
      <c r="T18" s="68">
        <v>33918517.189663656</v>
      </c>
      <c r="U18" s="135"/>
      <c r="V18" s="135"/>
      <c r="W18" s="135"/>
      <c r="X18" s="135"/>
      <c r="Y18" s="135"/>
      <c r="Z18" s="135"/>
      <c r="AA18" s="135"/>
      <c r="AB18" s="135"/>
    </row>
    <row r="19" spans="1:28" x14ac:dyDescent="0.2">
      <c r="A19" s="140">
        <v>38108</v>
      </c>
      <c r="B19" s="41">
        <f>+'Purchased Power Model '!B19</f>
        <v>86885250</v>
      </c>
      <c r="C19" s="119">
        <f>+'Purchased Power Model '!C19</f>
        <v>177.5</v>
      </c>
      <c r="D19" s="119">
        <f>+'Purchased Power Model '!D19</f>
        <v>0</v>
      </c>
      <c r="E19" s="126">
        <f>+'Purchased Power Model '!E19</f>
        <v>5.4000000000000006E-2</v>
      </c>
      <c r="F19" s="10">
        <f>+'Purchased Power Model '!F19</f>
        <v>31</v>
      </c>
      <c r="G19" s="10">
        <f>+'Purchased Power Model '!G19</f>
        <v>1</v>
      </c>
      <c r="H19" s="141">
        <f t="shared" si="2"/>
        <v>89640783.143765911</v>
      </c>
      <c r="I19" s="142">
        <f t="shared" si="0"/>
        <v>2755533.1437659115</v>
      </c>
      <c r="J19" s="5">
        <f t="shared" si="1"/>
        <v>3.1714625253030995E-2</v>
      </c>
      <c r="K19"/>
      <c r="L19" s="35" t="s">
        <v>3</v>
      </c>
      <c r="M19" s="68">
        <v>40256.167544264434</v>
      </c>
      <c r="N19" s="68">
        <v>1964.2098838898439</v>
      </c>
      <c r="O19" s="68">
        <v>20.494840126016832</v>
      </c>
      <c r="P19" s="68">
        <v>1.0561344081437557E-43</v>
      </c>
      <c r="Q19" s="68">
        <v>36372.328383563319</v>
      </c>
      <c r="R19" s="68">
        <v>44140.006704965548</v>
      </c>
      <c r="S19" s="68">
        <v>36372.328383563319</v>
      </c>
      <c r="T19" s="68">
        <v>44140.006704965548</v>
      </c>
      <c r="U19" s="135"/>
      <c r="V19" s="135"/>
      <c r="W19" s="135"/>
      <c r="X19" s="135"/>
      <c r="Y19" s="135"/>
      <c r="Z19" s="135"/>
      <c r="AA19" s="135"/>
      <c r="AB19" s="135"/>
    </row>
    <row r="20" spans="1:28" x14ac:dyDescent="0.2">
      <c r="A20" s="140">
        <v>38139</v>
      </c>
      <c r="B20" s="41">
        <f>+'Purchased Power Model '!B20</f>
        <v>86876500</v>
      </c>
      <c r="C20" s="119">
        <f>+'Purchased Power Model '!C20</f>
        <v>73.2</v>
      </c>
      <c r="D20" s="119">
        <f>+'Purchased Power Model '!D20</f>
        <v>15.6</v>
      </c>
      <c r="E20" s="126">
        <f>+'Purchased Power Model '!E20</f>
        <v>5.4000000000000006E-2</v>
      </c>
      <c r="F20" s="10">
        <f>+'Purchased Power Model '!F20</f>
        <v>30</v>
      </c>
      <c r="G20" s="10">
        <f>+'Purchased Power Model '!G20</f>
        <v>0</v>
      </c>
      <c r="H20" s="141">
        <f t="shared" si="2"/>
        <v>91910294.667422518</v>
      </c>
      <c r="I20" s="142">
        <f t="shared" si="0"/>
        <v>5033794.6674225181</v>
      </c>
      <c r="J20" s="5">
        <f t="shared" si="1"/>
        <v>5.7941959763831624E-2</v>
      </c>
      <c r="K20"/>
      <c r="L20" s="35" t="s">
        <v>4</v>
      </c>
      <c r="M20" s="68">
        <v>144714.58406579983</v>
      </c>
      <c r="N20" s="68">
        <v>15219.431331249714</v>
      </c>
      <c r="O20" s="68">
        <v>9.5085408196993964</v>
      </c>
      <c r="P20" s="68">
        <v>8.4693779603347646E-17</v>
      </c>
      <c r="Q20" s="68">
        <v>114621.14858687311</v>
      </c>
      <c r="R20" s="68">
        <v>174808.01954472656</v>
      </c>
      <c r="S20" s="68">
        <v>114621.14858687311</v>
      </c>
      <c r="T20" s="68">
        <v>174808.01954472656</v>
      </c>
      <c r="U20" s="135"/>
      <c r="V20" s="135"/>
      <c r="W20" s="135"/>
      <c r="X20" s="135"/>
      <c r="Y20" s="135"/>
      <c r="Z20" s="135"/>
      <c r="AA20" s="135"/>
      <c r="AB20" s="135"/>
    </row>
    <row r="21" spans="1:28" x14ac:dyDescent="0.2">
      <c r="A21" s="140">
        <v>38169</v>
      </c>
      <c r="B21" s="41">
        <f>+'Purchased Power Model '!B21</f>
        <v>92903530</v>
      </c>
      <c r="C21" s="119">
        <f>+'Purchased Power Model '!C21</f>
        <v>2</v>
      </c>
      <c r="D21" s="119">
        <f>+'Purchased Power Model '!D21</f>
        <v>69.3</v>
      </c>
      <c r="E21" s="126">
        <f>+'Purchased Power Model '!E21</f>
        <v>5.5E-2</v>
      </c>
      <c r="F21" s="10">
        <f>+'Purchased Power Model '!F21</f>
        <v>31</v>
      </c>
      <c r="G21" s="10">
        <f>+'Purchased Power Model '!G21</f>
        <v>0</v>
      </c>
      <c r="H21" s="141">
        <f t="shared" si="2"/>
        <v>99503652.659450188</v>
      </c>
      <c r="I21" s="142">
        <f t="shared" si="0"/>
        <v>6600122.6594501883</v>
      </c>
      <c r="J21" s="5">
        <f t="shared" si="1"/>
        <v>7.1042754343674436E-2</v>
      </c>
      <c r="K21"/>
      <c r="L21" s="35" t="s">
        <v>223</v>
      </c>
      <c r="M21" s="68">
        <v>-122610837.66682497</v>
      </c>
      <c r="N21" s="68">
        <v>21424710.346092973</v>
      </c>
      <c r="O21" s="68">
        <v>-5.722870259909226</v>
      </c>
      <c r="P21" s="68">
        <v>6.2533239253444078E-8</v>
      </c>
      <c r="Q21" s="68">
        <v>-164973993.32107115</v>
      </c>
      <c r="R21" s="68">
        <v>-80247682.012578785</v>
      </c>
      <c r="S21" s="68">
        <v>-164973993.32107115</v>
      </c>
      <c r="T21" s="68">
        <v>-80247682.012578785</v>
      </c>
      <c r="U21" s="135"/>
      <c r="V21" s="135"/>
      <c r="W21" s="135"/>
      <c r="X21" s="135"/>
      <c r="Y21" s="135"/>
      <c r="Z21" s="135"/>
      <c r="AA21" s="135"/>
      <c r="AB21" s="135"/>
    </row>
    <row r="22" spans="1:28" x14ac:dyDescent="0.2">
      <c r="A22" s="140">
        <v>38200</v>
      </c>
      <c r="B22" s="41">
        <f>+'Purchased Power Model '!B22</f>
        <v>94121760</v>
      </c>
      <c r="C22" s="119">
        <f>+'Purchased Power Model '!C22</f>
        <v>19.600000000000001</v>
      </c>
      <c r="D22" s="119">
        <f>+'Purchased Power Model '!D22</f>
        <v>53.6</v>
      </c>
      <c r="E22" s="126">
        <f>+'Purchased Power Model '!E22</f>
        <v>5.5E-2</v>
      </c>
      <c r="F22" s="10">
        <f>+'Purchased Power Model '!F22</f>
        <v>31</v>
      </c>
      <c r="G22" s="10">
        <f>+'Purchased Power Model '!G22</f>
        <v>0</v>
      </c>
      <c r="H22" s="141">
        <f t="shared" si="2"/>
        <v>97940142.238396183</v>
      </c>
      <c r="I22" s="142">
        <f t="shared" si="0"/>
        <v>3818382.2383961827</v>
      </c>
      <c r="J22" s="5">
        <f t="shared" si="1"/>
        <v>4.0568538437829704E-2</v>
      </c>
      <c r="K22"/>
      <c r="L22" s="35" t="s">
        <v>5</v>
      </c>
      <c r="M22" s="68">
        <v>2811034.7945126728</v>
      </c>
      <c r="N22" s="68">
        <v>412295.42286162882</v>
      </c>
      <c r="O22" s="68">
        <v>6.818011160546134</v>
      </c>
      <c r="P22" s="68">
        <v>2.6427977981079473E-10</v>
      </c>
      <c r="Q22" s="68">
        <v>1995801.5945265845</v>
      </c>
      <c r="R22" s="68">
        <v>3626267.9944987614</v>
      </c>
      <c r="S22" s="68">
        <v>1995801.5945265845</v>
      </c>
      <c r="T22" s="68">
        <v>3626267.9944987614</v>
      </c>
      <c r="U22" s="135"/>
      <c r="V22" s="135"/>
      <c r="W22" s="135"/>
      <c r="X22" s="135"/>
      <c r="Y22" s="135"/>
      <c r="Z22" s="135"/>
      <c r="AA22" s="135"/>
      <c r="AB22" s="135"/>
    </row>
    <row r="23" spans="1:28" ht="13.5" thickBot="1" x14ac:dyDescent="0.25">
      <c r="A23" s="140">
        <v>38231</v>
      </c>
      <c r="B23" s="41">
        <f>+'Purchased Power Model '!B23</f>
        <v>88536700</v>
      </c>
      <c r="C23" s="119">
        <f>+'Purchased Power Model '!C23</f>
        <v>41.7</v>
      </c>
      <c r="D23" s="119">
        <f>+'Purchased Power Model '!D23</f>
        <v>26.7</v>
      </c>
      <c r="E23" s="126">
        <f>+'Purchased Power Model '!E23</f>
        <v>5.5E-2</v>
      </c>
      <c r="F23" s="10">
        <f>+'Purchased Power Model '!F23</f>
        <v>30</v>
      </c>
      <c r="G23" s="10">
        <f>+'Purchased Power Model '!G23</f>
        <v>1</v>
      </c>
      <c r="H23" s="141">
        <f t="shared" si="2"/>
        <v>85104229.353632167</v>
      </c>
      <c r="I23" s="142">
        <f t="shared" si="0"/>
        <v>-3432470.646367833</v>
      </c>
      <c r="J23" s="5">
        <f t="shared" si="1"/>
        <v>-3.8768902007504609E-2</v>
      </c>
      <c r="K23"/>
      <c r="L23" s="51" t="s">
        <v>17</v>
      </c>
      <c r="M23" s="69">
        <v>-7021717.0816095807</v>
      </c>
      <c r="N23" s="69">
        <v>831562.49823754164</v>
      </c>
      <c r="O23" s="69">
        <v>-8.4440040243418704</v>
      </c>
      <c r="P23" s="69">
        <v>3.7813485135784314E-14</v>
      </c>
      <c r="Q23" s="69">
        <v>-8665968.5547920372</v>
      </c>
      <c r="R23" s="69">
        <v>-5377465.6084271241</v>
      </c>
      <c r="S23" s="69">
        <v>-8665968.5547920372</v>
      </c>
      <c r="T23" s="69">
        <v>-5377465.6084271241</v>
      </c>
      <c r="U23" s="135"/>
      <c r="V23" s="135"/>
      <c r="W23" s="135"/>
      <c r="X23" s="135"/>
      <c r="Y23" s="135"/>
      <c r="Z23" s="135"/>
      <c r="AA23" s="135"/>
      <c r="AB23" s="135"/>
    </row>
    <row r="24" spans="1:28" x14ac:dyDescent="0.2">
      <c r="A24" s="140">
        <v>38261</v>
      </c>
      <c r="B24" s="41">
        <f>+'Purchased Power Model '!B24</f>
        <v>88377710</v>
      </c>
      <c r="C24" s="119">
        <f>+'Purchased Power Model '!C24</f>
        <v>235</v>
      </c>
      <c r="D24" s="119">
        <f>+'Purchased Power Model '!D24</f>
        <v>0</v>
      </c>
      <c r="E24" s="126">
        <f>+'Purchased Power Model '!E24</f>
        <v>5.7999999999999996E-2</v>
      </c>
      <c r="F24" s="10">
        <f>+'Purchased Power Model '!F24</f>
        <v>31</v>
      </c>
      <c r="G24" s="10">
        <f>+'Purchased Power Model '!G24</f>
        <v>1</v>
      </c>
      <c r="H24" s="141">
        <f t="shared" si="2"/>
        <v>91465069.426893815</v>
      </c>
      <c r="I24" s="142">
        <f t="shared" si="0"/>
        <v>3087359.4268938154</v>
      </c>
      <c r="J24" s="5">
        <f t="shared" si="1"/>
        <v>3.4933688900672076E-2</v>
      </c>
      <c r="K24"/>
      <c r="L24"/>
      <c r="M24"/>
      <c r="N24"/>
      <c r="O24"/>
      <c r="P24"/>
      <c r="Q24"/>
      <c r="R24"/>
      <c r="S24"/>
      <c r="T24"/>
      <c r="U24" s="135"/>
      <c r="V24" s="135"/>
      <c r="W24" s="135"/>
      <c r="X24" s="135"/>
      <c r="Y24" s="135"/>
      <c r="Z24" s="135"/>
      <c r="AA24" s="135"/>
      <c r="AB24" s="135"/>
    </row>
    <row r="25" spans="1:28" x14ac:dyDescent="0.2">
      <c r="A25" s="140">
        <v>38292</v>
      </c>
      <c r="B25" s="41">
        <f>+'Purchased Power Model '!B25</f>
        <v>94905100</v>
      </c>
      <c r="C25" s="119">
        <f>+'Purchased Power Model '!C25</f>
        <v>385.7</v>
      </c>
      <c r="D25" s="119">
        <f>+'Purchased Power Model '!D25</f>
        <v>0</v>
      </c>
      <c r="E25" s="126">
        <f>+'Purchased Power Model '!E25</f>
        <v>5.7999999999999996E-2</v>
      </c>
      <c r="F25" s="10">
        <f>+'Purchased Power Model '!F25</f>
        <v>30</v>
      </c>
      <c r="G25" s="10">
        <f>+'Purchased Power Model '!G25</f>
        <v>1</v>
      </c>
      <c r="H25" s="141">
        <f t="shared" si="2"/>
        <v>94720639.081301793</v>
      </c>
      <c r="I25" s="142">
        <f t="shared" si="0"/>
        <v>-184460.91869820654</v>
      </c>
      <c r="J25" s="5">
        <f t="shared" si="1"/>
        <v>-1.9436354705722511E-3</v>
      </c>
      <c r="K25"/>
      <c r="L25"/>
      <c r="M25"/>
      <c r="N25"/>
      <c r="O25"/>
      <c r="P25"/>
      <c r="Q25"/>
      <c r="R25"/>
      <c r="S25"/>
      <c r="T25"/>
      <c r="U25" s="135"/>
      <c r="V25" s="135"/>
      <c r="W25" s="135"/>
      <c r="X25" s="135"/>
      <c r="Y25" s="135"/>
      <c r="Z25" s="135"/>
      <c r="AA25" s="135"/>
      <c r="AB25" s="135"/>
    </row>
    <row r="26" spans="1:28" x14ac:dyDescent="0.2">
      <c r="A26" s="140">
        <v>38322</v>
      </c>
      <c r="B26" s="41">
        <f>+'Purchased Power Model '!B26</f>
        <v>113323500</v>
      </c>
      <c r="C26" s="119">
        <f>+'Purchased Power Model '!C26</f>
        <v>627.5</v>
      </c>
      <c r="D26" s="119">
        <f>+'Purchased Power Model '!D26</f>
        <v>0</v>
      </c>
      <c r="E26" s="126">
        <f>+'Purchased Power Model '!E26</f>
        <v>5.7999999999999996E-2</v>
      </c>
      <c r="F26" s="10">
        <f>+'Purchased Power Model '!F26</f>
        <v>31</v>
      </c>
      <c r="G26" s="10">
        <f>+'Purchased Power Model '!G26</f>
        <v>0</v>
      </c>
      <c r="H26" s="141">
        <f t="shared" si="2"/>
        <v>114287332.26962718</v>
      </c>
      <c r="I26" s="142">
        <f t="shared" si="0"/>
        <v>963832.26962718368</v>
      </c>
      <c r="J26" s="5">
        <f t="shared" si="1"/>
        <v>8.5051403250621781E-3</v>
      </c>
      <c r="K26"/>
      <c r="L26"/>
      <c r="M26"/>
      <c r="N26"/>
      <c r="O26"/>
      <c r="P26"/>
      <c r="Q26"/>
      <c r="R26"/>
      <c r="S26"/>
      <c r="T26"/>
      <c r="U26" s="135"/>
      <c r="V26" s="135"/>
      <c r="W26" s="135"/>
      <c r="X26" s="135"/>
      <c r="Y26" s="135"/>
      <c r="Z26" s="135"/>
      <c r="AA26" s="135"/>
      <c r="AB26" s="135"/>
    </row>
    <row r="27" spans="1:28" x14ac:dyDescent="0.2">
      <c r="A27" s="140">
        <v>38353</v>
      </c>
      <c r="B27" s="41">
        <f>+'Purchased Power Model '!B27</f>
        <v>118166820</v>
      </c>
      <c r="C27" s="119">
        <f>+'Purchased Power Model '!C27</f>
        <v>745.5</v>
      </c>
      <c r="D27" s="119">
        <f>+'Purchased Power Model '!D27</f>
        <v>0</v>
      </c>
      <c r="E27" s="126">
        <f>+'Purchased Power Model '!E27</f>
        <v>7.2000000000000008E-2</v>
      </c>
      <c r="F27" s="10">
        <f>+'Purchased Power Model '!F27</f>
        <v>31</v>
      </c>
      <c r="G27" s="10">
        <f>+'Purchased Power Model '!G27</f>
        <v>0</v>
      </c>
      <c r="H27" s="141">
        <f t="shared" si="2"/>
        <v>117321008.31251484</v>
      </c>
      <c r="I27" s="142">
        <f t="shared" si="0"/>
        <v>-845811.68748515844</v>
      </c>
      <c r="J27" s="5">
        <f t="shared" si="1"/>
        <v>-7.1577765017723114E-3</v>
      </c>
      <c r="K27"/>
      <c r="T27" s="135"/>
      <c r="U27" s="135"/>
      <c r="V27" s="135"/>
      <c r="W27" s="135"/>
      <c r="X27" s="135"/>
      <c r="Y27" s="135"/>
      <c r="Z27" s="135"/>
      <c r="AA27" s="135"/>
      <c r="AB27" s="135"/>
    </row>
    <row r="28" spans="1:28" x14ac:dyDescent="0.2">
      <c r="A28" s="140">
        <v>38384</v>
      </c>
      <c r="B28" s="41">
        <f>+'Purchased Power Model '!B28</f>
        <v>100566840</v>
      </c>
      <c r="C28" s="119">
        <f>+'Purchased Power Model '!C28</f>
        <v>589.5</v>
      </c>
      <c r="D28" s="119">
        <f>+'Purchased Power Model '!D28</f>
        <v>0</v>
      </c>
      <c r="E28" s="126">
        <f>+'Purchased Power Model '!E28</f>
        <v>7.2000000000000008E-2</v>
      </c>
      <c r="F28" s="10">
        <f>+'Purchased Power Model '!F28</f>
        <v>28</v>
      </c>
      <c r="G28" s="10">
        <f>+'Purchased Power Model '!G28</f>
        <v>0</v>
      </c>
      <c r="H28" s="141">
        <f t="shared" si="2"/>
        <v>102607941.79207157</v>
      </c>
      <c r="I28" s="142">
        <f t="shared" si="0"/>
        <v>2041101.792071566</v>
      </c>
      <c r="J28" s="5">
        <f t="shared" si="1"/>
        <v>2.0295972231717394E-2</v>
      </c>
      <c r="K28"/>
      <c r="T28" s="135"/>
      <c r="U28" s="135"/>
      <c r="V28" s="135"/>
      <c r="W28" s="135"/>
      <c r="X28" s="135"/>
      <c r="Y28" s="135"/>
      <c r="Z28" s="135"/>
      <c r="AA28" s="135"/>
      <c r="AB28" s="135"/>
    </row>
    <row r="29" spans="1:28" x14ac:dyDescent="0.2">
      <c r="A29" s="140">
        <v>38412</v>
      </c>
      <c r="B29" s="41">
        <f>+'Purchased Power Model '!B29</f>
        <v>104158730</v>
      </c>
      <c r="C29" s="119">
        <f>+'Purchased Power Model '!C29</f>
        <v>578.29999999999995</v>
      </c>
      <c r="D29" s="119">
        <f>+'Purchased Power Model '!D29</f>
        <v>0</v>
      </c>
      <c r="E29" s="126">
        <f>+'Purchased Power Model '!E29</f>
        <v>7.2000000000000008E-2</v>
      </c>
      <c r="F29" s="10">
        <f>+'Purchased Power Model '!F29</f>
        <v>31</v>
      </c>
      <c r="G29" s="10">
        <f>+'Purchased Power Model '!G29</f>
        <v>1</v>
      </c>
      <c r="H29" s="141">
        <f t="shared" si="2"/>
        <v>103568460.01750425</v>
      </c>
      <c r="I29" s="142">
        <f t="shared" si="0"/>
        <v>-590269.98249575496</v>
      </c>
      <c r="J29" s="5">
        <f t="shared" si="1"/>
        <v>-5.6670236138224323E-3</v>
      </c>
      <c r="K29"/>
      <c r="T29" s="135"/>
      <c r="U29" s="135"/>
      <c r="V29" s="135"/>
      <c r="W29" s="135"/>
      <c r="X29" s="135"/>
      <c r="Y29" s="135"/>
      <c r="Z29" s="135"/>
      <c r="AA29" s="135"/>
      <c r="AB29" s="135"/>
    </row>
    <row r="30" spans="1:28" x14ac:dyDescent="0.2">
      <c r="A30" s="140">
        <v>38443</v>
      </c>
      <c r="B30" s="41">
        <f>+'Purchased Power Model '!B30</f>
        <v>84434840</v>
      </c>
      <c r="C30" s="119">
        <f>+'Purchased Power Model '!C30</f>
        <v>325.3</v>
      </c>
      <c r="D30" s="119">
        <f>+'Purchased Power Model '!D30</f>
        <v>0</v>
      </c>
      <c r="E30" s="126">
        <f>+'Purchased Power Model '!E30</f>
        <v>6.4000000000000001E-2</v>
      </c>
      <c r="F30" s="10">
        <f>+'Purchased Power Model '!F30</f>
        <v>30</v>
      </c>
      <c r="G30" s="10">
        <f>+'Purchased Power Model '!G30</f>
        <v>1</v>
      </c>
      <c r="H30" s="141">
        <f t="shared" si="2"/>
        <v>91553501.535627276</v>
      </c>
      <c r="I30" s="142">
        <f t="shared" si="0"/>
        <v>7118661.5356272757</v>
      </c>
      <c r="J30" s="5">
        <f t="shared" si="1"/>
        <v>8.4309528337203885E-2</v>
      </c>
      <c r="K30"/>
      <c r="T30" s="135"/>
      <c r="U30" s="135"/>
      <c r="V30" s="135"/>
      <c r="W30" s="135"/>
      <c r="X30" s="135"/>
      <c r="Y30" s="135"/>
      <c r="Z30" s="135"/>
      <c r="AA30" s="135"/>
      <c r="AB30" s="135"/>
    </row>
    <row r="31" spans="1:28" x14ac:dyDescent="0.2">
      <c r="A31" s="140">
        <v>38473</v>
      </c>
      <c r="B31" s="41">
        <f>+'Purchased Power Model '!B31</f>
        <v>81831370</v>
      </c>
      <c r="C31" s="119">
        <f>+'Purchased Power Model '!C31</f>
        <v>216.1</v>
      </c>
      <c r="D31" s="119">
        <f>+'Purchased Power Model '!D31</f>
        <v>0.3</v>
      </c>
      <c r="E31" s="126">
        <f>+'Purchased Power Model '!E31</f>
        <v>6.4000000000000001E-2</v>
      </c>
      <c r="F31" s="10">
        <f>+'Purchased Power Model '!F31</f>
        <v>31</v>
      </c>
      <c r="G31" s="10">
        <f>+'Purchased Power Model '!G31</f>
        <v>1</v>
      </c>
      <c r="H31" s="141">
        <f t="shared" si="2"/>
        <v>90011977.209526002</v>
      </c>
      <c r="I31" s="142">
        <f t="shared" si="0"/>
        <v>8180607.2095260024</v>
      </c>
      <c r="J31" s="5">
        <f t="shared" si="1"/>
        <v>9.9969085321753776E-2</v>
      </c>
      <c r="K31"/>
      <c r="T31" s="135"/>
      <c r="U31" s="135"/>
      <c r="V31" s="135"/>
      <c r="W31" s="135"/>
      <c r="X31" s="135"/>
      <c r="Y31" s="135"/>
      <c r="Z31" s="135"/>
      <c r="AA31" s="135"/>
      <c r="AB31" s="135"/>
    </row>
    <row r="32" spans="1:28" x14ac:dyDescent="0.2">
      <c r="A32" s="140">
        <v>38504</v>
      </c>
      <c r="B32" s="41">
        <f>+'Purchased Power Model '!B32</f>
        <v>98362500</v>
      </c>
      <c r="C32" s="119">
        <f>+'Purchased Power Model '!C32</f>
        <v>13.7</v>
      </c>
      <c r="D32" s="119">
        <f>+'Purchased Power Model '!D32</f>
        <v>89.9</v>
      </c>
      <c r="E32" s="126">
        <f>+'Purchased Power Model '!E32</f>
        <v>6.4000000000000001E-2</v>
      </c>
      <c r="F32" s="10">
        <f>+'Purchased Power Model '!F32</f>
        <v>30</v>
      </c>
      <c r="G32" s="10">
        <f>+'Purchased Power Model '!G32</f>
        <v>0</v>
      </c>
      <c r="H32" s="141">
        <f t="shared" si="2"/>
        <v>99041237.917959452</v>
      </c>
      <c r="I32" s="142">
        <f t="shared" si="0"/>
        <v>678737.91795945168</v>
      </c>
      <c r="J32" s="5">
        <f t="shared" si="1"/>
        <v>6.900372783931393E-3</v>
      </c>
      <c r="K32"/>
      <c r="T32" s="135"/>
      <c r="U32" s="135"/>
      <c r="V32" s="135"/>
      <c r="W32" s="135"/>
      <c r="X32" s="135"/>
      <c r="Y32" s="135"/>
      <c r="Z32" s="135"/>
      <c r="AA32" s="135"/>
      <c r="AB32" s="135"/>
    </row>
    <row r="33" spans="1:28" x14ac:dyDescent="0.2">
      <c r="A33" s="140">
        <v>38534</v>
      </c>
      <c r="B33" s="41">
        <f>+'Purchased Power Model '!B33</f>
        <v>103745750</v>
      </c>
      <c r="C33" s="119">
        <f>+'Purchased Power Model '!C33</f>
        <v>2.2000000000000002</v>
      </c>
      <c r="D33" s="119">
        <f>+'Purchased Power Model '!D33</f>
        <v>153</v>
      </c>
      <c r="E33" s="126">
        <f>+'Purchased Power Model '!E33</f>
        <v>5.7999999999999996E-2</v>
      </c>
      <c r="F33" s="10">
        <f>+'Purchased Power Model '!F33</f>
        <v>31</v>
      </c>
      <c r="G33" s="10">
        <f>+'Purchased Power Model '!G33</f>
        <v>0</v>
      </c>
      <c r="H33" s="141">
        <f t="shared" si="2"/>
        <v>111256482.06626602</v>
      </c>
      <c r="I33" s="142">
        <f t="shared" si="0"/>
        <v>7510732.0662660152</v>
      </c>
      <c r="J33" s="5">
        <f t="shared" si="1"/>
        <v>7.2395563830479945E-2</v>
      </c>
      <c r="K33"/>
      <c r="T33" s="135"/>
      <c r="U33" s="135"/>
      <c r="V33" s="135"/>
      <c r="W33" s="135"/>
      <c r="X33" s="135"/>
      <c r="Y33" s="135"/>
      <c r="Z33" s="135"/>
      <c r="AA33" s="135"/>
      <c r="AB33" s="135"/>
    </row>
    <row r="34" spans="1:28" x14ac:dyDescent="0.2">
      <c r="A34" s="140">
        <v>38565</v>
      </c>
      <c r="B34" s="41">
        <f>+'Purchased Power Model '!B34</f>
        <v>101425330</v>
      </c>
      <c r="C34" s="119">
        <f>+'Purchased Power Model '!C34</f>
        <v>0</v>
      </c>
      <c r="D34" s="119">
        <f>+'Purchased Power Model '!D34</f>
        <v>108</v>
      </c>
      <c r="E34" s="126">
        <f>+'Purchased Power Model '!E34</f>
        <v>5.7999999999999996E-2</v>
      </c>
      <c r="F34" s="10">
        <f>+'Purchased Power Model '!F34</f>
        <v>31</v>
      </c>
      <c r="G34" s="10">
        <f>+'Purchased Power Model '!G34</f>
        <v>0</v>
      </c>
      <c r="H34" s="141">
        <f t="shared" si="2"/>
        <v>104655762.21470764</v>
      </c>
      <c r="I34" s="142">
        <f t="shared" si="0"/>
        <v>3230432.2147076428</v>
      </c>
      <c r="J34" s="5">
        <f t="shared" si="1"/>
        <v>3.1850349559697198E-2</v>
      </c>
      <c r="K34"/>
      <c r="T34" s="135"/>
      <c r="U34" s="135"/>
      <c r="V34" s="135"/>
      <c r="W34" s="135"/>
      <c r="X34" s="135"/>
      <c r="Y34" s="135"/>
      <c r="Z34" s="135"/>
      <c r="AA34" s="135"/>
      <c r="AB34" s="135"/>
    </row>
    <row r="35" spans="1:28" x14ac:dyDescent="0.2">
      <c r="A35" s="140">
        <v>38596</v>
      </c>
      <c r="B35" s="41">
        <f>+'Purchased Power Model '!B35</f>
        <v>87813850</v>
      </c>
      <c r="C35" s="119">
        <f>+'Purchased Power Model '!C35</f>
        <v>36.700000000000003</v>
      </c>
      <c r="D35" s="119">
        <f>+'Purchased Power Model '!D35</f>
        <v>32.799999999999997</v>
      </c>
      <c r="E35" s="126">
        <f>+'Purchased Power Model '!E35</f>
        <v>5.7999999999999996E-2</v>
      </c>
      <c r="F35" s="10">
        <f>+'Purchased Power Model '!F35</f>
        <v>30</v>
      </c>
      <c r="G35" s="10">
        <f>+'Purchased Power Model '!G35</f>
        <v>1</v>
      </c>
      <c r="H35" s="141">
        <f t="shared" si="2"/>
        <v>85417874.965711743</v>
      </c>
      <c r="I35" s="142">
        <f t="shared" si="0"/>
        <v>-2395975.0342882574</v>
      </c>
      <c r="J35" s="5">
        <f t="shared" si="1"/>
        <v>-2.7284705479696622E-2</v>
      </c>
      <c r="K35"/>
      <c r="T35" s="135"/>
      <c r="U35" s="135"/>
      <c r="V35" s="135"/>
      <c r="W35" s="135"/>
      <c r="X35" s="135"/>
      <c r="Y35" s="135"/>
      <c r="Z35" s="135"/>
      <c r="AA35" s="135"/>
      <c r="AB35" s="135"/>
    </row>
    <row r="36" spans="1:28" x14ac:dyDescent="0.2">
      <c r="A36" s="140">
        <v>38626</v>
      </c>
      <c r="B36" s="41">
        <f>+'Purchased Power Model '!B36</f>
        <v>87350690</v>
      </c>
      <c r="C36" s="119">
        <f>+'Purchased Power Model '!C36</f>
        <v>223.8</v>
      </c>
      <c r="D36" s="119">
        <f>+'Purchased Power Model '!D36</f>
        <v>0.5</v>
      </c>
      <c r="E36" s="126">
        <f>+'Purchased Power Model '!E36</f>
        <v>6.7000000000000004E-2</v>
      </c>
      <c r="F36" s="10">
        <f>+'Purchased Power Model '!F36</f>
        <v>31</v>
      </c>
      <c r="G36" s="10">
        <f>+'Purchased Power Model '!G36</f>
        <v>1</v>
      </c>
      <c r="H36" s="141">
        <f t="shared" si="2"/>
        <v>89983060.103429526</v>
      </c>
      <c r="I36" s="142">
        <f t="shared" si="0"/>
        <v>2632370.1034295261</v>
      </c>
      <c r="J36" s="5">
        <f t="shared" si="1"/>
        <v>3.0135653232155647E-2</v>
      </c>
      <c r="K36"/>
      <c r="T36" s="135"/>
      <c r="U36" s="135"/>
      <c r="V36" s="135"/>
      <c r="W36" s="135"/>
      <c r="X36" s="135"/>
      <c r="Y36" s="135"/>
      <c r="Z36" s="135"/>
      <c r="AA36" s="135"/>
      <c r="AB36" s="135"/>
    </row>
    <row r="37" spans="1:28" x14ac:dyDescent="0.2">
      <c r="A37" s="140">
        <v>38657</v>
      </c>
      <c r="B37" s="41">
        <f>+'Purchased Power Model '!B37</f>
        <v>94515140</v>
      </c>
      <c r="C37" s="119">
        <f>+'Purchased Power Model '!C37</f>
        <v>398.5</v>
      </c>
      <c r="D37" s="119">
        <f>+'Purchased Power Model '!D37</f>
        <v>0</v>
      </c>
      <c r="E37" s="126">
        <f>+'Purchased Power Model '!E37</f>
        <v>6.7000000000000004E-2</v>
      </c>
      <c r="F37" s="10">
        <f>+'Purchased Power Model '!F37</f>
        <v>30</v>
      </c>
      <c r="G37" s="10">
        <f>+'Purchased Power Model '!G37</f>
        <v>1</v>
      </c>
      <c r="H37" s="141">
        <f t="shared" si="2"/>
        <v>94132420.486866951</v>
      </c>
      <c r="I37" s="142">
        <f t="shared" si="0"/>
        <v>-382719.51313304901</v>
      </c>
      <c r="J37" s="5">
        <f t="shared" si="1"/>
        <v>-4.0492931940115523E-3</v>
      </c>
      <c r="K37"/>
      <c r="T37" s="135"/>
      <c r="U37" s="135"/>
      <c r="V37" s="135"/>
      <c r="W37" s="135"/>
      <c r="X37" s="135"/>
      <c r="Y37" s="135"/>
      <c r="Z37" s="135"/>
      <c r="AA37" s="135"/>
      <c r="AB37" s="135"/>
    </row>
    <row r="38" spans="1:28" x14ac:dyDescent="0.2">
      <c r="A38" s="140">
        <v>38687</v>
      </c>
      <c r="B38" s="41">
        <f>+'Purchased Power Model '!B38</f>
        <v>112129490</v>
      </c>
      <c r="C38" s="119">
        <f>+'Purchased Power Model '!C38</f>
        <v>641.1</v>
      </c>
      <c r="D38" s="119">
        <f>+'Purchased Power Model '!D38</f>
        <v>0</v>
      </c>
      <c r="E38" s="126">
        <f>+'Purchased Power Model '!E38</f>
        <v>6.7000000000000004E-2</v>
      </c>
      <c r="F38" s="10">
        <f>+'Purchased Power Model '!F38</f>
        <v>31</v>
      </c>
      <c r="G38" s="10">
        <f>+'Purchased Power Model '!G38</f>
        <v>0</v>
      </c>
      <c r="H38" s="141">
        <f t="shared" si="2"/>
        <v>113731318.60922776</v>
      </c>
      <c r="I38" s="142">
        <f t="shared" si="0"/>
        <v>1601828.6092277616</v>
      </c>
      <c r="J38" s="5">
        <f t="shared" si="1"/>
        <v>1.4285524791272677E-2</v>
      </c>
      <c r="K38"/>
      <c r="T38" s="135"/>
      <c r="U38" s="135"/>
      <c r="V38" s="135"/>
      <c r="W38" s="135"/>
      <c r="X38" s="135"/>
      <c r="Y38" s="135"/>
      <c r="Z38" s="135"/>
      <c r="AA38" s="135"/>
      <c r="AB38" s="135"/>
    </row>
    <row r="39" spans="1:28" x14ac:dyDescent="0.2">
      <c r="A39" s="140">
        <v>38718</v>
      </c>
      <c r="B39" s="41">
        <f>+'Purchased Power Model '!B39</f>
        <v>108586490</v>
      </c>
      <c r="C39" s="119">
        <f>+'Purchased Power Model '!C39</f>
        <v>558.20000000000005</v>
      </c>
      <c r="D39" s="119">
        <f>+'Purchased Power Model '!D39</f>
        <v>0</v>
      </c>
      <c r="E39" s="126">
        <f>+'Purchased Power Model '!E39</f>
        <v>6.6000000000000003E-2</v>
      </c>
      <c r="F39" s="10">
        <f>+'Purchased Power Model '!F39</f>
        <v>31</v>
      </c>
      <c r="G39" s="10">
        <f>+'Purchased Power Model '!G39</f>
        <v>0</v>
      </c>
      <c r="H39" s="141">
        <f t="shared" si="2"/>
        <v>110516693.15747507</v>
      </c>
      <c r="I39" s="142">
        <f t="shared" si="0"/>
        <v>1930203.1574750692</v>
      </c>
      <c r="J39" s="5">
        <f t="shared" si="1"/>
        <v>1.777572106322867E-2</v>
      </c>
      <c r="K39"/>
      <c r="T39" s="135"/>
      <c r="U39" s="135"/>
      <c r="V39" s="135"/>
      <c r="W39" s="135"/>
      <c r="X39" s="135"/>
      <c r="Y39" s="135"/>
      <c r="Z39" s="135"/>
      <c r="AA39" s="135"/>
      <c r="AB39" s="135"/>
    </row>
    <row r="40" spans="1:28" x14ac:dyDescent="0.2">
      <c r="A40" s="140">
        <v>38749</v>
      </c>
      <c r="B40" s="41">
        <f>+'Purchased Power Model '!B40</f>
        <v>101769990</v>
      </c>
      <c r="C40" s="119">
        <f>+'Purchased Power Model '!C40</f>
        <v>608.79999999999995</v>
      </c>
      <c r="D40" s="119">
        <f>+'Purchased Power Model '!D40</f>
        <v>0</v>
      </c>
      <c r="E40" s="126">
        <f>+'Purchased Power Model '!E40</f>
        <v>6.6000000000000003E-2</v>
      </c>
      <c r="F40" s="10">
        <f>+'Purchased Power Model '!F40</f>
        <v>28</v>
      </c>
      <c r="G40" s="10">
        <f>+'Purchased Power Model '!G40</f>
        <v>0</v>
      </c>
      <c r="H40" s="141">
        <f t="shared" si="2"/>
        <v>104120550.85167682</v>
      </c>
      <c r="I40" s="142">
        <f t="shared" si="0"/>
        <v>2350560.8516768217</v>
      </c>
      <c r="J40" s="5">
        <f t="shared" si="1"/>
        <v>2.3096797510511906E-2</v>
      </c>
      <c r="K40"/>
      <c r="T40" s="135"/>
      <c r="U40" s="135"/>
      <c r="V40" s="135"/>
      <c r="W40" s="135"/>
      <c r="X40" s="135"/>
      <c r="Y40" s="135"/>
      <c r="Z40" s="135"/>
      <c r="AA40" s="135"/>
      <c r="AB40" s="135"/>
    </row>
    <row r="41" spans="1:28" x14ac:dyDescent="0.2">
      <c r="A41" s="140">
        <v>38777</v>
      </c>
      <c r="B41" s="41">
        <f>+'Purchased Power Model '!B41</f>
        <v>102729300</v>
      </c>
      <c r="C41" s="119">
        <f>+'Purchased Power Model '!C41</f>
        <v>534</v>
      </c>
      <c r="D41" s="119">
        <f>+'Purchased Power Model '!D41</f>
        <v>0</v>
      </c>
      <c r="E41" s="126">
        <f>+'Purchased Power Model '!E41</f>
        <v>6.6000000000000003E-2</v>
      </c>
      <c r="F41" s="10">
        <f>+'Purchased Power Model '!F41</f>
        <v>31</v>
      </c>
      <c r="G41" s="10">
        <f>+'Purchased Power Model '!G41</f>
        <v>1</v>
      </c>
      <c r="H41" s="141">
        <f t="shared" si="2"/>
        <v>102520776.82129429</v>
      </c>
      <c r="I41" s="142">
        <f t="shared" si="0"/>
        <v>-208523.17870570719</v>
      </c>
      <c r="J41" s="5">
        <f t="shared" si="1"/>
        <v>-2.0298315933789794E-3</v>
      </c>
      <c r="K41"/>
      <c r="T41" s="135"/>
      <c r="U41" s="135"/>
      <c r="V41" s="135"/>
      <c r="W41" s="135"/>
      <c r="X41" s="135"/>
      <c r="Y41" s="135"/>
      <c r="Z41" s="135"/>
      <c r="AA41" s="135"/>
      <c r="AB41" s="135"/>
    </row>
    <row r="42" spans="1:28" x14ac:dyDescent="0.2">
      <c r="A42" s="140">
        <v>38808</v>
      </c>
      <c r="B42" s="41">
        <f>+'Purchased Power Model '!B42</f>
        <v>85245280</v>
      </c>
      <c r="C42" s="119">
        <f>+'Purchased Power Model '!C42</f>
        <v>323.60000000000002</v>
      </c>
      <c r="D42" s="119">
        <f>+'Purchased Power Model '!D42</f>
        <v>0</v>
      </c>
      <c r="E42" s="126">
        <f>+'Purchased Power Model '!E42</f>
        <v>6.5000000000000002E-2</v>
      </c>
      <c r="F42" s="10">
        <f>+'Purchased Power Model '!F42</f>
        <v>30</v>
      </c>
      <c r="G42" s="10">
        <f>+'Purchased Power Model '!G42</f>
        <v>1</v>
      </c>
      <c r="H42" s="141">
        <f t="shared" si="2"/>
        <v>91362455.213135198</v>
      </c>
      <c r="I42" s="142">
        <f t="shared" si="0"/>
        <v>6117175.2131351978</v>
      </c>
      <c r="J42" s="5">
        <f t="shared" si="1"/>
        <v>7.1759694063239607E-2</v>
      </c>
      <c r="K42"/>
      <c r="T42" s="135"/>
      <c r="U42" s="135"/>
      <c r="V42" s="135"/>
      <c r="W42" s="135"/>
      <c r="X42" s="135"/>
      <c r="Y42" s="135"/>
      <c r="Z42" s="135"/>
      <c r="AA42" s="135"/>
      <c r="AB42" s="135"/>
    </row>
    <row r="43" spans="1:28" x14ac:dyDescent="0.2">
      <c r="A43" s="140">
        <v>38838</v>
      </c>
      <c r="B43" s="41">
        <f>+'Purchased Power Model '!B43</f>
        <v>85191000</v>
      </c>
      <c r="C43" s="119">
        <f>+'Purchased Power Model '!C43</f>
        <v>172.6</v>
      </c>
      <c r="D43" s="119">
        <f>+'Purchased Power Model '!D43</f>
        <v>12.8</v>
      </c>
      <c r="E43" s="126">
        <f>+'Purchased Power Model '!E43</f>
        <v>6.5000000000000002E-2</v>
      </c>
      <c r="F43" s="10">
        <f>+'Purchased Power Model '!F43</f>
        <v>31</v>
      </c>
      <c r="G43" s="10">
        <f>+'Purchased Power Model '!G43</f>
        <v>1</v>
      </c>
      <c r="H43" s="141">
        <f t="shared" si="2"/>
        <v>89947155.384506181</v>
      </c>
      <c r="I43" s="142">
        <f t="shared" si="0"/>
        <v>4756155.3845061809</v>
      </c>
      <c r="J43" s="5">
        <f t="shared" si="1"/>
        <v>5.5829317469054021E-2</v>
      </c>
      <c r="K43"/>
      <c r="T43" s="135"/>
      <c r="U43" s="135"/>
      <c r="V43" s="135"/>
      <c r="W43" s="135"/>
      <c r="X43" s="135"/>
      <c r="Y43" s="135"/>
      <c r="Z43" s="135"/>
      <c r="AA43" s="135"/>
      <c r="AB43" s="135"/>
    </row>
    <row r="44" spans="1:28" x14ac:dyDescent="0.2">
      <c r="A44" s="140">
        <v>38869</v>
      </c>
      <c r="B44" s="41">
        <f>+'Purchased Power Model '!B44</f>
        <v>91808310</v>
      </c>
      <c r="C44" s="119">
        <f>+'Purchased Power Model '!C44</f>
        <v>22.6</v>
      </c>
      <c r="D44" s="119">
        <f>+'Purchased Power Model '!D44</f>
        <v>36.200000000000003</v>
      </c>
      <c r="E44" s="126">
        <f>+'Purchased Power Model '!E44</f>
        <v>6.5000000000000002E-2</v>
      </c>
      <c r="F44" s="10">
        <f>+'Purchased Power Model '!F44</f>
        <v>30</v>
      </c>
      <c r="G44" s="10">
        <f>+'Purchased Power Model '!G44</f>
        <v>0</v>
      </c>
      <c r="H44" s="141">
        <f t="shared" si="2"/>
        <v>91505733.807103127</v>
      </c>
      <c r="I44" s="142">
        <f t="shared" si="0"/>
        <v>-302576.19289687276</v>
      </c>
      <c r="J44" s="5">
        <f t="shared" si="1"/>
        <v>-3.2957386199231067E-3</v>
      </c>
      <c r="K44"/>
      <c r="T44" s="135"/>
      <c r="U44" s="135"/>
      <c r="V44" s="135"/>
      <c r="W44" s="135"/>
      <c r="X44" s="135"/>
      <c r="Y44" s="135"/>
      <c r="Z44" s="135"/>
      <c r="AA44" s="135"/>
      <c r="AB44" s="135"/>
    </row>
    <row r="45" spans="1:28" x14ac:dyDescent="0.2">
      <c r="A45" s="140">
        <v>38899</v>
      </c>
      <c r="B45" s="41">
        <f>+'Purchased Power Model '!B45</f>
        <v>103610940</v>
      </c>
      <c r="C45" s="119">
        <f>+'Purchased Power Model '!C45</f>
        <v>1.7</v>
      </c>
      <c r="D45" s="119">
        <f>+'Purchased Power Model '!D45</f>
        <v>107.6</v>
      </c>
      <c r="E45" s="126">
        <f>+'Purchased Power Model '!E45</f>
        <v>6.7000000000000004E-2</v>
      </c>
      <c r="F45" s="10">
        <f>+'Purchased Power Model '!F45</f>
        <v>31</v>
      </c>
      <c r="G45" s="10">
        <f>+'Purchased Power Model '!G45</f>
        <v>0</v>
      </c>
      <c r="H45" s="141">
        <f t="shared" si="2"/>
        <v>103562814.32690515</v>
      </c>
      <c r="I45" s="142">
        <f t="shared" si="0"/>
        <v>-48125.673094853759</v>
      </c>
      <c r="J45" s="5">
        <f t="shared" si="1"/>
        <v>-4.6448447523836535E-4</v>
      </c>
      <c r="K45"/>
      <c r="T45" s="135"/>
      <c r="U45" s="135"/>
      <c r="V45" s="135"/>
      <c r="W45" s="135"/>
      <c r="X45" s="135"/>
      <c r="Y45" s="135"/>
      <c r="Z45" s="135"/>
      <c r="AA45" s="135"/>
      <c r="AB45" s="135"/>
    </row>
    <row r="46" spans="1:28" x14ac:dyDescent="0.2">
      <c r="A46" s="140">
        <v>38930</v>
      </c>
      <c r="B46" s="41">
        <f>+'Purchased Power Model '!B46</f>
        <v>98252830</v>
      </c>
      <c r="C46" s="119">
        <f>+'Purchased Power Model '!C46</f>
        <v>4.4000000000000004</v>
      </c>
      <c r="D46" s="119">
        <f>+'Purchased Power Model '!D46</f>
        <v>82.1</v>
      </c>
      <c r="E46" s="126">
        <f>+'Purchased Power Model '!E46</f>
        <v>6.7000000000000004E-2</v>
      </c>
      <c r="F46" s="10">
        <f>+'Purchased Power Model '!F46</f>
        <v>31</v>
      </c>
      <c r="G46" s="10">
        <f>+'Purchased Power Model '!G46</f>
        <v>0</v>
      </c>
      <c r="H46" s="141">
        <f t="shared" si="2"/>
        <v>99981284.085596755</v>
      </c>
      <c r="I46" s="142">
        <f t="shared" si="0"/>
        <v>1728454.0855967551</v>
      </c>
      <c r="J46" s="5">
        <f t="shared" si="1"/>
        <v>1.7591901277517964E-2</v>
      </c>
      <c r="K46"/>
      <c r="T46" s="135"/>
      <c r="U46" s="135"/>
      <c r="V46" s="135"/>
      <c r="W46" s="135"/>
      <c r="X46" s="135"/>
      <c r="Y46" s="135"/>
      <c r="Z46" s="135"/>
      <c r="AA46" s="135"/>
      <c r="AB46" s="135"/>
    </row>
    <row r="47" spans="1:28" x14ac:dyDescent="0.2">
      <c r="A47" s="140">
        <v>38961</v>
      </c>
      <c r="B47" s="41">
        <f>+'Purchased Power Model '!B47</f>
        <v>83090470</v>
      </c>
      <c r="C47" s="119">
        <f>+'Purchased Power Model '!C47</f>
        <v>70.7</v>
      </c>
      <c r="D47" s="119">
        <f>+'Purchased Power Model '!D47</f>
        <v>5.0999999999999996</v>
      </c>
      <c r="E47" s="126">
        <f>+'Purchased Power Model '!E47</f>
        <v>6.7000000000000004E-2</v>
      </c>
      <c r="F47" s="10">
        <f>+'Purchased Power Model '!F47</f>
        <v>30</v>
      </c>
      <c r="G47" s="10">
        <f>+'Purchased Power Model '!G47</f>
        <v>1</v>
      </c>
      <c r="H47" s="141">
        <f t="shared" si="2"/>
        <v>81674493.144592658</v>
      </c>
      <c r="I47" s="142">
        <f t="shared" si="0"/>
        <v>-1415976.8554073423</v>
      </c>
      <c r="J47" s="5">
        <f t="shared" si="1"/>
        <v>-1.7041387001509829E-2</v>
      </c>
      <c r="K47"/>
      <c r="T47" s="135"/>
      <c r="U47" s="135"/>
      <c r="V47" s="135"/>
      <c r="W47" s="135"/>
      <c r="X47" s="135"/>
      <c r="Y47" s="135"/>
      <c r="Z47" s="135"/>
      <c r="AA47" s="135"/>
      <c r="AB47" s="135"/>
    </row>
    <row r="48" spans="1:28" x14ac:dyDescent="0.2">
      <c r="A48" s="140">
        <v>38991</v>
      </c>
      <c r="B48" s="41">
        <f>+'Purchased Power Model '!B48</f>
        <v>90859410</v>
      </c>
      <c r="C48" s="119">
        <f>+'Purchased Power Model '!C48</f>
        <v>274.60000000000002</v>
      </c>
      <c r="D48" s="119">
        <f>+'Purchased Power Model '!D48</f>
        <v>0</v>
      </c>
      <c r="E48" s="126">
        <f>+'Purchased Power Model '!E48</f>
        <v>6.8000000000000005E-2</v>
      </c>
      <c r="F48" s="10">
        <f>+'Purchased Power Model '!F48</f>
        <v>31</v>
      </c>
      <c r="G48" s="10">
        <f>+'Purchased Power Model '!G48</f>
        <v>1</v>
      </c>
      <c r="H48" s="141">
        <f t="shared" si="2"/>
        <v>91833105.284978449</v>
      </c>
      <c r="I48" s="142">
        <f t="shared" si="0"/>
        <v>973695.28497844934</v>
      </c>
      <c r="J48" s="5">
        <f t="shared" si="1"/>
        <v>1.0716504597360354E-2</v>
      </c>
      <c r="K48"/>
      <c r="T48" s="135"/>
      <c r="U48" s="135"/>
      <c r="V48" s="135"/>
      <c r="W48" s="135"/>
      <c r="X48" s="135"/>
      <c r="Y48" s="135"/>
      <c r="Z48" s="135"/>
      <c r="AA48" s="135"/>
      <c r="AB48" s="135"/>
    </row>
    <row r="49" spans="1:28" x14ac:dyDescent="0.2">
      <c r="A49" s="140">
        <v>39022</v>
      </c>
      <c r="B49" s="41">
        <f>+'Purchased Power Model '!B49</f>
        <v>95117460</v>
      </c>
      <c r="C49" s="119">
        <f>+'Purchased Power Model '!C49</f>
        <v>367.5</v>
      </c>
      <c r="D49" s="119">
        <f>+'Purchased Power Model '!D49</f>
        <v>0</v>
      </c>
      <c r="E49" s="126">
        <f>+'Purchased Power Model '!E49</f>
        <v>6.8000000000000005E-2</v>
      </c>
      <c r="F49" s="10">
        <f>+'Purchased Power Model '!F49</f>
        <v>30</v>
      </c>
      <c r="G49" s="10">
        <f>+'Purchased Power Model '!G49</f>
        <v>1</v>
      </c>
      <c r="H49" s="141">
        <f t="shared" si="2"/>
        <v>92761868.455327928</v>
      </c>
      <c r="I49" s="142">
        <f t="shared" si="0"/>
        <v>-2355591.5446720719</v>
      </c>
      <c r="J49" s="5">
        <f t="shared" si="1"/>
        <v>-2.4765080403451396E-2</v>
      </c>
      <c r="K49"/>
      <c r="T49" s="135"/>
      <c r="U49" s="135"/>
      <c r="V49" s="135"/>
      <c r="W49" s="135"/>
      <c r="X49" s="135"/>
      <c r="Y49" s="135"/>
      <c r="Z49" s="135"/>
      <c r="AA49" s="135"/>
      <c r="AB49" s="135"/>
    </row>
    <row r="50" spans="1:28" x14ac:dyDescent="0.2">
      <c r="A50" s="140">
        <v>39052</v>
      </c>
      <c r="B50" s="41">
        <f>+'Purchased Power Model '!B50</f>
        <v>105098960</v>
      </c>
      <c r="C50" s="119">
        <f>+'Purchased Power Model '!C50</f>
        <v>471.5</v>
      </c>
      <c r="D50" s="119">
        <f>+'Purchased Power Model '!D50</f>
        <v>0</v>
      </c>
      <c r="E50" s="126">
        <f>+'Purchased Power Model '!E50</f>
        <v>6.8000000000000005E-2</v>
      </c>
      <c r="F50" s="10">
        <f>+'Purchased Power Model '!F50</f>
        <v>31</v>
      </c>
      <c r="G50" s="10">
        <f>+'Purchased Power Model '!G50</f>
        <v>0</v>
      </c>
      <c r="H50" s="141">
        <f t="shared" si="2"/>
        <v>106781261.75605369</v>
      </c>
      <c r="I50" s="142">
        <f t="shared" si="0"/>
        <v>1682301.7560536861</v>
      </c>
      <c r="J50" s="5">
        <f t="shared" si="1"/>
        <v>1.6006835424952695E-2</v>
      </c>
      <c r="K50"/>
      <c r="T50" s="135"/>
      <c r="U50" s="135"/>
      <c r="V50" s="135"/>
      <c r="W50" s="135"/>
      <c r="X50" s="135"/>
      <c r="Y50" s="135"/>
      <c r="Z50" s="135"/>
      <c r="AA50" s="135"/>
      <c r="AB50" s="135"/>
    </row>
    <row r="51" spans="1:28" x14ac:dyDescent="0.2">
      <c r="A51" s="140">
        <v>39083</v>
      </c>
      <c r="B51" s="41">
        <f>+'Purchased Power Model '!B51</f>
        <v>112093789.99999999</v>
      </c>
      <c r="C51" s="119">
        <f>+'Purchased Power Model '!C51</f>
        <v>573.1</v>
      </c>
      <c r="D51" s="119">
        <f>+'Purchased Power Model '!D51</f>
        <v>0</v>
      </c>
      <c r="E51" s="126">
        <f>+'Purchased Power Model '!E51</f>
        <v>6.0999999999999999E-2</v>
      </c>
      <c r="F51" s="10">
        <f>+'Purchased Power Model '!F51</f>
        <v>31</v>
      </c>
      <c r="G51" s="10">
        <f>+'Purchased Power Model '!G51</f>
        <v>0</v>
      </c>
      <c r="H51" s="141">
        <f t="shared" si="2"/>
        <v>111729564.24221873</v>
      </c>
      <c r="I51" s="142">
        <f t="shared" si="0"/>
        <v>-364225.75778125226</v>
      </c>
      <c r="J51" s="5">
        <f t="shared" si="1"/>
        <v>-3.2492947002795811E-3</v>
      </c>
      <c r="K51"/>
      <c r="T51" s="135"/>
      <c r="U51" s="135"/>
      <c r="V51" s="135"/>
      <c r="W51" s="135"/>
      <c r="X51" s="135"/>
      <c r="Y51" s="135"/>
      <c r="Z51" s="135"/>
      <c r="AA51" s="135"/>
      <c r="AB51" s="135"/>
    </row>
    <row r="52" spans="1:28" x14ac:dyDescent="0.2">
      <c r="A52" s="140">
        <v>39114</v>
      </c>
      <c r="B52" s="41">
        <f>+'Purchased Power Model '!B52</f>
        <v>109302770</v>
      </c>
      <c r="C52" s="119">
        <f>+'Purchased Power Model '!C52</f>
        <v>693.5</v>
      </c>
      <c r="D52" s="119">
        <f>+'Purchased Power Model '!D52</f>
        <v>0</v>
      </c>
      <c r="E52" s="126">
        <f>+'Purchased Power Model '!E52</f>
        <v>6.0999999999999999E-2</v>
      </c>
      <c r="F52" s="10">
        <f>+'Purchased Power Model '!F52</f>
        <v>28</v>
      </c>
      <c r="G52" s="10">
        <f>+'Purchased Power Model '!G52</f>
        <v>0</v>
      </c>
      <c r="H52" s="141">
        <f t="shared" si="2"/>
        <v>108143302.43101014</v>
      </c>
      <c r="I52" s="142">
        <f t="shared" si="0"/>
        <v>-1159467.568989858</v>
      </c>
      <c r="J52" s="5">
        <f t="shared" si="1"/>
        <v>-1.0607851649046571E-2</v>
      </c>
      <c r="K52"/>
      <c r="T52" s="135"/>
      <c r="U52" s="135"/>
      <c r="V52" s="135"/>
      <c r="W52" s="135"/>
      <c r="X52" s="135"/>
      <c r="Y52" s="135"/>
      <c r="Z52" s="135"/>
      <c r="AA52" s="135"/>
      <c r="AB52" s="135"/>
    </row>
    <row r="53" spans="1:28" x14ac:dyDescent="0.2">
      <c r="A53" s="140">
        <v>39142</v>
      </c>
      <c r="B53" s="41">
        <f>+'Purchased Power Model '!B53</f>
        <v>106781890</v>
      </c>
      <c r="C53" s="119">
        <f>+'Purchased Power Model '!C53</f>
        <v>477.9</v>
      </c>
      <c r="D53" s="119">
        <f>+'Purchased Power Model '!D53</f>
        <v>0</v>
      </c>
      <c r="E53" s="126">
        <f>+'Purchased Power Model '!E53</f>
        <v>6.0999999999999999E-2</v>
      </c>
      <c r="F53" s="10">
        <f>+'Purchased Power Model '!F53</f>
        <v>31</v>
      </c>
      <c r="G53" s="10">
        <f>+'Purchased Power Model '!G53</f>
        <v>1</v>
      </c>
      <c r="H53" s="141">
        <f t="shared" si="2"/>
        <v>100875460.01039517</v>
      </c>
      <c r="I53" s="142">
        <f t="shared" si="0"/>
        <v>-5906429.9896048307</v>
      </c>
      <c r="J53" s="5">
        <f t="shared" si="1"/>
        <v>-5.5313030979362049E-2</v>
      </c>
      <c r="K53"/>
      <c r="T53" s="135"/>
      <c r="U53" s="135"/>
      <c r="V53" s="135"/>
      <c r="W53" s="135"/>
      <c r="X53" s="135"/>
      <c r="Y53" s="135"/>
      <c r="Z53" s="135"/>
      <c r="AA53" s="135"/>
      <c r="AB53" s="135"/>
    </row>
    <row r="54" spans="1:28" x14ac:dyDescent="0.2">
      <c r="A54" s="140">
        <v>39173</v>
      </c>
      <c r="B54" s="41">
        <f>+'Purchased Power Model '!B54</f>
        <v>92267850</v>
      </c>
      <c r="C54" s="119">
        <f>+'Purchased Power Model '!C54</f>
        <v>280.39999999999998</v>
      </c>
      <c r="D54" s="119">
        <f>+'Purchased Power Model '!D54</f>
        <v>0</v>
      </c>
      <c r="E54" s="126">
        <f>+'Purchased Power Model '!E54</f>
        <v>0.06</v>
      </c>
      <c r="F54" s="10">
        <f>+'Purchased Power Model '!F54</f>
        <v>30</v>
      </c>
      <c r="G54" s="10">
        <f>+'Purchased Power Model '!G54</f>
        <v>1</v>
      </c>
      <c r="H54" s="141">
        <f t="shared" si="2"/>
        <v>90236442.963557094</v>
      </c>
      <c r="I54" s="142">
        <f t="shared" si="0"/>
        <v>-2031407.0364429057</v>
      </c>
      <c r="J54" s="5">
        <f t="shared" si="1"/>
        <v>-2.2016412395465004E-2</v>
      </c>
      <c r="K54"/>
      <c r="T54" s="135"/>
      <c r="U54" s="135"/>
      <c r="V54" s="135"/>
      <c r="W54" s="135"/>
      <c r="X54" s="135"/>
      <c r="Y54" s="135"/>
      <c r="Z54" s="135"/>
      <c r="AA54" s="135"/>
      <c r="AB54" s="135"/>
    </row>
    <row r="55" spans="1:28" x14ac:dyDescent="0.2">
      <c r="A55" s="140">
        <v>39203</v>
      </c>
      <c r="B55" s="41">
        <f>+'Purchased Power Model '!B55</f>
        <v>86029130</v>
      </c>
      <c r="C55" s="119">
        <f>+'Purchased Power Model '!C55</f>
        <v>72.8</v>
      </c>
      <c r="D55" s="119">
        <f>+'Purchased Power Model '!D55</f>
        <v>4.5</v>
      </c>
      <c r="E55" s="126">
        <f>+'Purchased Power Model '!E55</f>
        <v>0.06</v>
      </c>
      <c r="F55" s="10">
        <f>+'Purchased Power Model '!F55</f>
        <v>31</v>
      </c>
      <c r="G55" s="10">
        <f>+'Purchased Power Model '!G55</f>
        <v>1</v>
      </c>
      <c r="H55" s="141">
        <f t="shared" si="2"/>
        <v>85341513.004176587</v>
      </c>
      <c r="I55" s="142">
        <f t="shared" si="0"/>
        <v>-687616.99582341313</v>
      </c>
      <c r="J55" s="5">
        <f t="shared" si="1"/>
        <v>-7.9928391211606248E-3</v>
      </c>
      <c r="K55"/>
      <c r="T55" s="135"/>
      <c r="U55" s="135"/>
      <c r="V55" s="135"/>
      <c r="W55" s="135"/>
      <c r="X55" s="135"/>
      <c r="Y55" s="135"/>
      <c r="Z55" s="135"/>
      <c r="AA55" s="135"/>
      <c r="AB55" s="135"/>
    </row>
    <row r="56" spans="1:28" x14ac:dyDescent="0.2">
      <c r="A56" s="140">
        <v>39234</v>
      </c>
      <c r="B56" s="41">
        <f>+'Purchased Power Model '!B56</f>
        <v>96829929.999999985</v>
      </c>
      <c r="C56" s="119">
        <f>+'Purchased Power Model '!C56</f>
        <v>6.2</v>
      </c>
      <c r="D56" s="119">
        <f>+'Purchased Power Model '!D56</f>
        <v>32.799999999999997</v>
      </c>
      <c r="E56" s="126">
        <f>+'Purchased Power Model '!E56</f>
        <v>0.06</v>
      </c>
      <c r="F56" s="10">
        <f>+'Purchased Power Model '!F56</f>
        <v>30</v>
      </c>
      <c r="G56" s="10">
        <f>+'Purchased Power Model '!G56</f>
        <v>0</v>
      </c>
      <c r="H56" s="141">
        <f t="shared" si="2"/>
        <v>90966557.26188761</v>
      </c>
      <c r="I56" s="142">
        <f t="shared" si="0"/>
        <v>-5863372.7381123751</v>
      </c>
      <c r="J56" s="5">
        <f t="shared" si="1"/>
        <v>-6.0553309685469937E-2</v>
      </c>
      <c r="K56"/>
      <c r="T56" s="135"/>
      <c r="U56" s="135"/>
      <c r="V56" s="135"/>
      <c r="W56" s="135"/>
      <c r="X56" s="135"/>
      <c r="Y56" s="135"/>
      <c r="Z56" s="135"/>
      <c r="AA56" s="135"/>
      <c r="AB56" s="135"/>
    </row>
    <row r="57" spans="1:28" x14ac:dyDescent="0.2">
      <c r="A57" s="140">
        <v>39264</v>
      </c>
      <c r="B57" s="41">
        <f>+'Purchased Power Model '!B57</f>
        <v>96919610</v>
      </c>
      <c r="C57" s="119">
        <f>+'Purchased Power Model '!C57</f>
        <v>8.6999999999999993</v>
      </c>
      <c r="D57" s="119">
        <f>+'Purchased Power Model '!D57</f>
        <v>41.6</v>
      </c>
      <c r="E57" s="126">
        <f>+'Purchased Power Model '!E57</f>
        <v>6.5000000000000002E-2</v>
      </c>
      <c r="F57" s="10">
        <f>+'Purchased Power Model '!F57</f>
        <v>31</v>
      </c>
      <c r="G57" s="10">
        <f>+'Purchased Power Model '!G57</f>
        <v>0</v>
      </c>
      <c r="H57" s="141">
        <f t="shared" si="2"/>
        <v>94538666.626705855</v>
      </c>
      <c r="I57" s="142">
        <f t="shared" si="0"/>
        <v>-2380943.3732941449</v>
      </c>
      <c r="J57" s="5">
        <f t="shared" si="1"/>
        <v>-2.4566167499994532E-2</v>
      </c>
      <c r="K57"/>
      <c r="T57" s="135"/>
      <c r="U57" s="135"/>
      <c r="V57" s="135"/>
      <c r="W57" s="135"/>
      <c r="X57" s="135"/>
      <c r="Y57" s="135"/>
      <c r="Z57" s="135"/>
      <c r="AA57" s="135"/>
      <c r="AB57" s="135"/>
    </row>
    <row r="58" spans="1:28" x14ac:dyDescent="0.2">
      <c r="A58" s="140">
        <v>39295</v>
      </c>
      <c r="B58" s="41">
        <f>+'Purchased Power Model '!B58</f>
        <v>103644560</v>
      </c>
      <c r="C58" s="119">
        <f>+'Purchased Power Model '!C58</f>
        <v>4</v>
      </c>
      <c r="D58" s="119">
        <f>+'Purchased Power Model '!D58</f>
        <v>87.8</v>
      </c>
      <c r="E58" s="126">
        <f>+'Purchased Power Model '!E58</f>
        <v>6.5000000000000002E-2</v>
      </c>
      <c r="F58" s="10">
        <f>+'Purchased Power Model '!F58</f>
        <v>31</v>
      </c>
      <c r="G58" s="10">
        <f>+'Purchased Power Model '!G58</f>
        <v>0</v>
      </c>
      <c r="H58" s="141">
        <f t="shared" si="2"/>
        <v>101035276.42308776</v>
      </c>
      <c r="I58" s="142">
        <f t="shared" si="0"/>
        <v>-2609283.5769122392</v>
      </c>
      <c r="J58" s="5">
        <f t="shared" si="1"/>
        <v>-2.5175306614377439E-2</v>
      </c>
      <c r="K58"/>
      <c r="T58" s="135"/>
      <c r="U58" s="135"/>
      <c r="V58" s="135"/>
      <c r="W58" s="135"/>
      <c r="X58" s="135"/>
      <c r="Y58" s="135"/>
      <c r="Z58" s="135"/>
      <c r="AA58" s="135"/>
      <c r="AB58" s="135"/>
    </row>
    <row r="59" spans="1:28" x14ac:dyDescent="0.2">
      <c r="A59" s="140">
        <v>39326</v>
      </c>
      <c r="B59" s="41">
        <f>+'Purchased Power Model '!B59</f>
        <v>87760000</v>
      </c>
      <c r="C59" s="119">
        <f>+'Purchased Power Model '!C59</f>
        <v>20.100000000000001</v>
      </c>
      <c r="D59" s="119">
        <f>+'Purchased Power Model '!D59</f>
        <v>12.3</v>
      </c>
      <c r="E59" s="126">
        <f>+'Purchased Power Model '!E59</f>
        <v>6.5000000000000002E-2</v>
      </c>
      <c r="F59" s="10">
        <f>+'Purchased Power Model '!F59</f>
        <v>30</v>
      </c>
      <c r="G59" s="10">
        <f>+'Purchased Power Model '!G59</f>
        <v>1</v>
      </c>
      <c r="H59" s="141">
        <f t="shared" si="2"/>
        <v>80924697.747460276</v>
      </c>
      <c r="I59" s="142">
        <f t="shared" si="0"/>
        <v>-6835302.2525397241</v>
      </c>
      <c r="J59" s="5">
        <f t="shared" si="1"/>
        <v>-7.7886306432768046E-2</v>
      </c>
      <c r="K59"/>
      <c r="T59" s="135"/>
      <c r="U59" s="135"/>
      <c r="V59" s="135"/>
      <c r="W59" s="135"/>
      <c r="X59" s="135"/>
      <c r="Y59" s="135"/>
      <c r="Z59" s="135"/>
      <c r="AA59" s="135"/>
      <c r="AB59" s="135"/>
    </row>
    <row r="60" spans="1:28" x14ac:dyDescent="0.2">
      <c r="A60" s="140">
        <v>39356</v>
      </c>
      <c r="B60" s="41">
        <f>+'Purchased Power Model '!B60</f>
        <v>88883380</v>
      </c>
      <c r="C60" s="119">
        <f>+'Purchased Power Model '!C60</f>
        <v>101.5</v>
      </c>
      <c r="D60" s="119">
        <f>+'Purchased Power Model '!D60</f>
        <v>0</v>
      </c>
      <c r="E60" s="126">
        <f>+'Purchased Power Model '!E60</f>
        <v>6.3E-2</v>
      </c>
      <c r="F60" s="10">
        <f>+'Purchased Power Model '!F60</f>
        <v>31</v>
      </c>
      <c r="G60" s="10">
        <f>+'Purchased Power Model '!G60</f>
        <v>1</v>
      </c>
      <c r="H60" s="141">
        <f t="shared" si="2"/>
        <v>85477816.871400386</v>
      </c>
      <c r="I60" s="142">
        <f t="shared" si="0"/>
        <v>-3405563.1285996139</v>
      </c>
      <c r="J60" s="5">
        <f t="shared" si="1"/>
        <v>-3.831495976637718E-2</v>
      </c>
      <c r="K60"/>
      <c r="T60" s="135"/>
      <c r="U60" s="135"/>
      <c r="V60" s="135"/>
      <c r="W60" s="135"/>
      <c r="X60" s="135"/>
      <c r="Y60" s="135"/>
      <c r="Z60" s="135"/>
      <c r="AA60" s="135"/>
      <c r="AB60" s="135"/>
    </row>
    <row r="61" spans="1:28" x14ac:dyDescent="0.2">
      <c r="A61" s="140">
        <v>39387</v>
      </c>
      <c r="B61" s="41">
        <f>+'Purchased Power Model '!B61</f>
        <v>97788230</v>
      </c>
      <c r="C61" s="119">
        <f>+'Purchased Power Model '!C61</f>
        <v>314.10000000000002</v>
      </c>
      <c r="D61" s="119">
        <f>+'Purchased Power Model '!D61</f>
        <v>0</v>
      </c>
      <c r="E61" s="126">
        <f>+'Purchased Power Model '!E61</f>
        <v>6.3E-2</v>
      </c>
      <c r="F61" s="10">
        <f>+'Purchased Power Model '!F61</f>
        <v>30</v>
      </c>
      <c r="G61" s="10">
        <f>+'Purchased Power Model '!G61</f>
        <v>1</v>
      </c>
      <c r="H61" s="141">
        <f t="shared" si="2"/>
        <v>91225243.296798334</v>
      </c>
      <c r="I61" s="142">
        <f t="shared" si="0"/>
        <v>-6562986.7032016665</v>
      </c>
      <c r="J61" s="5">
        <f t="shared" si="1"/>
        <v>-6.7114280555049075E-2</v>
      </c>
      <c r="K61"/>
      <c r="T61" s="135"/>
      <c r="U61" s="135"/>
      <c r="V61" s="135"/>
      <c r="W61" s="135"/>
      <c r="X61" s="135"/>
      <c r="Y61" s="135"/>
      <c r="Z61" s="135"/>
      <c r="AA61" s="135"/>
      <c r="AB61" s="135"/>
    </row>
    <row r="62" spans="1:28" x14ac:dyDescent="0.2">
      <c r="A62" s="140">
        <v>39417</v>
      </c>
      <c r="B62" s="41">
        <f>+'Purchased Power Model '!B62</f>
        <v>112852450</v>
      </c>
      <c r="C62" s="119">
        <f>+'Purchased Power Model '!C62</f>
        <v>337.8</v>
      </c>
      <c r="D62" s="119">
        <f>+'Purchased Power Model '!D62</f>
        <v>0</v>
      </c>
      <c r="E62" s="126">
        <f>+'Purchased Power Model '!E62</f>
        <v>6.3E-2</v>
      </c>
      <c r="F62" s="10">
        <f>+'Purchased Power Model '!F62</f>
        <v>31</v>
      </c>
      <c r="G62" s="10">
        <f>+'Purchased Power Model '!G62</f>
        <v>0</v>
      </c>
      <c r="H62" s="141">
        <f t="shared" si="2"/>
        <v>102012066.34371966</v>
      </c>
      <c r="I62" s="142">
        <f t="shared" si="0"/>
        <v>-10840383.656280339</v>
      </c>
      <c r="J62" s="5">
        <f t="shared" si="1"/>
        <v>-9.605802670903768E-2</v>
      </c>
      <c r="K62"/>
      <c r="T62" s="135"/>
      <c r="U62" s="135"/>
      <c r="V62" s="135"/>
      <c r="W62" s="135"/>
      <c r="X62" s="135"/>
      <c r="Y62" s="135"/>
      <c r="Z62" s="135"/>
      <c r="AA62" s="135"/>
      <c r="AB62" s="135"/>
    </row>
    <row r="63" spans="1:28" x14ac:dyDescent="0.2">
      <c r="A63" s="140">
        <v>39448</v>
      </c>
      <c r="B63" s="41">
        <f>+'Purchased Power Model '!B63</f>
        <v>111423480</v>
      </c>
      <c r="C63" s="119">
        <f>+'Purchased Power Model '!C63</f>
        <v>432.8</v>
      </c>
      <c r="D63" s="119">
        <f>+'Purchased Power Model '!D63</f>
        <v>0</v>
      </c>
      <c r="E63" s="126">
        <f>+'Purchased Power Model '!E63</f>
        <v>6.4000000000000001E-2</v>
      </c>
      <c r="F63" s="10">
        <f>+'Purchased Power Model '!F63</f>
        <v>31</v>
      </c>
      <c r="G63" s="10">
        <f>+'Purchased Power Model '!G63</f>
        <v>0</v>
      </c>
      <c r="H63" s="141">
        <f t="shared" si="2"/>
        <v>105713791.42275795</v>
      </c>
      <c r="I63" s="142">
        <f t="shared" si="0"/>
        <v>-5709688.5772420466</v>
      </c>
      <c r="J63" s="5">
        <f t="shared" si="1"/>
        <v>-5.1243136341119905E-2</v>
      </c>
      <c r="K63"/>
      <c r="T63" s="135"/>
      <c r="U63" s="135"/>
      <c r="V63" s="135"/>
      <c r="W63" s="135"/>
      <c r="X63" s="135"/>
      <c r="Y63" s="135"/>
      <c r="Z63" s="135"/>
      <c r="AA63" s="135"/>
      <c r="AB63" s="135"/>
    </row>
    <row r="64" spans="1:28" x14ac:dyDescent="0.2">
      <c r="A64" s="140">
        <v>39479</v>
      </c>
      <c r="B64" s="41">
        <f>+'Purchased Power Model '!B64</f>
        <v>106527560</v>
      </c>
      <c r="C64" s="119">
        <f>+'Purchased Power Model '!C64</f>
        <v>317.60000000000002</v>
      </c>
      <c r="D64" s="119">
        <f>+'Purchased Power Model '!D64</f>
        <v>0</v>
      </c>
      <c r="E64" s="126">
        <f>+'Purchased Power Model '!E64</f>
        <v>6.4000000000000001E-2</v>
      </c>
      <c r="F64" s="10">
        <f>+'Purchased Power Model '!F64</f>
        <v>29</v>
      </c>
      <c r="G64" s="10">
        <f>+'Purchased Power Model '!G64</f>
        <v>0</v>
      </c>
      <c r="H64" s="141">
        <f t="shared" si="2"/>
        <v>95454211.332633346</v>
      </c>
      <c r="I64" s="142">
        <f t="shared" si="0"/>
        <v>-11073348.667366654</v>
      </c>
      <c r="J64" s="5">
        <f t="shared" si="1"/>
        <v>-0.10394820520968145</v>
      </c>
      <c r="K64"/>
      <c r="T64" s="135"/>
      <c r="U64" s="135"/>
      <c r="V64" s="135"/>
      <c r="W64" s="135"/>
      <c r="X64" s="135"/>
      <c r="Y64" s="135"/>
      <c r="Z64" s="135"/>
      <c r="AA64" s="135"/>
      <c r="AB64" s="135"/>
    </row>
    <row r="65" spans="1:28" x14ac:dyDescent="0.2">
      <c r="A65" s="140">
        <v>39508</v>
      </c>
      <c r="B65" s="41">
        <f>+'Purchased Power Model '!B65</f>
        <v>105633899.99999999</v>
      </c>
      <c r="C65" s="119">
        <f>+'Purchased Power Model '!C65</f>
        <v>430</v>
      </c>
      <c r="D65" s="119">
        <f>+'Purchased Power Model '!D65</f>
        <v>0</v>
      </c>
      <c r="E65" s="126">
        <f>+'Purchased Power Model '!E65</f>
        <v>6.4000000000000001E-2</v>
      </c>
      <c r="F65" s="10">
        <f>+'Purchased Power Model '!F65</f>
        <v>31</v>
      </c>
      <c r="G65" s="10">
        <f>+'Purchased Power Model '!G65</f>
        <v>1</v>
      </c>
      <c r="H65" s="141">
        <f t="shared" si="2"/>
        <v>98579357.072024435</v>
      </c>
      <c r="I65" s="142">
        <f t="shared" si="0"/>
        <v>-7054542.9279755503</v>
      </c>
      <c r="J65" s="5">
        <f t="shared" si="1"/>
        <v>-6.6782944944525871E-2</v>
      </c>
      <c r="K65"/>
      <c r="T65" s="135"/>
      <c r="U65" s="135"/>
      <c r="V65" s="135"/>
      <c r="W65" s="135"/>
      <c r="X65" s="135"/>
      <c r="Y65" s="135"/>
      <c r="Z65" s="135"/>
      <c r="AA65" s="135"/>
      <c r="AB65" s="135"/>
    </row>
    <row r="66" spans="1:28" x14ac:dyDescent="0.2">
      <c r="A66" s="140">
        <v>39539</v>
      </c>
      <c r="B66" s="41">
        <f>+'Purchased Power Model '!B66</f>
        <v>86147429.999999985</v>
      </c>
      <c r="C66" s="119">
        <f>+'Purchased Power Model '!C66</f>
        <v>144.6</v>
      </c>
      <c r="D66" s="119">
        <f>+'Purchased Power Model '!D66</f>
        <v>0</v>
      </c>
      <c r="E66" s="126">
        <f>+'Purchased Power Model '!E66</f>
        <v>7.400000000000001E-2</v>
      </c>
      <c r="F66" s="10">
        <f>+'Purchased Power Model '!F66</f>
        <v>30</v>
      </c>
      <c r="G66" s="10">
        <f>+'Purchased Power Model '!G66</f>
        <v>1</v>
      </c>
      <c r="H66" s="141">
        <f t="shared" si="2"/>
        <v>83053103.683710441</v>
      </c>
      <c r="I66" s="142">
        <f t="shared" si="0"/>
        <v>-3094326.3162895441</v>
      </c>
      <c r="J66" s="5">
        <f t="shared" si="1"/>
        <v>-3.5918962600388016E-2</v>
      </c>
      <c r="K66"/>
      <c r="T66" s="135"/>
      <c r="U66" s="135"/>
      <c r="V66" s="135"/>
      <c r="W66" s="135"/>
      <c r="X66" s="135"/>
      <c r="Y66" s="135"/>
      <c r="Z66" s="135"/>
      <c r="AA66" s="135"/>
      <c r="AB66" s="135"/>
    </row>
    <row r="67" spans="1:28" x14ac:dyDescent="0.2">
      <c r="A67" s="140">
        <v>39569</v>
      </c>
      <c r="B67" s="41">
        <f>+'Purchased Power Model '!B67</f>
        <v>82776310</v>
      </c>
      <c r="C67" s="119">
        <f>+'Purchased Power Model '!C67</f>
        <v>151</v>
      </c>
      <c r="D67" s="119">
        <f>+'Purchased Power Model '!D67</f>
        <v>0</v>
      </c>
      <c r="E67" s="126">
        <f>+'Purchased Power Model '!E67</f>
        <v>7.400000000000001E-2</v>
      </c>
      <c r="F67" s="10">
        <f>+'Purchased Power Model '!F67</f>
        <v>31</v>
      </c>
      <c r="G67" s="10">
        <f>+'Purchased Power Model '!G67</f>
        <v>1</v>
      </c>
      <c r="H67" s="141">
        <f t="shared" si="2"/>
        <v>86121777.950506404</v>
      </c>
      <c r="I67" s="142">
        <f t="shared" ref="I67:I130" si="3">H67-B67</f>
        <v>3345467.950506404</v>
      </c>
      <c r="J67" s="5">
        <f t="shared" ref="J67:J130" si="4">I67/B67</f>
        <v>4.041576570043294E-2</v>
      </c>
      <c r="K67"/>
      <c r="T67" s="135"/>
      <c r="U67" s="135"/>
      <c r="V67" s="135"/>
      <c r="W67" s="135"/>
      <c r="X67" s="135"/>
      <c r="Y67" s="135"/>
      <c r="Z67" s="135"/>
      <c r="AA67" s="135"/>
      <c r="AB67" s="135"/>
    </row>
    <row r="68" spans="1:28" x14ac:dyDescent="0.2">
      <c r="A68" s="140">
        <v>39600</v>
      </c>
      <c r="B68" s="41">
        <f>+'Purchased Power Model '!B68</f>
        <v>90692793</v>
      </c>
      <c r="C68" s="119">
        <f>+'Purchased Power Model '!C68</f>
        <v>15.5</v>
      </c>
      <c r="D68" s="119">
        <f>+'Purchased Power Model '!D68</f>
        <v>23.6</v>
      </c>
      <c r="E68" s="126">
        <f>+'Purchased Power Model '!E68</f>
        <v>7.400000000000001E-2</v>
      </c>
      <c r="F68" s="10">
        <f>+'Purchased Power Model '!F68</f>
        <v>30</v>
      </c>
      <c r="G68" s="10">
        <f>+'Purchased Power Model '!G68</f>
        <v>0</v>
      </c>
      <c r="H68" s="141">
        <f t="shared" ref="H68:H131" si="5">$M$18+C68*$M$19+D68*$M$20+E68*$M$21+F68*$M$22+G68*$M$23</f>
        <v>88293013.719308361</v>
      </c>
      <c r="I68" s="142">
        <f t="shared" si="3"/>
        <v>-2399779.2806916386</v>
      </c>
      <c r="J68" s="5">
        <f t="shared" si="4"/>
        <v>-2.6460529015702918E-2</v>
      </c>
      <c r="K68"/>
      <c r="T68" s="135"/>
      <c r="U68" s="135"/>
      <c r="V68" s="135"/>
      <c r="W68" s="135"/>
      <c r="X68" s="135"/>
      <c r="Y68" s="135"/>
      <c r="Z68" s="135"/>
      <c r="AA68" s="135"/>
      <c r="AB68" s="135"/>
    </row>
    <row r="69" spans="1:28" x14ac:dyDescent="0.2">
      <c r="A69" s="140">
        <v>39630</v>
      </c>
      <c r="B69" s="41">
        <f>+'Purchased Power Model '!B69</f>
        <v>98868440</v>
      </c>
      <c r="C69" s="119">
        <f>+'Purchased Power Model '!C69</f>
        <v>1</v>
      </c>
      <c r="D69" s="119">
        <f>+'Purchased Power Model '!D69</f>
        <v>61.4</v>
      </c>
      <c r="E69" s="126">
        <f>+'Purchased Power Model '!E69</f>
        <v>6.8000000000000005E-2</v>
      </c>
      <c r="F69" s="10">
        <f>+'Purchased Power Model '!F69</f>
        <v>31</v>
      </c>
      <c r="G69" s="10">
        <f>+'Purchased Power Model '!G69</f>
        <v>0</v>
      </c>
      <c r="H69" s="141">
        <f t="shared" si="5"/>
        <v>96726210.388117373</v>
      </c>
      <c r="I69" s="142">
        <f t="shared" si="3"/>
        <v>-2142229.611882627</v>
      </c>
      <c r="J69" s="5">
        <f t="shared" si="4"/>
        <v>-2.1667476617236271E-2</v>
      </c>
      <c r="K69"/>
      <c r="T69" s="135"/>
      <c r="U69" s="135"/>
      <c r="V69" s="135"/>
      <c r="W69" s="135"/>
      <c r="X69" s="135"/>
      <c r="Y69" s="135"/>
      <c r="Z69" s="135"/>
      <c r="AA69" s="135"/>
      <c r="AB69" s="135"/>
    </row>
    <row r="70" spans="1:28" x14ac:dyDescent="0.2">
      <c r="A70" s="140">
        <v>39661</v>
      </c>
      <c r="B70" s="41">
        <f>+'Purchased Power Model '!B70</f>
        <v>93432320</v>
      </c>
      <c r="C70" s="119">
        <f>+'Purchased Power Model '!C70</f>
        <v>13.8</v>
      </c>
      <c r="D70" s="119">
        <f>+'Purchased Power Model '!D70</f>
        <v>29.9</v>
      </c>
      <c r="E70" s="126">
        <f>+'Purchased Power Model '!E70</f>
        <v>6.8000000000000005E-2</v>
      </c>
      <c r="F70" s="10">
        <f>+'Purchased Power Model '!F70</f>
        <v>31</v>
      </c>
      <c r="G70" s="10">
        <f>+'Purchased Power Model '!G70</f>
        <v>0</v>
      </c>
      <c r="H70" s="141">
        <f t="shared" si="5"/>
        <v>92682979.934611261</v>
      </c>
      <c r="I70" s="142">
        <f t="shared" si="3"/>
        <v>-749340.06538873911</v>
      </c>
      <c r="J70" s="5">
        <f t="shared" si="4"/>
        <v>-8.0201376289140529E-3</v>
      </c>
      <c r="K70"/>
      <c r="T70" s="135"/>
      <c r="U70" s="135"/>
      <c r="V70" s="135"/>
      <c r="W70" s="135"/>
      <c r="X70" s="135"/>
      <c r="Y70" s="135"/>
      <c r="Z70" s="135"/>
      <c r="AA70" s="135"/>
      <c r="AB70" s="135"/>
    </row>
    <row r="71" spans="1:28" x14ac:dyDescent="0.2">
      <c r="A71" s="140">
        <v>39692</v>
      </c>
      <c r="B71" s="41">
        <f>+'Purchased Power Model '!B71</f>
        <v>86855072</v>
      </c>
      <c r="C71" s="119">
        <f>+'Purchased Power Model '!C71</f>
        <v>51.6</v>
      </c>
      <c r="D71" s="119">
        <f>+'Purchased Power Model '!D71</f>
        <v>15.1</v>
      </c>
      <c r="E71" s="126">
        <f>+'Purchased Power Model '!E71</f>
        <v>6.8000000000000005E-2</v>
      </c>
      <c r="F71" s="10">
        <f>+'Purchased Power Model '!F71</f>
        <v>30</v>
      </c>
      <c r="G71" s="10">
        <f>+'Purchased Power Model '!G71</f>
        <v>1</v>
      </c>
      <c r="H71" s="141">
        <f t="shared" si="5"/>
        <v>82230135.347488374</v>
      </c>
      <c r="I71" s="142">
        <f t="shared" si="3"/>
        <v>-4624936.6525116265</v>
      </c>
      <c r="J71" s="5">
        <f t="shared" si="4"/>
        <v>-5.3248895499293659E-2</v>
      </c>
      <c r="K71"/>
      <c r="T71" s="135"/>
      <c r="U71" s="135"/>
      <c r="V71" s="135"/>
      <c r="W71" s="135"/>
      <c r="X71" s="135"/>
      <c r="Y71" s="135"/>
      <c r="Z71" s="135"/>
      <c r="AA71" s="135"/>
      <c r="AB71" s="135"/>
    </row>
    <row r="72" spans="1:28" x14ac:dyDescent="0.2">
      <c r="A72" s="140">
        <v>39722</v>
      </c>
      <c r="B72" s="41">
        <f>+'Purchased Power Model '!B72</f>
        <v>88294618</v>
      </c>
      <c r="C72" s="119">
        <f>+'Purchased Power Model '!C72</f>
        <v>203.1</v>
      </c>
      <c r="D72" s="119">
        <f>+'Purchased Power Model '!D72</f>
        <v>0</v>
      </c>
      <c r="E72" s="126">
        <f>+'Purchased Power Model '!E72</f>
        <v>7.9000000000000001E-2</v>
      </c>
      <c r="F72" s="10">
        <f>+'Purchased Power Model '!F72</f>
        <v>31</v>
      </c>
      <c r="G72" s="10">
        <f>+'Purchased Power Model '!G72</f>
        <v>1</v>
      </c>
      <c r="H72" s="141">
        <f t="shared" si="5"/>
        <v>87606070.091228455</v>
      </c>
      <c r="I72" s="142">
        <f t="shared" si="3"/>
        <v>-688547.90877154469</v>
      </c>
      <c r="J72" s="5">
        <f t="shared" si="4"/>
        <v>-7.798299877933043E-3</v>
      </c>
      <c r="K72"/>
      <c r="T72" s="135"/>
      <c r="U72" s="135"/>
      <c r="V72" s="135"/>
      <c r="W72" s="135"/>
      <c r="X72" s="135"/>
      <c r="Y72" s="135"/>
      <c r="Z72" s="135"/>
      <c r="AA72" s="135"/>
      <c r="AB72" s="135"/>
    </row>
    <row r="73" spans="1:28" x14ac:dyDescent="0.2">
      <c r="A73" s="140">
        <v>39753</v>
      </c>
      <c r="B73" s="41">
        <f>+'Purchased Power Model '!B73</f>
        <v>95870835</v>
      </c>
      <c r="C73" s="119">
        <f>+'Purchased Power Model '!C73</f>
        <v>268.8</v>
      </c>
      <c r="D73" s="119">
        <f>+'Purchased Power Model '!D73</f>
        <v>0</v>
      </c>
      <c r="E73" s="126">
        <f>+'Purchased Power Model '!E73</f>
        <v>7.9000000000000001E-2</v>
      </c>
      <c r="F73" s="10">
        <f>+'Purchased Power Model '!F73</f>
        <v>30</v>
      </c>
      <c r="G73" s="10">
        <f>+'Purchased Power Model '!G73</f>
        <v>1</v>
      </c>
      <c r="H73" s="141">
        <f t="shared" si="5"/>
        <v>87439865.504373953</v>
      </c>
      <c r="I73" s="142">
        <f t="shared" si="3"/>
        <v>-8430969.4956260473</v>
      </c>
      <c r="J73" s="5">
        <f t="shared" si="4"/>
        <v>-8.7940920673383591E-2</v>
      </c>
      <c r="K73"/>
      <c r="T73" s="135"/>
      <c r="U73" s="135"/>
      <c r="V73" s="135"/>
      <c r="W73" s="135"/>
      <c r="X73" s="135"/>
      <c r="Y73" s="135"/>
      <c r="Z73" s="135"/>
      <c r="AA73" s="135"/>
      <c r="AB73" s="135"/>
    </row>
    <row r="74" spans="1:28" x14ac:dyDescent="0.2">
      <c r="A74" s="140">
        <v>39783</v>
      </c>
      <c r="B74" s="41">
        <f>+'Purchased Power Model '!B74</f>
        <v>112359168</v>
      </c>
      <c r="C74" s="119">
        <f>+'Purchased Power Model '!C74</f>
        <v>378.9</v>
      </c>
      <c r="D74" s="119">
        <f>+'Purchased Power Model '!D74</f>
        <v>0</v>
      </c>
      <c r="E74" s="126">
        <f>+'Purchased Power Model '!E74</f>
        <v>7.9000000000000001E-2</v>
      </c>
      <c r="F74" s="10">
        <f>+'Purchased Power Model '!F74</f>
        <v>31</v>
      </c>
      <c r="G74" s="10">
        <f>+'Purchased Power Model '!G74</f>
        <v>0</v>
      </c>
      <c r="H74" s="141">
        <f t="shared" si="5"/>
        <v>101704821.42711972</v>
      </c>
      <c r="I74" s="142">
        <f t="shared" si="3"/>
        <v>-10654346.572880283</v>
      </c>
      <c r="J74" s="5">
        <f t="shared" si="4"/>
        <v>-9.4824007355414769E-2</v>
      </c>
      <c r="K74"/>
      <c r="T74" s="135"/>
      <c r="U74" s="135"/>
      <c r="V74" s="135"/>
      <c r="W74" s="135"/>
      <c r="X74" s="135"/>
      <c r="Y74" s="135"/>
      <c r="Z74" s="135"/>
      <c r="AA74" s="135"/>
      <c r="AB74" s="135"/>
    </row>
    <row r="75" spans="1:28" x14ac:dyDescent="0.2">
      <c r="A75" s="140">
        <v>39814</v>
      </c>
      <c r="B75" s="41">
        <f>+'Purchased Power Model '!B75</f>
        <v>119321706</v>
      </c>
      <c r="C75" s="119">
        <f>+'Purchased Power Model '!C75</f>
        <v>684.3</v>
      </c>
      <c r="D75" s="119">
        <f>+'Purchased Power Model '!D75</f>
        <v>0</v>
      </c>
      <c r="E75" s="126">
        <f>+'Purchased Power Model '!E75</f>
        <v>8.5000000000000006E-2</v>
      </c>
      <c r="F75" s="10">
        <f>+'Purchased Power Model '!F75</f>
        <v>31</v>
      </c>
      <c r="G75" s="10">
        <f>+'Purchased Power Model '!G75</f>
        <v>0</v>
      </c>
      <c r="H75" s="141">
        <f t="shared" si="5"/>
        <v>113263389.96913713</v>
      </c>
      <c r="I75" s="142">
        <f t="shared" si="3"/>
        <v>-6058316.0308628678</v>
      </c>
      <c r="J75" s="5">
        <f t="shared" si="4"/>
        <v>-5.0772958533318889E-2</v>
      </c>
      <c r="K75"/>
      <c r="T75" s="144"/>
      <c r="U75" s="144"/>
      <c r="V75" s="144"/>
      <c r="W75" s="144"/>
      <c r="X75" s="144"/>
      <c r="Y75" s="144"/>
      <c r="Z75" s="144"/>
      <c r="AA75" s="144"/>
      <c r="AB75" s="144"/>
    </row>
    <row r="76" spans="1:28" x14ac:dyDescent="0.2">
      <c r="A76" s="140">
        <v>39845</v>
      </c>
      <c r="B76" s="41">
        <f>+'Purchased Power Model '!B76</f>
        <v>99385016</v>
      </c>
      <c r="C76" s="119">
        <f>+'Purchased Power Model '!C76</f>
        <v>595.29999999999995</v>
      </c>
      <c r="D76" s="119">
        <f>+'Purchased Power Model '!D76</f>
        <v>0</v>
      </c>
      <c r="E76" s="126">
        <f>+'Purchased Power Model '!E76</f>
        <v>8.5000000000000006E-2</v>
      </c>
      <c r="F76" s="10">
        <f>+'Purchased Power Model '!F76</f>
        <v>28</v>
      </c>
      <c r="G76" s="10">
        <f>+'Purchased Power Model '!G76</f>
        <v>0</v>
      </c>
      <c r="H76" s="141">
        <f t="shared" si="5"/>
        <v>101247486.67415957</v>
      </c>
      <c r="I76" s="142">
        <f t="shared" si="3"/>
        <v>1862470.6741595715</v>
      </c>
      <c r="J76" s="5">
        <f t="shared" si="4"/>
        <v>1.8739954463151381E-2</v>
      </c>
      <c r="K76"/>
      <c r="T76" s="135"/>
      <c r="U76" s="135"/>
      <c r="V76" s="135"/>
      <c r="W76" s="135"/>
      <c r="X76" s="135"/>
      <c r="Y76" s="135"/>
      <c r="Z76" s="135"/>
      <c r="AA76" s="135"/>
      <c r="AB76" s="135"/>
    </row>
    <row r="77" spans="1:28" x14ac:dyDescent="0.2">
      <c r="A77" s="140">
        <v>39873</v>
      </c>
      <c r="B77" s="41">
        <f>+'Purchased Power Model '!B77</f>
        <v>100852310</v>
      </c>
      <c r="C77" s="119">
        <f>+'Purchased Power Model '!C77</f>
        <v>442.2</v>
      </c>
      <c r="D77" s="119">
        <f>+'Purchased Power Model '!D77</f>
        <v>0</v>
      </c>
      <c r="E77" s="126">
        <f>+'Purchased Power Model '!E77</f>
        <v>8.5000000000000006E-2</v>
      </c>
      <c r="F77" s="10">
        <f>+'Purchased Power Model '!F77</f>
        <v>31</v>
      </c>
      <c r="G77" s="10">
        <f>+'Purchased Power Model '!G77</f>
        <v>1</v>
      </c>
      <c r="H77" s="141">
        <f t="shared" si="5"/>
        <v>96495654.725061134</v>
      </c>
      <c r="I77" s="142">
        <f t="shared" si="3"/>
        <v>-4356655.2749388665</v>
      </c>
      <c r="J77" s="5">
        <f t="shared" si="4"/>
        <v>-4.3198368732841781E-2</v>
      </c>
      <c r="K77"/>
      <c r="T77" s="135"/>
      <c r="U77" s="135"/>
      <c r="V77" s="135"/>
      <c r="W77" s="135"/>
      <c r="X77" s="135"/>
      <c r="Y77" s="135"/>
      <c r="Z77" s="135"/>
      <c r="AA77" s="135"/>
      <c r="AB77" s="135"/>
    </row>
    <row r="78" spans="1:28" x14ac:dyDescent="0.2">
      <c r="A78" s="140">
        <v>39904</v>
      </c>
      <c r="B78" s="41">
        <f>+'Purchased Power Model '!B78</f>
        <v>86741668</v>
      </c>
      <c r="C78" s="119">
        <f>+'Purchased Power Model '!C78</f>
        <v>313.8</v>
      </c>
      <c r="D78" s="119">
        <f>+'Purchased Power Model '!D78</f>
        <v>0</v>
      </c>
      <c r="E78" s="126">
        <f>+'Purchased Power Model '!E78</f>
        <v>8.6999999999999994E-2</v>
      </c>
      <c r="F78" s="10">
        <f>+'Purchased Power Model '!F78</f>
        <v>30</v>
      </c>
      <c r="G78" s="10">
        <f>+'Purchased Power Model '!G78</f>
        <v>1</v>
      </c>
      <c r="H78" s="141">
        <f t="shared" si="5"/>
        <v>88270506.342531264</v>
      </c>
      <c r="I78" s="142">
        <f t="shared" si="3"/>
        <v>1528838.3425312638</v>
      </c>
      <c r="J78" s="5">
        <f t="shared" si="4"/>
        <v>1.7625189574764274E-2</v>
      </c>
      <c r="K78"/>
      <c r="T78" s="135"/>
      <c r="U78" s="135"/>
      <c r="V78" s="135"/>
      <c r="W78" s="135"/>
      <c r="X78" s="135"/>
      <c r="Y78" s="135"/>
      <c r="Z78" s="135"/>
      <c r="AA78" s="135"/>
      <c r="AB78" s="135"/>
    </row>
    <row r="79" spans="1:28" x14ac:dyDescent="0.2">
      <c r="A79" s="140">
        <v>39934</v>
      </c>
      <c r="B79" s="41">
        <f>+'Purchased Power Model '!B79</f>
        <v>80591893.384615391</v>
      </c>
      <c r="C79" s="119">
        <f>+'Purchased Power Model '!C79</f>
        <v>170.1</v>
      </c>
      <c r="D79" s="119">
        <f>+'Purchased Power Model '!D79</f>
        <v>0</v>
      </c>
      <c r="E79" s="126">
        <f>+'Purchased Power Model '!E79</f>
        <v>8.6999999999999994E-2</v>
      </c>
      <c r="F79" s="10">
        <f>+'Purchased Power Model '!F79</f>
        <v>31</v>
      </c>
      <c r="G79" s="10">
        <f>+'Purchased Power Model '!G79</f>
        <v>1</v>
      </c>
      <c r="H79" s="141">
        <f t="shared" si="5"/>
        <v>85296729.86093314</v>
      </c>
      <c r="I79" s="142">
        <f t="shared" si="3"/>
        <v>4704836.4763177484</v>
      </c>
      <c r="J79" s="5">
        <f t="shared" si="4"/>
        <v>5.837853261325511E-2</v>
      </c>
      <c r="K79"/>
      <c r="T79" s="135"/>
      <c r="U79" s="135"/>
      <c r="V79" s="135"/>
      <c r="W79" s="135"/>
      <c r="X79" s="135"/>
      <c r="Y79" s="135"/>
      <c r="Z79" s="135"/>
      <c r="AA79" s="135"/>
      <c r="AB79" s="135"/>
    </row>
    <row r="80" spans="1:28" x14ac:dyDescent="0.2">
      <c r="A80" s="140">
        <v>39965</v>
      </c>
      <c r="B80" s="41">
        <f>+'Purchased Power Model '!B80</f>
        <v>84198050.923076928</v>
      </c>
      <c r="C80" s="119">
        <f>+'Purchased Power Model '!C80</f>
        <v>57.9</v>
      </c>
      <c r="D80" s="119">
        <f>+'Purchased Power Model '!D80</f>
        <v>26.3</v>
      </c>
      <c r="E80" s="126">
        <f>+'Purchased Power Model '!E80</f>
        <v>8.6999999999999994E-2</v>
      </c>
      <c r="F80" s="10">
        <f>+'Purchased Power Model '!F80</f>
        <v>30</v>
      </c>
      <c r="G80" s="10">
        <f>+'Purchased Power Model '!G80</f>
        <v>0</v>
      </c>
      <c r="H80" s="141">
        <f t="shared" si="5"/>
        <v>88796663.710494101</v>
      </c>
      <c r="I80" s="142">
        <f t="shared" si="3"/>
        <v>4598612.7874171734</v>
      </c>
      <c r="J80" s="5">
        <f t="shared" si="4"/>
        <v>5.4616618045214033E-2</v>
      </c>
      <c r="K80"/>
      <c r="T80" s="135"/>
      <c r="U80" s="135"/>
      <c r="V80" s="135"/>
      <c r="W80" s="135"/>
      <c r="X80" s="135"/>
      <c r="Y80" s="135"/>
      <c r="Z80" s="135"/>
      <c r="AA80" s="135"/>
      <c r="AB80" s="135"/>
    </row>
    <row r="81" spans="1:28" x14ac:dyDescent="0.2">
      <c r="A81" s="140">
        <v>39995</v>
      </c>
      <c r="B81" s="41">
        <f>+'Purchased Power Model '!B81</f>
        <v>87831701.059230775</v>
      </c>
      <c r="C81" s="119">
        <f>+'Purchased Power Model '!C81</f>
        <v>16.8</v>
      </c>
      <c r="D81" s="119">
        <f>+'Purchased Power Model '!D81</f>
        <v>25.6</v>
      </c>
      <c r="E81" s="126">
        <f>+'Purchased Power Model '!E81</f>
        <v>9.1999999999999998E-2</v>
      </c>
      <c r="F81" s="10">
        <f>+'Purchased Power Model '!F81</f>
        <v>31</v>
      </c>
      <c r="G81" s="10">
        <f>+'Purchased Power Model '!G81</f>
        <v>0</v>
      </c>
      <c r="H81" s="141">
        <f t="shared" si="5"/>
        <v>89238815.621757329</v>
      </c>
      <c r="I81" s="142">
        <f t="shared" si="3"/>
        <v>1407114.5625265539</v>
      </c>
      <c r="J81" s="5">
        <f t="shared" si="4"/>
        <v>1.6020577371917716E-2</v>
      </c>
      <c r="K81"/>
      <c r="T81" s="135"/>
      <c r="U81" s="135"/>
      <c r="V81" s="135"/>
      <c r="W81" s="135"/>
      <c r="X81" s="135"/>
      <c r="Y81" s="135"/>
      <c r="Z81" s="135"/>
      <c r="AA81" s="135"/>
      <c r="AB81" s="135"/>
    </row>
    <row r="82" spans="1:28" x14ac:dyDescent="0.2">
      <c r="A82" s="140">
        <v>40026</v>
      </c>
      <c r="B82" s="41">
        <f>+'Purchased Power Model '!B82</f>
        <v>97879755</v>
      </c>
      <c r="C82" s="119">
        <f>+'Purchased Power Model '!C82</f>
        <v>13.1</v>
      </c>
      <c r="D82" s="119">
        <f>+'Purchased Power Model '!D82</f>
        <v>77.7</v>
      </c>
      <c r="E82" s="126">
        <f>+'Purchased Power Model '!E82</f>
        <v>9.1999999999999998E-2</v>
      </c>
      <c r="F82" s="10">
        <f>+'Purchased Power Model '!F82</f>
        <v>31</v>
      </c>
      <c r="G82" s="10">
        <f>+'Purchased Power Model '!G82</f>
        <v>0</v>
      </c>
      <c r="H82" s="141">
        <f t="shared" si="5"/>
        <v>96629497.631671712</v>
      </c>
      <c r="I82" s="142">
        <f t="shared" si="3"/>
        <v>-1250257.3683282882</v>
      </c>
      <c r="J82" s="5">
        <f t="shared" si="4"/>
        <v>-1.2773401081033439E-2</v>
      </c>
      <c r="K82"/>
      <c r="T82" s="135"/>
      <c r="U82" s="135"/>
      <c r="V82" s="135"/>
      <c r="W82" s="135"/>
      <c r="X82" s="135"/>
      <c r="Y82" s="135"/>
      <c r="Z82" s="135"/>
      <c r="AA82" s="135"/>
      <c r="AB82" s="135"/>
    </row>
    <row r="83" spans="1:28" x14ac:dyDescent="0.2">
      <c r="A83" s="140">
        <v>40057</v>
      </c>
      <c r="B83" s="41">
        <f>+'Purchased Power Model '!B83</f>
        <v>83907661.687692314</v>
      </c>
      <c r="C83" s="119">
        <f>+'Purchased Power Model '!C83</f>
        <v>64.8</v>
      </c>
      <c r="D83" s="119">
        <f>+'Purchased Power Model '!D83</f>
        <v>9</v>
      </c>
      <c r="E83" s="126">
        <f>+'Purchased Power Model '!E83</f>
        <v>9.1999999999999998E-2</v>
      </c>
      <c r="F83" s="10">
        <f>+'Purchased Power Model '!F83</f>
        <v>30</v>
      </c>
      <c r="G83" s="10">
        <f>+'Purchased Power Model '!G83</f>
        <v>1</v>
      </c>
      <c r="H83" s="141">
        <f t="shared" si="5"/>
        <v>78936097.692267492</v>
      </c>
      <c r="I83" s="142">
        <f t="shared" si="3"/>
        <v>-4971563.995424822</v>
      </c>
      <c r="J83" s="5">
        <f t="shared" si="4"/>
        <v>-5.9250417607025957E-2</v>
      </c>
      <c r="K83"/>
      <c r="T83" s="135"/>
      <c r="U83" s="135"/>
      <c r="V83" s="135"/>
      <c r="W83" s="135"/>
      <c r="X83" s="135"/>
      <c r="Y83" s="135"/>
      <c r="Z83" s="135"/>
      <c r="AA83" s="135"/>
      <c r="AB83" s="135"/>
    </row>
    <row r="84" spans="1:28" x14ac:dyDescent="0.2">
      <c r="A84" s="140">
        <v>40087</v>
      </c>
      <c r="B84" s="41">
        <f>+'Purchased Power Model '!B84</f>
        <v>88097164.336923078</v>
      </c>
      <c r="C84" s="119">
        <f>+'Purchased Power Model '!C84</f>
        <v>287.89999999999998</v>
      </c>
      <c r="D84" s="119">
        <f>+'Purchased Power Model '!D84</f>
        <v>0</v>
      </c>
      <c r="E84" s="126">
        <f>+'Purchased Power Model '!E84</f>
        <v>9.9000000000000005E-2</v>
      </c>
      <c r="F84" s="10">
        <f>+'Purchased Power Model '!F84</f>
        <v>31</v>
      </c>
      <c r="G84" s="10">
        <f>+'Purchased Power Model '!G84</f>
        <v>1</v>
      </c>
      <c r="H84" s="141">
        <f t="shared" si="5"/>
        <v>88567576.345645592</v>
      </c>
      <c r="I84" s="142">
        <f t="shared" si="3"/>
        <v>470412.00872251391</v>
      </c>
      <c r="J84" s="5">
        <f t="shared" si="4"/>
        <v>5.3396952360855498E-3</v>
      </c>
      <c r="K84"/>
      <c r="T84" s="135"/>
      <c r="U84" s="135"/>
      <c r="V84" s="135"/>
      <c r="W84" s="135"/>
      <c r="X84" s="135"/>
      <c r="Y84" s="135"/>
      <c r="Z84" s="135"/>
      <c r="AA84" s="135"/>
      <c r="AB84" s="135"/>
    </row>
    <row r="85" spans="1:28" x14ac:dyDescent="0.2">
      <c r="A85" s="140">
        <v>40118</v>
      </c>
      <c r="B85" s="41">
        <f>+'Purchased Power Model '!B85</f>
        <v>89873866.688461557</v>
      </c>
      <c r="C85" s="119">
        <f>+'Purchased Power Model '!C85</f>
        <v>347.4</v>
      </c>
      <c r="D85" s="119">
        <f>+'Purchased Power Model '!D85</f>
        <v>0</v>
      </c>
      <c r="E85" s="126">
        <f>+'Purchased Power Model '!E85</f>
        <v>9.9000000000000005E-2</v>
      </c>
      <c r="F85" s="10">
        <f>+'Purchased Power Model '!F85</f>
        <v>30</v>
      </c>
      <c r="G85" s="10">
        <f>+'Purchased Power Model '!G85</f>
        <v>1</v>
      </c>
      <c r="H85" s="141">
        <f t="shared" si="5"/>
        <v>88151783.52001664</v>
      </c>
      <c r="I85" s="142">
        <f t="shared" si="3"/>
        <v>-1722083.1684449166</v>
      </c>
      <c r="J85" s="5">
        <f t="shared" si="4"/>
        <v>-1.9161111365268609E-2</v>
      </c>
      <c r="K85"/>
      <c r="T85" s="135"/>
      <c r="U85" s="135"/>
      <c r="V85" s="135"/>
      <c r="W85" s="135"/>
      <c r="X85" s="135"/>
      <c r="Y85" s="135"/>
      <c r="Z85" s="135"/>
      <c r="AA85" s="135"/>
      <c r="AB85" s="135"/>
    </row>
    <row r="86" spans="1:28" x14ac:dyDescent="0.2">
      <c r="A86" s="140">
        <v>40148</v>
      </c>
      <c r="B86" s="41">
        <f>+'Purchased Power Model '!B86</f>
        <v>109709991.43076923</v>
      </c>
      <c r="C86" s="119">
        <f>+'Purchased Power Model '!C86</f>
        <v>619.1</v>
      </c>
      <c r="D86" s="119">
        <f>+'Purchased Power Model '!D86</f>
        <v>0</v>
      </c>
      <c r="E86" s="126">
        <f>+'Purchased Power Model '!E86</f>
        <v>9.9000000000000005E-2</v>
      </c>
      <c r="F86" s="10">
        <f>+'Purchased Power Model '!F86</f>
        <v>31</v>
      </c>
      <c r="G86" s="10">
        <f>+'Purchased Power Model '!G86</f>
        <v>0</v>
      </c>
      <c r="H86" s="141">
        <f t="shared" si="5"/>
        <v>108922136.11791554</v>
      </c>
      <c r="I86" s="142">
        <f t="shared" si="3"/>
        <v>-787855.31285369396</v>
      </c>
      <c r="J86" s="5">
        <f t="shared" si="4"/>
        <v>-7.1812539822396909E-3</v>
      </c>
      <c r="K86"/>
      <c r="T86" s="145"/>
      <c r="U86" s="145"/>
      <c r="V86" s="145"/>
      <c r="W86" s="145"/>
      <c r="X86" s="145"/>
      <c r="Y86" s="145"/>
      <c r="Z86" s="145"/>
      <c r="AA86" s="145"/>
      <c r="AB86" s="145"/>
    </row>
    <row r="87" spans="1:28" x14ac:dyDescent="0.2">
      <c r="A87" s="140">
        <v>40179</v>
      </c>
      <c r="B87" s="41">
        <f>+'Purchased Power Model '!B87</f>
        <v>114148404.02769232</v>
      </c>
      <c r="C87" s="119">
        <f>+'Purchased Power Model '!C87</f>
        <v>699.9</v>
      </c>
      <c r="D87" s="119">
        <f>+'Purchased Power Model '!D87</f>
        <v>0</v>
      </c>
      <c r="E87" s="126">
        <f>+'Purchased Power Model '!E87</f>
        <v>0.10300000000000001</v>
      </c>
      <c r="F87" s="10">
        <f>+'Purchased Power Model '!F87</f>
        <v>31</v>
      </c>
      <c r="G87" s="10">
        <f>+'Purchased Power Model '!G87</f>
        <v>0</v>
      </c>
      <c r="H87" s="141">
        <f t="shared" si="5"/>
        <v>111684391.10482481</v>
      </c>
      <c r="I87" s="142">
        <f t="shared" si="3"/>
        <v>-2464012.9228675067</v>
      </c>
      <c r="J87" s="5">
        <f t="shared" si="4"/>
        <v>-2.1586047950961619E-2</v>
      </c>
      <c r="K87"/>
      <c r="T87" s="144"/>
      <c r="U87" s="144"/>
      <c r="V87" s="144"/>
      <c r="W87" s="135"/>
      <c r="X87" s="135"/>
      <c r="Y87" s="135"/>
      <c r="Z87" s="135"/>
      <c r="AA87" s="135"/>
      <c r="AB87" s="135"/>
    </row>
    <row r="88" spans="1:28" x14ac:dyDescent="0.2">
      <c r="A88" s="140">
        <v>40210</v>
      </c>
      <c r="B88" s="41">
        <f>+'Purchased Power Model '!B88</f>
        <v>100280891.65769231</v>
      </c>
      <c r="C88" s="119">
        <f>+'Purchased Power Model '!C88</f>
        <v>583.79999999999995</v>
      </c>
      <c r="D88" s="119">
        <f>+'Purchased Power Model '!D88</f>
        <v>0</v>
      </c>
      <c r="E88" s="126">
        <f>+'Purchased Power Model '!E88</f>
        <v>0.10300000000000001</v>
      </c>
      <c r="F88" s="10">
        <f>+'Purchased Power Model '!F88</f>
        <v>28</v>
      </c>
      <c r="G88" s="10">
        <f>+'Purchased Power Model '!G88</f>
        <v>0</v>
      </c>
      <c r="H88" s="141">
        <f t="shared" si="5"/>
        <v>98577545.669397682</v>
      </c>
      <c r="I88" s="142">
        <f t="shared" si="3"/>
        <v>-1703345.9882946312</v>
      </c>
      <c r="J88" s="5">
        <f t="shared" si="4"/>
        <v>-1.6985748332882633E-2</v>
      </c>
      <c r="K88"/>
      <c r="T88" s="135"/>
      <c r="U88" s="135"/>
      <c r="V88" s="135"/>
      <c r="W88" s="135"/>
      <c r="X88" s="135"/>
      <c r="Y88" s="135"/>
      <c r="Z88" s="135"/>
      <c r="AA88" s="135"/>
      <c r="AB88" s="135"/>
    </row>
    <row r="89" spans="1:28" x14ac:dyDescent="0.2">
      <c r="A89" s="140">
        <v>40238</v>
      </c>
      <c r="B89" s="41">
        <f>+'Purchased Power Model '!B89</f>
        <v>95443611.384615391</v>
      </c>
      <c r="C89" s="119">
        <f>+'Purchased Power Model '!C89</f>
        <v>411</v>
      </c>
      <c r="D89" s="119">
        <f>+'Purchased Power Model '!D89</f>
        <v>0</v>
      </c>
      <c r="E89" s="126">
        <f>+'Purchased Power Model '!E89</f>
        <v>0.10300000000000001</v>
      </c>
      <c r="F89" s="10">
        <f>+'Purchased Power Model '!F89</f>
        <v>31</v>
      </c>
      <c r="G89" s="10">
        <f>+'Purchased Power Model '!G89</f>
        <v>1</v>
      </c>
      <c r="H89" s="141">
        <f t="shared" si="5"/>
        <v>93032667.21967724</v>
      </c>
      <c r="I89" s="142">
        <f t="shared" si="3"/>
        <v>-2410944.1649381518</v>
      </c>
      <c r="J89" s="5">
        <f t="shared" si="4"/>
        <v>-2.5260403812913279E-2</v>
      </c>
      <c r="K89"/>
      <c r="T89" s="135"/>
      <c r="U89" s="135"/>
      <c r="V89" s="135"/>
      <c r="W89" s="135"/>
      <c r="X89" s="135"/>
      <c r="Y89" s="135"/>
      <c r="Z89" s="135"/>
      <c r="AA89" s="135"/>
      <c r="AB89" s="135"/>
    </row>
    <row r="90" spans="1:28" x14ac:dyDescent="0.2">
      <c r="A90" s="140">
        <v>40269</v>
      </c>
      <c r="B90" s="41">
        <f>+'Purchased Power Model '!B90</f>
        <v>80941805.90538463</v>
      </c>
      <c r="C90" s="119">
        <f>+'Purchased Power Model '!C90</f>
        <v>244</v>
      </c>
      <c r="D90" s="119">
        <f>+'Purchased Power Model '!D90</f>
        <v>0</v>
      </c>
      <c r="E90" s="126">
        <f>+'Purchased Power Model '!E90</f>
        <v>9.9000000000000005E-2</v>
      </c>
      <c r="F90" s="10">
        <f>+'Purchased Power Model '!F90</f>
        <v>30</v>
      </c>
      <c r="G90" s="10">
        <f>+'Purchased Power Model '!G90</f>
        <v>1</v>
      </c>
      <c r="H90" s="141">
        <f t="shared" si="5"/>
        <v>83989295.795939699</v>
      </c>
      <c r="I90" s="142">
        <f t="shared" si="3"/>
        <v>3047489.8905550689</v>
      </c>
      <c r="J90" s="5">
        <f t="shared" si="4"/>
        <v>3.7650381733728228E-2</v>
      </c>
      <c r="K90"/>
      <c r="T90" s="135"/>
      <c r="U90" s="135"/>
      <c r="V90" s="135"/>
      <c r="W90" s="135"/>
      <c r="X90" s="135"/>
      <c r="Y90" s="135"/>
      <c r="Z90" s="135"/>
      <c r="AA90" s="135"/>
      <c r="AB90" s="135"/>
    </row>
    <row r="91" spans="1:28" x14ac:dyDescent="0.2">
      <c r="A91" s="140">
        <v>40299</v>
      </c>
      <c r="B91" s="41">
        <f>+'Purchased Power Model '!B91</f>
        <v>87418768.25846155</v>
      </c>
      <c r="C91" s="119">
        <f>+'Purchased Power Model '!C91</f>
        <v>121.7</v>
      </c>
      <c r="D91" s="119">
        <f>+'Purchased Power Model '!D91</f>
        <v>23.2</v>
      </c>
      <c r="E91" s="126">
        <f>+'Purchased Power Model '!E91</f>
        <v>9.9000000000000005E-2</v>
      </c>
      <c r="F91" s="10">
        <f>+'Purchased Power Model '!F91</f>
        <v>31</v>
      </c>
      <c r="G91" s="10">
        <f>+'Purchased Power Model '!G91</f>
        <v>1</v>
      </c>
      <c r="H91" s="141">
        <f t="shared" si="5"/>
        <v>85234379.650115386</v>
      </c>
      <c r="I91" s="142">
        <f t="shared" si="3"/>
        <v>-2184388.6083461642</v>
      </c>
      <c r="J91" s="5">
        <f t="shared" si="4"/>
        <v>-2.4987638831604448E-2</v>
      </c>
      <c r="K91"/>
      <c r="T91" s="135"/>
      <c r="U91" s="135"/>
      <c r="V91" s="135"/>
      <c r="W91" s="135"/>
      <c r="X91" s="135"/>
      <c r="Y91" s="135"/>
      <c r="Z91" s="135"/>
      <c r="AA91" s="135"/>
      <c r="AB91" s="135"/>
    </row>
    <row r="92" spans="1:28" x14ac:dyDescent="0.2">
      <c r="A92" s="140">
        <v>40330</v>
      </c>
      <c r="B92" s="41">
        <f>+'Purchased Power Model '!B92</f>
        <v>89087288.937692314</v>
      </c>
      <c r="C92" s="119">
        <f>+'Purchased Power Model '!C92</f>
        <v>19.399999999999999</v>
      </c>
      <c r="D92" s="119">
        <f>+'Purchased Power Model '!D92</f>
        <v>46.6</v>
      </c>
      <c r="E92" s="126">
        <f>+'Purchased Power Model '!E92</f>
        <v>9.9000000000000005E-2</v>
      </c>
      <c r="F92" s="10">
        <f>+'Purchased Power Model '!F92</f>
        <v>30</v>
      </c>
      <c r="G92" s="10">
        <f>+'Purchased Power Model '!G92</f>
        <v>0</v>
      </c>
      <c r="H92" s="141">
        <f t="shared" si="5"/>
        <v>88713177.264573753</v>
      </c>
      <c r="I92" s="142">
        <f t="shared" si="3"/>
        <v>-374111.67311856151</v>
      </c>
      <c r="J92" s="5">
        <f t="shared" si="4"/>
        <v>-4.199383296759826E-3</v>
      </c>
      <c r="K92"/>
      <c r="T92" s="135"/>
      <c r="U92" s="135"/>
      <c r="V92" s="135"/>
      <c r="W92" s="135"/>
      <c r="X92" s="135"/>
      <c r="Y92" s="135"/>
      <c r="Z92" s="135"/>
      <c r="AA92" s="135"/>
      <c r="AB92" s="135"/>
    </row>
    <row r="93" spans="1:28" x14ac:dyDescent="0.2">
      <c r="A93" s="140">
        <v>40360</v>
      </c>
      <c r="B93" s="41">
        <f>+'Purchased Power Model '!B93</f>
        <v>107904059.08</v>
      </c>
      <c r="C93" s="119">
        <f>+'Purchased Power Model '!C93</f>
        <v>3.5</v>
      </c>
      <c r="D93" s="119">
        <f>+'Purchased Power Model '!D93</f>
        <v>124</v>
      </c>
      <c r="E93" s="126">
        <f>+'Purchased Power Model '!E93</f>
        <v>0.10400000000000001</v>
      </c>
      <c r="F93" s="10">
        <f>+'Purchased Power Model '!F93</f>
        <v>31</v>
      </c>
      <c r="G93" s="10">
        <f>+'Purchased Power Model '!G93</f>
        <v>0</v>
      </c>
      <c r="H93" s="141">
        <f t="shared" si="5"/>
        <v>101471993.61349142</v>
      </c>
      <c r="I93" s="142">
        <f t="shared" si="3"/>
        <v>-6432065.4665085822</v>
      </c>
      <c r="J93" s="5">
        <f t="shared" si="4"/>
        <v>-5.9609114998536369E-2</v>
      </c>
      <c r="K93"/>
      <c r="T93" s="135"/>
      <c r="U93" s="135"/>
      <c r="V93" s="135"/>
      <c r="W93" s="135"/>
      <c r="X93" s="135"/>
      <c r="Y93" s="135"/>
      <c r="Z93" s="135"/>
      <c r="AA93" s="135"/>
      <c r="AB93" s="135"/>
    </row>
    <row r="94" spans="1:28" x14ac:dyDescent="0.2">
      <c r="A94" s="140">
        <v>40391</v>
      </c>
      <c r="B94" s="41">
        <f>+'Purchased Power Model '!B94</f>
        <v>102274426.19461538</v>
      </c>
      <c r="C94" s="119">
        <f>+'Purchased Power Model '!C94</f>
        <v>3.2</v>
      </c>
      <c r="D94" s="119">
        <f>+'Purchased Power Model '!D94</f>
        <v>96.8</v>
      </c>
      <c r="E94" s="126">
        <f>+'Purchased Power Model '!E94</f>
        <v>0.10400000000000001</v>
      </c>
      <c r="F94" s="10">
        <f>+'Purchased Power Model '!F94</f>
        <v>31</v>
      </c>
      <c r="G94" s="10">
        <f>+'Purchased Power Model '!G94</f>
        <v>0</v>
      </c>
      <c r="H94" s="141">
        <f t="shared" si="5"/>
        <v>97523680.076638371</v>
      </c>
      <c r="I94" s="142">
        <f t="shared" si="3"/>
        <v>-4750746.1179770082</v>
      </c>
      <c r="J94" s="5">
        <f t="shared" si="4"/>
        <v>-4.645096819156859E-2</v>
      </c>
      <c r="K94"/>
      <c r="T94" s="135"/>
      <c r="U94" s="135"/>
      <c r="V94" s="135"/>
      <c r="W94" s="135"/>
      <c r="X94" s="135"/>
      <c r="Y94" s="135"/>
      <c r="Z94" s="135"/>
      <c r="AA94" s="135"/>
      <c r="AB94" s="135"/>
    </row>
    <row r="95" spans="1:28" x14ac:dyDescent="0.2">
      <c r="A95" s="140">
        <v>40422</v>
      </c>
      <c r="B95" s="41">
        <f>+'Purchased Power Model '!B95</f>
        <v>83491002.500769228</v>
      </c>
      <c r="C95" s="119">
        <f>+'Purchased Power Model '!C95</f>
        <v>85.5</v>
      </c>
      <c r="D95" s="119">
        <f>+'Purchased Power Model '!D95</f>
        <v>18.5</v>
      </c>
      <c r="E95" s="126">
        <f>+'Purchased Power Model '!E95</f>
        <v>0.10400000000000001</v>
      </c>
      <c r="F95" s="10">
        <f>+'Purchased Power Model '!F95</f>
        <v>30</v>
      </c>
      <c r="G95" s="10">
        <f>+'Purchased Power Model '!G95</f>
        <v>1</v>
      </c>
      <c r="H95" s="141">
        <f t="shared" si="5"/>
        <v>79672858.85705696</v>
      </c>
      <c r="I95" s="142">
        <f t="shared" si="3"/>
        <v>-3818143.6437122673</v>
      </c>
      <c r="J95" s="5">
        <f t="shared" si="4"/>
        <v>-4.5731198923825232E-2</v>
      </c>
      <c r="K95"/>
      <c r="T95" s="135"/>
      <c r="U95" s="135"/>
      <c r="V95" s="135"/>
      <c r="W95" s="135"/>
      <c r="X95" s="135"/>
      <c r="Y95" s="135"/>
      <c r="Z95" s="135"/>
      <c r="AA95" s="135"/>
      <c r="AB95" s="135"/>
    </row>
    <row r="96" spans="1:28" x14ac:dyDescent="0.2">
      <c r="A96" s="140">
        <v>40452</v>
      </c>
      <c r="B96" s="41">
        <f>+'Purchased Power Model '!B96</f>
        <v>84900189.230769232</v>
      </c>
      <c r="C96" s="119">
        <f>+'Purchased Power Model '!C96</f>
        <v>247.8</v>
      </c>
      <c r="D96" s="119">
        <f>+'Purchased Power Model '!D96</f>
        <v>0</v>
      </c>
      <c r="E96" s="126">
        <f>+'Purchased Power Model '!E96</f>
        <v>9.3000000000000013E-2</v>
      </c>
      <c r="F96" s="10">
        <f>+'Purchased Power Model '!F96</f>
        <v>31</v>
      </c>
      <c r="G96" s="10">
        <f>+'Purchased Power Model '!G96</f>
        <v>1</v>
      </c>
      <c r="H96" s="141">
        <f t="shared" si="5"/>
        <v>87688969.053121537</v>
      </c>
      <c r="I96" s="142">
        <f t="shared" si="3"/>
        <v>2788779.8223523051</v>
      </c>
      <c r="J96" s="5">
        <f t="shared" si="4"/>
        <v>3.2847745660166384E-2</v>
      </c>
      <c r="K96"/>
      <c r="T96" s="135"/>
      <c r="U96" s="135"/>
      <c r="V96" s="135"/>
      <c r="W96" s="135"/>
      <c r="X96" s="135"/>
      <c r="Y96" s="135"/>
      <c r="Z96" s="135"/>
      <c r="AA96" s="135"/>
      <c r="AB96" s="135"/>
    </row>
    <row r="97" spans="1:28" x14ac:dyDescent="0.2">
      <c r="A97" s="140">
        <v>40483</v>
      </c>
      <c r="B97" s="41">
        <f>+'Purchased Power Model '!B97</f>
        <v>91736751.63692309</v>
      </c>
      <c r="C97" s="119">
        <f>+'Purchased Power Model '!C97</f>
        <v>389.2</v>
      </c>
      <c r="D97" s="119">
        <f>+'Purchased Power Model '!D97</f>
        <v>0</v>
      </c>
      <c r="E97" s="126">
        <f>+'Purchased Power Model '!E97</f>
        <v>9.3000000000000013E-2</v>
      </c>
      <c r="F97" s="10">
        <f>+'Purchased Power Model '!F97</f>
        <v>30</v>
      </c>
      <c r="G97" s="10">
        <f>+'Purchased Power Model '!G97</f>
        <v>1</v>
      </c>
      <c r="H97" s="141">
        <f t="shared" si="5"/>
        <v>90570156.349367842</v>
      </c>
      <c r="I97" s="142">
        <f t="shared" si="3"/>
        <v>-1166595.2875552475</v>
      </c>
      <c r="J97" s="5">
        <f t="shared" si="4"/>
        <v>-1.2716771269299066E-2</v>
      </c>
      <c r="K97"/>
      <c r="T97" s="135"/>
      <c r="U97" s="135"/>
      <c r="V97" s="135"/>
      <c r="W97" s="135"/>
      <c r="X97" s="135"/>
      <c r="Y97" s="135"/>
      <c r="Z97" s="135"/>
      <c r="AA97" s="135"/>
      <c r="AB97" s="135"/>
    </row>
    <row r="98" spans="1:28" x14ac:dyDescent="0.2">
      <c r="A98" s="140">
        <v>40513</v>
      </c>
      <c r="B98" s="41">
        <f>+'Purchased Power Model '!B98</f>
        <v>110862133</v>
      </c>
      <c r="C98" s="119">
        <f>+'Purchased Power Model '!C98</f>
        <v>628.70000000000005</v>
      </c>
      <c r="D98" s="119">
        <f>+'Purchased Power Model '!D98</f>
        <v>0</v>
      </c>
      <c r="E98" s="126">
        <f>+'Purchased Power Model '!E98</f>
        <v>9.3000000000000013E-2</v>
      </c>
      <c r="F98" s="10">
        <f>+'Purchased Power Model '!F98</f>
        <v>31</v>
      </c>
      <c r="G98" s="10">
        <f>+'Purchased Power Model '!G98</f>
        <v>0</v>
      </c>
      <c r="H98" s="141">
        <f t="shared" si="5"/>
        <v>110044260.35234143</v>
      </c>
      <c r="I98" s="142">
        <f t="shared" si="3"/>
        <v>-817872.6476585716</v>
      </c>
      <c r="J98" s="5">
        <f t="shared" si="4"/>
        <v>-7.3773850955814787E-3</v>
      </c>
      <c r="K98"/>
      <c r="T98" s="135"/>
      <c r="U98" s="135"/>
      <c r="V98" s="135"/>
      <c r="W98" s="135"/>
      <c r="X98" s="135"/>
      <c r="Y98" s="135"/>
      <c r="Z98" s="135"/>
      <c r="AA98" s="135"/>
      <c r="AB98" s="135"/>
    </row>
    <row r="99" spans="1:28" x14ac:dyDescent="0.2">
      <c r="A99" s="140">
        <v>40544</v>
      </c>
      <c r="B99" s="41">
        <f>+'Purchased Power Model '!B99</f>
        <v>113644387.32076925</v>
      </c>
      <c r="C99" s="119">
        <f>+'Purchased Power Model '!C99</f>
        <v>760.9</v>
      </c>
      <c r="D99" s="119">
        <f>+'Purchased Power Model '!D99</f>
        <v>0</v>
      </c>
      <c r="E99" s="126">
        <f>+'Purchased Power Model '!E99</f>
        <v>8.6999999999999994E-2</v>
      </c>
      <c r="F99" s="10">
        <f>+'Purchased Power Model '!F99</f>
        <v>31</v>
      </c>
      <c r="G99" s="10">
        <f>+'Purchased Power Model '!G99</f>
        <v>0</v>
      </c>
      <c r="H99" s="141">
        <f t="shared" si="5"/>
        <v>116101790.72769414</v>
      </c>
      <c r="I99" s="142">
        <f t="shared" si="3"/>
        <v>2457403.4069248885</v>
      </c>
      <c r="J99" s="5">
        <f t="shared" si="4"/>
        <v>2.1623623171012355E-2</v>
      </c>
      <c r="K99"/>
      <c r="T99" s="144"/>
      <c r="U99" s="144"/>
      <c r="V99" s="144"/>
      <c r="W99" s="135"/>
      <c r="X99" s="135"/>
      <c r="Y99" s="135"/>
      <c r="Z99" s="135"/>
      <c r="AA99" s="135"/>
      <c r="AB99" s="135"/>
    </row>
    <row r="100" spans="1:28" x14ac:dyDescent="0.2">
      <c r="A100" s="140">
        <v>40575</v>
      </c>
      <c r="B100" s="41">
        <f>+'Purchased Power Model '!B100</f>
        <v>100561048.38461539</v>
      </c>
      <c r="C100" s="119">
        <f>+'Purchased Power Model '!C100</f>
        <v>634.19999999999993</v>
      </c>
      <c r="D100" s="119">
        <f>+'Purchased Power Model '!D100</f>
        <v>0</v>
      </c>
      <c r="E100" s="126">
        <f>+'Purchased Power Model '!E100</f>
        <v>8.6999999999999994E-2</v>
      </c>
      <c r="F100" s="10">
        <f>+'Purchased Power Model '!F100</f>
        <v>28</v>
      </c>
      <c r="G100" s="10">
        <f>+'Purchased Power Model '!G100</f>
        <v>0</v>
      </c>
      <c r="H100" s="141">
        <f t="shared" si="5"/>
        <v>102568229.91629781</v>
      </c>
      <c r="I100" s="142">
        <f t="shared" si="3"/>
        <v>2007181.5316824168</v>
      </c>
      <c r="J100" s="5">
        <f t="shared" si="4"/>
        <v>1.995983100738527E-2</v>
      </c>
      <c r="K100"/>
      <c r="T100" s="135"/>
      <c r="U100" s="135"/>
      <c r="V100" s="135"/>
      <c r="W100" s="135"/>
      <c r="X100" s="135"/>
      <c r="Y100" s="135"/>
      <c r="Z100" s="135"/>
      <c r="AA100" s="135"/>
      <c r="AB100" s="135"/>
    </row>
    <row r="101" spans="1:28" x14ac:dyDescent="0.2">
      <c r="A101" s="140">
        <v>40603</v>
      </c>
      <c r="B101" s="41">
        <f>+'Purchased Power Model '!B101</f>
        <v>102613396.81846155</v>
      </c>
      <c r="C101" s="119">
        <f>+'Purchased Power Model '!C101</f>
        <v>559.80000000000007</v>
      </c>
      <c r="D101" s="119">
        <f>+'Purchased Power Model '!D101</f>
        <v>0</v>
      </c>
      <c r="E101" s="126">
        <f>+'Purchased Power Model '!E101</f>
        <v>8.6999999999999994E-2</v>
      </c>
      <c r="F101" s="10">
        <f>+'Purchased Power Model '!F101</f>
        <v>31</v>
      </c>
      <c r="G101" s="10">
        <f>+'Purchased Power Model '!G101</f>
        <v>1</v>
      </c>
      <c r="H101" s="141">
        <f t="shared" si="5"/>
        <v>100984558.35293299</v>
      </c>
      <c r="I101" s="142">
        <f t="shared" si="3"/>
        <v>-1628838.4655285627</v>
      </c>
      <c r="J101" s="5">
        <f t="shared" si="4"/>
        <v>-1.5873545911458536E-2</v>
      </c>
      <c r="K101"/>
      <c r="T101" s="135"/>
      <c r="U101" s="135"/>
      <c r="V101" s="135"/>
      <c r="W101" s="135"/>
      <c r="X101" s="135"/>
      <c r="Y101" s="135"/>
      <c r="Z101" s="135"/>
      <c r="AA101" s="135"/>
      <c r="AB101" s="135"/>
    </row>
    <row r="102" spans="1:28" x14ac:dyDescent="0.2">
      <c r="A102" s="140">
        <v>40634</v>
      </c>
      <c r="B102" s="41">
        <f>+'Purchased Power Model '!B102</f>
        <v>87015565.163076922</v>
      </c>
      <c r="C102" s="119">
        <f>+'Purchased Power Model '!C102</f>
        <v>350.79999999999995</v>
      </c>
      <c r="D102" s="119">
        <f>+'Purchased Power Model '!D102</f>
        <v>0</v>
      </c>
      <c r="E102" s="126">
        <f>+'Purchased Power Model '!E102</f>
        <v>9.3000000000000013E-2</v>
      </c>
      <c r="F102" s="10">
        <f>+'Purchased Power Model '!F102</f>
        <v>30</v>
      </c>
      <c r="G102" s="10">
        <f>+'Purchased Power Model '!G102</f>
        <v>1</v>
      </c>
      <c r="H102" s="141">
        <f t="shared" si="5"/>
        <v>89024319.515668094</v>
      </c>
      <c r="I102" s="142">
        <f t="shared" si="3"/>
        <v>2008754.3525911719</v>
      </c>
      <c r="J102" s="5">
        <f t="shared" si="4"/>
        <v>2.3085000353977373E-2</v>
      </c>
      <c r="K102"/>
      <c r="T102" s="135"/>
      <c r="U102" s="135"/>
      <c r="V102" s="135"/>
      <c r="W102" s="135"/>
      <c r="X102" s="135"/>
      <c r="Y102" s="135"/>
      <c r="Z102" s="135"/>
      <c r="AA102" s="135"/>
      <c r="AB102" s="135"/>
    </row>
    <row r="103" spans="1:28" x14ac:dyDescent="0.2">
      <c r="A103" s="140">
        <v>40664</v>
      </c>
      <c r="B103" s="41">
        <f>+'Purchased Power Model '!B103</f>
        <v>82921009.75</v>
      </c>
      <c r="C103" s="119">
        <f>+'Purchased Power Model '!C103</f>
        <v>157.69999999999996</v>
      </c>
      <c r="D103" s="119">
        <f>+'Purchased Power Model '!D103</f>
        <v>2.8</v>
      </c>
      <c r="E103" s="126">
        <f>+'Purchased Power Model '!E103</f>
        <v>9.3000000000000013E-2</v>
      </c>
      <c r="F103" s="10">
        <f>+'Purchased Power Model '!F103</f>
        <v>31</v>
      </c>
      <c r="G103" s="10">
        <f>+'Purchased Power Model '!G103</f>
        <v>1</v>
      </c>
      <c r="H103" s="141">
        <f t="shared" si="5"/>
        <v>84467089.192767546</v>
      </c>
      <c r="I103" s="142">
        <f t="shared" si="3"/>
        <v>1546079.4427675456</v>
      </c>
      <c r="J103" s="5">
        <f t="shared" si="4"/>
        <v>1.8645207619020169E-2</v>
      </c>
      <c r="K103"/>
      <c r="T103" s="135"/>
      <c r="U103" s="135"/>
      <c r="V103" s="135"/>
      <c r="W103" s="135"/>
      <c r="X103" s="135"/>
      <c r="Y103" s="135"/>
      <c r="Z103" s="135"/>
      <c r="AA103" s="135"/>
      <c r="AB103" s="135"/>
    </row>
    <row r="104" spans="1:28" x14ac:dyDescent="0.2">
      <c r="A104" s="140">
        <v>40695</v>
      </c>
      <c r="B104" s="41">
        <f>+'Purchased Power Model '!B104</f>
        <v>88149132.009230778</v>
      </c>
      <c r="C104" s="119">
        <f>+'Purchased Power Model '!C104</f>
        <v>26.699999999999996</v>
      </c>
      <c r="D104" s="119">
        <f>+'Purchased Power Model '!D104</f>
        <v>36.900000000000006</v>
      </c>
      <c r="E104" s="126">
        <f>+'Purchased Power Model '!E104</f>
        <v>9.3000000000000013E-2</v>
      </c>
      <c r="F104" s="10">
        <f>+'Purchased Power Model '!F104</f>
        <v>30</v>
      </c>
      <c r="G104" s="10">
        <f>+'Purchased Power Model '!G104</f>
        <v>0</v>
      </c>
      <c r="H104" s="141">
        <f t="shared" si="5"/>
        <v>88338980.848209575</v>
      </c>
      <c r="I104" s="142">
        <f t="shared" si="3"/>
        <v>189848.8389787972</v>
      </c>
      <c r="J104" s="5">
        <f t="shared" si="4"/>
        <v>2.153723294279479E-3</v>
      </c>
      <c r="K104"/>
      <c r="T104" s="135"/>
      <c r="U104" s="135"/>
      <c r="V104" s="135"/>
      <c r="W104" s="135"/>
      <c r="X104" s="135"/>
      <c r="Y104" s="135"/>
      <c r="Z104" s="135"/>
      <c r="AA104" s="135"/>
      <c r="AB104" s="135"/>
    </row>
    <row r="105" spans="1:28" x14ac:dyDescent="0.2">
      <c r="A105" s="140">
        <v>40725</v>
      </c>
      <c r="B105" s="41">
        <f>+'Purchased Power Model '!B105</f>
        <v>108927664.71923079</v>
      </c>
      <c r="C105" s="119">
        <f>+'Purchased Power Model '!C105</f>
        <v>0.2</v>
      </c>
      <c r="D105" s="119">
        <f>+'Purchased Power Model '!D105</f>
        <v>141.19999999999999</v>
      </c>
      <c r="E105" s="126">
        <f>+'Purchased Power Model '!E105</f>
        <v>7.2000000000000008E-2</v>
      </c>
      <c r="F105" s="10">
        <f>+'Purchased Power Model '!F105</f>
        <v>31</v>
      </c>
      <c r="G105" s="10">
        <f>+'Purchased Power Model '!G105</f>
        <v>0</v>
      </c>
      <c r="H105" s="141">
        <f t="shared" si="5"/>
        <v>107751785.91186549</v>
      </c>
      <c r="I105" s="142">
        <f t="shared" si="3"/>
        <v>-1175878.8073652983</v>
      </c>
      <c r="J105" s="5">
        <f t="shared" si="4"/>
        <v>-1.0795042842387321E-2</v>
      </c>
      <c r="K105"/>
      <c r="T105" s="135"/>
      <c r="U105" s="135"/>
      <c r="V105" s="135"/>
      <c r="W105" s="135"/>
      <c r="X105" s="135"/>
      <c r="Y105" s="135"/>
      <c r="Z105" s="135"/>
      <c r="AA105" s="135"/>
      <c r="AB105" s="135"/>
    </row>
    <row r="106" spans="1:28" x14ac:dyDescent="0.2">
      <c r="A106" s="140">
        <v>40756</v>
      </c>
      <c r="B106" s="41">
        <f>+'Purchased Power Model '!B106</f>
        <v>100307973.92692308</v>
      </c>
      <c r="C106" s="119">
        <f>+'Purchased Power Model '!C106</f>
        <v>3.7</v>
      </c>
      <c r="D106" s="119">
        <f>+'Purchased Power Model '!D106</f>
        <v>80.499999999999957</v>
      </c>
      <c r="E106" s="126">
        <f>+'Purchased Power Model '!E106</f>
        <v>7.2000000000000008E-2</v>
      </c>
      <c r="F106" s="10">
        <f>+'Purchased Power Model '!F106</f>
        <v>31</v>
      </c>
      <c r="G106" s="10">
        <f>+'Purchased Power Model '!G106</f>
        <v>0</v>
      </c>
      <c r="H106" s="141">
        <f t="shared" si="5"/>
        <v>99108507.245476365</v>
      </c>
      <c r="I106" s="142">
        <f t="shared" si="3"/>
        <v>-1199466.6814467162</v>
      </c>
      <c r="J106" s="5">
        <f t="shared" si="4"/>
        <v>-1.1957839785703958E-2</v>
      </c>
      <c r="K106"/>
      <c r="T106" s="135"/>
      <c r="U106" s="135"/>
      <c r="V106" s="135"/>
      <c r="W106" s="135"/>
      <c r="X106" s="135"/>
      <c r="Y106" s="135"/>
      <c r="Z106" s="135"/>
      <c r="AA106" s="135"/>
      <c r="AB106" s="135"/>
    </row>
    <row r="107" spans="1:28" x14ac:dyDescent="0.2">
      <c r="A107" s="140">
        <v>40787</v>
      </c>
      <c r="B107" s="41">
        <f>+'Purchased Power Model '!B107</f>
        <v>85805170.040769234</v>
      </c>
      <c r="C107" s="119">
        <f>+'Purchased Power Model '!C107</f>
        <v>48.900000000000006</v>
      </c>
      <c r="D107" s="119">
        <f>+'Purchased Power Model '!D107</f>
        <v>34.6</v>
      </c>
      <c r="E107" s="126">
        <f>+'Purchased Power Model '!E107</f>
        <v>7.2000000000000008E-2</v>
      </c>
      <c r="F107" s="10">
        <f>+'Purchased Power Model '!F107</f>
        <v>30</v>
      </c>
      <c r="G107" s="10">
        <f>+'Purchased Power Model '!G107</f>
        <v>1</v>
      </c>
      <c r="H107" s="141">
        <f t="shared" si="5"/>
        <v>84452934.733734667</v>
      </c>
      <c r="I107" s="142">
        <f t="shared" si="3"/>
        <v>-1352235.307034567</v>
      </c>
      <c r="J107" s="5">
        <f t="shared" si="4"/>
        <v>-1.5759368653334872E-2</v>
      </c>
      <c r="K107"/>
      <c r="T107" s="135"/>
      <c r="U107" s="135"/>
      <c r="V107" s="135"/>
      <c r="W107" s="135"/>
      <c r="X107" s="135"/>
      <c r="Y107" s="135"/>
      <c r="Z107" s="135"/>
      <c r="AA107" s="135"/>
      <c r="AB107" s="135"/>
    </row>
    <row r="108" spans="1:28" x14ac:dyDescent="0.2">
      <c r="A108" s="140">
        <v>40817</v>
      </c>
      <c r="B108" s="41">
        <f>+'Purchased Power Model '!B108</f>
        <v>85767949.723076925</v>
      </c>
      <c r="C108" s="119">
        <f>+'Purchased Power Model '!C108</f>
        <v>225.29999999999998</v>
      </c>
      <c r="D108" s="119">
        <f>+'Purchased Power Model '!D108</f>
        <v>0</v>
      </c>
      <c r="E108" s="126">
        <f>+'Purchased Power Model '!E108</f>
        <v>7.2000000000000008E-2</v>
      </c>
      <c r="F108" s="10">
        <f>+'Purchased Power Model '!F108</f>
        <v>31</v>
      </c>
      <c r="G108" s="10">
        <f>+'Purchased Power Model '!G108</f>
        <v>1</v>
      </c>
      <c r="H108" s="141">
        <f t="shared" si="5"/>
        <v>89358032.874378905</v>
      </c>
      <c r="I108" s="142">
        <f t="shared" si="3"/>
        <v>3590083.15130198</v>
      </c>
      <c r="J108" s="5">
        <f t="shared" si="4"/>
        <v>4.1858096910249727E-2</v>
      </c>
      <c r="K108"/>
      <c r="T108" s="135"/>
      <c r="U108" s="135"/>
      <c r="V108" s="135"/>
      <c r="W108" s="135"/>
      <c r="X108" s="135"/>
      <c r="Y108" s="135"/>
      <c r="Z108" s="135"/>
      <c r="AA108" s="135"/>
      <c r="AB108" s="135"/>
    </row>
    <row r="109" spans="1:28" x14ac:dyDescent="0.2">
      <c r="A109" s="140">
        <v>40848</v>
      </c>
      <c r="B109" s="41">
        <f>+'Purchased Power Model '!B109</f>
        <v>89407468.154615387</v>
      </c>
      <c r="C109" s="119">
        <f>+'Purchased Power Model '!C109</f>
        <v>349.69999999999993</v>
      </c>
      <c r="D109" s="119">
        <f>+'Purchased Power Model '!D109</f>
        <v>0</v>
      </c>
      <c r="E109" s="126">
        <f>+'Purchased Power Model '!E109</f>
        <v>7.2000000000000008E-2</v>
      </c>
      <c r="F109" s="10">
        <f>+'Purchased Power Model '!F109</f>
        <v>30</v>
      </c>
      <c r="G109" s="10">
        <f>+'Purchased Power Model '!G109</f>
        <v>1</v>
      </c>
      <c r="H109" s="141">
        <f t="shared" si="5"/>
        <v>91554865.32237272</v>
      </c>
      <c r="I109" s="142">
        <f t="shared" si="3"/>
        <v>2147397.1677573323</v>
      </c>
      <c r="J109" s="5">
        <f t="shared" si="4"/>
        <v>2.4018096162210577E-2</v>
      </c>
      <c r="K109"/>
      <c r="T109" s="135"/>
      <c r="U109" s="135"/>
      <c r="V109" s="135"/>
      <c r="W109" s="135"/>
      <c r="X109" s="135"/>
      <c r="Y109" s="135"/>
      <c r="Z109" s="135"/>
      <c r="AA109" s="135"/>
      <c r="AB109" s="135"/>
    </row>
    <row r="110" spans="1:28" x14ac:dyDescent="0.2">
      <c r="A110" s="140">
        <v>40878</v>
      </c>
      <c r="B110" s="41">
        <f>+'Purchased Power Model '!B110</f>
        <v>103511621.38461539</v>
      </c>
      <c r="C110" s="119">
        <f>+'Purchased Power Model '!C110</f>
        <v>531.20000000000005</v>
      </c>
      <c r="D110" s="119">
        <f>+'Purchased Power Model '!D110</f>
        <v>0</v>
      </c>
      <c r="E110" s="126">
        <f>+'Purchased Power Model '!E110</f>
        <v>7.2000000000000008E-2</v>
      </c>
      <c r="F110" s="10">
        <f>+'Purchased Power Model '!F110</f>
        <v>31</v>
      </c>
      <c r="G110" s="10">
        <f>+'Purchased Power Model '!G110</f>
        <v>0</v>
      </c>
      <c r="H110" s="141">
        <f t="shared" si="5"/>
        <v>108694111.60777897</v>
      </c>
      <c r="I110" s="142">
        <f t="shared" si="3"/>
        <v>5182490.2231635749</v>
      </c>
      <c r="J110" s="5">
        <f t="shared" si="4"/>
        <v>5.0066747615778652E-2</v>
      </c>
      <c r="K110"/>
      <c r="T110" s="135"/>
      <c r="U110" s="135"/>
      <c r="V110" s="135"/>
      <c r="W110" s="135"/>
      <c r="X110" s="135"/>
      <c r="Y110" s="135"/>
      <c r="Z110" s="135"/>
      <c r="AA110" s="135"/>
      <c r="AB110" s="135"/>
    </row>
    <row r="111" spans="1:28" x14ac:dyDescent="0.2">
      <c r="A111" s="140">
        <v>40909</v>
      </c>
      <c r="B111" s="41">
        <f>+'Purchased Power Model '!B111</f>
        <v>107982172.33461541</v>
      </c>
      <c r="C111" s="119">
        <f>+'Purchased Power Model '!C111</f>
        <v>611</v>
      </c>
      <c r="D111" s="119">
        <f>+'Purchased Power Model '!D111</f>
        <v>0</v>
      </c>
      <c r="E111" s="126">
        <f>+'Purchased Power Model '!E111</f>
        <v>0.08</v>
      </c>
      <c r="F111" s="10">
        <f>+'Purchased Power Model '!F111</f>
        <v>31</v>
      </c>
      <c r="G111" s="10">
        <f>+'Purchased Power Model '!G111</f>
        <v>0</v>
      </c>
      <c r="H111" s="141">
        <f t="shared" si="5"/>
        <v>110925667.07647668</v>
      </c>
      <c r="I111" s="142">
        <f t="shared" si="3"/>
        <v>2943494.7418612689</v>
      </c>
      <c r="J111" s="5">
        <f t="shared" si="4"/>
        <v>2.7259080626197817E-2</v>
      </c>
      <c r="K111"/>
      <c r="T111" s="144"/>
      <c r="U111" s="144"/>
      <c r="V111" s="144"/>
      <c r="W111" s="135"/>
      <c r="X111" s="135"/>
      <c r="Y111" s="135"/>
      <c r="Z111" s="135"/>
      <c r="AA111" s="135"/>
      <c r="AB111" s="135"/>
    </row>
    <row r="112" spans="1:28" x14ac:dyDescent="0.2">
      <c r="A112" s="140">
        <v>40940</v>
      </c>
      <c r="B112" s="41">
        <f>+'Purchased Power Model '!B112</f>
        <v>97310518.529230773</v>
      </c>
      <c r="C112" s="119">
        <f>+'Purchased Power Model '!C112</f>
        <v>536.20000000000005</v>
      </c>
      <c r="D112" s="119">
        <f>+'Purchased Power Model '!D112</f>
        <v>0</v>
      </c>
      <c r="E112" s="126">
        <f>+'Purchased Power Model '!E112</f>
        <v>0.08</v>
      </c>
      <c r="F112" s="10">
        <f>+'Purchased Power Model '!F112</f>
        <v>29</v>
      </c>
      <c r="G112" s="10">
        <f>+'Purchased Power Model '!G112</f>
        <v>0</v>
      </c>
      <c r="H112" s="141">
        <f t="shared" si="5"/>
        <v>102292436.15514034</v>
      </c>
      <c r="I112" s="142">
        <f t="shared" si="3"/>
        <v>4981917.6259095669</v>
      </c>
      <c r="J112" s="5">
        <f t="shared" si="4"/>
        <v>5.1196085492166664E-2</v>
      </c>
      <c r="K112"/>
      <c r="T112" s="135"/>
      <c r="U112" s="135"/>
      <c r="V112" s="135"/>
      <c r="W112" s="135"/>
      <c r="X112" s="135"/>
      <c r="Y112" s="135"/>
      <c r="Z112" s="135"/>
      <c r="AA112" s="135"/>
      <c r="AB112" s="135"/>
    </row>
    <row r="113" spans="1:28" x14ac:dyDescent="0.2">
      <c r="A113" s="140">
        <v>40969</v>
      </c>
      <c r="B113" s="41">
        <f>+'Purchased Power Model '!B113</f>
        <v>92940593.720769227</v>
      </c>
      <c r="C113" s="119">
        <f>+'Purchased Power Model '!C113</f>
        <v>399.39999999999992</v>
      </c>
      <c r="D113" s="119">
        <f>+'Purchased Power Model '!D113</f>
        <v>0</v>
      </c>
      <c r="E113" s="126">
        <f>+'Purchased Power Model '!E113</f>
        <v>0.08</v>
      </c>
      <c r="F113" s="10">
        <f>+'Purchased Power Model '!F113</f>
        <v>31</v>
      </c>
      <c r="G113" s="10">
        <f>+'Purchased Power Model '!G113</f>
        <v>1</v>
      </c>
      <c r="H113" s="141">
        <f t="shared" si="5"/>
        <v>95385744.94250074</v>
      </c>
      <c r="I113" s="142">
        <f t="shared" si="3"/>
        <v>2445151.2217315137</v>
      </c>
      <c r="J113" s="5">
        <f t="shared" si="4"/>
        <v>2.6308754052913923E-2</v>
      </c>
      <c r="K113"/>
      <c r="T113" s="135"/>
      <c r="U113" s="135"/>
      <c r="V113" s="135"/>
      <c r="W113" s="135"/>
      <c r="X113" s="135"/>
      <c r="Y113" s="135"/>
      <c r="Z113" s="135"/>
      <c r="AA113" s="135"/>
      <c r="AB113" s="135"/>
    </row>
    <row r="114" spans="1:28" x14ac:dyDescent="0.2">
      <c r="A114" s="140">
        <v>41000</v>
      </c>
      <c r="B114" s="41">
        <f>+'Purchased Power Model '!B114</f>
        <v>84061512.170000002</v>
      </c>
      <c r="C114" s="119">
        <f>+'Purchased Power Model '!C114</f>
        <v>336.89999999999992</v>
      </c>
      <c r="D114" s="119">
        <f>+'Purchased Power Model '!D114</f>
        <v>0</v>
      </c>
      <c r="E114" s="126">
        <f>+'Purchased Power Model '!E114</f>
        <v>8.4000000000000005E-2</v>
      </c>
      <c r="F114" s="10">
        <f>+'Purchased Power Model '!F114</f>
        <v>30</v>
      </c>
      <c r="G114" s="10">
        <f>+'Purchased Power Model '!G114</f>
        <v>1</v>
      </c>
      <c r="H114" s="141">
        <f t="shared" si="5"/>
        <v>89568256.325804234</v>
      </c>
      <c r="I114" s="142">
        <f t="shared" si="3"/>
        <v>5506744.1558042318</v>
      </c>
      <c r="J114" s="5">
        <f t="shared" si="4"/>
        <v>6.5508506968894223E-2</v>
      </c>
      <c r="K114"/>
      <c r="T114" s="135"/>
      <c r="U114" s="135"/>
      <c r="V114" s="135"/>
      <c r="W114" s="135"/>
      <c r="X114" s="135"/>
      <c r="Y114" s="135"/>
      <c r="Z114" s="135"/>
      <c r="AA114" s="135"/>
      <c r="AB114" s="135"/>
    </row>
    <row r="115" spans="1:28" x14ac:dyDescent="0.2">
      <c r="A115" s="140">
        <v>41030</v>
      </c>
      <c r="B115" s="41">
        <f>+'Purchased Power Model '!B115</f>
        <v>84298340.921818167</v>
      </c>
      <c r="C115" s="119">
        <f>+'Purchased Power Model '!C115</f>
        <v>109.30000000000001</v>
      </c>
      <c r="D115" s="119">
        <f>+'Purchased Power Model '!D115</f>
        <v>21.8</v>
      </c>
      <c r="E115" s="126">
        <f>+'Purchased Power Model '!E115</f>
        <v>8.4000000000000005E-2</v>
      </c>
      <c r="F115" s="10">
        <f>+'Purchased Power Model '!F115</f>
        <v>31</v>
      </c>
      <c r="G115" s="10">
        <f>+'Purchased Power Model '!G115</f>
        <v>1</v>
      </c>
      <c r="H115" s="141">
        <f t="shared" si="5"/>
        <v>86371765.31987676</v>
      </c>
      <c r="I115" s="142">
        <f t="shared" si="3"/>
        <v>2073424.3980585933</v>
      </c>
      <c r="J115" s="5">
        <f t="shared" si="4"/>
        <v>2.4596265779199312E-2</v>
      </c>
      <c r="K115"/>
      <c r="T115" s="135"/>
      <c r="U115" s="135"/>
      <c r="V115" s="135"/>
      <c r="W115" s="135"/>
      <c r="X115" s="135"/>
      <c r="Y115" s="135"/>
      <c r="Z115" s="135"/>
      <c r="AA115" s="135"/>
      <c r="AB115" s="135"/>
    </row>
    <row r="116" spans="1:28" x14ac:dyDescent="0.2">
      <c r="A116" s="140">
        <v>41061</v>
      </c>
      <c r="B116" s="41">
        <f>+'Purchased Power Model '!B116</f>
        <v>93187121.853636354</v>
      </c>
      <c r="C116" s="119">
        <f>+'Purchased Power Model '!C116</f>
        <v>28.2</v>
      </c>
      <c r="D116" s="119">
        <f>+'Purchased Power Model '!D116</f>
        <v>64.3</v>
      </c>
      <c r="E116" s="126">
        <f>+'Purchased Power Model '!E116</f>
        <v>8.4000000000000005E-2</v>
      </c>
      <c r="F116" s="10">
        <f>+'Purchased Power Model '!F116</f>
        <v>30</v>
      </c>
      <c r="G116" s="10">
        <f>+'Purchased Power Model '!G116</f>
        <v>0</v>
      </c>
      <c r="H116" s="141">
        <f t="shared" si="5"/>
        <v>93468042.241930321</v>
      </c>
      <c r="I116" s="142">
        <f t="shared" si="3"/>
        <v>280920.38829396665</v>
      </c>
      <c r="J116" s="5">
        <f t="shared" si="4"/>
        <v>3.014583804135427E-3</v>
      </c>
      <c r="K116"/>
      <c r="T116" s="135"/>
      <c r="U116" s="135"/>
      <c r="V116" s="135"/>
      <c r="W116" s="135"/>
      <c r="X116" s="135"/>
      <c r="Y116" s="135"/>
      <c r="Z116" s="135"/>
      <c r="AA116" s="135"/>
      <c r="AB116" s="135"/>
    </row>
    <row r="117" spans="1:28" x14ac:dyDescent="0.2">
      <c r="A117" s="140">
        <v>41091</v>
      </c>
      <c r="B117" s="41">
        <f>+'Purchased Power Model '!B117</f>
        <v>110767074.55090907</v>
      </c>
      <c r="C117" s="119">
        <f>+'Purchased Power Model '!C117</f>
        <v>0</v>
      </c>
      <c r="D117" s="119">
        <f>+'Purchased Power Model '!D117</f>
        <v>155.30000000000001</v>
      </c>
      <c r="E117" s="126">
        <f>+'Purchased Power Model '!E117</f>
        <v>9.3000000000000013E-2</v>
      </c>
      <c r="F117" s="10">
        <f>+'Purchased Power Model '!F117</f>
        <v>31</v>
      </c>
      <c r="G117" s="10">
        <f>+'Purchased Power Model '!G117</f>
        <v>0</v>
      </c>
      <c r="H117" s="141">
        <f t="shared" si="5"/>
        <v>107209382.72268109</v>
      </c>
      <c r="I117" s="142">
        <f t="shared" si="3"/>
        <v>-3557691.8282279819</v>
      </c>
      <c r="J117" s="5">
        <f t="shared" si="4"/>
        <v>-3.211867644471237E-2</v>
      </c>
      <c r="K117"/>
      <c r="T117" s="135"/>
      <c r="U117" s="135"/>
      <c r="V117" s="135"/>
      <c r="W117" s="135"/>
      <c r="X117" s="135"/>
      <c r="Y117" s="135"/>
      <c r="Z117" s="135"/>
      <c r="AA117" s="135"/>
      <c r="AB117" s="135"/>
    </row>
    <row r="118" spans="1:28" x14ac:dyDescent="0.2">
      <c r="A118" s="140">
        <v>41122</v>
      </c>
      <c r="B118" s="41">
        <f>+'Purchased Power Model '!B118</f>
        <v>101373951.59181817</v>
      </c>
      <c r="C118" s="119">
        <f>+'Purchased Power Model '!C118</f>
        <v>4.4000000000000004</v>
      </c>
      <c r="D118" s="119">
        <f>+'Purchased Power Model '!D118</f>
        <v>102.79999999999998</v>
      </c>
      <c r="E118" s="126">
        <f>+'Purchased Power Model '!E118</f>
        <v>9.3000000000000013E-2</v>
      </c>
      <c r="F118" s="10">
        <f>+'Purchased Power Model '!F118</f>
        <v>31</v>
      </c>
      <c r="G118" s="10">
        <f>+'Purchased Power Model '!G118</f>
        <v>0</v>
      </c>
      <c r="H118" s="141">
        <f t="shared" si="5"/>
        <v>99788994.19642137</v>
      </c>
      <c r="I118" s="142">
        <f t="shared" si="3"/>
        <v>-1584957.3953967988</v>
      </c>
      <c r="J118" s="5">
        <f t="shared" si="4"/>
        <v>-1.5634759921154338E-2</v>
      </c>
      <c r="K118"/>
      <c r="T118" s="135"/>
      <c r="U118" s="135"/>
      <c r="V118" s="135"/>
      <c r="W118" s="135"/>
      <c r="X118" s="135"/>
      <c r="Y118" s="135"/>
      <c r="Z118" s="135"/>
      <c r="AA118" s="135"/>
      <c r="AB118" s="135"/>
    </row>
    <row r="119" spans="1:28" x14ac:dyDescent="0.2">
      <c r="A119" s="140">
        <v>41153</v>
      </c>
      <c r="B119" s="41">
        <f>+'Purchased Power Model '!B119</f>
        <v>85023139.218181819</v>
      </c>
      <c r="C119" s="119">
        <f>+'Purchased Power Model '!C119</f>
        <v>84</v>
      </c>
      <c r="D119" s="119">
        <f>+'Purchased Power Model '!D119</f>
        <v>24.400000000000002</v>
      </c>
      <c r="E119" s="126">
        <f>+'Purchased Power Model '!E119</f>
        <v>9.3000000000000013E-2</v>
      </c>
      <c r="F119" s="10">
        <f>+'Purchased Power Model '!F119</f>
        <v>30</v>
      </c>
      <c r="G119" s="10">
        <f>+'Purchased Power Model '!G119</f>
        <v>1</v>
      </c>
      <c r="H119" s="141">
        <f t="shared" si="5"/>
        <v>81815009.866063863</v>
      </c>
      <c r="I119" s="142">
        <f t="shared" si="3"/>
        <v>-3208129.3521179557</v>
      </c>
      <c r="J119" s="5">
        <f t="shared" si="4"/>
        <v>-3.7732426509040393E-2</v>
      </c>
      <c r="K119"/>
      <c r="T119" s="135"/>
      <c r="U119" s="135"/>
      <c r="V119" s="135"/>
      <c r="W119" s="135"/>
      <c r="X119" s="135"/>
      <c r="Y119" s="135"/>
      <c r="Z119" s="135"/>
      <c r="AA119" s="135"/>
      <c r="AB119" s="135"/>
    </row>
    <row r="120" spans="1:28" x14ac:dyDescent="0.2">
      <c r="A120" s="140">
        <v>41183</v>
      </c>
      <c r="B120" s="41">
        <f>+'Purchased Power Model '!B120</f>
        <v>85295690.281818166</v>
      </c>
      <c r="C120" s="119">
        <f>+'Purchased Power Model '!C120</f>
        <v>228.99999999999994</v>
      </c>
      <c r="D120" s="119">
        <f>+'Purchased Power Model '!D120</f>
        <v>0</v>
      </c>
      <c r="E120" s="126">
        <f>+'Purchased Power Model '!E120</f>
        <v>9.4E-2</v>
      </c>
      <c r="F120" s="10">
        <f>+'Purchased Power Model '!F120</f>
        <v>31</v>
      </c>
      <c r="G120" s="10">
        <f>+'Purchased Power Model '!G120</f>
        <v>1</v>
      </c>
      <c r="H120" s="141">
        <f t="shared" si="5"/>
        <v>86809542.265622526</v>
      </c>
      <c r="I120" s="142">
        <f t="shared" si="3"/>
        <v>1513851.98380436</v>
      </c>
      <c r="J120" s="5">
        <f t="shared" si="4"/>
        <v>1.7748282226248146E-2</v>
      </c>
      <c r="K120"/>
      <c r="T120" s="135"/>
      <c r="U120" s="135"/>
      <c r="V120" s="135"/>
      <c r="W120" s="135"/>
      <c r="X120" s="135"/>
      <c r="Y120" s="135"/>
      <c r="Z120" s="135"/>
      <c r="AA120" s="135"/>
      <c r="AB120" s="135"/>
    </row>
    <row r="121" spans="1:28" x14ac:dyDescent="0.2">
      <c r="A121" s="140">
        <v>41214</v>
      </c>
      <c r="B121" s="41">
        <f>+'Purchased Power Model '!B121</f>
        <v>91679199.734545454</v>
      </c>
      <c r="C121" s="119">
        <f>+'Purchased Power Model '!C121</f>
        <v>427.89999999999992</v>
      </c>
      <c r="D121" s="119">
        <f>+'Purchased Power Model '!D121</f>
        <v>0</v>
      </c>
      <c r="E121" s="126">
        <f>+'Purchased Power Model '!E121</f>
        <v>9.4E-2</v>
      </c>
      <c r="F121" s="10">
        <f>+'Purchased Power Model '!F121</f>
        <v>30</v>
      </c>
      <c r="G121" s="10">
        <f>+'Purchased Power Model '!G121</f>
        <v>1</v>
      </c>
      <c r="H121" s="141">
        <f t="shared" si="5"/>
        <v>92005459.195664048</v>
      </c>
      <c r="I121" s="142">
        <f t="shared" si="3"/>
        <v>326259.46111859381</v>
      </c>
      <c r="J121" s="5">
        <f t="shared" si="4"/>
        <v>3.5587075592202911E-3</v>
      </c>
      <c r="K121"/>
      <c r="T121" s="135"/>
      <c r="U121" s="135"/>
      <c r="V121" s="135"/>
      <c r="W121" s="135"/>
      <c r="X121" s="135"/>
      <c r="Y121" s="135"/>
      <c r="Z121" s="135"/>
      <c r="AA121" s="135"/>
      <c r="AB121" s="135"/>
    </row>
    <row r="122" spans="1:28" x14ac:dyDescent="0.2">
      <c r="A122" s="140">
        <v>41244</v>
      </c>
      <c r="B122" s="41">
        <f>+'Purchased Power Model '!B122</f>
        <v>102292637.76363637</v>
      </c>
      <c r="C122" s="119">
        <f>+'Purchased Power Model '!C122</f>
        <v>451.09999999999997</v>
      </c>
      <c r="D122" s="119">
        <f>+'Purchased Power Model '!D122</f>
        <v>0</v>
      </c>
      <c r="E122" s="126">
        <f>+'Purchased Power Model '!E122</f>
        <v>9.4E-2</v>
      </c>
      <c r="F122" s="10">
        <f>+'Purchased Power Model '!F122</f>
        <v>31</v>
      </c>
      <c r="G122" s="10">
        <f>+'Purchased Power Model '!G122</f>
        <v>0</v>
      </c>
      <c r="H122" s="141">
        <f t="shared" si="5"/>
        <v>102772154.15881324</v>
      </c>
      <c r="I122" s="142">
        <f t="shared" si="3"/>
        <v>479516.39517687261</v>
      </c>
      <c r="J122" s="5">
        <f t="shared" si="4"/>
        <v>4.6876921512657883E-3</v>
      </c>
      <c r="K122"/>
      <c r="T122" s="135"/>
      <c r="U122" s="135"/>
      <c r="V122" s="135"/>
      <c r="W122" s="135"/>
      <c r="X122" s="135"/>
      <c r="Y122" s="135"/>
      <c r="Z122" s="135"/>
      <c r="AA122" s="135"/>
      <c r="AB122" s="135"/>
    </row>
    <row r="123" spans="1:28" x14ac:dyDescent="0.2">
      <c r="A123" s="3">
        <v>41275</v>
      </c>
      <c r="B123" s="41">
        <f>+'Purchased Power Model '!B123</f>
        <v>107376383.33333334</v>
      </c>
      <c r="C123" s="119">
        <f>+'Purchased Power Model '!C123</f>
        <v>615.40000000000009</v>
      </c>
      <c r="D123" s="119">
        <f>+'Purchased Power Model '!D123</f>
        <v>0</v>
      </c>
      <c r="E123" s="126">
        <f>+'Purchased Power Model '!E123</f>
        <v>8.4000000000000005E-2</v>
      </c>
      <c r="F123" s="10">
        <f>+'Purchased Power Model '!F123</f>
        <v>31</v>
      </c>
      <c r="G123" s="10">
        <f>+'Purchased Power Model '!G123</f>
        <v>0</v>
      </c>
      <c r="H123" s="141">
        <f t="shared" si="5"/>
        <v>110612350.86300415</v>
      </c>
      <c r="I123" s="142">
        <f t="shared" si="3"/>
        <v>3235967.5296708047</v>
      </c>
      <c r="J123" s="5">
        <f t="shared" si="4"/>
        <v>3.0136678375776962E-2</v>
      </c>
      <c r="K123"/>
      <c r="T123" s="135"/>
      <c r="U123" s="144"/>
      <c r="V123" s="144"/>
      <c r="W123" s="135"/>
      <c r="X123" s="135"/>
      <c r="Y123" s="135"/>
      <c r="Z123" s="135"/>
      <c r="AA123" s="135"/>
      <c r="AB123" s="135"/>
    </row>
    <row r="124" spans="1:28" x14ac:dyDescent="0.2">
      <c r="A124" s="3">
        <v>41306</v>
      </c>
      <c r="B124" s="41">
        <f>+'Purchased Power Model '!B124</f>
        <v>98702891.666666672</v>
      </c>
      <c r="C124" s="119">
        <f>+'Purchased Power Model '!C124</f>
        <v>611.5</v>
      </c>
      <c r="D124" s="119">
        <f>+'Purchased Power Model '!D124</f>
        <v>0</v>
      </c>
      <c r="E124" s="126">
        <f>+'Purchased Power Model '!E124</f>
        <v>8.4000000000000005E-2</v>
      </c>
      <c r="F124" s="10">
        <f>+'Purchased Power Model '!F124</f>
        <v>28</v>
      </c>
      <c r="G124" s="10">
        <f>+'Purchased Power Model '!G124</f>
        <v>0</v>
      </c>
      <c r="H124" s="141">
        <f t="shared" si="5"/>
        <v>102022247.42604348</v>
      </c>
      <c r="I124" s="142">
        <f t="shared" si="3"/>
        <v>3319355.759376809</v>
      </c>
      <c r="J124" s="5">
        <f t="shared" si="4"/>
        <v>3.3629772171080187E-2</v>
      </c>
      <c r="K124"/>
      <c r="T124" s="135"/>
      <c r="U124" s="135"/>
      <c r="V124" s="135"/>
      <c r="W124" s="135"/>
      <c r="X124" s="135"/>
      <c r="Y124" s="135"/>
      <c r="Z124" s="135"/>
      <c r="AA124" s="135"/>
      <c r="AB124" s="135"/>
    </row>
    <row r="125" spans="1:28" x14ac:dyDescent="0.2">
      <c r="A125" s="3">
        <v>41334</v>
      </c>
      <c r="B125" s="41">
        <f>+'Purchased Power Model '!B125</f>
        <v>98851083.333333343</v>
      </c>
      <c r="C125" s="119">
        <f>+'Purchased Power Model '!C125</f>
        <v>545</v>
      </c>
      <c r="D125" s="119">
        <f>+'Purchased Power Model '!D125</f>
        <v>0</v>
      </c>
      <c r="E125" s="126">
        <f>+'Purchased Power Model '!E125</f>
        <v>8.4000000000000005E-2</v>
      </c>
      <c r="F125" s="10">
        <f>+'Purchased Power Model '!F125</f>
        <v>31</v>
      </c>
      <c r="G125" s="10">
        <f>+'Purchased Power Model '!G125</f>
        <v>1</v>
      </c>
      <c r="H125" s="141">
        <f t="shared" si="5"/>
        <v>100756599.58627835</v>
      </c>
      <c r="I125" s="142">
        <f t="shared" si="3"/>
        <v>1905516.2529450059</v>
      </c>
      <c r="J125" s="5">
        <f t="shared" si="4"/>
        <v>1.927663500175775E-2</v>
      </c>
      <c r="K125"/>
      <c r="T125" s="135"/>
      <c r="U125" s="135"/>
      <c r="V125" s="135"/>
      <c r="W125" s="135"/>
      <c r="X125" s="135"/>
      <c r="Y125" s="135"/>
      <c r="Z125" s="135"/>
      <c r="AA125" s="135"/>
      <c r="AB125" s="135"/>
    </row>
    <row r="126" spans="1:28" x14ac:dyDescent="0.2">
      <c r="A126" s="3">
        <v>41365</v>
      </c>
      <c r="B126" s="41">
        <f>+'Purchased Power Model '!B126</f>
        <v>87330008.333333343</v>
      </c>
      <c r="C126" s="119">
        <f>+'Purchased Power Model '!C126</f>
        <v>366.49999999999994</v>
      </c>
      <c r="D126" s="119">
        <f>+'Purchased Power Model '!D126</f>
        <v>0</v>
      </c>
      <c r="E126" s="126">
        <f>+'Purchased Power Model '!E126</f>
        <v>7.0999999999999994E-2</v>
      </c>
      <c r="F126" s="10">
        <f>+'Purchased Power Model '!F126</f>
        <v>30</v>
      </c>
      <c r="G126" s="10">
        <f>+'Purchased Power Model '!G126</f>
        <v>1</v>
      </c>
      <c r="H126" s="141">
        <f t="shared" si="5"/>
        <v>92353779.774783194</v>
      </c>
      <c r="I126" s="142">
        <f t="shared" si="3"/>
        <v>5023771.4414498508</v>
      </c>
      <c r="J126" s="5">
        <f t="shared" si="4"/>
        <v>5.7526290645415035E-2</v>
      </c>
      <c r="K126"/>
      <c r="T126" s="135"/>
      <c r="U126" s="135"/>
      <c r="V126" s="135"/>
      <c r="W126" s="135"/>
      <c r="X126" s="135"/>
      <c r="Y126" s="135"/>
      <c r="Z126" s="135"/>
      <c r="AA126" s="135"/>
      <c r="AB126" s="135"/>
    </row>
    <row r="127" spans="1:28" x14ac:dyDescent="0.2">
      <c r="A127" s="3">
        <v>41395</v>
      </c>
      <c r="B127" s="41">
        <f>+'Purchased Power Model '!B127</f>
        <v>81913958.333333343</v>
      </c>
      <c r="C127" s="119">
        <f>+'Purchased Power Model '!C127</f>
        <v>133.4</v>
      </c>
      <c r="D127" s="119">
        <f>+'Purchased Power Model '!D127</f>
        <v>3</v>
      </c>
      <c r="E127" s="126">
        <f>+'Purchased Power Model '!E127</f>
        <v>7.0999999999999994E-2</v>
      </c>
      <c r="F127" s="10">
        <f>+'Purchased Power Model '!F127</f>
        <v>31</v>
      </c>
      <c r="G127" s="10">
        <f>+'Purchased Power Model '!G127</f>
        <v>1</v>
      </c>
      <c r="H127" s="141">
        <f t="shared" si="5"/>
        <v>86215245.666925222</v>
      </c>
      <c r="I127" s="142">
        <f t="shared" si="3"/>
        <v>4301287.3335918784</v>
      </c>
      <c r="J127" s="5">
        <f t="shared" si="4"/>
        <v>5.2509821538456292E-2</v>
      </c>
      <c r="K127"/>
      <c r="T127" s="135"/>
      <c r="U127" s="135"/>
      <c r="V127" s="135"/>
      <c r="W127" s="135"/>
      <c r="X127" s="135"/>
      <c r="Y127" s="135"/>
      <c r="Z127" s="135"/>
      <c r="AA127" s="135"/>
      <c r="AB127" s="135"/>
    </row>
    <row r="128" spans="1:28" x14ac:dyDescent="0.2">
      <c r="A128" s="3">
        <v>41426</v>
      </c>
      <c r="B128" s="41">
        <f>+'Purchased Power Model '!B128</f>
        <v>86391933.333333343</v>
      </c>
      <c r="C128" s="119">
        <f>+'Purchased Power Model '!C128</f>
        <v>42.900000000000006</v>
      </c>
      <c r="D128" s="119">
        <f>+'Purchased Power Model '!D128</f>
        <v>32.200000000000003</v>
      </c>
      <c r="E128" s="126">
        <f>+'Purchased Power Model '!E128</f>
        <v>7.0999999999999994E-2</v>
      </c>
      <c r="F128" s="10">
        <f>+'Purchased Power Model '!F128</f>
        <v>30</v>
      </c>
      <c r="G128" s="10">
        <f>+'Purchased Power Model '!G128</f>
        <v>0</v>
      </c>
      <c r="H128" s="141">
        <f t="shared" si="5"/>
        <v>91008410.645987555</v>
      </c>
      <c r="I128" s="142">
        <f t="shared" si="3"/>
        <v>4616477.3126542121</v>
      </c>
      <c r="J128" s="5">
        <f t="shared" si="4"/>
        <v>5.3436439428228386E-2</v>
      </c>
      <c r="K128"/>
      <c r="T128" s="135"/>
      <c r="U128" s="144"/>
      <c r="V128" s="144"/>
      <c r="W128" s="135"/>
      <c r="X128" s="135"/>
      <c r="Y128" s="135"/>
      <c r="Z128" s="135"/>
      <c r="AA128" s="135"/>
      <c r="AB128" s="135"/>
    </row>
    <row r="129" spans="1:28" x14ac:dyDescent="0.2">
      <c r="A129" s="3">
        <v>41456</v>
      </c>
      <c r="B129" s="41">
        <f>+'Purchased Power Model '!B129</f>
        <v>104037066.66666667</v>
      </c>
      <c r="C129" s="119">
        <f>+'Purchased Power Model '!C129</f>
        <v>4.4000000000000004</v>
      </c>
      <c r="D129" s="119">
        <f>+'Purchased Power Model '!D129</f>
        <v>109.99999999999999</v>
      </c>
      <c r="E129" s="126">
        <f>+'Purchased Power Model '!E129</f>
        <v>6.3E-2</v>
      </c>
      <c r="F129" s="10">
        <f>+'Purchased Power Model '!F129</f>
        <v>31</v>
      </c>
      <c r="G129" s="10">
        <f>+'Purchased Power Model '!G129</f>
        <v>0</v>
      </c>
      <c r="H129" s="141">
        <f t="shared" si="5"/>
        <v>104509264.33169988</v>
      </c>
      <c r="I129" s="142">
        <f t="shared" si="3"/>
        <v>472197.66503320634</v>
      </c>
      <c r="J129" s="5">
        <f t="shared" si="4"/>
        <v>4.5387445086867081E-3</v>
      </c>
      <c r="K129"/>
      <c r="T129" s="135"/>
      <c r="U129" s="135"/>
      <c r="V129" s="135"/>
      <c r="W129" s="135"/>
      <c r="X129" s="135"/>
      <c r="Y129" s="135"/>
      <c r="Z129" s="135"/>
      <c r="AA129" s="135"/>
      <c r="AB129" s="135"/>
    </row>
    <row r="130" spans="1:28" x14ac:dyDescent="0.2">
      <c r="A130" s="3">
        <v>41487</v>
      </c>
      <c r="B130" s="41">
        <f>+'Purchased Power Model '!B130</f>
        <v>95663441.666666672</v>
      </c>
      <c r="C130" s="119">
        <f>+'Purchased Power Model '!C130</f>
        <v>11</v>
      </c>
      <c r="D130" s="119">
        <f>+'Purchased Power Model '!D130</f>
        <v>57.899999999999991</v>
      </c>
      <c r="E130" s="126">
        <f>+'Purchased Power Model '!E130</f>
        <v>6.3E-2</v>
      </c>
      <c r="F130" s="10">
        <f>+'Purchased Power Model '!F130</f>
        <v>31</v>
      </c>
      <c r="G130" s="10">
        <f>+'Purchased Power Model '!G130</f>
        <v>0</v>
      </c>
      <c r="H130" s="141">
        <f t="shared" si="5"/>
        <v>97235325.207663849</v>
      </c>
      <c r="I130" s="142">
        <f t="shared" si="3"/>
        <v>1571883.5409971774</v>
      </c>
      <c r="J130" s="5">
        <f t="shared" si="4"/>
        <v>1.6431392323039223E-2</v>
      </c>
      <c r="K130"/>
      <c r="T130" s="135"/>
      <c r="U130" s="135"/>
      <c r="V130" s="135"/>
      <c r="W130" s="135"/>
      <c r="X130" s="135"/>
      <c r="Y130" s="135"/>
      <c r="Z130" s="135"/>
      <c r="AA130" s="135"/>
      <c r="AB130" s="135"/>
    </row>
    <row r="131" spans="1:28" x14ac:dyDescent="0.2">
      <c r="A131" s="3">
        <v>41518</v>
      </c>
      <c r="B131" s="41">
        <f>+'Purchased Power Model '!B131</f>
        <v>83012108.333333343</v>
      </c>
      <c r="C131" s="119">
        <f>+'Purchased Power Model '!C131</f>
        <v>96.600000000000009</v>
      </c>
      <c r="D131" s="119">
        <f>+'Purchased Power Model '!D131</f>
        <v>15.700000000000001</v>
      </c>
      <c r="E131" s="126">
        <f>+'Purchased Power Model '!E131</f>
        <v>6.3E-2</v>
      </c>
      <c r="F131" s="10">
        <f>+'Purchased Power Model '!F131</f>
        <v>30</v>
      </c>
      <c r="G131" s="10">
        <f>+'Purchased Power Model '!G131</f>
        <v>1</v>
      </c>
      <c r="H131" s="141">
        <f t="shared" si="5"/>
        <v>84741545.825753883</v>
      </c>
      <c r="I131" s="142">
        <f t="shared" ref="I131:I133" si="6">H131-B131</f>
        <v>1729437.4924205393</v>
      </c>
      <c r="J131" s="5">
        <f t="shared" ref="J131:J133" si="7">I131/B131</f>
        <v>2.083355702129646E-2</v>
      </c>
      <c r="K131"/>
      <c r="T131" s="135"/>
      <c r="U131" s="135"/>
      <c r="V131" s="135"/>
      <c r="W131" s="135"/>
      <c r="X131" s="135"/>
      <c r="Y131" s="135"/>
      <c r="Z131" s="135"/>
      <c r="AA131" s="135"/>
      <c r="AB131" s="135"/>
    </row>
    <row r="132" spans="1:28" x14ac:dyDescent="0.2">
      <c r="A132" s="3">
        <v>41548</v>
      </c>
      <c r="B132" s="41">
        <f>+'Purchased Power Model '!B132</f>
        <v>84463400.000000015</v>
      </c>
      <c r="C132" s="119">
        <f>+'Purchased Power Model '!C132</f>
        <v>221</v>
      </c>
      <c r="D132" s="119">
        <f>+'Purchased Power Model '!D132</f>
        <v>3</v>
      </c>
      <c r="E132" s="126">
        <f>+'Purchased Power Model '!E132</f>
        <v>7.0000000000000007E-2</v>
      </c>
      <c r="F132" s="10">
        <f>+'Purchased Power Model '!F132</f>
        <v>31</v>
      </c>
      <c r="G132" s="10">
        <f>+'Purchased Power Model '!G132</f>
        <v>1</v>
      </c>
      <c r="H132" s="141">
        <f t="shared" ref="H132:H195" si="8">$M$18+C132*$M$19+D132*$M$20+E132*$M$21+F132*$M$22+G132*$M$23</f>
        <v>89864296.781469613</v>
      </c>
      <c r="I132" s="142">
        <f t="shared" si="6"/>
        <v>5400896.7814695984</v>
      </c>
      <c r="J132" s="5">
        <f t="shared" si="7"/>
        <v>6.3943634538387015E-2</v>
      </c>
      <c r="K132"/>
      <c r="T132" s="135"/>
      <c r="U132" s="135"/>
      <c r="V132" s="135"/>
      <c r="W132" s="135"/>
      <c r="X132" s="135"/>
      <c r="Y132" s="135"/>
      <c r="Z132" s="135"/>
      <c r="AA132" s="135"/>
      <c r="AB132" s="135"/>
    </row>
    <row r="133" spans="1:28" x14ac:dyDescent="0.2">
      <c r="A133" s="3">
        <v>41579</v>
      </c>
      <c r="B133" s="41">
        <f>+'Purchased Power Model '!B133</f>
        <v>94249183.333333343</v>
      </c>
      <c r="C133" s="119">
        <f>+'Purchased Power Model '!C133</f>
        <v>458.6</v>
      </c>
      <c r="D133" s="119">
        <f>+'Purchased Power Model '!D133</f>
        <v>0</v>
      </c>
      <c r="E133" s="126">
        <f>+'Purchased Power Model '!E133</f>
        <v>7.0000000000000007E-2</v>
      </c>
      <c r="F133" s="10">
        <f>+'Purchased Power Model '!F133</f>
        <v>30</v>
      </c>
      <c r="G133" s="10">
        <f>+'Purchased Power Model '!G133</f>
        <v>1</v>
      </c>
      <c r="H133" s="141">
        <f t="shared" si="8"/>
        <v>96183983.643276781</v>
      </c>
      <c r="I133" s="142">
        <f t="shared" si="6"/>
        <v>1934800.3099434376</v>
      </c>
      <c r="J133" s="5">
        <f t="shared" si="7"/>
        <v>2.0528563129301427E-2</v>
      </c>
      <c r="K133"/>
      <c r="T133" s="135"/>
      <c r="U133" s="135"/>
      <c r="V133" s="135"/>
      <c r="W133" s="135"/>
      <c r="X133" s="135"/>
      <c r="Y133" s="135"/>
      <c r="Z133" s="135"/>
      <c r="AA133" s="135"/>
      <c r="AB133" s="135"/>
    </row>
    <row r="134" spans="1:28" x14ac:dyDescent="0.2">
      <c r="A134" s="3">
        <v>41609</v>
      </c>
      <c r="B134" s="41">
        <f>+'Purchased Power Model '!B134</f>
        <v>108415583.33333334</v>
      </c>
      <c r="C134" s="119">
        <f>+'Purchased Power Model '!C134</f>
        <v>472.8</v>
      </c>
      <c r="D134" s="119">
        <f ca="1">+'Purchased Power Model '!D134</f>
        <v>0</v>
      </c>
      <c r="E134" s="126">
        <f>+'Purchased Power Model '!E134</f>
        <v>7.0000000000000007E-2</v>
      </c>
      <c r="F134" s="10">
        <f>+'Purchased Power Model '!F134</f>
        <v>31</v>
      </c>
      <c r="G134" s="10">
        <f>+'Purchased Power Model '!G134</f>
        <v>0</v>
      </c>
      <c r="H134" s="141">
        <f t="shared" ca="1" si="8"/>
        <v>106588373.09852758</v>
      </c>
      <c r="I134" s="142">
        <f t="shared" ref="I134" ca="1" si="9">H134-B134</f>
        <v>-1827210.2348057628</v>
      </c>
      <c r="J134" s="5">
        <f t="shared" ref="J134" ca="1" si="10">I134/B134</f>
        <v>-1.6853760120331063E-2</v>
      </c>
      <c r="T134" s="135"/>
      <c r="U134" s="135"/>
      <c r="V134" s="135"/>
      <c r="W134" s="135"/>
      <c r="X134" s="135"/>
      <c r="Y134" s="135"/>
      <c r="Z134" s="135"/>
      <c r="AA134" s="135"/>
      <c r="AB134" s="135"/>
    </row>
    <row r="135" spans="1:28" x14ac:dyDescent="0.2">
      <c r="A135" s="3">
        <v>41640</v>
      </c>
      <c r="B135" s="41">
        <f>+'Purchased Power Model '!B135</f>
        <v>117702582.33333334</v>
      </c>
      <c r="C135" s="119">
        <f>+'Purchased Power Model '!C135</f>
        <v>771.3</v>
      </c>
      <c r="D135" s="119">
        <f>+'Purchased Power Model '!D135</f>
        <v>0</v>
      </c>
      <c r="E135" s="126">
        <f>+'Purchased Power Model '!E135</f>
        <v>7.0999869999999993E-2</v>
      </c>
      <c r="F135" s="10">
        <f>+'Purchased Power Model '!F135</f>
        <v>31</v>
      </c>
      <c r="G135" s="10">
        <f>+'Purchased Power Model '!G135</f>
        <v>0</v>
      </c>
      <c r="H135" s="141">
        <f t="shared" ref="H135:H146" si="11">$M$18+C135*$M$19+D135*$M$20+E135*$M$21+F135*$M$22+G135*$M$23</f>
        <v>118482244.21223259</v>
      </c>
      <c r="I135" s="142">
        <f t="shared" ref="I135:I146" si="12">H135-B135</f>
        <v>779661.87889924645</v>
      </c>
      <c r="J135" s="5">
        <f t="shared" ref="J135:J146" si="13">I135/B135</f>
        <v>6.6239997750537575E-3</v>
      </c>
      <c r="T135" s="135"/>
      <c r="U135" s="135"/>
      <c r="V135" s="135"/>
      <c r="W135" s="135"/>
      <c r="X135" s="135"/>
      <c r="Y135" s="135"/>
      <c r="Z135" s="135"/>
      <c r="AA135" s="135"/>
      <c r="AB135" s="135"/>
    </row>
    <row r="136" spans="1:28" x14ac:dyDescent="0.2">
      <c r="A136" s="3">
        <v>41671</v>
      </c>
      <c r="B136" s="41">
        <f>+'Purchased Power Model '!B136</f>
        <v>101945538.33333334</v>
      </c>
      <c r="C136" s="119">
        <f>+'Purchased Power Model '!C136</f>
        <v>690.84999999999991</v>
      </c>
      <c r="D136" s="119">
        <f>+'Purchased Power Model '!D136</f>
        <v>0</v>
      </c>
      <c r="E136" s="126">
        <f>+'Purchased Power Model '!E136</f>
        <v>7.0999869999999993E-2</v>
      </c>
      <c r="F136" s="10">
        <f>+'Purchased Power Model '!F136</f>
        <v>28</v>
      </c>
      <c r="G136" s="10">
        <f>+'Purchased Power Model '!G136</f>
        <v>0</v>
      </c>
      <c r="H136" s="141">
        <f t="shared" si="11"/>
        <v>106810531.14975849</v>
      </c>
      <c r="I136" s="142">
        <f t="shared" si="12"/>
        <v>4864992.8164251447</v>
      </c>
      <c r="J136" s="5">
        <f t="shared" si="13"/>
        <v>4.7721488315829785E-2</v>
      </c>
      <c r="T136" s="135"/>
      <c r="U136" s="135"/>
      <c r="V136" s="135"/>
      <c r="W136" s="135"/>
      <c r="X136" s="135"/>
      <c r="Y136" s="135"/>
      <c r="Z136" s="135"/>
      <c r="AA136" s="135"/>
      <c r="AB136" s="135"/>
    </row>
    <row r="137" spans="1:28" x14ac:dyDescent="0.2">
      <c r="A137" s="3">
        <v>41699</v>
      </c>
      <c r="B137" s="41">
        <f>+'Purchased Power Model '!B137</f>
        <v>106417935.35000001</v>
      </c>
      <c r="C137" s="119">
        <f>+'Purchased Power Model '!C137</f>
        <v>677.95</v>
      </c>
      <c r="D137" s="119">
        <f>+'Purchased Power Model '!D137</f>
        <v>0</v>
      </c>
      <c r="E137" s="126">
        <f>+'Purchased Power Model '!E137</f>
        <v>7.0999869999999993E-2</v>
      </c>
      <c r="F137" s="10">
        <f>+'Purchased Power Model '!F137</f>
        <v>31</v>
      </c>
      <c r="G137" s="10">
        <f>+'Purchased Power Model '!G137</f>
        <v>1</v>
      </c>
      <c r="H137" s="141">
        <f t="shared" si="11"/>
        <v>107702613.89036593</v>
      </c>
      <c r="I137" s="142">
        <f t="shared" si="12"/>
        <v>1284678.5403659195</v>
      </c>
      <c r="J137" s="5">
        <f t="shared" si="13"/>
        <v>1.2072011509532818E-2</v>
      </c>
      <c r="T137" s="135"/>
      <c r="U137" s="135"/>
      <c r="V137" s="135"/>
      <c r="W137" s="135"/>
      <c r="X137" s="135"/>
      <c r="Y137" s="135"/>
      <c r="Z137" s="135"/>
      <c r="AA137" s="135"/>
      <c r="AB137" s="135"/>
    </row>
    <row r="138" spans="1:28" x14ac:dyDescent="0.2">
      <c r="A138" s="3">
        <v>41730</v>
      </c>
      <c r="B138" s="41">
        <f>+'Purchased Power Model '!B138</f>
        <v>86925100.333333343</v>
      </c>
      <c r="C138" s="119">
        <f>+'Purchased Power Model '!C138</f>
        <v>371.2999999999999</v>
      </c>
      <c r="D138" s="119">
        <f>+'Purchased Power Model '!D138</f>
        <v>0</v>
      </c>
      <c r="E138" s="126">
        <f>+'Purchased Power Model '!E138</f>
        <v>7.2000069999999999E-2</v>
      </c>
      <c r="F138" s="10">
        <f>+'Purchased Power Model '!F138</f>
        <v>30</v>
      </c>
      <c r="G138" s="10">
        <f>+'Purchased Power Model '!G138</f>
        <v>1</v>
      </c>
      <c r="H138" s="141">
        <f t="shared" si="11"/>
        <v>92424389.958570197</v>
      </c>
      <c r="I138" s="142">
        <f t="shared" si="12"/>
        <v>5499289.625236854</v>
      </c>
      <c r="J138" s="5">
        <f t="shared" si="13"/>
        <v>6.3264691143853996E-2</v>
      </c>
      <c r="T138" s="135"/>
      <c r="U138" s="135"/>
      <c r="V138" s="135"/>
      <c r="W138" s="135"/>
      <c r="X138" s="135"/>
      <c r="Y138" s="135"/>
      <c r="Z138" s="135"/>
      <c r="AA138" s="135"/>
      <c r="AB138" s="135"/>
    </row>
    <row r="139" spans="1:28" x14ac:dyDescent="0.2">
      <c r="A139" s="3">
        <v>41760</v>
      </c>
      <c r="B139" s="41">
        <f>+'Purchased Power Model '!B139</f>
        <v>81755065.176384613</v>
      </c>
      <c r="C139" s="119">
        <f>+'Purchased Power Model '!C139</f>
        <v>160.49999999999994</v>
      </c>
      <c r="D139" s="119">
        <f>+'Purchased Power Model '!D139</f>
        <v>1.3</v>
      </c>
      <c r="E139" s="126">
        <f>+'Purchased Power Model '!E139</f>
        <v>7.2000069999999999E-2</v>
      </c>
      <c r="F139" s="10">
        <f>+'Purchased Power Model '!F139</f>
        <v>31</v>
      </c>
      <c r="G139" s="10">
        <f>+'Purchased Power Model '!G139</f>
        <v>1</v>
      </c>
      <c r="H139" s="141">
        <f t="shared" si="11"/>
        <v>86937553.594037473</v>
      </c>
      <c r="I139" s="142">
        <f t="shared" si="12"/>
        <v>5182488.4176528603</v>
      </c>
      <c r="J139" s="5">
        <f t="shared" si="13"/>
        <v>6.3390426103529671E-2</v>
      </c>
      <c r="T139" s="135"/>
      <c r="U139" s="135"/>
      <c r="V139" s="135"/>
      <c r="W139" s="135"/>
      <c r="X139" s="135"/>
      <c r="Y139" s="135"/>
      <c r="Z139" s="135"/>
      <c r="AA139" s="135"/>
      <c r="AB139" s="135"/>
    </row>
    <row r="140" spans="1:28" x14ac:dyDescent="0.2">
      <c r="A140" s="3">
        <v>41791</v>
      </c>
      <c r="B140" s="41">
        <f>+'Purchased Power Model '!B140</f>
        <v>88119245.461538464</v>
      </c>
      <c r="C140" s="119">
        <f>+'Purchased Power Model '!C140</f>
        <v>26.9</v>
      </c>
      <c r="D140" s="119">
        <f>+'Purchased Power Model '!D140</f>
        <v>40.1</v>
      </c>
      <c r="E140" s="126">
        <f>+'Purchased Power Model '!E140</f>
        <v>7.2000069999999999E-2</v>
      </c>
      <c r="F140" s="10">
        <f>+'Purchased Power Model '!F140</f>
        <v>30</v>
      </c>
      <c r="G140" s="10">
        <f>+'Purchased Power Model '!G140</f>
        <v>0</v>
      </c>
      <c r="H140" s="141">
        <f t="shared" si="11"/>
        <v>91384937.758973688</v>
      </c>
      <c r="I140" s="142">
        <f t="shared" si="12"/>
        <v>3265692.2974352241</v>
      </c>
      <c r="J140" s="5">
        <f t="shared" si="13"/>
        <v>3.7059921250240456E-2</v>
      </c>
      <c r="T140" s="135"/>
      <c r="U140" s="135"/>
      <c r="V140" s="135"/>
      <c r="W140" s="135"/>
      <c r="X140" s="135"/>
      <c r="Y140" s="135"/>
      <c r="Z140" s="135"/>
      <c r="AA140" s="135"/>
      <c r="AB140" s="135"/>
    </row>
    <row r="141" spans="1:28" x14ac:dyDescent="0.2">
      <c r="A141" s="3">
        <v>41821</v>
      </c>
      <c r="B141" s="41">
        <f>+'Purchased Power Model '!B141</f>
        <v>93045474.15384616</v>
      </c>
      <c r="C141" s="119">
        <f>+'Purchased Power Model '!C141</f>
        <v>9.5999999999999979</v>
      </c>
      <c r="D141" s="119">
        <f>+'Purchased Power Model '!D141</f>
        <v>54.599999999999994</v>
      </c>
      <c r="E141" s="126">
        <f>+'Purchased Power Model '!E141</f>
        <v>7.6999829999999991E-2</v>
      </c>
      <c r="F141" s="10">
        <f>+'Purchased Power Model '!F141</f>
        <v>31</v>
      </c>
      <c r="G141" s="10">
        <f>+'Purchased Power Model '!G141</f>
        <v>0</v>
      </c>
      <c r="H141" s="141">
        <f t="shared" si="11"/>
        <v>94984877.562191591</v>
      </c>
      <c r="I141" s="142">
        <f t="shared" si="12"/>
        <v>1939403.4083454311</v>
      </c>
      <c r="J141" s="5">
        <f t="shared" si="13"/>
        <v>2.0843608203218161E-2</v>
      </c>
      <c r="T141" s="135"/>
      <c r="U141" s="135"/>
      <c r="V141" s="135"/>
      <c r="W141" s="135"/>
      <c r="X141" s="135"/>
      <c r="Y141" s="135"/>
      <c r="Z141" s="135"/>
      <c r="AA141" s="135"/>
      <c r="AB141" s="135"/>
    </row>
    <row r="142" spans="1:28" x14ac:dyDescent="0.2">
      <c r="A142" s="3">
        <v>41852</v>
      </c>
      <c r="B142" s="41">
        <f>+'Purchased Power Model '!B142</f>
        <v>92680248.923076928</v>
      </c>
      <c r="C142" s="119">
        <f>+'Purchased Power Model '!C142</f>
        <v>12.7</v>
      </c>
      <c r="D142" s="119">
        <f>+'Purchased Power Model '!D142</f>
        <v>58</v>
      </c>
      <c r="E142" s="126">
        <f>+'Purchased Power Model '!E142</f>
        <v>7.6999829999999991E-2</v>
      </c>
      <c r="F142" s="10">
        <f>+'Purchased Power Model '!F142</f>
        <v>31</v>
      </c>
      <c r="G142" s="10">
        <f>+'Purchased Power Model '!G142</f>
        <v>0</v>
      </c>
      <c r="H142" s="141">
        <f t="shared" si="11"/>
        <v>95601701.26740253</v>
      </c>
      <c r="I142" s="142">
        <f t="shared" si="12"/>
        <v>2921452.3443256021</v>
      </c>
      <c r="J142" s="5">
        <f t="shared" si="13"/>
        <v>3.1521843955666963E-2</v>
      </c>
      <c r="T142" s="135"/>
      <c r="U142" s="135"/>
      <c r="V142" s="135"/>
      <c r="W142" s="135"/>
      <c r="X142" s="135"/>
      <c r="Y142" s="135"/>
      <c r="Z142" s="135"/>
      <c r="AA142" s="135"/>
      <c r="AB142" s="135"/>
    </row>
    <row r="143" spans="1:28" x14ac:dyDescent="0.2">
      <c r="A143" s="3">
        <v>41883</v>
      </c>
      <c r="B143" s="41">
        <f>+'Purchased Power Model '!B143</f>
        <v>84852396.923076928</v>
      </c>
      <c r="C143" s="119">
        <f>+'Purchased Power Model '!C143</f>
        <v>77.400000000000006</v>
      </c>
      <c r="D143" s="119">
        <f>+'Purchased Power Model '!D143</f>
        <v>22.5</v>
      </c>
      <c r="E143" s="126">
        <f>+'Purchased Power Model '!E143</f>
        <v>7.6999829999999991E-2</v>
      </c>
      <c r="F143" s="10">
        <f>+'Purchased Power Model '!F143</f>
        <v>30</v>
      </c>
      <c r="G143" s="10">
        <f>+'Purchased Power Model '!G143</f>
        <v>1</v>
      </c>
      <c r="H143" s="141">
        <f t="shared" si="11"/>
        <v>83236155.69705829</v>
      </c>
      <c r="I143" s="142">
        <f t="shared" si="12"/>
        <v>-1616241.2260186374</v>
      </c>
      <c r="J143" s="5">
        <f t="shared" si="13"/>
        <v>-1.9047679083053402E-2</v>
      </c>
      <c r="T143" s="135"/>
      <c r="U143" s="135"/>
      <c r="V143" s="135"/>
      <c r="W143" s="135"/>
      <c r="X143" s="135"/>
      <c r="Y143" s="135"/>
      <c r="Z143" s="135"/>
      <c r="AA143" s="135"/>
      <c r="AB143" s="135"/>
    </row>
    <row r="144" spans="1:28" x14ac:dyDescent="0.2">
      <c r="A144" s="3">
        <v>41913</v>
      </c>
      <c r="B144" s="41">
        <f>+'Purchased Power Model '!B144</f>
        <v>84720129.461538464</v>
      </c>
      <c r="C144" s="119">
        <f>+'Purchased Power Model '!C144</f>
        <v>216.29999999999998</v>
      </c>
      <c r="D144" s="119">
        <f>+'Purchased Power Model '!D144</f>
        <v>0.5</v>
      </c>
      <c r="E144" s="126">
        <f>+'Purchased Power Model '!E144</f>
        <v>7.3406150000000003E-2</v>
      </c>
      <c r="F144" s="10">
        <f>+'Purchased Power Model '!F144</f>
        <v>31</v>
      </c>
      <c r="G144" s="10">
        <f>+'Purchased Power Model '!G144</f>
        <v>1</v>
      </c>
      <c r="H144" s="141">
        <f t="shared" si="11"/>
        <v>88895675.429128215</v>
      </c>
      <c r="I144" s="142">
        <f t="shared" si="12"/>
        <v>4175545.9675897509</v>
      </c>
      <c r="J144" s="5">
        <f t="shared" si="13"/>
        <v>4.9286350175909252E-2</v>
      </c>
      <c r="T144" s="135"/>
      <c r="U144" s="135"/>
      <c r="V144" s="135"/>
      <c r="W144" s="135"/>
      <c r="X144" s="135"/>
      <c r="Y144" s="135"/>
      <c r="Z144" s="135"/>
      <c r="AA144" s="135"/>
      <c r="AB144" s="135"/>
    </row>
    <row r="145" spans="1:28" x14ac:dyDescent="0.2">
      <c r="A145" s="3">
        <v>41944</v>
      </c>
      <c r="B145" s="41">
        <f>+'Purchased Power Model '!B145</f>
        <v>94073964.750000015</v>
      </c>
      <c r="C145" s="119">
        <f>+'Purchased Power Model '!C145</f>
        <v>407.30000000000013</v>
      </c>
      <c r="D145" s="119">
        <f>+'Purchased Power Model '!D145</f>
        <v>0</v>
      </c>
      <c r="E145" s="126">
        <f>+'Purchased Power Model '!E145</f>
        <v>7.3406150000000003E-2</v>
      </c>
      <c r="F145" s="10">
        <f>+'Purchased Power Model '!F145</f>
        <v>30</v>
      </c>
      <c r="G145" s="10">
        <f>+'Purchased Power Model '!G145</f>
        <v>1</v>
      </c>
      <c r="H145" s="141">
        <f t="shared" si="11"/>
        <v>93701211.343537152</v>
      </c>
      <c r="I145" s="142">
        <f t="shared" si="12"/>
        <v>-372753.40646286309</v>
      </c>
      <c r="J145" s="5">
        <f t="shared" si="13"/>
        <v>-3.962343964703189E-3</v>
      </c>
      <c r="T145" s="135"/>
      <c r="U145" s="135"/>
      <c r="V145" s="135"/>
      <c r="W145" s="135"/>
      <c r="X145" s="135"/>
      <c r="Y145" s="135"/>
      <c r="Z145" s="135"/>
      <c r="AA145" s="135"/>
      <c r="AB145" s="135"/>
    </row>
    <row r="146" spans="1:28" x14ac:dyDescent="0.2">
      <c r="A146" s="3">
        <v>41974</v>
      </c>
      <c r="B146" s="41">
        <f>+'Purchased Power Model '!B146</f>
        <v>102732461.57384616</v>
      </c>
      <c r="C146" s="119">
        <f>+'Purchased Power Model '!C146</f>
        <v>551.79999999999995</v>
      </c>
      <c r="D146" s="119">
        <f>+'Purchased Power Model '!D146</f>
        <v>0</v>
      </c>
      <c r="E146" s="126">
        <f>+'Purchased Power Model '!E146</f>
        <v>7.3406150000000003E-2</v>
      </c>
      <c r="F146" s="10">
        <f>+'Purchased Power Model '!F146</f>
        <v>31</v>
      </c>
      <c r="G146" s="10">
        <f>+'Purchased Power Model '!G146</f>
        <v>0</v>
      </c>
      <c r="H146" s="141">
        <f t="shared" si="11"/>
        <v>109350979.42980561</v>
      </c>
      <c r="I146" s="142">
        <f t="shared" si="12"/>
        <v>6618517.8559594452</v>
      </c>
      <c r="J146" s="5">
        <f t="shared" si="13"/>
        <v>6.4424795771119744E-2</v>
      </c>
      <c r="T146" s="135"/>
      <c r="U146" s="135"/>
      <c r="V146" s="135"/>
      <c r="W146" s="135"/>
      <c r="X146" s="135"/>
      <c r="Y146" s="135"/>
      <c r="Z146" s="135"/>
      <c r="AA146" s="135"/>
      <c r="AB146" s="135"/>
    </row>
    <row r="147" spans="1:28" x14ac:dyDescent="0.2">
      <c r="A147" s="3">
        <v>42005</v>
      </c>
      <c r="B147" s="135"/>
      <c r="C147" s="121">
        <f>(+C135/SUM(C$135:C$146))*Trends!B$24</f>
        <v>650.1643613658066</v>
      </c>
      <c r="D147" s="121">
        <f>(+D135/SUM(D$135:D$146))*Trends!C$24</f>
        <v>0</v>
      </c>
      <c r="E147" s="126">
        <f>+'Purchased Power Model '!E147</f>
        <v>7.3406150000000003E-2</v>
      </c>
      <c r="F147" s="10">
        <f>+'Purchased Power Model '!F147</f>
        <v>31</v>
      </c>
      <c r="G147" s="10">
        <f>+'Purchased Power Model '!G147</f>
        <v>0</v>
      </c>
      <c r="H147" s="141">
        <f t="shared" si="8"/>
        <v>113310751.64133209</v>
      </c>
      <c r="I147" s="142"/>
      <c r="J147" s="143"/>
      <c r="T147" s="135"/>
      <c r="U147" s="135"/>
      <c r="V147" s="135"/>
      <c r="W147" s="135"/>
      <c r="X147" s="135"/>
      <c r="Y147" s="135"/>
      <c r="Z147" s="135"/>
      <c r="AA147" s="135"/>
      <c r="AB147" s="135"/>
    </row>
    <row r="148" spans="1:28" x14ac:dyDescent="0.2">
      <c r="A148" s="3">
        <v>42036</v>
      </c>
      <c r="B148" s="135"/>
      <c r="C148" s="121">
        <f>(+C136/SUM(C$135:C$146))*Trends!B$24</f>
        <v>582.34934402899967</v>
      </c>
      <c r="D148" s="121">
        <f>(+D136/SUM(D$135:D$146))*Trends!C$24</f>
        <v>0</v>
      </c>
      <c r="E148" s="126">
        <f>+'Purchased Power Model '!E148</f>
        <v>7.3406150000000003E-2</v>
      </c>
      <c r="F148" s="10">
        <f>+'Purchased Power Model '!F148</f>
        <v>28</v>
      </c>
      <c r="G148" s="10">
        <f>+'Purchased Power Model '!G148</f>
        <v>0</v>
      </c>
      <c r="H148" s="141">
        <f t="shared" si="8"/>
        <v>102147674.55786638</v>
      </c>
      <c r="I148" s="142"/>
      <c r="J148" s="143"/>
      <c r="T148" s="135"/>
      <c r="U148" s="135"/>
      <c r="V148" s="135"/>
      <c r="W148" s="135"/>
      <c r="X148" s="135"/>
      <c r="Y148" s="135"/>
      <c r="Z148" s="135"/>
      <c r="AA148" s="135"/>
      <c r="AB148" s="135"/>
    </row>
    <row r="149" spans="1:28" x14ac:dyDescent="0.2">
      <c r="A149" s="3">
        <v>42064</v>
      </c>
      <c r="B149" s="135"/>
      <c r="C149" s="121">
        <f>(+C137/SUM(C$135:C$146))*Trends!B$24</f>
        <v>571.47533876306056</v>
      </c>
      <c r="D149" s="121">
        <f>(+D137/SUM(D$135:D$146))*Trends!C$24</f>
        <v>0</v>
      </c>
      <c r="E149" s="126">
        <f>+'Purchased Power Model '!E149</f>
        <v>7.3406150000000003E-2</v>
      </c>
      <c r="F149" s="10">
        <f>+'Purchased Power Model '!F149</f>
        <v>31</v>
      </c>
      <c r="G149" s="10">
        <f>+'Purchased Power Model '!G149</f>
        <v>1</v>
      </c>
      <c r="H149" s="141">
        <f t="shared" si="8"/>
        <v>103121316.08193196</v>
      </c>
      <c r="I149" s="142"/>
      <c r="J149" s="143"/>
      <c r="T149" s="135"/>
      <c r="U149" s="135"/>
      <c r="V149" s="135"/>
      <c r="W149" s="135"/>
      <c r="X149" s="135"/>
      <c r="Y149" s="135"/>
      <c r="Z149" s="135"/>
      <c r="AA149" s="135"/>
      <c r="AB149" s="135"/>
    </row>
    <row r="150" spans="1:28" x14ac:dyDescent="0.2">
      <c r="A150" s="3">
        <v>42095</v>
      </c>
      <c r="B150" s="135"/>
      <c r="C150" s="121">
        <f>(+C138/SUM(C$135:C$146))*Trends!B$24</f>
        <v>312.98590350722668</v>
      </c>
      <c r="D150" s="121">
        <f>(+D138/SUM(D$135:D$146))*Trends!C$24</f>
        <v>0</v>
      </c>
      <c r="E150" s="126">
        <f>+'Purchased Power Model '!E150</f>
        <v>7.3406150000000003E-2</v>
      </c>
      <c r="F150" s="10">
        <f>+'Purchased Power Model '!F150</f>
        <v>30</v>
      </c>
      <c r="G150" s="10">
        <f>+'Purchased Power Model '!G150</f>
        <v>1</v>
      </c>
      <c r="H150" s="141">
        <f t="shared" si="8"/>
        <v>89904487.273338139</v>
      </c>
      <c r="I150" s="142"/>
      <c r="J150" s="143"/>
      <c r="T150" s="135"/>
      <c r="U150" s="135"/>
      <c r="V150" s="135"/>
      <c r="W150" s="135"/>
      <c r="X150" s="135"/>
      <c r="Y150" s="135"/>
      <c r="Z150" s="135"/>
      <c r="AA150" s="135"/>
      <c r="AB150" s="135"/>
    </row>
    <row r="151" spans="1:28" x14ac:dyDescent="0.2">
      <c r="A151" s="3">
        <v>42125</v>
      </c>
      <c r="B151" s="135"/>
      <c r="C151" s="121">
        <f>(+C139/SUM(C$135:C$146))*Trends!B$24</f>
        <v>135.29285621575511</v>
      </c>
      <c r="D151" s="121">
        <f>(+D139/SUM(D$135:D$146))*Trends!C$24</f>
        <v>1.8207074041034785</v>
      </c>
      <c r="E151" s="126">
        <f>+'Purchased Power Model '!E151</f>
        <v>7.3406150000000003E-2</v>
      </c>
      <c r="F151" s="10">
        <f>+'Purchased Power Model '!F151</f>
        <v>31</v>
      </c>
      <c r="G151" s="10">
        <f>+'Purchased Power Model '!G151</f>
        <v>1</v>
      </c>
      <c r="H151" s="141">
        <f t="shared" si="8"/>
        <v>85825763.89932479</v>
      </c>
      <c r="I151" s="142"/>
      <c r="J151" s="143"/>
      <c r="T151" s="135"/>
    </row>
    <row r="152" spans="1:28" x14ac:dyDescent="0.2">
      <c r="A152" s="3">
        <v>42156</v>
      </c>
      <c r="B152" s="135"/>
      <c r="C152" s="121">
        <f>(+C140/SUM(C$135:C$146))*Trends!B$24</f>
        <v>22.675251290989493</v>
      </c>
      <c r="D152" s="121">
        <f>(+D140/SUM(D$135:D$146))*Trends!C$24</f>
        <v>56.1618206958073</v>
      </c>
      <c r="E152" s="126">
        <f>+'Purchased Power Model '!E152</f>
        <v>7.3406150000000003E-2</v>
      </c>
      <c r="F152" s="10">
        <f>+'Purchased Power Model '!F152</f>
        <v>30</v>
      </c>
      <c r="G152" s="10">
        <f>+'Purchased Power Model '!G152</f>
        <v>0</v>
      </c>
      <c r="H152" s="141">
        <f t="shared" si="8"/>
        <v>93366844.621817976</v>
      </c>
      <c r="I152" s="142"/>
      <c r="J152" s="143"/>
      <c r="T152" s="135"/>
    </row>
    <row r="153" spans="1:28" x14ac:dyDescent="0.2">
      <c r="A153" s="3">
        <v>42186</v>
      </c>
      <c r="B153" s="135"/>
      <c r="C153" s="121">
        <f>(+C141/SUM(C$135:C$146))*Trends!B$24</f>
        <v>8.0922829886059144</v>
      </c>
      <c r="D153" s="121">
        <f>(+D141/SUM(D$135:D$146))*Trends!C$24</f>
        <v>76.469710972346093</v>
      </c>
      <c r="E153" s="126">
        <f>+'Purchased Power Model '!E153</f>
        <v>7.3406150000000003E-2</v>
      </c>
      <c r="F153" s="10">
        <f>+'Purchased Power Model '!F153</f>
        <v>31</v>
      </c>
      <c r="G153" s="10">
        <f>+'Purchased Power Model '!G153</f>
        <v>0</v>
      </c>
      <c r="H153" s="141">
        <f t="shared" si="8"/>
        <v>98529672.895680413</v>
      </c>
      <c r="I153" s="142"/>
      <c r="J153" s="143"/>
      <c r="T153" s="135"/>
    </row>
    <row r="154" spans="1:28" x14ac:dyDescent="0.2">
      <c r="A154" s="3">
        <v>42217</v>
      </c>
      <c r="B154" s="135"/>
      <c r="C154" s="121">
        <f>(+C142/SUM(C$135:C$146))*Trends!B$24</f>
        <v>10.705416037009909</v>
      </c>
      <c r="D154" s="121">
        <f>(+D142/SUM(D$135:D$146))*Trends!C$24</f>
        <v>81.231561106155198</v>
      </c>
      <c r="E154" s="126">
        <f>+'Purchased Power Model '!E154</f>
        <v>7.3406150000000003E-2</v>
      </c>
      <c r="F154" s="10">
        <f>+'Purchased Power Model '!F154</f>
        <v>31</v>
      </c>
      <c r="G154" s="10">
        <f>+'Purchased Power Model '!G154</f>
        <v>0</v>
      </c>
      <c r="H154" s="141">
        <f t="shared" si="8"/>
        <v>99323976.778990269</v>
      </c>
      <c r="I154" s="142"/>
      <c r="J154" s="143"/>
      <c r="T154" s="135"/>
    </row>
    <row r="155" spans="1:28" x14ac:dyDescent="0.2">
      <c r="A155" s="3">
        <v>42248</v>
      </c>
      <c r="B155" s="135"/>
      <c r="C155" s="121">
        <f>(+C143/SUM(C$135:C$146))*Trends!B$24</f>
        <v>65.244031595635207</v>
      </c>
      <c r="D155" s="121">
        <f>(+D143/SUM(D$135:D$146))*Trends!C$24</f>
        <v>31.512243532560205</v>
      </c>
      <c r="E155" s="126">
        <f>+'Purchased Power Model '!E155</f>
        <v>7.3406150000000003E-2</v>
      </c>
      <c r="F155" s="10">
        <f>+'Purchased Power Model '!F155</f>
        <v>30</v>
      </c>
      <c r="G155" s="10">
        <f>+'Purchased Power Model '!G155</f>
        <v>1</v>
      </c>
      <c r="H155" s="141">
        <f t="shared" si="8"/>
        <v>84491630.185730055</v>
      </c>
      <c r="I155" s="142"/>
      <c r="J155" s="143"/>
      <c r="T155" s="135"/>
    </row>
    <row r="156" spans="1:28" x14ac:dyDescent="0.2">
      <c r="A156" s="3">
        <v>42278</v>
      </c>
      <c r="B156" s="135"/>
      <c r="C156" s="121">
        <f>(+C144/SUM(C$135:C$146))*Trends!B$24</f>
        <v>182.32925108702705</v>
      </c>
      <c r="D156" s="121">
        <f>(+D144/SUM(D$135:D$146))*Trends!C$24</f>
        <v>0.70027207850133788</v>
      </c>
      <c r="E156" s="126">
        <f>+'Purchased Power Model '!E156</f>
        <v>7.3406150000000003E-2</v>
      </c>
      <c r="F156" s="10">
        <f>+'Purchased Power Model '!F156</f>
        <v>31</v>
      </c>
      <c r="G156" s="10">
        <f>+'Purchased Power Model '!G156</f>
        <v>1</v>
      </c>
      <c r="H156" s="141">
        <f t="shared" si="8"/>
        <v>87557125.559823751</v>
      </c>
      <c r="I156" s="142"/>
      <c r="J156" s="143"/>
      <c r="T156" s="135"/>
    </row>
    <row r="157" spans="1:28" x14ac:dyDescent="0.2">
      <c r="A157" s="3">
        <v>42309</v>
      </c>
      <c r="B157" s="135"/>
      <c r="C157" s="121">
        <f>(+C145/SUM(C$135:C$146))*Trends!B$24</f>
        <v>343.33196471449901</v>
      </c>
      <c r="D157" s="121">
        <f>(+D145/SUM(D$135:D$146))*Trends!C$24</f>
        <v>0</v>
      </c>
      <c r="E157" s="126">
        <f>+'Purchased Power Model '!E157</f>
        <v>7.3406150000000003E-2</v>
      </c>
      <c r="F157" s="10">
        <f>+'Purchased Power Model '!F157</f>
        <v>30</v>
      </c>
      <c r="G157" s="10">
        <f>+'Purchased Power Model '!G157</f>
        <v>1</v>
      </c>
      <c r="H157" s="141">
        <f t="shared" si="8"/>
        <v>91126103.397606596</v>
      </c>
      <c r="I157" s="142"/>
      <c r="J157" s="143"/>
      <c r="T157" s="135"/>
    </row>
    <row r="158" spans="1:28" x14ac:dyDescent="0.2">
      <c r="A158" s="3">
        <v>42339</v>
      </c>
      <c r="B158" s="135"/>
      <c r="C158" s="121">
        <f>(+C146/SUM(C$135:C$146))*Trends!B$24</f>
        <v>465.13768261591082</v>
      </c>
      <c r="D158" s="121">
        <f>(+D146/SUM(D$135:D$146))*Trends!C$24</f>
        <v>0</v>
      </c>
      <c r="E158" s="126">
        <f>+'Purchased Power Model '!E158</f>
        <v>7.3406150000000003E-2</v>
      </c>
      <c r="F158" s="10">
        <f>+'Purchased Power Model '!F158</f>
        <v>31</v>
      </c>
      <c r="G158" s="10">
        <f>+'Purchased Power Model '!G158</f>
        <v>0</v>
      </c>
      <c r="H158" s="141">
        <f t="shared" si="8"/>
        <v>105862286.6614175</v>
      </c>
      <c r="I158" s="142"/>
      <c r="J158" s="143"/>
      <c r="T158" s="135"/>
    </row>
    <row r="159" spans="1:28" x14ac:dyDescent="0.2">
      <c r="A159" s="3">
        <v>42370</v>
      </c>
      <c r="B159" s="135"/>
      <c r="C159" s="121">
        <f>(+C147/SUM(C$147:C$158))*Trends!B$24</f>
        <v>650.1643613658066</v>
      </c>
      <c r="D159" s="121">
        <f>(+D147/SUM(D$147:D$158))*Trends!C$24</f>
        <v>0</v>
      </c>
      <c r="E159" s="126">
        <f>+'Purchased Power Model '!E159</f>
        <v>7.3406150000000003E-2</v>
      </c>
      <c r="F159" s="10">
        <f>+'Purchased Power Model '!F159</f>
        <v>31</v>
      </c>
      <c r="G159" s="10">
        <f>+'Purchased Power Model '!G159</f>
        <v>0</v>
      </c>
      <c r="H159" s="141">
        <f t="shared" si="8"/>
        <v>113310751.64133209</v>
      </c>
      <c r="I159" s="142"/>
      <c r="J159" s="143"/>
      <c r="T159" s="135"/>
    </row>
    <row r="160" spans="1:28" x14ac:dyDescent="0.2">
      <c r="A160" s="3">
        <v>42401</v>
      </c>
      <c r="B160" s="135"/>
      <c r="C160" s="121">
        <f>(+C148/SUM(C$147:C$158))*Trends!B$24</f>
        <v>582.34934402899978</v>
      </c>
      <c r="D160" s="121">
        <f>(+D148/SUM(D$147:D$158))*Trends!C$24</f>
        <v>0</v>
      </c>
      <c r="E160" s="126">
        <f>+'Purchased Power Model '!E160</f>
        <v>7.3406150000000003E-2</v>
      </c>
      <c r="F160" s="10">
        <f>+'Purchased Power Model '!F160</f>
        <v>29</v>
      </c>
      <c r="G160" s="10">
        <f>+'Purchased Power Model '!G160</f>
        <v>0</v>
      </c>
      <c r="H160" s="141">
        <f t="shared" si="8"/>
        <v>104958709.35237905</v>
      </c>
      <c r="I160" s="142"/>
      <c r="J160" s="143"/>
      <c r="T160" s="135"/>
    </row>
    <row r="161" spans="1:20" x14ac:dyDescent="0.2">
      <c r="A161" s="3">
        <v>42430</v>
      </c>
      <c r="B161" s="135"/>
      <c r="C161" s="121">
        <f>(+C149/SUM(C$147:C$158))*Trends!B$24</f>
        <v>571.47533876306068</v>
      </c>
      <c r="D161" s="121">
        <f>(+D149/SUM(D$147:D$158))*Trends!C$24</f>
        <v>0</v>
      </c>
      <c r="E161" s="126">
        <f>+'Purchased Power Model '!E161</f>
        <v>7.3406150000000003E-2</v>
      </c>
      <c r="F161" s="10">
        <f>+'Purchased Power Model '!F161</f>
        <v>31</v>
      </c>
      <c r="G161" s="10">
        <f>+'Purchased Power Model '!G161</f>
        <v>1</v>
      </c>
      <c r="H161" s="141">
        <f t="shared" si="8"/>
        <v>103121316.08193198</v>
      </c>
      <c r="I161" s="142"/>
      <c r="J161" s="143"/>
      <c r="T161" s="135"/>
    </row>
    <row r="162" spans="1:20" x14ac:dyDescent="0.2">
      <c r="A162" s="3">
        <v>42461</v>
      </c>
      <c r="B162" s="135"/>
      <c r="C162" s="121">
        <f>(+C150/SUM(C$147:C$158))*Trends!B$24</f>
        <v>312.98590350722668</v>
      </c>
      <c r="D162" s="121">
        <f>(+D150/SUM(D$147:D$158))*Trends!C$24</f>
        <v>0</v>
      </c>
      <c r="E162" s="126">
        <f>+'Purchased Power Model '!E162</f>
        <v>7.3406150000000003E-2</v>
      </c>
      <c r="F162" s="10">
        <f>+'Purchased Power Model '!F162</f>
        <v>30</v>
      </c>
      <c r="G162" s="10">
        <f>+'Purchased Power Model '!G162</f>
        <v>1</v>
      </c>
      <c r="H162" s="141">
        <f t="shared" si="8"/>
        <v>89904487.273338139</v>
      </c>
      <c r="I162" s="142"/>
      <c r="J162" s="143"/>
      <c r="T162" s="135"/>
    </row>
    <row r="163" spans="1:20" x14ac:dyDescent="0.2">
      <c r="A163" s="3">
        <v>42491</v>
      </c>
      <c r="B163" s="135"/>
      <c r="C163" s="121">
        <f>(+C151/SUM(C$147:C$158))*Trends!B$24</f>
        <v>135.29285621575514</v>
      </c>
      <c r="D163" s="121">
        <f>(+D151/SUM(D$147:D$158))*Trends!C$24</f>
        <v>1.8207074041034785</v>
      </c>
      <c r="E163" s="126">
        <f>+'Purchased Power Model '!E163</f>
        <v>7.3406150000000003E-2</v>
      </c>
      <c r="F163" s="10">
        <f>+'Purchased Power Model '!F163</f>
        <v>31</v>
      </c>
      <c r="G163" s="10">
        <f>+'Purchased Power Model '!G163</f>
        <v>1</v>
      </c>
      <c r="H163" s="141">
        <f t="shared" si="8"/>
        <v>85825763.89932479</v>
      </c>
      <c r="I163" s="142"/>
      <c r="J163" s="143"/>
      <c r="T163" s="135"/>
    </row>
    <row r="164" spans="1:20" x14ac:dyDescent="0.2">
      <c r="A164" s="3">
        <v>42522</v>
      </c>
      <c r="B164" s="135"/>
      <c r="C164" s="121">
        <f>(+C152/SUM(C$147:C$158))*Trends!B$24</f>
        <v>22.675251290989497</v>
      </c>
      <c r="D164" s="121">
        <f>(+D152/SUM(D$147:D$158))*Trends!C$24</f>
        <v>56.1618206958073</v>
      </c>
      <c r="E164" s="126">
        <f>+'Purchased Power Model '!E164</f>
        <v>7.3406150000000003E-2</v>
      </c>
      <c r="F164" s="10">
        <f>+'Purchased Power Model '!F164</f>
        <v>30</v>
      </c>
      <c r="G164" s="10">
        <f>+'Purchased Power Model '!G164</f>
        <v>0</v>
      </c>
      <c r="H164" s="141">
        <f t="shared" si="8"/>
        <v>93366844.621817976</v>
      </c>
      <c r="I164" s="142"/>
      <c r="J164" s="143"/>
      <c r="T164" s="135"/>
    </row>
    <row r="165" spans="1:20" x14ac:dyDescent="0.2">
      <c r="A165" s="3">
        <v>42552</v>
      </c>
      <c r="B165" s="135"/>
      <c r="C165" s="121">
        <f>(+C153/SUM(C$147:C$158))*Trends!B$24</f>
        <v>8.0922829886059144</v>
      </c>
      <c r="D165" s="121">
        <f>(+D153/SUM(D$147:D$158))*Trends!C$24</f>
        <v>76.469710972346093</v>
      </c>
      <c r="E165" s="126">
        <f>+'Purchased Power Model '!E165</f>
        <v>7.3406150000000003E-2</v>
      </c>
      <c r="F165" s="10">
        <f>+'Purchased Power Model '!F165</f>
        <v>31</v>
      </c>
      <c r="G165" s="10">
        <f>+'Purchased Power Model '!G165</f>
        <v>0</v>
      </c>
      <c r="H165" s="141">
        <f t="shared" si="8"/>
        <v>98529672.895680413</v>
      </c>
      <c r="I165" s="142"/>
      <c r="J165" s="143"/>
      <c r="T165" s="135"/>
    </row>
    <row r="166" spans="1:20" x14ac:dyDescent="0.2">
      <c r="A166" s="3">
        <v>42583</v>
      </c>
      <c r="B166" s="135"/>
      <c r="C166" s="121">
        <f>(+C154/SUM(C$147:C$158))*Trends!B$24</f>
        <v>10.705416037009911</v>
      </c>
      <c r="D166" s="121">
        <f>(+D154/SUM(D$147:D$158))*Trends!C$24</f>
        <v>81.231561106155198</v>
      </c>
      <c r="E166" s="126">
        <f>+'Purchased Power Model '!E166</f>
        <v>7.3406150000000003E-2</v>
      </c>
      <c r="F166" s="10">
        <f>+'Purchased Power Model '!F166</f>
        <v>31</v>
      </c>
      <c r="G166" s="10">
        <f>+'Purchased Power Model '!G166</f>
        <v>0</v>
      </c>
      <c r="H166" s="141">
        <f t="shared" si="8"/>
        <v>99323976.778990269</v>
      </c>
      <c r="I166" s="142"/>
      <c r="J166" s="143"/>
      <c r="T166" s="135"/>
    </row>
    <row r="167" spans="1:20" x14ac:dyDescent="0.2">
      <c r="A167" s="3">
        <v>42614</v>
      </c>
      <c r="B167" s="135"/>
      <c r="C167" s="121">
        <f>(+C155/SUM(C$147:C$158))*Trends!B$24</f>
        <v>65.244031595635207</v>
      </c>
      <c r="D167" s="121">
        <f>(+D155/SUM(D$147:D$158))*Trends!C$24</f>
        <v>31.512243532560205</v>
      </c>
      <c r="E167" s="126">
        <f>+'Purchased Power Model '!E167</f>
        <v>7.3406150000000003E-2</v>
      </c>
      <c r="F167" s="10">
        <f>+'Purchased Power Model '!F167</f>
        <v>30</v>
      </c>
      <c r="G167" s="10">
        <f>+'Purchased Power Model '!G167</f>
        <v>1</v>
      </c>
      <c r="H167" s="141">
        <f t="shared" si="8"/>
        <v>84491630.185730055</v>
      </c>
      <c r="I167" s="142"/>
      <c r="J167" s="143"/>
      <c r="T167" s="135"/>
    </row>
    <row r="168" spans="1:20" x14ac:dyDescent="0.2">
      <c r="A168" s="3">
        <v>42644</v>
      </c>
      <c r="B168" s="135"/>
      <c r="C168" s="121">
        <f>(+C156/SUM(C$147:C$158))*Trends!B$24</f>
        <v>182.32925108702707</v>
      </c>
      <c r="D168" s="121">
        <f>(+D156/SUM(D$147:D$158))*Trends!C$24</f>
        <v>0.70027207850133788</v>
      </c>
      <c r="E168" s="126">
        <f>+'Purchased Power Model '!E168</f>
        <v>7.3406150000000003E-2</v>
      </c>
      <c r="F168" s="10">
        <f>+'Purchased Power Model '!F168</f>
        <v>31</v>
      </c>
      <c r="G168" s="10">
        <f>+'Purchased Power Model '!G168</f>
        <v>1</v>
      </c>
      <c r="H168" s="141">
        <f t="shared" si="8"/>
        <v>87557125.559823751</v>
      </c>
      <c r="I168" s="142"/>
      <c r="J168" s="143"/>
      <c r="T168" s="135"/>
    </row>
    <row r="169" spans="1:20" x14ac:dyDescent="0.2">
      <c r="A169" s="3">
        <v>42675</v>
      </c>
      <c r="B169" s="135"/>
      <c r="C169" s="121">
        <f>(+C157/SUM(C$147:C$158))*Trends!B$24</f>
        <v>343.33196471449907</v>
      </c>
      <c r="D169" s="121">
        <f>(+D157/SUM(D$147:D$158))*Trends!C$24</f>
        <v>0</v>
      </c>
      <c r="E169" s="126">
        <f>+'Purchased Power Model '!E169</f>
        <v>7.3406150000000003E-2</v>
      </c>
      <c r="F169" s="10">
        <f>+'Purchased Power Model '!F169</f>
        <v>30</v>
      </c>
      <c r="G169" s="10">
        <f>+'Purchased Power Model '!G169</f>
        <v>1</v>
      </c>
      <c r="H169" s="141">
        <f t="shared" si="8"/>
        <v>91126103.397606611</v>
      </c>
      <c r="I169" s="142"/>
      <c r="J169" s="143"/>
      <c r="T169" s="135"/>
    </row>
    <row r="170" spans="1:20" x14ac:dyDescent="0.2">
      <c r="A170" s="3">
        <v>42705</v>
      </c>
      <c r="B170" s="135"/>
      <c r="C170" s="121">
        <f>(+C158/SUM(C$147:C$158))*Trends!B$24</f>
        <v>465.13768261591093</v>
      </c>
      <c r="D170" s="121">
        <f>(+D158/SUM(D$147:D$158))*Trends!C$24</f>
        <v>0</v>
      </c>
      <c r="E170" s="126">
        <f>+'Purchased Power Model '!E170</f>
        <v>7.3406150000000003E-2</v>
      </c>
      <c r="F170" s="10">
        <f>+'Purchased Power Model '!F170</f>
        <v>31</v>
      </c>
      <c r="G170" s="10">
        <f>+'Purchased Power Model '!G170</f>
        <v>0</v>
      </c>
      <c r="H170" s="141">
        <f t="shared" si="8"/>
        <v>105862286.66141751</v>
      </c>
      <c r="I170" s="142"/>
      <c r="J170" s="143"/>
      <c r="T170" s="135"/>
    </row>
    <row r="171" spans="1:20" x14ac:dyDescent="0.2">
      <c r="A171" s="3">
        <v>42736</v>
      </c>
      <c r="B171" s="135"/>
      <c r="C171" s="121">
        <f>(+C159/SUM(C$159:C$170))*Trends!B$24</f>
        <v>650.1643613658066</v>
      </c>
      <c r="D171" s="121">
        <f>(+D159/SUM(D$159:D$170))*Trends!C$24</f>
        <v>0</v>
      </c>
      <c r="E171" s="126">
        <f>+'Purchased Power Model '!E171</f>
        <v>7.3406150000000003E-2</v>
      </c>
      <c r="F171" s="10">
        <f>+'Purchased Power Model '!F171</f>
        <v>31</v>
      </c>
      <c r="G171" s="10">
        <f>+'Purchased Power Model '!G171</f>
        <v>0</v>
      </c>
      <c r="H171" s="141">
        <f t="shared" si="8"/>
        <v>113310751.64133209</v>
      </c>
      <c r="I171" s="142"/>
      <c r="J171" s="143"/>
      <c r="T171" s="135"/>
    </row>
    <row r="172" spans="1:20" x14ac:dyDescent="0.2">
      <c r="A172" s="3">
        <v>42767</v>
      </c>
      <c r="B172" s="135"/>
      <c r="C172" s="121">
        <f>(+C160/SUM(C$159:C$170))*Trends!B$24</f>
        <v>582.34934402899978</v>
      </c>
      <c r="D172" s="121">
        <f>(+D160/SUM(D$159:D$170))*Trends!C$24</f>
        <v>0</v>
      </c>
      <c r="E172" s="126">
        <f>+'Purchased Power Model '!E172</f>
        <v>7.3406150000000003E-2</v>
      </c>
      <c r="F172" s="10">
        <f>+'Purchased Power Model '!F172</f>
        <v>28</v>
      </c>
      <c r="G172" s="10">
        <f>+'Purchased Power Model '!G172</f>
        <v>0</v>
      </c>
      <c r="H172" s="141">
        <f t="shared" si="8"/>
        <v>102147674.55786638</v>
      </c>
      <c r="I172" s="142"/>
      <c r="J172" s="143"/>
      <c r="T172" s="135"/>
    </row>
    <row r="173" spans="1:20" x14ac:dyDescent="0.2">
      <c r="A173" s="3">
        <v>42795</v>
      </c>
      <c r="B173" s="135"/>
      <c r="C173" s="121">
        <f>(+C161/SUM(C$159:C$170))*Trends!B$24</f>
        <v>571.47533876306068</v>
      </c>
      <c r="D173" s="121">
        <f>(+D161/SUM(D$159:D$170))*Trends!C$24</f>
        <v>0</v>
      </c>
      <c r="E173" s="126">
        <f>+'Purchased Power Model '!E173</f>
        <v>7.3406150000000003E-2</v>
      </c>
      <c r="F173" s="10">
        <f>+'Purchased Power Model '!F173</f>
        <v>31</v>
      </c>
      <c r="G173" s="10">
        <f>+'Purchased Power Model '!G173</f>
        <v>1</v>
      </c>
      <c r="H173" s="141">
        <f t="shared" si="8"/>
        <v>103121316.08193198</v>
      </c>
      <c r="I173" s="142"/>
      <c r="J173" s="143"/>
      <c r="T173" s="135"/>
    </row>
    <row r="174" spans="1:20" x14ac:dyDescent="0.2">
      <c r="A174" s="3">
        <v>42826</v>
      </c>
      <c r="B174" s="135"/>
      <c r="C174" s="121">
        <f>(+C162/SUM(C$159:C$170))*Trends!B$24</f>
        <v>312.98590350722668</v>
      </c>
      <c r="D174" s="121">
        <f>(+D162/SUM(D$159:D$170))*Trends!C$24</f>
        <v>0</v>
      </c>
      <c r="E174" s="126">
        <f>+'Purchased Power Model '!E174</f>
        <v>7.3406150000000003E-2</v>
      </c>
      <c r="F174" s="10">
        <f>+'Purchased Power Model '!F174</f>
        <v>30</v>
      </c>
      <c r="G174" s="10">
        <f>+'Purchased Power Model '!G174</f>
        <v>1</v>
      </c>
      <c r="H174" s="141">
        <f t="shared" si="8"/>
        <v>89904487.273338139</v>
      </c>
      <c r="I174" s="142"/>
      <c r="J174" s="143"/>
      <c r="T174" s="135"/>
    </row>
    <row r="175" spans="1:20" x14ac:dyDescent="0.2">
      <c r="A175" s="3">
        <v>42856</v>
      </c>
      <c r="B175" s="135"/>
      <c r="C175" s="121">
        <f>(+C163/SUM(C$159:C$170))*Trends!B$24</f>
        <v>135.29285621575514</v>
      </c>
      <c r="D175" s="121">
        <f>(+D163/SUM(D$159:D$170))*Trends!C$24</f>
        <v>1.8207074041034785</v>
      </c>
      <c r="E175" s="126">
        <f>+'Purchased Power Model '!E175</f>
        <v>7.3406150000000003E-2</v>
      </c>
      <c r="F175" s="10">
        <f>+'Purchased Power Model '!F175</f>
        <v>31</v>
      </c>
      <c r="G175" s="10">
        <f>+'Purchased Power Model '!G175</f>
        <v>1</v>
      </c>
      <c r="H175" s="141">
        <f t="shared" si="8"/>
        <v>85825763.89932479</v>
      </c>
      <c r="I175" s="142"/>
      <c r="J175" s="143"/>
      <c r="T175" s="135"/>
    </row>
    <row r="176" spans="1:20" x14ac:dyDescent="0.2">
      <c r="A176" s="3">
        <v>42887</v>
      </c>
      <c r="B176" s="135"/>
      <c r="C176" s="121">
        <f>(+C164/SUM(C$159:C$170))*Trends!B$24</f>
        <v>22.675251290989497</v>
      </c>
      <c r="D176" s="121">
        <f>(+D164/SUM(D$159:D$170))*Trends!C$24</f>
        <v>56.1618206958073</v>
      </c>
      <c r="E176" s="126">
        <f>+'Purchased Power Model '!E176</f>
        <v>7.3406150000000003E-2</v>
      </c>
      <c r="F176" s="10">
        <f>+'Purchased Power Model '!F176</f>
        <v>30</v>
      </c>
      <c r="G176" s="10">
        <f>+'Purchased Power Model '!G176</f>
        <v>0</v>
      </c>
      <c r="H176" s="141">
        <f t="shared" si="8"/>
        <v>93366844.621817976</v>
      </c>
      <c r="I176" s="142"/>
      <c r="J176" s="143"/>
      <c r="T176" s="135"/>
    </row>
    <row r="177" spans="1:20" x14ac:dyDescent="0.2">
      <c r="A177" s="3">
        <v>42917</v>
      </c>
      <c r="B177" s="135"/>
      <c r="C177" s="121">
        <f>(+C165/SUM(C$159:C$170))*Trends!B$24</f>
        <v>8.0922829886059144</v>
      </c>
      <c r="D177" s="121">
        <f>(+D165/SUM(D$159:D$170))*Trends!C$24</f>
        <v>76.469710972346093</v>
      </c>
      <c r="E177" s="126">
        <f>+'Purchased Power Model '!E177</f>
        <v>7.3406150000000003E-2</v>
      </c>
      <c r="F177" s="10">
        <f>+'Purchased Power Model '!F177</f>
        <v>31</v>
      </c>
      <c r="G177" s="10">
        <f>+'Purchased Power Model '!G177</f>
        <v>0</v>
      </c>
      <c r="H177" s="141">
        <f t="shared" si="8"/>
        <v>98529672.895680413</v>
      </c>
      <c r="I177" s="142"/>
      <c r="J177" s="143"/>
      <c r="T177" s="135"/>
    </row>
    <row r="178" spans="1:20" x14ac:dyDescent="0.2">
      <c r="A178" s="3">
        <v>42948</v>
      </c>
      <c r="B178" s="135"/>
      <c r="C178" s="121">
        <f>(+C166/SUM(C$159:C$170))*Trends!B$24</f>
        <v>10.705416037009911</v>
      </c>
      <c r="D178" s="121">
        <f>(+D166/SUM(D$159:D$170))*Trends!C$24</f>
        <v>81.231561106155198</v>
      </c>
      <c r="E178" s="126">
        <f>+'Purchased Power Model '!E178</f>
        <v>7.3406150000000003E-2</v>
      </c>
      <c r="F178" s="10">
        <f>+'Purchased Power Model '!F178</f>
        <v>31</v>
      </c>
      <c r="G178" s="10">
        <f>+'Purchased Power Model '!G178</f>
        <v>0</v>
      </c>
      <c r="H178" s="141">
        <f t="shared" si="8"/>
        <v>99323976.778990269</v>
      </c>
      <c r="I178" s="142"/>
      <c r="J178" s="143"/>
      <c r="T178" s="135"/>
    </row>
    <row r="179" spans="1:20" x14ac:dyDescent="0.2">
      <c r="A179" s="3">
        <v>42979</v>
      </c>
      <c r="B179" s="135"/>
      <c r="C179" s="121">
        <f>(+C167/SUM(C$159:C$170))*Trends!B$24</f>
        <v>65.244031595635207</v>
      </c>
      <c r="D179" s="121">
        <f>(+D167/SUM(D$159:D$170))*Trends!C$24</f>
        <v>31.512243532560205</v>
      </c>
      <c r="E179" s="126">
        <f>+'Purchased Power Model '!E179</f>
        <v>7.3406150000000003E-2</v>
      </c>
      <c r="F179" s="10">
        <f>+'Purchased Power Model '!F179</f>
        <v>30</v>
      </c>
      <c r="G179" s="10">
        <f>+'Purchased Power Model '!G179</f>
        <v>1</v>
      </c>
      <c r="H179" s="141">
        <f t="shared" si="8"/>
        <v>84491630.185730055</v>
      </c>
      <c r="I179" s="142"/>
      <c r="J179" s="143"/>
      <c r="T179" s="135"/>
    </row>
    <row r="180" spans="1:20" x14ac:dyDescent="0.2">
      <c r="A180" s="3">
        <v>43009</v>
      </c>
      <c r="B180" s="135"/>
      <c r="C180" s="121">
        <f>(+C168/SUM(C$159:C$170))*Trends!B$24</f>
        <v>182.32925108702707</v>
      </c>
      <c r="D180" s="121">
        <f>(+D168/SUM(D$159:D$170))*Trends!C$24</f>
        <v>0.70027207850133788</v>
      </c>
      <c r="E180" s="126">
        <f>+'Purchased Power Model '!E180</f>
        <v>7.3406150000000003E-2</v>
      </c>
      <c r="F180" s="10">
        <f>+'Purchased Power Model '!F180</f>
        <v>31</v>
      </c>
      <c r="G180" s="10">
        <f>+'Purchased Power Model '!G180</f>
        <v>1</v>
      </c>
      <c r="H180" s="141">
        <f t="shared" si="8"/>
        <v>87557125.559823751</v>
      </c>
      <c r="I180" s="142"/>
      <c r="J180" s="143"/>
      <c r="T180" s="135"/>
    </row>
    <row r="181" spans="1:20" x14ac:dyDescent="0.2">
      <c r="A181" s="3">
        <v>43040</v>
      </c>
      <c r="B181" s="135"/>
      <c r="C181" s="121">
        <f>(+C169/SUM(C$159:C$170))*Trends!B$24</f>
        <v>343.33196471449907</v>
      </c>
      <c r="D181" s="121">
        <f>(+D169/SUM(D$159:D$170))*Trends!C$24</f>
        <v>0</v>
      </c>
      <c r="E181" s="126">
        <f>+'Purchased Power Model '!E181</f>
        <v>7.3406150000000003E-2</v>
      </c>
      <c r="F181" s="10">
        <f>+'Purchased Power Model '!F181</f>
        <v>30</v>
      </c>
      <c r="G181" s="10">
        <f>+'Purchased Power Model '!G181</f>
        <v>1</v>
      </c>
      <c r="H181" s="141">
        <f t="shared" si="8"/>
        <v>91126103.397606611</v>
      </c>
      <c r="I181" s="142"/>
      <c r="J181" s="143"/>
      <c r="T181" s="135"/>
    </row>
    <row r="182" spans="1:20" x14ac:dyDescent="0.2">
      <c r="A182" s="3">
        <v>43070</v>
      </c>
      <c r="B182" s="135"/>
      <c r="C182" s="121">
        <f>(+C170/SUM(C$159:C$170))*Trends!B$24</f>
        <v>465.13768261591093</v>
      </c>
      <c r="D182" s="121">
        <f>(+D170/SUM(D$159:D$170))*Trends!C$24</f>
        <v>0</v>
      </c>
      <c r="E182" s="126">
        <f>+'Purchased Power Model '!E182</f>
        <v>7.3406150000000003E-2</v>
      </c>
      <c r="F182" s="10">
        <f>+'Purchased Power Model '!F182</f>
        <v>31</v>
      </c>
      <c r="G182" s="10">
        <f>+'Purchased Power Model '!G182</f>
        <v>0</v>
      </c>
      <c r="H182" s="141">
        <f t="shared" si="8"/>
        <v>105862286.66141751</v>
      </c>
      <c r="I182" s="142"/>
      <c r="J182" s="143"/>
      <c r="T182" s="135"/>
    </row>
    <row r="183" spans="1:20" x14ac:dyDescent="0.2">
      <c r="A183" s="3">
        <v>43101</v>
      </c>
      <c r="B183" s="135"/>
      <c r="C183" s="121">
        <f>(+C171/SUM(C$171:C$182))*Trends!B$24</f>
        <v>650.1643613658066</v>
      </c>
      <c r="D183" s="121">
        <f>(+D171/SUM(D$171:D$182))*Trends!C$24</f>
        <v>0</v>
      </c>
      <c r="E183" s="126">
        <f>+'Purchased Power Model '!E183</f>
        <v>7.3406150000000003E-2</v>
      </c>
      <c r="F183" s="10">
        <f>+'Purchased Power Model '!F183</f>
        <v>31</v>
      </c>
      <c r="G183" s="10">
        <f>+'Purchased Power Model '!G183</f>
        <v>0</v>
      </c>
      <c r="H183" s="141">
        <f t="shared" si="8"/>
        <v>113310751.64133209</v>
      </c>
      <c r="I183" s="142"/>
      <c r="J183" s="143"/>
      <c r="T183" s="135"/>
    </row>
    <row r="184" spans="1:20" x14ac:dyDescent="0.2">
      <c r="A184" s="3">
        <v>43132</v>
      </c>
      <c r="B184" s="135"/>
      <c r="C184" s="121">
        <f>(+C172/SUM(C$171:C$182))*Trends!B$24</f>
        <v>582.34934402899978</v>
      </c>
      <c r="D184" s="121">
        <f>(+D172/SUM(D$171:D$182))*Trends!C$24</f>
        <v>0</v>
      </c>
      <c r="E184" s="126">
        <f>+'Purchased Power Model '!E184</f>
        <v>7.3406150000000003E-2</v>
      </c>
      <c r="F184" s="10">
        <f>+'Purchased Power Model '!F184</f>
        <v>28</v>
      </c>
      <c r="G184" s="10">
        <f>+'Purchased Power Model '!G184</f>
        <v>0</v>
      </c>
      <c r="H184" s="141">
        <f t="shared" si="8"/>
        <v>102147674.55786638</v>
      </c>
      <c r="I184" s="142"/>
      <c r="J184" s="143"/>
      <c r="T184" s="135"/>
    </row>
    <row r="185" spans="1:20" x14ac:dyDescent="0.2">
      <c r="A185" s="3">
        <v>43160</v>
      </c>
      <c r="B185" s="135"/>
      <c r="C185" s="121">
        <f>(+C173/SUM(C$171:C$182))*Trends!B$24</f>
        <v>571.47533876306068</v>
      </c>
      <c r="D185" s="121">
        <f>(+D173/SUM(D$171:D$182))*Trends!C$24</f>
        <v>0</v>
      </c>
      <c r="E185" s="126">
        <f>+'Purchased Power Model '!E185</f>
        <v>7.3406150000000003E-2</v>
      </c>
      <c r="F185" s="10">
        <f>+'Purchased Power Model '!F185</f>
        <v>31</v>
      </c>
      <c r="G185" s="10">
        <f>+'Purchased Power Model '!G185</f>
        <v>1</v>
      </c>
      <c r="H185" s="141">
        <f t="shared" si="8"/>
        <v>103121316.08193198</v>
      </c>
      <c r="I185" s="142"/>
      <c r="J185" s="143"/>
      <c r="T185" s="135"/>
    </row>
    <row r="186" spans="1:20" x14ac:dyDescent="0.2">
      <c r="A186" s="3">
        <v>43191</v>
      </c>
      <c r="B186" s="135"/>
      <c r="C186" s="121">
        <f>(+C174/SUM(C$171:C$182))*Trends!B$24</f>
        <v>312.98590350722668</v>
      </c>
      <c r="D186" s="121">
        <f>(+D174/SUM(D$171:D$182))*Trends!C$24</f>
        <v>0</v>
      </c>
      <c r="E186" s="126">
        <f>+'Purchased Power Model '!E186</f>
        <v>7.3406150000000003E-2</v>
      </c>
      <c r="F186" s="10">
        <f>+'Purchased Power Model '!F186</f>
        <v>30</v>
      </c>
      <c r="G186" s="10">
        <f>+'Purchased Power Model '!G186</f>
        <v>1</v>
      </c>
      <c r="H186" s="141">
        <f t="shared" si="8"/>
        <v>89904487.273338139</v>
      </c>
      <c r="I186" s="142"/>
      <c r="J186" s="143"/>
      <c r="T186" s="135"/>
    </row>
    <row r="187" spans="1:20" x14ac:dyDescent="0.2">
      <c r="A187" s="3">
        <v>43221</v>
      </c>
      <c r="B187" s="135"/>
      <c r="C187" s="121">
        <f>(+C175/SUM(C$171:C$182))*Trends!B$24</f>
        <v>135.29285621575514</v>
      </c>
      <c r="D187" s="121">
        <f>(+D175/SUM(D$171:D$182))*Trends!C$24</f>
        <v>1.8207074041034785</v>
      </c>
      <c r="E187" s="126">
        <f>+'Purchased Power Model '!E187</f>
        <v>7.3406150000000003E-2</v>
      </c>
      <c r="F187" s="10">
        <f>+'Purchased Power Model '!F187</f>
        <v>31</v>
      </c>
      <c r="G187" s="10">
        <f>+'Purchased Power Model '!G187</f>
        <v>1</v>
      </c>
      <c r="H187" s="141">
        <f t="shared" si="8"/>
        <v>85825763.89932479</v>
      </c>
      <c r="I187" s="142"/>
      <c r="J187" s="143"/>
      <c r="T187" s="135"/>
    </row>
    <row r="188" spans="1:20" x14ac:dyDescent="0.2">
      <c r="A188" s="3">
        <v>43252</v>
      </c>
      <c r="B188" s="135"/>
      <c r="C188" s="121">
        <f>(+C176/SUM(C$171:C$182))*Trends!B$24</f>
        <v>22.675251290989497</v>
      </c>
      <c r="D188" s="121">
        <f>(+D176/SUM(D$171:D$182))*Trends!C$24</f>
        <v>56.1618206958073</v>
      </c>
      <c r="E188" s="126">
        <f>+'Purchased Power Model '!E188</f>
        <v>7.3406150000000003E-2</v>
      </c>
      <c r="F188" s="10">
        <f>+'Purchased Power Model '!F188</f>
        <v>30</v>
      </c>
      <c r="G188" s="10">
        <f>+'Purchased Power Model '!G188</f>
        <v>0</v>
      </c>
      <c r="H188" s="141">
        <f t="shared" si="8"/>
        <v>93366844.621817976</v>
      </c>
      <c r="I188" s="142"/>
      <c r="J188" s="143"/>
      <c r="T188" s="135"/>
    </row>
    <row r="189" spans="1:20" x14ac:dyDescent="0.2">
      <c r="A189" s="3">
        <v>43282</v>
      </c>
      <c r="B189" s="135"/>
      <c r="C189" s="121">
        <f>(+C177/SUM(C$171:C$182))*Trends!B$24</f>
        <v>8.0922829886059144</v>
      </c>
      <c r="D189" s="121">
        <f>(+D177/SUM(D$171:D$182))*Trends!C$24</f>
        <v>76.469710972346093</v>
      </c>
      <c r="E189" s="126">
        <f>+'Purchased Power Model '!E189</f>
        <v>7.3406150000000003E-2</v>
      </c>
      <c r="F189" s="10">
        <f>+'Purchased Power Model '!F189</f>
        <v>31</v>
      </c>
      <c r="G189" s="10">
        <f>+'Purchased Power Model '!G189</f>
        <v>0</v>
      </c>
      <c r="H189" s="141">
        <f t="shared" si="8"/>
        <v>98529672.895680413</v>
      </c>
      <c r="I189" s="142"/>
      <c r="J189" s="143"/>
      <c r="T189" s="135"/>
    </row>
    <row r="190" spans="1:20" x14ac:dyDescent="0.2">
      <c r="A190" s="3">
        <v>43313</v>
      </c>
      <c r="B190" s="135"/>
      <c r="C190" s="121">
        <f>(+C178/SUM(C$171:C$182))*Trends!B$24</f>
        <v>10.705416037009911</v>
      </c>
      <c r="D190" s="121">
        <f>(+D178/SUM(D$171:D$182))*Trends!C$24</f>
        <v>81.231561106155198</v>
      </c>
      <c r="E190" s="126">
        <f>+'Purchased Power Model '!E190</f>
        <v>7.3406150000000003E-2</v>
      </c>
      <c r="F190" s="10">
        <f>+'Purchased Power Model '!F190</f>
        <v>31</v>
      </c>
      <c r="G190" s="10">
        <f>+'Purchased Power Model '!G190</f>
        <v>0</v>
      </c>
      <c r="H190" s="141">
        <f t="shared" si="8"/>
        <v>99323976.778990269</v>
      </c>
      <c r="I190" s="142"/>
      <c r="J190" s="143"/>
      <c r="T190" s="135"/>
    </row>
    <row r="191" spans="1:20" x14ac:dyDescent="0.2">
      <c r="A191" s="3">
        <v>43344</v>
      </c>
      <c r="B191" s="135"/>
      <c r="C191" s="121">
        <f>(+C179/SUM(C$171:C$182))*Trends!B$24</f>
        <v>65.244031595635207</v>
      </c>
      <c r="D191" s="121">
        <f>(+D179/SUM(D$171:D$182))*Trends!C$24</f>
        <v>31.512243532560205</v>
      </c>
      <c r="E191" s="126">
        <f>+'Purchased Power Model '!E191</f>
        <v>7.3406150000000003E-2</v>
      </c>
      <c r="F191" s="10">
        <f>+'Purchased Power Model '!F191</f>
        <v>30</v>
      </c>
      <c r="G191" s="10">
        <f>+'Purchased Power Model '!G191</f>
        <v>1</v>
      </c>
      <c r="H191" s="141">
        <f t="shared" si="8"/>
        <v>84491630.185730055</v>
      </c>
      <c r="I191" s="142"/>
      <c r="J191" s="143"/>
      <c r="T191" s="135"/>
    </row>
    <row r="192" spans="1:20" x14ac:dyDescent="0.2">
      <c r="A192" s="3">
        <v>43374</v>
      </c>
      <c r="B192" s="135"/>
      <c r="C192" s="121">
        <f>(+C180/SUM(C$171:C$182))*Trends!B$24</f>
        <v>182.32925108702707</v>
      </c>
      <c r="D192" s="121">
        <f>(+D180/SUM(D$171:D$182))*Trends!C$24</f>
        <v>0.70027207850133788</v>
      </c>
      <c r="E192" s="126">
        <f>+'Purchased Power Model '!E192</f>
        <v>7.3406150000000003E-2</v>
      </c>
      <c r="F192" s="10">
        <f>+'Purchased Power Model '!F192</f>
        <v>31</v>
      </c>
      <c r="G192" s="10">
        <f>+'Purchased Power Model '!G192</f>
        <v>1</v>
      </c>
      <c r="H192" s="141">
        <f t="shared" si="8"/>
        <v>87557125.559823751</v>
      </c>
      <c r="I192" s="142"/>
      <c r="J192" s="143"/>
      <c r="T192" s="135"/>
    </row>
    <row r="193" spans="1:20" x14ac:dyDescent="0.2">
      <c r="A193" s="3">
        <v>43405</v>
      </c>
      <c r="B193" s="135"/>
      <c r="C193" s="121">
        <f>(+C181/SUM(C$171:C$182))*Trends!B$24</f>
        <v>343.33196471449907</v>
      </c>
      <c r="D193" s="121">
        <f>(+D181/SUM(D$171:D$182))*Trends!C$24</f>
        <v>0</v>
      </c>
      <c r="E193" s="126">
        <f>+'Purchased Power Model '!E193</f>
        <v>7.3406150000000003E-2</v>
      </c>
      <c r="F193" s="10">
        <f>+'Purchased Power Model '!F193</f>
        <v>30</v>
      </c>
      <c r="G193" s="10">
        <f>+'Purchased Power Model '!G193</f>
        <v>1</v>
      </c>
      <c r="H193" s="141">
        <f t="shared" si="8"/>
        <v>91126103.397606611</v>
      </c>
      <c r="I193" s="142"/>
      <c r="J193" s="143"/>
      <c r="T193" s="135"/>
    </row>
    <row r="194" spans="1:20" x14ac:dyDescent="0.2">
      <c r="A194" s="3">
        <v>43435</v>
      </c>
      <c r="B194" s="135"/>
      <c r="C194" s="121">
        <f>(+C182/SUM(C$171:C$182))*Trends!B$24</f>
        <v>465.13768261591093</v>
      </c>
      <c r="D194" s="121">
        <f>(+D182/SUM(D$171:D$182))*Trends!C$24</f>
        <v>0</v>
      </c>
      <c r="E194" s="126">
        <f>+'Purchased Power Model '!E194</f>
        <v>7.3406150000000003E-2</v>
      </c>
      <c r="F194" s="10">
        <f>+'Purchased Power Model '!F194</f>
        <v>31</v>
      </c>
      <c r="G194" s="10">
        <f>+'Purchased Power Model '!G194</f>
        <v>0</v>
      </c>
      <c r="H194" s="141">
        <f t="shared" si="8"/>
        <v>105862286.66141751</v>
      </c>
      <c r="I194" s="142"/>
      <c r="J194" s="143"/>
      <c r="T194" s="135"/>
    </row>
    <row r="195" spans="1:20" x14ac:dyDescent="0.2">
      <c r="A195" s="3">
        <v>43466</v>
      </c>
      <c r="B195" s="135"/>
      <c r="C195" s="121">
        <f>(+C183/SUM(C$183:C$194))*Trends!B$24</f>
        <v>650.1643613658066</v>
      </c>
      <c r="D195" s="121">
        <f>(+D183/SUM(D$183:D$194))*Trends!C$24</f>
        <v>0</v>
      </c>
      <c r="E195" s="126">
        <f>+'Purchased Power Model '!E195</f>
        <v>7.3406150000000003E-2</v>
      </c>
      <c r="F195" s="10">
        <f>+'Purchased Power Model '!F195</f>
        <v>31</v>
      </c>
      <c r="G195" s="10">
        <f>+'Purchased Power Model '!G195</f>
        <v>0</v>
      </c>
      <c r="H195" s="141">
        <f t="shared" si="8"/>
        <v>113310751.64133209</v>
      </c>
      <c r="I195" s="142"/>
      <c r="J195" s="143"/>
      <c r="T195" s="135"/>
    </row>
    <row r="196" spans="1:20" x14ac:dyDescent="0.2">
      <c r="A196" s="3">
        <v>43497</v>
      </c>
      <c r="B196" s="135"/>
      <c r="C196" s="121">
        <f>(+C184/SUM(C$183:C$194))*Trends!B$24</f>
        <v>582.34934402899978</v>
      </c>
      <c r="D196" s="121">
        <f>(+D184/SUM(D$183:D$194))*Trends!C$24</f>
        <v>0</v>
      </c>
      <c r="E196" s="126">
        <f>+'Purchased Power Model '!E196</f>
        <v>7.3406150000000003E-2</v>
      </c>
      <c r="F196" s="10">
        <f>+'Purchased Power Model '!F196</f>
        <v>28</v>
      </c>
      <c r="G196" s="10">
        <f>+'Purchased Power Model '!G196</f>
        <v>0</v>
      </c>
      <c r="H196" s="141">
        <f t="shared" ref="H196:H206" si="14">$M$18+C196*$M$19+D196*$M$20+E196*$M$21+F196*$M$22+G196*$M$23</f>
        <v>102147674.55786638</v>
      </c>
      <c r="I196" s="142"/>
      <c r="J196" s="143"/>
      <c r="T196" s="135"/>
    </row>
    <row r="197" spans="1:20" x14ac:dyDescent="0.2">
      <c r="A197" s="3">
        <v>43525</v>
      </c>
      <c r="B197" s="135"/>
      <c r="C197" s="121">
        <f>(+C185/SUM(C$183:C$194))*Trends!B$24</f>
        <v>571.47533876306068</v>
      </c>
      <c r="D197" s="121">
        <f>(+D185/SUM(D$183:D$194))*Trends!C$24</f>
        <v>0</v>
      </c>
      <c r="E197" s="126">
        <f>+'Purchased Power Model '!E197</f>
        <v>7.3406150000000003E-2</v>
      </c>
      <c r="F197" s="10">
        <f>+'Purchased Power Model '!F197</f>
        <v>31</v>
      </c>
      <c r="G197" s="10">
        <f>+'Purchased Power Model '!G197</f>
        <v>1</v>
      </c>
      <c r="H197" s="141">
        <f t="shared" si="14"/>
        <v>103121316.08193198</v>
      </c>
      <c r="I197" s="142"/>
      <c r="J197" s="143"/>
      <c r="T197" s="135"/>
    </row>
    <row r="198" spans="1:20" x14ac:dyDescent="0.2">
      <c r="A198" s="3">
        <v>43556</v>
      </c>
      <c r="B198" s="135"/>
      <c r="C198" s="121">
        <f>(+C186/SUM(C$183:C$194))*Trends!B$24</f>
        <v>312.98590350722668</v>
      </c>
      <c r="D198" s="121">
        <f>(+D186/SUM(D$183:D$194))*Trends!C$24</f>
        <v>0</v>
      </c>
      <c r="E198" s="126">
        <f>+'Purchased Power Model '!E198</f>
        <v>7.3406150000000003E-2</v>
      </c>
      <c r="F198" s="10">
        <f>+'Purchased Power Model '!F198</f>
        <v>30</v>
      </c>
      <c r="G198" s="10">
        <f>+'Purchased Power Model '!G198</f>
        <v>1</v>
      </c>
      <c r="H198" s="141">
        <f t="shared" si="14"/>
        <v>89904487.273338139</v>
      </c>
      <c r="I198" s="142"/>
      <c r="J198" s="143"/>
      <c r="T198" s="135"/>
    </row>
    <row r="199" spans="1:20" x14ac:dyDescent="0.2">
      <c r="A199" s="3">
        <v>43586</v>
      </c>
      <c r="B199" s="135"/>
      <c r="C199" s="121">
        <f>(+C187/SUM(C$183:C$194))*Trends!B$24</f>
        <v>135.29285621575514</v>
      </c>
      <c r="D199" s="121">
        <f>(+D187/SUM(D$183:D$194))*Trends!C$24</f>
        <v>1.8207074041034785</v>
      </c>
      <c r="E199" s="126">
        <f>+'Purchased Power Model '!E199</f>
        <v>7.3406150000000003E-2</v>
      </c>
      <c r="F199" s="10">
        <f>+'Purchased Power Model '!F199</f>
        <v>31</v>
      </c>
      <c r="G199" s="10">
        <f>+'Purchased Power Model '!G199</f>
        <v>1</v>
      </c>
      <c r="H199" s="141">
        <f t="shared" si="14"/>
        <v>85825763.89932479</v>
      </c>
      <c r="I199" s="142"/>
      <c r="J199" s="143"/>
      <c r="T199" s="135"/>
    </row>
    <row r="200" spans="1:20" x14ac:dyDescent="0.2">
      <c r="A200" s="3">
        <v>43617</v>
      </c>
      <c r="B200" s="135"/>
      <c r="C200" s="121">
        <f>(+C188/SUM(C$183:C$194))*Trends!B$24</f>
        <v>22.675251290989497</v>
      </c>
      <c r="D200" s="121">
        <f>(+D188/SUM(D$183:D$194))*Trends!C$24</f>
        <v>56.1618206958073</v>
      </c>
      <c r="E200" s="126">
        <f>+'Purchased Power Model '!E200</f>
        <v>7.3406150000000003E-2</v>
      </c>
      <c r="F200" s="10">
        <f>+'Purchased Power Model '!F200</f>
        <v>30</v>
      </c>
      <c r="G200" s="10">
        <f>+'Purchased Power Model '!G200</f>
        <v>0</v>
      </c>
      <c r="H200" s="141">
        <f t="shared" si="14"/>
        <v>93366844.621817976</v>
      </c>
      <c r="I200" s="142"/>
      <c r="J200" s="143"/>
      <c r="T200" s="135"/>
    </row>
    <row r="201" spans="1:20" x14ac:dyDescent="0.2">
      <c r="A201" s="3">
        <v>43647</v>
      </c>
      <c r="B201" s="135"/>
      <c r="C201" s="121">
        <f>(+C189/SUM(C$183:C$194))*Trends!B$24</f>
        <v>8.0922829886059144</v>
      </c>
      <c r="D201" s="121">
        <f>(+D189/SUM(D$183:D$194))*Trends!C$24</f>
        <v>76.469710972346093</v>
      </c>
      <c r="E201" s="126">
        <f>+'Purchased Power Model '!E201</f>
        <v>7.3406150000000003E-2</v>
      </c>
      <c r="F201" s="10">
        <f>+'Purchased Power Model '!F201</f>
        <v>31</v>
      </c>
      <c r="G201" s="10">
        <f>+'Purchased Power Model '!G201</f>
        <v>0</v>
      </c>
      <c r="H201" s="141">
        <f t="shared" si="14"/>
        <v>98529672.895680413</v>
      </c>
      <c r="I201" s="142"/>
      <c r="J201" s="143"/>
      <c r="T201" s="135"/>
    </row>
    <row r="202" spans="1:20" x14ac:dyDescent="0.2">
      <c r="A202" s="3">
        <v>43678</v>
      </c>
      <c r="B202" s="135"/>
      <c r="C202" s="121">
        <f>(+C190/SUM(C$183:C$194))*Trends!B$24</f>
        <v>10.705416037009911</v>
      </c>
      <c r="D202" s="121">
        <f>(+D190/SUM(D$183:D$194))*Trends!C$24</f>
        <v>81.231561106155198</v>
      </c>
      <c r="E202" s="126">
        <f>+'Purchased Power Model '!E202</f>
        <v>7.3406150000000003E-2</v>
      </c>
      <c r="F202" s="10">
        <f>+'Purchased Power Model '!F202</f>
        <v>31</v>
      </c>
      <c r="G202" s="10">
        <f>+'Purchased Power Model '!G202</f>
        <v>0</v>
      </c>
      <c r="H202" s="141">
        <f t="shared" si="14"/>
        <v>99323976.778990269</v>
      </c>
      <c r="I202" s="142"/>
      <c r="J202" s="143"/>
      <c r="T202" s="135"/>
    </row>
    <row r="203" spans="1:20" x14ac:dyDescent="0.2">
      <c r="A203" s="3">
        <v>43709</v>
      </c>
      <c r="B203" s="135"/>
      <c r="C203" s="121">
        <f>(+C191/SUM(C$183:C$194))*Trends!B$24</f>
        <v>65.244031595635207</v>
      </c>
      <c r="D203" s="121">
        <f>(+D191/SUM(D$183:D$194))*Trends!C$24</f>
        <v>31.512243532560205</v>
      </c>
      <c r="E203" s="126">
        <f>+'Purchased Power Model '!E203</f>
        <v>7.3406150000000003E-2</v>
      </c>
      <c r="F203" s="10">
        <f>+'Purchased Power Model '!F203</f>
        <v>30</v>
      </c>
      <c r="G203" s="10">
        <f>+'Purchased Power Model '!G203</f>
        <v>1</v>
      </c>
      <c r="H203" s="141">
        <f t="shared" si="14"/>
        <v>84491630.185730055</v>
      </c>
      <c r="I203" s="142"/>
      <c r="J203" s="143"/>
      <c r="T203" s="135"/>
    </row>
    <row r="204" spans="1:20" x14ac:dyDescent="0.2">
      <c r="A204" s="3">
        <v>43739</v>
      </c>
      <c r="B204" s="135"/>
      <c r="C204" s="121">
        <f>(+C192/SUM(C$183:C$194))*Trends!B$24</f>
        <v>182.32925108702707</v>
      </c>
      <c r="D204" s="121">
        <f>(+D192/SUM(D$183:D$194))*Trends!C$24</f>
        <v>0.70027207850133788</v>
      </c>
      <c r="E204" s="126">
        <f>+'Purchased Power Model '!E204</f>
        <v>7.3406150000000003E-2</v>
      </c>
      <c r="F204" s="10">
        <f>+'Purchased Power Model '!F204</f>
        <v>31</v>
      </c>
      <c r="G204" s="10">
        <f>+'Purchased Power Model '!G204</f>
        <v>1</v>
      </c>
      <c r="H204" s="141">
        <f t="shared" si="14"/>
        <v>87557125.559823751</v>
      </c>
      <c r="I204" s="142"/>
      <c r="J204" s="143"/>
      <c r="T204" s="135"/>
    </row>
    <row r="205" spans="1:20" x14ac:dyDescent="0.2">
      <c r="A205" s="3">
        <v>43770</v>
      </c>
      <c r="B205" s="135"/>
      <c r="C205" s="121">
        <f>(+C193/SUM(C$183:C$194))*Trends!B$24</f>
        <v>343.33196471449907</v>
      </c>
      <c r="D205" s="121">
        <f>(+D193/SUM(D$183:D$194))*Trends!C$24</f>
        <v>0</v>
      </c>
      <c r="E205" s="126">
        <f>+'Purchased Power Model '!E205</f>
        <v>7.3406150000000003E-2</v>
      </c>
      <c r="F205" s="10">
        <f>+'Purchased Power Model '!F205</f>
        <v>30</v>
      </c>
      <c r="G205" s="10">
        <f>+'Purchased Power Model '!G205</f>
        <v>1</v>
      </c>
      <c r="H205" s="141">
        <f t="shared" si="14"/>
        <v>91126103.397606611</v>
      </c>
      <c r="I205" s="142"/>
      <c r="J205" s="143"/>
      <c r="T205" s="135"/>
    </row>
    <row r="206" spans="1:20" x14ac:dyDescent="0.2">
      <c r="A206" s="3">
        <v>43800</v>
      </c>
      <c r="B206" s="135"/>
      <c r="C206" s="121">
        <f>(+C194/SUM(C$183:C$194))*Trends!B$24</f>
        <v>465.13768261591093</v>
      </c>
      <c r="D206" s="121">
        <f>(+D194/SUM(D$183:D$194))*Trends!C$24</f>
        <v>0</v>
      </c>
      <c r="E206" s="126">
        <f>+'Purchased Power Model '!E206</f>
        <v>7.3406150000000003E-2</v>
      </c>
      <c r="F206" s="10">
        <f>+'Purchased Power Model '!F206</f>
        <v>31</v>
      </c>
      <c r="G206" s="10">
        <f>+'Purchased Power Model '!G206</f>
        <v>0</v>
      </c>
      <c r="H206" s="141">
        <f t="shared" si="14"/>
        <v>105862286.66141751</v>
      </c>
      <c r="I206" s="142"/>
      <c r="J206" s="143"/>
      <c r="T206" s="135"/>
    </row>
    <row r="207" spans="1:20" x14ac:dyDescent="0.2">
      <c r="A207" s="140"/>
      <c r="B207" s="135"/>
      <c r="C207" s="136"/>
      <c r="D207" s="136"/>
      <c r="E207" s="137"/>
      <c r="F207" s="136"/>
      <c r="G207" s="136"/>
      <c r="H207" s="136"/>
      <c r="I207" s="142"/>
      <c r="J207" s="143"/>
      <c r="T207" s="144"/>
    </row>
    <row r="208" spans="1:20" x14ac:dyDescent="0.2">
      <c r="A208" s="3"/>
      <c r="B208" s="6"/>
      <c r="C208" s="18"/>
      <c r="D208" s="209" t="s">
        <v>60</v>
      </c>
      <c r="E208" s="34"/>
      <c r="F208" s="209"/>
      <c r="G208" s="209"/>
      <c r="H208" s="47">
        <f ca="1">SUM(H3:H206)</f>
        <v>19689813509.400532</v>
      </c>
      <c r="I208" s="36"/>
      <c r="J208" s="5"/>
      <c r="L208"/>
      <c r="M208"/>
      <c r="N208"/>
      <c r="O208"/>
      <c r="T208" s="135"/>
    </row>
    <row r="209" spans="1:20" ht="25.5" x14ac:dyDescent="0.2">
      <c r="A209" s="3"/>
      <c r="B209" s="6"/>
      <c r="C209" s="23"/>
      <c r="D209" s="23"/>
      <c r="E209" s="34"/>
      <c r="F209"/>
      <c r="G209"/>
      <c r="H209" s="209"/>
      <c r="I209" s="36"/>
      <c r="J209" s="5" t="s">
        <v>201</v>
      </c>
      <c r="L209" s="427" t="s">
        <v>301</v>
      </c>
      <c r="M209" s="424" t="s">
        <v>299</v>
      </c>
      <c r="N209" s="427" t="s">
        <v>304</v>
      </c>
      <c r="O209" s="425" t="s">
        <v>300</v>
      </c>
      <c r="P209" s="427" t="s">
        <v>303</v>
      </c>
      <c r="Q209" s="425" t="s">
        <v>302</v>
      </c>
      <c r="T209" s="135"/>
    </row>
    <row r="210" spans="1:20" x14ac:dyDescent="0.2">
      <c r="A210" s="16">
        <v>2003</v>
      </c>
      <c r="B210" s="6">
        <f>SUM(B3:B14)</f>
        <v>1232724170</v>
      </c>
      <c r="C210" s="131"/>
      <c r="D210" s="23" t="s">
        <v>200</v>
      </c>
      <c r="E210" s="132" t="s">
        <v>112</v>
      </c>
      <c r="F210"/>
      <c r="G210"/>
      <c r="H210" s="6">
        <f>SUM(H3:H14)</f>
        <v>1208483234.4312544</v>
      </c>
      <c r="I210" s="36">
        <f t="shared" ref="I210:I224" si="15">H210-B210</f>
        <v>-24240935.568745613</v>
      </c>
      <c r="J210" s="5">
        <f t="shared" ref="J210:J226" si="16">I210/B210</f>
        <v>-1.9664525251213021E-2</v>
      </c>
      <c r="L210" s="212"/>
      <c r="M210" s="426">
        <f>+H210-L210</f>
        <v>1208483234.4312544</v>
      </c>
      <c r="N210" s="212"/>
      <c r="O210" s="426">
        <f>+M210-N210</f>
        <v>1208483234.4312544</v>
      </c>
      <c r="P210" s="212"/>
      <c r="Q210" s="426">
        <f>+O210+P210</f>
        <v>1208483234.4312544</v>
      </c>
      <c r="T210" s="135"/>
    </row>
    <row r="211" spans="1:20" x14ac:dyDescent="0.2">
      <c r="A211">
        <v>2004</v>
      </c>
      <c r="B211" s="6">
        <f>SUM(B15:B26)</f>
        <v>1178441190</v>
      </c>
      <c r="C211" s="131">
        <f>+B211-B210</f>
        <v>-54282980</v>
      </c>
      <c r="D211" s="133">
        <f>+C211/B210</f>
        <v>-4.4034976616058402E-2</v>
      </c>
      <c r="E211" s="133">
        <f>RATE(1,0,-B$210,B211)</f>
        <v>-4.4034976616058499E-2</v>
      </c>
      <c r="F211"/>
      <c r="G211"/>
      <c r="H211" s="6">
        <f>SUM(H15:H26)</f>
        <v>1193278221.7053266</v>
      </c>
      <c r="I211" s="36">
        <f t="shared" si="15"/>
        <v>14837031.705326557</v>
      </c>
      <c r="J211" s="5">
        <f t="shared" si="16"/>
        <v>1.2590387904997242E-2</v>
      </c>
      <c r="L211" s="212"/>
      <c r="M211" s="426">
        <f t="shared" ref="M211:M226" si="17">+H211-L211</f>
        <v>1193278221.7053266</v>
      </c>
      <c r="N211" s="212"/>
      <c r="O211" s="426">
        <f t="shared" ref="O211:O226" si="18">+M211-N211</f>
        <v>1193278221.7053266</v>
      </c>
      <c r="P211" s="212"/>
      <c r="Q211" s="426">
        <f t="shared" ref="Q211:Q226" si="19">+O211+P211</f>
        <v>1193278221.7053266</v>
      </c>
      <c r="T211" s="135"/>
    </row>
    <row r="212" spans="1:20" x14ac:dyDescent="0.2">
      <c r="A212" s="16">
        <v>2005</v>
      </c>
      <c r="B212" s="6">
        <f>SUM(B27:B38)</f>
        <v>1174501350</v>
      </c>
      <c r="C212" s="131">
        <f t="shared" ref="C212:C226" si="20">+B212-B211</f>
        <v>-3939840</v>
      </c>
      <c r="D212" s="133">
        <f t="shared" ref="D212:D226" si="21">+C212/B211</f>
        <v>-3.3432639943619079E-3</v>
      </c>
      <c r="E212" s="133">
        <f>RATE(2,0,-B$210,B212)</f>
        <v>-2.3901142331683341E-2</v>
      </c>
      <c r="F212"/>
      <c r="G212"/>
      <c r="H212" s="6">
        <f>SUM(H27:H38)</f>
        <v>1203281045.2314129</v>
      </c>
      <c r="I212" s="36">
        <f t="shared" si="15"/>
        <v>28779695.231412888</v>
      </c>
      <c r="J212" s="5">
        <f t="shared" si="16"/>
        <v>2.4503756620980373E-2</v>
      </c>
      <c r="L212" s="212"/>
      <c r="M212" s="426">
        <f t="shared" si="17"/>
        <v>1203281045.2314129</v>
      </c>
      <c r="N212" s="212"/>
      <c r="O212" s="426">
        <f t="shared" si="18"/>
        <v>1203281045.2314129</v>
      </c>
      <c r="P212" s="212"/>
      <c r="Q212" s="426">
        <f t="shared" si="19"/>
        <v>1203281045.2314129</v>
      </c>
      <c r="T212" s="144"/>
    </row>
    <row r="213" spans="1:20" x14ac:dyDescent="0.2">
      <c r="A213">
        <v>2006</v>
      </c>
      <c r="B213" s="6">
        <f>SUM(B39:B50)</f>
        <v>1151360440</v>
      </c>
      <c r="C213" s="131">
        <f t="shared" si="20"/>
        <v>-23140910</v>
      </c>
      <c r="D213" s="133">
        <f t="shared" si="21"/>
        <v>-1.9702753002369899E-2</v>
      </c>
      <c r="E213" s="133">
        <f>RATE(3,0,-B$210,B213)</f>
        <v>-2.2503680894619967E-2</v>
      </c>
      <c r="F213"/>
      <c r="G213"/>
      <c r="H213" s="6">
        <f>SUM(H39:H50)</f>
        <v>1166568192.2886453</v>
      </c>
      <c r="I213" s="36">
        <f t="shared" si="15"/>
        <v>15207752.288645267</v>
      </c>
      <c r="J213" s="5">
        <f t="shared" si="16"/>
        <v>1.3208506876131046E-2</v>
      </c>
      <c r="L213" s="212"/>
      <c r="M213" s="426">
        <f t="shared" si="17"/>
        <v>1166568192.2886453</v>
      </c>
      <c r="N213" s="212"/>
      <c r="O213" s="426">
        <f t="shared" si="18"/>
        <v>1166568192.2886453</v>
      </c>
      <c r="P213" s="212"/>
      <c r="Q213" s="426">
        <f t="shared" si="19"/>
        <v>1166568192.2886453</v>
      </c>
      <c r="T213" s="135"/>
    </row>
    <row r="214" spans="1:20" x14ac:dyDescent="0.2">
      <c r="A214" s="16">
        <v>2007</v>
      </c>
      <c r="B214" s="6">
        <f>SUM(B51:B62)</f>
        <v>1191153590</v>
      </c>
      <c r="C214" s="131">
        <f t="shared" si="20"/>
        <v>39793150</v>
      </c>
      <c r="D214" s="133">
        <f t="shared" si="21"/>
        <v>3.4561852759158546E-2</v>
      </c>
      <c r="E214" s="133">
        <f>RATE(4,0,-B$210,B214)</f>
        <v>-8.5393934317338754E-3</v>
      </c>
      <c r="F214"/>
      <c r="G214"/>
      <c r="H214" s="6">
        <f>SUM(H51:H62)</f>
        <v>1142506607.2224176</v>
      </c>
      <c r="I214" s="36">
        <f t="shared" si="15"/>
        <v>-48646982.777582407</v>
      </c>
      <c r="J214" s="5">
        <f t="shared" si="16"/>
        <v>-4.0840226807008495E-2</v>
      </c>
      <c r="L214" s="212"/>
      <c r="M214" s="426">
        <f t="shared" si="17"/>
        <v>1142506607.2224176</v>
      </c>
      <c r="N214" s="212"/>
      <c r="O214" s="426">
        <f t="shared" si="18"/>
        <v>1142506607.2224176</v>
      </c>
      <c r="P214" s="212"/>
      <c r="Q214" s="426">
        <f t="shared" si="19"/>
        <v>1142506607.2224176</v>
      </c>
      <c r="T214" s="135"/>
    </row>
    <row r="215" spans="1:20" x14ac:dyDescent="0.2">
      <c r="A215">
        <v>2008</v>
      </c>
      <c r="B215" s="6">
        <f>SUM(B63:B74)</f>
        <v>1158881926</v>
      </c>
      <c r="C215" s="131">
        <f t="shared" si="20"/>
        <v>-32271664</v>
      </c>
      <c r="D215" s="133">
        <f t="shared" si="21"/>
        <v>-2.70927815446537E-2</v>
      </c>
      <c r="E215" s="133">
        <f>RATE(5,0,-B$210,B215)</f>
        <v>-1.2278162500929547E-2</v>
      </c>
      <c r="F215"/>
      <c r="G215"/>
      <c r="H215" s="6">
        <f>SUM(H63:H74)</f>
        <v>1105605337.8738799</v>
      </c>
      <c r="I215" s="36">
        <f t="shared" si="15"/>
        <v>-53276588.12612009</v>
      </c>
      <c r="J215" s="5">
        <f t="shared" si="16"/>
        <v>-4.5972404030848686E-2</v>
      </c>
      <c r="L215" s="212"/>
      <c r="M215" s="426">
        <f t="shared" si="17"/>
        <v>1105605337.8738799</v>
      </c>
      <c r="N215" s="212"/>
      <c r="O215" s="426">
        <f t="shared" si="18"/>
        <v>1105605337.8738799</v>
      </c>
      <c r="P215" s="212"/>
      <c r="Q215" s="426">
        <f t="shared" si="19"/>
        <v>1105605337.8738799</v>
      </c>
      <c r="T215" s="135"/>
    </row>
    <row r="216" spans="1:20" x14ac:dyDescent="0.2">
      <c r="A216" s="16">
        <v>2009</v>
      </c>
      <c r="B216" s="6">
        <f>SUM(B75:B86)</f>
        <v>1128390784.5107694</v>
      </c>
      <c r="C216" s="131">
        <f t="shared" si="20"/>
        <v>-30491141.489230633</v>
      </c>
      <c r="D216" s="133">
        <f t="shared" si="21"/>
        <v>-2.6310826672803447E-2</v>
      </c>
      <c r="E216" s="133">
        <f>RATE(6,0,-B$210,B216)</f>
        <v>-1.4630905973235077E-2</v>
      </c>
      <c r="F216"/>
      <c r="G216"/>
      <c r="H216" s="6">
        <f>SUM(H75:H86)</f>
        <v>1123816338.2115908</v>
      </c>
      <c r="I216" s="36">
        <f t="shared" si="15"/>
        <v>-4574446.2991786003</v>
      </c>
      <c r="J216" s="5">
        <f t="shared" si="16"/>
        <v>-4.0539557411946783E-3</v>
      </c>
      <c r="L216" s="212"/>
      <c r="M216" s="426">
        <f t="shared" si="17"/>
        <v>1123816338.2115908</v>
      </c>
      <c r="N216" s="212"/>
      <c r="O216" s="426">
        <f t="shared" si="18"/>
        <v>1123816338.2115908</v>
      </c>
      <c r="P216" s="212"/>
      <c r="Q216" s="426">
        <f t="shared" si="19"/>
        <v>1123816338.2115908</v>
      </c>
      <c r="T216" s="135"/>
    </row>
    <row r="217" spans="1:20" x14ac:dyDescent="0.2">
      <c r="A217">
        <v>2010</v>
      </c>
      <c r="B217" s="6">
        <f>SUM(B87:B98)</f>
        <v>1148489331.8146157</v>
      </c>
      <c r="C217" s="131">
        <f t="shared" si="20"/>
        <v>20098547.303846359</v>
      </c>
      <c r="D217" s="133">
        <f t="shared" si="21"/>
        <v>1.781169039993568E-2</v>
      </c>
      <c r="E217" s="133">
        <f>RATE(7,0,-B$210,B217)</f>
        <v>-1.0060343960087228E-2</v>
      </c>
      <c r="F217"/>
      <c r="G217"/>
      <c r="H217" s="6">
        <f>SUM(H87:H98)</f>
        <v>1128203375.0065463</v>
      </c>
      <c r="I217" s="36">
        <f t="shared" si="15"/>
        <v>-20285956.808069468</v>
      </c>
      <c r="J217" s="5">
        <f t="shared" si="16"/>
        <v>-1.7663165208524498E-2</v>
      </c>
      <c r="L217" s="212"/>
      <c r="M217" s="426">
        <f t="shared" si="17"/>
        <v>1128203375.0065463</v>
      </c>
      <c r="N217" s="212"/>
      <c r="O217" s="426">
        <f t="shared" si="18"/>
        <v>1128203375.0065463</v>
      </c>
      <c r="P217" s="212"/>
      <c r="Q217" s="426">
        <f t="shared" si="19"/>
        <v>1128203375.0065463</v>
      </c>
      <c r="T217" s="135"/>
    </row>
    <row r="218" spans="1:20" x14ac:dyDescent="0.2">
      <c r="A218">
        <v>2011</v>
      </c>
      <c r="B218" s="6">
        <f>SUM(B99:B110)</f>
        <v>1148632387.3953846</v>
      </c>
      <c r="C218" s="131">
        <f t="shared" si="20"/>
        <v>143055.58076882362</v>
      </c>
      <c r="D218" s="133">
        <f t="shared" si="21"/>
        <v>1.2455978197272019E-4</v>
      </c>
      <c r="E218" s="133">
        <f>RATE(8,0,-B$210,B218)</f>
        <v>-8.7929249231188996E-3</v>
      </c>
      <c r="F218"/>
      <c r="G218"/>
      <c r="H218" s="6">
        <f>SUM(H99:H110)</f>
        <v>1162405206.2491772</v>
      </c>
      <c r="I218" s="36">
        <f t="shared" si="15"/>
        <v>13772818.853792667</v>
      </c>
      <c r="J218" s="5">
        <f t="shared" si="16"/>
        <v>1.1990623810480942E-2</v>
      </c>
      <c r="L218" s="212"/>
      <c r="M218" s="426">
        <f t="shared" si="17"/>
        <v>1162405206.2491772</v>
      </c>
      <c r="N218" s="212"/>
      <c r="O218" s="426">
        <f t="shared" si="18"/>
        <v>1162405206.2491772</v>
      </c>
      <c r="P218" s="212"/>
      <c r="Q218" s="426">
        <f t="shared" si="19"/>
        <v>1162405206.2491772</v>
      </c>
      <c r="T218" s="135"/>
    </row>
    <row r="219" spans="1:20" x14ac:dyDescent="0.2">
      <c r="A219">
        <v>2012</v>
      </c>
      <c r="B219" s="6">
        <f>SUM(B111:B122)</f>
        <v>1136211952.670979</v>
      </c>
      <c r="C219" s="131">
        <f t="shared" si="20"/>
        <v>-12420434.724405527</v>
      </c>
      <c r="D219" s="133">
        <f t="shared" si="21"/>
        <v>-1.0813237429748827E-2</v>
      </c>
      <c r="E219" s="133">
        <f>RATE(9,0,-B$210,B219)</f>
        <v>-9.0176077035169049E-3</v>
      </c>
      <c r="F219"/>
      <c r="G219"/>
      <c r="H219" s="6">
        <f>SUM(H111:H122)</f>
        <v>1148412454.4669952</v>
      </c>
      <c r="I219" s="36">
        <f t="shared" si="15"/>
        <v>12200501.796016216</v>
      </c>
      <c r="J219" s="5">
        <f t="shared" si="16"/>
        <v>1.0737874889747092E-2</v>
      </c>
      <c r="L219" s="212"/>
      <c r="M219" s="426">
        <f t="shared" si="17"/>
        <v>1148412454.4669952</v>
      </c>
      <c r="N219" s="212"/>
      <c r="O219" s="426">
        <f t="shared" si="18"/>
        <v>1148412454.4669952</v>
      </c>
      <c r="P219" s="212"/>
      <c r="Q219" s="426">
        <f t="shared" si="19"/>
        <v>1148412454.4669952</v>
      </c>
      <c r="T219" s="135"/>
    </row>
    <row r="220" spans="1:20" x14ac:dyDescent="0.2">
      <c r="A220">
        <v>2013</v>
      </c>
      <c r="B220" s="6">
        <f>SUM(B123:B134)</f>
        <v>1130407041.6666667</v>
      </c>
      <c r="C220" s="131">
        <f t="shared" si="20"/>
        <v>-5804911.0043122768</v>
      </c>
      <c r="D220" s="133">
        <f t="shared" si="21"/>
        <v>-5.1090036420284399E-3</v>
      </c>
      <c r="E220" s="133">
        <f>RATE(10,0,-B$210,B220)</f>
        <v>-8.6274392985243292E-3</v>
      </c>
      <c r="F220"/>
      <c r="G220"/>
      <c r="H220" s="6">
        <f ca="1">SUM(H123:H134)</f>
        <v>1162091422.8514135</v>
      </c>
      <c r="I220" s="36">
        <f t="shared" ca="1" si="15"/>
        <v>31684381.184746742</v>
      </c>
      <c r="J220" s="5">
        <f t="shared" ca="1" si="16"/>
        <v>2.8029178885891796E-2</v>
      </c>
      <c r="L220" s="212"/>
      <c r="M220" s="426">
        <f t="shared" ca="1" si="17"/>
        <v>1162091422.8514135</v>
      </c>
      <c r="N220" s="212"/>
      <c r="O220" s="426">
        <f t="shared" ca="1" si="18"/>
        <v>1162091422.8514135</v>
      </c>
      <c r="P220" s="212"/>
      <c r="Q220" s="426">
        <f t="shared" ca="1" si="19"/>
        <v>1162091422.8514135</v>
      </c>
      <c r="T220" s="135"/>
    </row>
    <row r="221" spans="1:20" x14ac:dyDescent="0.2">
      <c r="A221">
        <v>2014</v>
      </c>
      <c r="B221" s="6">
        <f>SUM(B135:B146)</f>
        <v>1134970142.7733078</v>
      </c>
      <c r="C221" s="131">
        <f t="shared" ref="C221" si="22">+B221-B220</f>
        <v>4563101.1066410542</v>
      </c>
      <c r="D221" s="133">
        <f>+C221/B220</f>
        <v>4.0366885010847415E-3</v>
      </c>
      <c r="E221" s="133">
        <f>RATE(10,0,-B$210,B221)</f>
        <v>-8.2279781660642495E-3</v>
      </c>
      <c r="F221"/>
      <c r="G221"/>
      <c r="H221" s="6">
        <f>SUM(H135:H146)</f>
        <v>1169512871.2930617</v>
      </c>
      <c r="I221" s="36">
        <f t="shared" si="15"/>
        <v>34542728.519753933</v>
      </c>
      <c r="J221" s="5">
        <f t="shared" si="16"/>
        <v>3.0434922662677739E-2</v>
      </c>
      <c r="L221" s="6"/>
      <c r="M221" s="426">
        <f t="shared" si="17"/>
        <v>1169512871.2930617</v>
      </c>
      <c r="N221" s="6"/>
      <c r="O221" s="426">
        <f t="shared" si="18"/>
        <v>1169512871.2930617</v>
      </c>
      <c r="P221" s="6"/>
      <c r="Q221" s="426">
        <f t="shared" si="19"/>
        <v>1169512871.2930617</v>
      </c>
      <c r="T221" s="135"/>
    </row>
    <row r="222" spans="1:20" x14ac:dyDescent="0.2">
      <c r="A222">
        <v>2015</v>
      </c>
      <c r="B222" s="6">
        <f t="shared" ref="B222:B224" si="23">+H222</f>
        <v>1154567633.5548601</v>
      </c>
      <c r="C222" s="131">
        <f t="shared" si="20"/>
        <v>19597490.781552315</v>
      </c>
      <c r="D222" s="133">
        <f t="shared" si="21"/>
        <v>1.7266965925346461E-2</v>
      </c>
      <c r="E222" s="133">
        <f>RATE(12,0,-B$210,B222)</f>
        <v>-5.443510285551444E-3</v>
      </c>
      <c r="F222"/>
      <c r="G222"/>
      <c r="H222" s="6">
        <f>SUM(H147:H158)</f>
        <v>1154567633.5548601</v>
      </c>
      <c r="I222" s="36">
        <f t="shared" si="15"/>
        <v>0</v>
      </c>
      <c r="J222" s="5">
        <f t="shared" si="16"/>
        <v>0</v>
      </c>
      <c r="L222" s="6">
        <f ca="1">+' CDM Summary'!K$19</f>
        <v>9413841.9541798308</v>
      </c>
      <c r="M222" s="426">
        <f t="shared" ca="1" si="17"/>
        <v>1145153791.6006804</v>
      </c>
      <c r="N222" s="6">
        <f ca="1">+' CDM Summary'!K$18</f>
        <v>2308528.8762076488</v>
      </c>
      <c r="O222" s="426">
        <f t="shared" ca="1" si="18"/>
        <v>1142845262.7244728</v>
      </c>
      <c r="P222" s="6">
        <f ca="1">+'City Expansion'!C103*'Rate Class Energy Model'!$F$25</f>
        <v>26089672.579534147</v>
      </c>
      <c r="Q222" s="426">
        <f t="shared" ca="1" si="19"/>
        <v>1168934935.3040068</v>
      </c>
      <c r="T222" s="135"/>
    </row>
    <row r="223" spans="1:20" x14ac:dyDescent="0.2">
      <c r="A223">
        <v>2016</v>
      </c>
      <c r="B223" s="6">
        <f t="shared" si="23"/>
        <v>1157378668.3493726</v>
      </c>
      <c r="C223" s="131">
        <f t="shared" si="20"/>
        <v>2811034.7945125103</v>
      </c>
      <c r="D223" s="133">
        <f t="shared" si="21"/>
        <v>2.4347077752885421E-3</v>
      </c>
      <c r="E223" s="133">
        <f>RATE(13,0,-B$210,B223)</f>
        <v>-4.8396979246544619E-3</v>
      </c>
      <c r="F223"/>
      <c r="G223"/>
      <c r="H223" s="6">
        <f>SUM(H159:H170)</f>
        <v>1157378668.3493726</v>
      </c>
      <c r="I223" s="36">
        <f t="shared" si="15"/>
        <v>0</v>
      </c>
      <c r="J223" s="5">
        <f t="shared" si="16"/>
        <v>0</v>
      </c>
      <c r="L223" s="6">
        <f ca="1">+' CDM Summary'!L$19</f>
        <v>19420761.457170092</v>
      </c>
      <c r="M223" s="426">
        <f t="shared" ca="1" si="17"/>
        <v>1137957906.8922026</v>
      </c>
      <c r="N223" s="6">
        <f ca="1">+' CDM Summary'!L$18</f>
        <v>4704931.1836450314</v>
      </c>
      <c r="O223" s="426">
        <f t="shared" ca="1" si="18"/>
        <v>1133252975.7085576</v>
      </c>
      <c r="P223" s="6">
        <f ca="1">+'City Expansion'!C104*'Rate Class Energy Model'!$F$25</f>
        <v>53571524.113800667</v>
      </c>
      <c r="Q223" s="426">
        <f t="shared" ca="1" si="19"/>
        <v>1186824499.8223584</v>
      </c>
      <c r="T223" s="135"/>
    </row>
    <row r="224" spans="1:20" x14ac:dyDescent="0.2">
      <c r="A224">
        <v>2017</v>
      </c>
      <c r="B224" s="6">
        <f t="shared" si="23"/>
        <v>1154567633.5548601</v>
      </c>
      <c r="C224" s="131">
        <f t="shared" si="20"/>
        <v>-2811034.7945125103</v>
      </c>
      <c r="D224" s="133">
        <f t="shared" si="21"/>
        <v>-2.4287943707495012E-3</v>
      </c>
      <c r="E224" s="133">
        <f>RATE(14,0,-B$210,B224)</f>
        <v>-4.6676839242716477E-3</v>
      </c>
      <c r="F224"/>
      <c r="G224"/>
      <c r="H224" s="6">
        <f>SUM(H171:H182)</f>
        <v>1154567633.5548601</v>
      </c>
      <c r="I224" s="36">
        <f t="shared" si="15"/>
        <v>0</v>
      </c>
      <c r="J224" s="5">
        <f t="shared" si="16"/>
        <v>0</v>
      </c>
      <c r="L224" s="6">
        <f ca="1">+' CDM Summary'!M$19</f>
        <v>26961023.922424112</v>
      </c>
      <c r="M224" s="426">
        <f t="shared" ca="1" si="17"/>
        <v>1127606609.632436</v>
      </c>
      <c r="N224" s="6">
        <f ca="1">+' CDM Summary'!M$18</f>
        <v>4835595.1543917023</v>
      </c>
      <c r="O224" s="426">
        <f t="shared" ca="1" si="18"/>
        <v>1122771014.4780443</v>
      </c>
      <c r="P224" s="6">
        <f ca="1">+'City Expansion'!C105*'Rate Class Energy Model'!$F$25</f>
        <v>80477914.047624961</v>
      </c>
      <c r="Q224" s="426">
        <f t="shared" ca="1" si="19"/>
        <v>1203248928.5256693</v>
      </c>
      <c r="T224" s="135"/>
    </row>
    <row r="225" spans="1:20" x14ac:dyDescent="0.2">
      <c r="A225">
        <v>2018</v>
      </c>
      <c r="B225" s="6">
        <f>+H225</f>
        <v>1154567633.5548601</v>
      </c>
      <c r="C225" s="131">
        <f t="shared" si="20"/>
        <v>0</v>
      </c>
      <c r="D225" s="133">
        <f t="shared" si="21"/>
        <v>0</v>
      </c>
      <c r="E225" s="133">
        <f>RATE(15,0,-B$210,B225)</f>
        <v>-4.3571839499200703E-3</v>
      </c>
      <c r="F225"/>
      <c r="G225"/>
      <c r="H225" s="6">
        <f>SUM(H183:H194)</f>
        <v>1154567633.5548601</v>
      </c>
      <c r="I225" s="36">
        <f>H225-B225</f>
        <v>0</v>
      </c>
      <c r="J225" s="5">
        <f t="shared" si="16"/>
        <v>0</v>
      </c>
      <c r="L225" s="6">
        <f ca="1">+' CDM Summary'!N$19</f>
        <v>37146682.181555964</v>
      </c>
      <c r="M225" s="426">
        <f t="shared" ca="1" si="17"/>
        <v>1117420951.3733041</v>
      </c>
      <c r="N225" s="6">
        <f ca="1">+' CDM Summary'!N$18</f>
        <v>4966578.4117474053</v>
      </c>
      <c r="O225" s="426">
        <f t="shared" ca="1" si="18"/>
        <v>1112454372.9615567</v>
      </c>
      <c r="P225" s="6">
        <f ca="1">+'City Expansion'!C106*'Rate Class Energy Model'!$F$25</f>
        <v>108845925.0016157</v>
      </c>
      <c r="Q225" s="426">
        <f t="shared" ca="1" si="19"/>
        <v>1221300297.9631724</v>
      </c>
      <c r="T225" s="135"/>
    </row>
    <row r="226" spans="1:20" x14ac:dyDescent="0.2">
      <c r="A226">
        <v>2019</v>
      </c>
      <c r="B226" s="6">
        <f>+H226</f>
        <v>1154567633.5548601</v>
      </c>
      <c r="C226" s="131">
        <f t="shared" si="20"/>
        <v>0</v>
      </c>
      <c r="D226" s="133">
        <f t="shared" si="21"/>
        <v>0</v>
      </c>
      <c r="E226" s="133">
        <f>RATE(16,0,-B$210,B226)</f>
        <v>-4.0854170159930966E-3</v>
      </c>
      <c r="F226"/>
      <c r="G226"/>
      <c r="H226" s="6">
        <f>SUM(H195:H206)</f>
        <v>1154567633.5548601</v>
      </c>
      <c r="I226" s="36">
        <f>H226-B226</f>
        <v>0</v>
      </c>
      <c r="J226" s="5">
        <f t="shared" si="16"/>
        <v>0</v>
      </c>
      <c r="L226" s="6">
        <f ca="1">+' CDM Summary'!O$19</f>
        <v>54812221.480027743</v>
      </c>
      <c r="M226" s="426">
        <f t="shared" ca="1" si="17"/>
        <v>1099755412.0748324</v>
      </c>
      <c r="N226" s="6">
        <f ca="1">+' CDM Summary'!O$18</f>
        <v>5097930.7780981716</v>
      </c>
      <c r="O226" s="426">
        <f t="shared" ca="1" si="18"/>
        <v>1094657481.2967343</v>
      </c>
      <c r="P226" s="6">
        <f ca="1">+'City Expansion'!C107*'Rate Class Energy Model'!$F$25</f>
        <v>137642896.32207018</v>
      </c>
      <c r="Q226" s="426">
        <f t="shared" ca="1" si="19"/>
        <v>1232300377.6188045</v>
      </c>
      <c r="T226" s="135"/>
    </row>
    <row r="227" spans="1:20" x14ac:dyDescent="0.2">
      <c r="A227"/>
      <c r="B227" s="6"/>
      <c r="C227" s="124"/>
      <c r="D227" s="209"/>
      <c r="E227" s="34"/>
      <c r="F227"/>
      <c r="G227"/>
      <c r="H227" s="6"/>
      <c r="I227" s="209"/>
      <c r="J227" s="209"/>
      <c r="L227"/>
      <c r="M227"/>
      <c r="N227"/>
      <c r="O227"/>
      <c r="T227" s="135"/>
    </row>
    <row r="228" spans="1:20" x14ac:dyDescent="0.2">
      <c r="A228" t="s">
        <v>9</v>
      </c>
      <c r="B228" s="6">
        <f>SUM(B210:B226)</f>
        <v>19689813509.400532</v>
      </c>
      <c r="C228" s="124"/>
      <c r="D228" s="209"/>
      <c r="E228" s="34"/>
      <c r="F228" s="209"/>
      <c r="G228" s="209"/>
      <c r="H228" s="6">
        <f ca="1">SUM(H210:H226)</f>
        <v>19689813509.400536</v>
      </c>
      <c r="I228" s="213">
        <f ca="1">H228-B228</f>
        <v>0</v>
      </c>
      <c r="J228" s="209"/>
      <c r="L228"/>
      <c r="M228"/>
      <c r="N228"/>
      <c r="O228"/>
      <c r="T228" s="135"/>
    </row>
    <row r="229" spans="1:20" x14ac:dyDescent="0.2">
      <c r="A229"/>
      <c r="B229" s="6"/>
      <c r="C229" s="209"/>
      <c r="D229" s="209"/>
      <c r="E229" s="34"/>
      <c r="F229" s="209"/>
      <c r="G229" s="209"/>
      <c r="H229" s="209"/>
      <c r="I229" s="62"/>
      <c r="J229" s="209"/>
      <c r="L229"/>
      <c r="M229"/>
      <c r="N229"/>
      <c r="O229"/>
      <c r="T229" s="135"/>
    </row>
    <row r="230" spans="1:20" x14ac:dyDescent="0.2">
      <c r="A230"/>
      <c r="B230" s="6"/>
      <c r="C230" s="209"/>
      <c r="D230" s="209"/>
      <c r="E230" s="34"/>
      <c r="F230" s="209"/>
      <c r="G230" s="209"/>
      <c r="H230" s="6">
        <f ca="1">SUM(H210:H226)</f>
        <v>19689813509.400536</v>
      </c>
      <c r="I230" s="213">
        <f ca="1">H208-H230</f>
        <v>0</v>
      </c>
      <c r="J230" s="209"/>
      <c r="L230"/>
      <c r="M230"/>
      <c r="N230"/>
      <c r="O230"/>
      <c r="T230" s="135"/>
    </row>
    <row r="231" spans="1:20" x14ac:dyDescent="0.2">
      <c r="A231"/>
      <c r="B231" s="6"/>
      <c r="C231" s="209"/>
      <c r="D231" s="209"/>
      <c r="E231" s="34"/>
      <c r="F231" s="209"/>
      <c r="G231" s="209"/>
      <c r="H231" s="23"/>
      <c r="I231" s="214" t="s">
        <v>69</v>
      </c>
      <c r="J231" s="18"/>
      <c r="T231" s="135"/>
    </row>
    <row r="232" spans="1:20" x14ac:dyDescent="0.2">
      <c r="B232" s="135"/>
      <c r="C232" s="136"/>
      <c r="D232" s="136"/>
      <c r="E232" s="137"/>
      <c r="F232" s="136"/>
      <c r="G232" s="136"/>
      <c r="H232" s="136"/>
      <c r="I232" s="136"/>
      <c r="J232" s="136"/>
      <c r="T232" s="135"/>
    </row>
  </sheetData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1.85546875" customWidth="1"/>
    <col min="2" max="2" width="18" style="6" customWidth="1"/>
    <col min="3" max="3" width="12.28515625" style="1" bestFit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4" style="6" bestFit="1" customWidth="1"/>
    <col min="10" max="10" width="21.28515625" style="6" customWidth="1"/>
    <col min="11" max="11" width="11.5703125" style="6" customWidth="1"/>
    <col min="12" max="12" width="3.28515625" style="6" customWidth="1"/>
    <col min="13" max="13" width="27.28515625" style="6" bestFit="1" customWidth="1"/>
    <col min="14" max="14" width="14.5703125" style="6" bestFit="1" customWidth="1"/>
    <col min="15" max="15" width="24.42578125" style="6" bestFit="1" customWidth="1"/>
    <col min="16" max="16" width="22.85546875" style="6" bestFit="1" customWidth="1"/>
    <col min="17" max="17" width="9.7109375" style="6" bestFit="1" customWidth="1"/>
    <col min="18" max="18" width="15.5703125" bestFit="1" customWidth="1"/>
    <col min="19" max="19" width="14.28515625" bestFit="1" customWidth="1"/>
    <col min="20" max="20" width="15.5703125" bestFit="1" customWidth="1"/>
    <col min="21" max="21" width="14.28515625" bestFit="1" customWidth="1"/>
  </cols>
  <sheetData>
    <row r="2" spans="1:18" ht="42" customHeight="1" x14ac:dyDescent="0.2">
      <c r="B2" s="7" t="s">
        <v>199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20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59">
        <v>40677788.588893443</v>
      </c>
      <c r="C3" s="215">
        <f>+'Purchased Power Model '!C3</f>
        <v>786</v>
      </c>
      <c r="D3" s="215">
        <f>+'Purchased Power Model '!D3</f>
        <v>0</v>
      </c>
      <c r="E3" s="126">
        <f>+'Purchased Power Model '!E3</f>
        <v>4.7E-2</v>
      </c>
      <c r="F3" s="57">
        <f>+'Purchased Power Model '!F3</f>
        <v>31</v>
      </c>
      <c r="G3" s="57">
        <f>+'Purchased Power Model '!G3</f>
        <v>0</v>
      </c>
      <c r="H3" s="42">
        <v>43019.916666666664</v>
      </c>
      <c r="I3" s="222">
        <f>$N$18+C3*$N$19+D3*$N$20+E3*$N$21+F3*$N$22+G3*$N$23</f>
        <v>43955201.516007394</v>
      </c>
      <c r="J3" s="36">
        <f>I3-B3</f>
        <v>3277412.9271139503</v>
      </c>
      <c r="K3" s="5">
        <f>J3/B3</f>
        <v>8.0570086054501167E-2</v>
      </c>
      <c r="M3"/>
      <c r="N3"/>
      <c r="O3"/>
      <c r="P3"/>
      <c r="Q3"/>
    </row>
    <row r="4" spans="1:18" x14ac:dyDescent="0.2">
      <c r="A4" s="3">
        <v>37653</v>
      </c>
      <c r="B4" s="59">
        <v>41686150.137058273</v>
      </c>
      <c r="C4" s="215">
        <f>+'Purchased Power Model '!C4</f>
        <v>686.5</v>
      </c>
      <c r="D4" s="215">
        <f>+'Purchased Power Model '!D4</f>
        <v>0</v>
      </c>
      <c r="E4" s="126">
        <f>+'Purchased Power Model '!E4</f>
        <v>4.7E-2</v>
      </c>
      <c r="F4" s="57">
        <f>+'Purchased Power Model '!F4</f>
        <v>28</v>
      </c>
      <c r="G4" s="57">
        <f>+'Purchased Power Model '!G4</f>
        <v>0</v>
      </c>
      <c r="H4" s="42">
        <v>43079.833333333328</v>
      </c>
      <c r="I4" s="222">
        <f t="shared" ref="I4:I67" si="0">$N$18+C4*$N$19+D4*$N$20+E4*$N$21+F4*$N$22+G4*$N$23</f>
        <v>45145078.17886012</v>
      </c>
      <c r="J4" s="36">
        <f t="shared" ref="J4:J67" si="1">I4-B4</f>
        <v>3458928.0418018475</v>
      </c>
      <c r="K4" s="5">
        <f t="shared" ref="K4:K67" si="2">J4/B4</f>
        <v>8.2975473398943594E-2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59">
        <v>45965845.274048276</v>
      </c>
      <c r="C5" s="215">
        <f>+'Purchased Power Model '!C5</f>
        <v>572.5</v>
      </c>
      <c r="D5" s="215">
        <f>+'Purchased Power Model '!D5</f>
        <v>0</v>
      </c>
      <c r="E5" s="126">
        <f>+'Purchased Power Model '!E5</f>
        <v>4.7E-2</v>
      </c>
      <c r="F5" s="57">
        <f>+'Purchased Power Model '!F5</f>
        <v>31</v>
      </c>
      <c r="G5" s="57">
        <f>+'Purchased Power Model '!G5</f>
        <v>1</v>
      </c>
      <c r="H5" s="42">
        <v>43139.749999999993</v>
      </c>
      <c r="I5" s="222">
        <f t="shared" si="0"/>
        <v>41733339.56170176</v>
      </c>
      <c r="J5" s="36">
        <f t="shared" si="1"/>
        <v>-4232505.7123465165</v>
      </c>
      <c r="K5" s="5">
        <f t="shared" si="2"/>
        <v>-9.2079362124471459E-2</v>
      </c>
      <c r="M5" s="35" t="s">
        <v>20</v>
      </c>
      <c r="N5" s="118">
        <v>0.43572684160866004</v>
      </c>
      <c r="O5"/>
      <c r="P5"/>
      <c r="Q5"/>
    </row>
    <row r="6" spans="1:18" x14ac:dyDescent="0.2">
      <c r="A6" s="3">
        <v>37712</v>
      </c>
      <c r="B6" s="59">
        <v>33502187</v>
      </c>
      <c r="C6" s="215">
        <f>+'Purchased Power Model '!C6</f>
        <v>403.9</v>
      </c>
      <c r="D6" s="215">
        <f>+'Purchased Power Model '!D6</f>
        <v>0</v>
      </c>
      <c r="E6" s="126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42">
        <v>43199.666666666657</v>
      </c>
      <c r="I6" s="222">
        <f t="shared" si="0"/>
        <v>40379462.889738411</v>
      </c>
      <c r="J6" s="36">
        <f t="shared" si="1"/>
        <v>6877275.8897384107</v>
      </c>
      <c r="K6" s="5">
        <f t="shared" si="2"/>
        <v>0.20527841629379034</v>
      </c>
      <c r="M6" s="35" t="s">
        <v>21</v>
      </c>
      <c r="N6" s="118">
        <v>0.1898578804982583</v>
      </c>
      <c r="O6"/>
      <c r="P6"/>
      <c r="Q6"/>
    </row>
    <row r="7" spans="1:18" x14ac:dyDescent="0.2">
      <c r="A7" s="3">
        <v>37742</v>
      </c>
      <c r="B7" s="59">
        <v>49108723</v>
      </c>
      <c r="C7" s="215">
        <f>+'Purchased Power Model '!C7</f>
        <v>192</v>
      </c>
      <c r="D7" s="215">
        <f>+'Purchased Power Model '!D7</f>
        <v>0</v>
      </c>
      <c r="E7" s="126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42">
        <v>43259.583333333321</v>
      </c>
      <c r="I7" s="222">
        <f t="shared" si="0"/>
        <v>36565101.960550755</v>
      </c>
      <c r="J7" s="36">
        <f t="shared" si="1"/>
        <v>-12543621.039449245</v>
      </c>
      <c r="K7" s="5">
        <f t="shared" si="2"/>
        <v>-0.25542551858758872</v>
      </c>
      <c r="M7" s="35" t="s">
        <v>22</v>
      </c>
      <c r="N7" s="118">
        <v>0.16050490515399229</v>
      </c>
      <c r="O7"/>
      <c r="P7"/>
      <c r="Q7"/>
    </row>
    <row r="8" spans="1:18" x14ac:dyDescent="0.2">
      <c r="A8" s="3">
        <v>37773</v>
      </c>
      <c r="B8" s="59">
        <v>30718233</v>
      </c>
      <c r="C8" s="215">
        <f>+'Purchased Power Model '!C8</f>
        <v>55.1</v>
      </c>
      <c r="D8" s="215">
        <f>+'Purchased Power Model '!D8</f>
        <v>31</v>
      </c>
      <c r="E8" s="126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42">
        <v>43319.499999999985</v>
      </c>
      <c r="I8" s="222">
        <f t="shared" si="0"/>
        <v>36416620.769190386</v>
      </c>
      <c r="J8" s="36">
        <f t="shared" si="1"/>
        <v>5698387.7691903859</v>
      </c>
      <c r="K8" s="5">
        <f t="shared" si="2"/>
        <v>0.18550506369264097</v>
      </c>
      <c r="M8" s="35" t="s">
        <v>23</v>
      </c>
      <c r="N8" s="68">
        <v>5661013.3767153686</v>
      </c>
      <c r="O8"/>
      <c r="P8"/>
      <c r="Q8"/>
    </row>
    <row r="9" spans="1:18" ht="13.5" thickBot="1" x14ac:dyDescent="0.25">
      <c r="A9" s="3">
        <v>37803</v>
      </c>
      <c r="B9" s="59">
        <v>38600544</v>
      </c>
      <c r="C9" s="215">
        <f>+'Purchased Power Model '!C9</f>
        <v>5.7</v>
      </c>
      <c r="D9" s="215">
        <f>+'Purchased Power Model '!D9</f>
        <v>59.1</v>
      </c>
      <c r="E9" s="126">
        <f>+'Purchased Power Model '!E9</f>
        <v>5.2000000000000005E-2</v>
      </c>
      <c r="F9" s="57">
        <f>+'Purchased Power Model '!F9</f>
        <v>31</v>
      </c>
      <c r="G9" s="57">
        <f>+'Purchased Power Model '!G9</f>
        <v>0</v>
      </c>
      <c r="H9" s="42">
        <v>43379.41666666665</v>
      </c>
      <c r="I9" s="222">
        <f t="shared" si="0"/>
        <v>36309238.66591844</v>
      </c>
      <c r="J9" s="36">
        <f t="shared" si="1"/>
        <v>-2291305.3340815604</v>
      </c>
      <c r="K9" s="5">
        <f t="shared" si="2"/>
        <v>-5.9359405247800659E-2</v>
      </c>
      <c r="M9" s="51" t="s">
        <v>24</v>
      </c>
      <c r="N9" s="69">
        <v>144</v>
      </c>
      <c r="O9"/>
      <c r="P9"/>
      <c r="Q9"/>
    </row>
    <row r="10" spans="1:18" x14ac:dyDescent="0.2">
      <c r="A10" s="3">
        <v>37834</v>
      </c>
      <c r="B10" s="59">
        <v>32614074</v>
      </c>
      <c r="C10" s="215">
        <f>+'Purchased Power Model '!C10</f>
        <v>10.4</v>
      </c>
      <c r="D10" s="215">
        <f>+'Purchased Power Model '!D10</f>
        <v>106.5</v>
      </c>
      <c r="E10" s="126">
        <f>+'Purchased Power Model '!E10</f>
        <v>5.2000000000000005E-2</v>
      </c>
      <c r="F10" s="57">
        <f>+'Purchased Power Model '!F10</f>
        <v>31</v>
      </c>
      <c r="G10" s="57">
        <f>+'Purchased Power Model '!G10</f>
        <v>0</v>
      </c>
      <c r="H10" s="42">
        <v>43439.333333333314</v>
      </c>
      <c r="I10" s="222">
        <f t="shared" si="0"/>
        <v>38908718.45548369</v>
      </c>
      <c r="J10" s="36">
        <f t="shared" si="1"/>
        <v>6294644.4554836899</v>
      </c>
      <c r="K10" s="5">
        <f t="shared" si="2"/>
        <v>0.19300393000530047</v>
      </c>
      <c r="M10"/>
      <c r="N10"/>
      <c r="O10"/>
      <c r="P10"/>
      <c r="Q10"/>
    </row>
    <row r="11" spans="1:18" ht="13.5" thickBot="1" x14ac:dyDescent="0.25">
      <c r="A11" s="3">
        <v>37865</v>
      </c>
      <c r="B11" s="59">
        <v>37763990</v>
      </c>
      <c r="C11" s="215">
        <f>+'Purchased Power Model '!C11</f>
        <v>55.2</v>
      </c>
      <c r="D11" s="215">
        <f>+'Purchased Power Model '!D11</f>
        <v>12.1</v>
      </c>
      <c r="E11" s="126">
        <f>+'Purchased Power Model '!E11</f>
        <v>5.2000000000000005E-2</v>
      </c>
      <c r="F11" s="57">
        <f>+'Purchased Power Model '!F11</f>
        <v>30</v>
      </c>
      <c r="G11" s="57">
        <f>+'Purchased Power Model '!G11</f>
        <v>1</v>
      </c>
      <c r="H11" s="42">
        <v>43499.249999999978</v>
      </c>
      <c r="I11" s="222">
        <f t="shared" si="0"/>
        <v>36101836.166627169</v>
      </c>
      <c r="J11" s="36">
        <f t="shared" si="1"/>
        <v>-1662153.8333728313</v>
      </c>
      <c r="K11" s="5">
        <f t="shared" si="2"/>
        <v>-4.4014253614960475E-2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59">
        <v>40526308</v>
      </c>
      <c r="C12" s="215">
        <f>+'Purchased Power Model '!C12</f>
        <v>289.7</v>
      </c>
      <c r="D12" s="215">
        <f>+'Purchased Power Model '!D12</f>
        <v>0</v>
      </c>
      <c r="E12" s="126">
        <f>+'Purchased Power Model '!E12</f>
        <v>4.7E-2</v>
      </c>
      <c r="F12" s="57">
        <f>+'Purchased Power Model '!F12</f>
        <v>31</v>
      </c>
      <c r="G12" s="57">
        <f>+'Purchased Power Model '!G12</f>
        <v>1</v>
      </c>
      <c r="H12" s="42">
        <v>43559.166666666642</v>
      </c>
      <c r="I12" s="222">
        <f t="shared" si="0"/>
        <v>37789369.632338226</v>
      </c>
      <c r="J12" s="36">
        <f t="shared" si="1"/>
        <v>-2736938.3676617742</v>
      </c>
      <c r="K12" s="5">
        <f t="shared" si="2"/>
        <v>-6.7534855819132947E-2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59">
        <v>27741371</v>
      </c>
      <c r="C13" s="215">
        <f>+'Purchased Power Model '!C13</f>
        <v>387.6</v>
      </c>
      <c r="D13" s="215">
        <f>+'Purchased Power Model '!D13</f>
        <v>0</v>
      </c>
      <c r="E13" s="126">
        <f>+'Purchased Power Model '!E13</f>
        <v>4.7E-2</v>
      </c>
      <c r="F13" s="57">
        <f>+'Purchased Power Model '!F13</f>
        <v>30</v>
      </c>
      <c r="G13" s="57">
        <f>+'Purchased Power Model '!G13</f>
        <v>1</v>
      </c>
      <c r="H13" s="42">
        <v>43619.083333333307</v>
      </c>
      <c r="I13" s="222">
        <f t="shared" si="0"/>
        <v>40013869.981796607</v>
      </c>
      <c r="J13" s="36">
        <f t="shared" si="1"/>
        <v>12272498.981796607</v>
      </c>
      <c r="K13" s="5">
        <f t="shared" si="2"/>
        <v>0.44238977885399416</v>
      </c>
      <c r="M13" s="35" t="s">
        <v>26</v>
      </c>
      <c r="N13" s="68">
        <v>5</v>
      </c>
      <c r="O13" s="68">
        <v>1036417804400885.5</v>
      </c>
      <c r="P13" s="68">
        <v>207283560880177.09</v>
      </c>
      <c r="Q13" s="68">
        <v>6.4680966161526223</v>
      </c>
      <c r="R13" s="68">
        <v>1.9667724213869629E-5</v>
      </c>
    </row>
    <row r="14" spans="1:18" x14ac:dyDescent="0.2">
      <c r="A14" s="3">
        <v>37956</v>
      </c>
      <c r="B14" s="59">
        <v>38757231</v>
      </c>
      <c r="C14" s="215">
        <f>+'Purchased Power Model '!C14</f>
        <v>548.20000000000005</v>
      </c>
      <c r="D14" s="215">
        <f>+'Purchased Power Model '!D14</f>
        <v>0</v>
      </c>
      <c r="E14" s="126">
        <f>+'Purchased Power Model '!E14</f>
        <v>4.7E-2</v>
      </c>
      <c r="F14" s="57">
        <f>+'Purchased Power Model '!F14</f>
        <v>31</v>
      </c>
      <c r="G14" s="57">
        <f>+'Purchased Power Model '!G14</f>
        <v>0</v>
      </c>
      <c r="H14" s="42">
        <v>43679</v>
      </c>
      <c r="I14" s="222">
        <f t="shared" si="0"/>
        <v>40638808.131273851</v>
      </c>
      <c r="J14" s="36">
        <f t="shared" si="1"/>
        <v>1881577.1312738508</v>
      </c>
      <c r="K14" s="5">
        <f t="shared" si="2"/>
        <v>4.8547769867095275E-2</v>
      </c>
      <c r="M14" s="35" t="s">
        <v>27</v>
      </c>
      <c r="N14" s="68">
        <v>138</v>
      </c>
      <c r="O14" s="68">
        <v>4422495998286347.5</v>
      </c>
      <c r="P14" s="68">
        <v>32047072451350.344</v>
      </c>
      <c r="Q14" s="68"/>
      <c r="R14" s="68"/>
    </row>
    <row r="15" spans="1:18" ht="13.5" thickBot="1" x14ac:dyDescent="0.25">
      <c r="A15" s="3">
        <v>37987</v>
      </c>
      <c r="B15" s="59">
        <v>37554420</v>
      </c>
      <c r="C15" s="215">
        <f>+'Purchased Power Model '!C15</f>
        <v>828.8</v>
      </c>
      <c r="D15" s="215">
        <f>+'Purchased Power Model '!D15</f>
        <v>0</v>
      </c>
      <c r="E15" s="126">
        <f>+'Purchased Power Model '!E15</f>
        <v>0.05</v>
      </c>
      <c r="F15" s="57">
        <f>+'Purchased Power Model '!F15</f>
        <v>31</v>
      </c>
      <c r="G15" s="57">
        <f>+'Purchased Power Model '!G15</f>
        <v>0</v>
      </c>
      <c r="H15" s="42">
        <v>43701</v>
      </c>
      <c r="I15" s="222">
        <f t="shared" si="0"/>
        <v>44598186.786454812</v>
      </c>
      <c r="J15" s="36">
        <f t="shared" si="1"/>
        <v>7043766.7864548117</v>
      </c>
      <c r="K15" s="5">
        <f t="shared" si="2"/>
        <v>0.1875615915904123</v>
      </c>
      <c r="M15" s="51" t="s">
        <v>9</v>
      </c>
      <c r="N15" s="69">
        <v>143</v>
      </c>
      <c r="O15" s="69">
        <v>5458913802687233</v>
      </c>
      <c r="P15" s="69"/>
      <c r="Q15" s="69"/>
      <c r="R15" s="69"/>
    </row>
    <row r="16" spans="1:18" ht="13.5" thickBot="1" x14ac:dyDescent="0.25">
      <c r="A16" s="3">
        <v>38018</v>
      </c>
      <c r="B16" s="59">
        <v>41985280</v>
      </c>
      <c r="C16" s="215">
        <f>+'Purchased Power Model '!C16</f>
        <v>615.6</v>
      </c>
      <c r="D16" s="215">
        <f>+'Purchased Power Model '!D16</f>
        <v>0</v>
      </c>
      <c r="E16" s="126">
        <f>+'Purchased Power Model '!E16</f>
        <v>0.05</v>
      </c>
      <c r="F16" s="57">
        <f>+'Purchased Power Model '!F16</f>
        <v>29</v>
      </c>
      <c r="G16" s="57">
        <f>+'Purchased Power Model '!G16</f>
        <v>0</v>
      </c>
      <c r="H16" s="42">
        <v>43651</v>
      </c>
      <c r="I16" s="222">
        <f t="shared" si="0"/>
        <v>43343214.00195685</v>
      </c>
      <c r="J16" s="36">
        <f t="shared" si="1"/>
        <v>1357934.0019568503</v>
      </c>
      <c r="K16" s="5">
        <f t="shared" si="2"/>
        <v>3.2343097436931471E-2</v>
      </c>
      <c r="M16"/>
      <c r="N16"/>
      <c r="O16"/>
      <c r="P16"/>
      <c r="Q16"/>
    </row>
    <row r="17" spans="1:21" x14ac:dyDescent="0.2">
      <c r="A17" s="3">
        <v>38047</v>
      </c>
      <c r="B17" s="59">
        <v>55939840</v>
      </c>
      <c r="C17" s="215">
        <f>+'Purchased Power Model '!C17</f>
        <v>487.1</v>
      </c>
      <c r="D17" s="215">
        <f>+'Purchased Power Model '!D17</f>
        <v>0</v>
      </c>
      <c r="E17" s="126">
        <f>+'Purchased Power Model '!E17</f>
        <v>0.05</v>
      </c>
      <c r="F17" s="57">
        <f>+'Purchased Power Model '!F17</f>
        <v>31</v>
      </c>
      <c r="G17" s="57">
        <f>+'Purchased Power Model '!G17</f>
        <v>1</v>
      </c>
      <c r="H17" s="42">
        <v>43792</v>
      </c>
      <c r="I17" s="222">
        <f t="shared" si="0"/>
        <v>40588428.987225547</v>
      </c>
      <c r="J17" s="36">
        <f t="shared" si="1"/>
        <v>-15351411.012774453</v>
      </c>
      <c r="K17" s="5">
        <f t="shared" si="2"/>
        <v>-0.2744271526835696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59">
        <v>43979734</v>
      </c>
      <c r="C18" s="215">
        <f>+'Purchased Power Model '!C18</f>
        <v>345</v>
      </c>
      <c r="D18" s="215">
        <f>+'Purchased Power Model '!D18</f>
        <v>0</v>
      </c>
      <c r="E18" s="126">
        <f>+'Purchased Power Model '!E18</f>
        <v>5.4000000000000006E-2</v>
      </c>
      <c r="F18" s="57">
        <f>+'Purchased Power Model '!F18</f>
        <v>30</v>
      </c>
      <c r="G18" s="57">
        <f>+'Purchased Power Model '!G18</f>
        <v>1</v>
      </c>
      <c r="H18" s="42">
        <v>43854</v>
      </c>
      <c r="I18" s="222">
        <f t="shared" si="0"/>
        <v>39527308.093026862</v>
      </c>
      <c r="J18" s="36">
        <f t="shared" si="1"/>
        <v>-4452425.9069731385</v>
      </c>
      <c r="K18" s="5">
        <f t="shared" si="2"/>
        <v>-0.10123812724681643</v>
      </c>
      <c r="M18" s="35" t="s">
        <v>28</v>
      </c>
      <c r="N18" s="68">
        <v>58905804.734782271</v>
      </c>
      <c r="O18" s="68">
        <v>18489090.716723081</v>
      </c>
      <c r="P18" s="68">
        <v>3.1859762947402781</v>
      </c>
      <c r="Q18" s="68">
        <v>1.7841969341492949E-3</v>
      </c>
      <c r="R18" s="68">
        <v>22347260.1717351</v>
      </c>
      <c r="S18" s="68">
        <v>95464349.297829449</v>
      </c>
      <c r="T18" s="68">
        <v>22347260.1717351</v>
      </c>
      <c r="U18" s="68">
        <v>95464349.297829449</v>
      </c>
    </row>
    <row r="19" spans="1:21" x14ac:dyDescent="0.2">
      <c r="A19" s="3">
        <v>38108</v>
      </c>
      <c r="B19" s="59">
        <v>34023750</v>
      </c>
      <c r="C19" s="215">
        <f>+'Purchased Power Model '!C19</f>
        <v>177.5</v>
      </c>
      <c r="D19" s="215">
        <f>+'Purchased Power Model '!D19</f>
        <v>0</v>
      </c>
      <c r="E19" s="126">
        <f>+'Purchased Power Model '!E19</f>
        <v>5.4000000000000006E-2</v>
      </c>
      <c r="F19" s="57">
        <f>+'Purchased Power Model '!F19</f>
        <v>31</v>
      </c>
      <c r="G19" s="57">
        <f>+'Purchased Power Model '!G19</f>
        <v>1</v>
      </c>
      <c r="H19" s="42">
        <v>43892</v>
      </c>
      <c r="I19" s="222">
        <f t="shared" si="0"/>
        <v>36332156.021207452</v>
      </c>
      <c r="J19" s="36">
        <f t="shared" si="1"/>
        <v>2308406.0212074518</v>
      </c>
      <c r="K19" s="5">
        <f t="shared" si="2"/>
        <v>6.7846901685071515E-2</v>
      </c>
      <c r="M19" s="35" t="s">
        <v>3</v>
      </c>
      <c r="N19" s="68">
        <v>13946.145436221808</v>
      </c>
      <c r="O19" s="68">
        <v>2881.2688848952994</v>
      </c>
      <c r="P19" s="68">
        <v>4.8402790552914983</v>
      </c>
      <c r="Q19" s="68">
        <v>3.4253945052827393E-6</v>
      </c>
      <c r="R19" s="68">
        <v>8249.0022645842619</v>
      </c>
      <c r="S19" s="68">
        <v>19643.288607859355</v>
      </c>
      <c r="T19" s="68">
        <v>8249.0022645842619</v>
      </c>
      <c r="U19" s="68">
        <v>19643.288607859355</v>
      </c>
    </row>
    <row r="20" spans="1:21" x14ac:dyDescent="0.2">
      <c r="A20" s="3">
        <v>38139</v>
      </c>
      <c r="B20" s="59">
        <v>36677978</v>
      </c>
      <c r="C20" s="215">
        <f>+'Purchased Power Model '!C20</f>
        <v>73.2</v>
      </c>
      <c r="D20" s="215">
        <f>+'Purchased Power Model '!D20</f>
        <v>15.6</v>
      </c>
      <c r="E20" s="126">
        <f>+'Purchased Power Model '!E20</f>
        <v>5.4000000000000006E-2</v>
      </c>
      <c r="F20" s="57">
        <f>+'Purchased Power Model '!F20</f>
        <v>30</v>
      </c>
      <c r="G20" s="57">
        <f>+'Purchased Power Model '!G20</f>
        <v>0</v>
      </c>
      <c r="H20" s="42">
        <v>43974</v>
      </c>
      <c r="I20" s="222">
        <f t="shared" si="0"/>
        <v>35815058.269113675</v>
      </c>
      <c r="J20" s="36">
        <f t="shared" si="1"/>
        <v>-862919.73088632524</v>
      </c>
      <c r="K20" s="5">
        <f t="shared" si="2"/>
        <v>-2.3526916638815946E-2</v>
      </c>
      <c r="M20" s="35" t="s">
        <v>4</v>
      </c>
      <c r="N20" s="68">
        <v>53458.500126898689</v>
      </c>
      <c r="O20" s="68">
        <v>22325.146767762471</v>
      </c>
      <c r="P20" s="68">
        <v>2.3945419343935872</v>
      </c>
      <c r="Q20" s="68">
        <v>1.7984446823406778E-2</v>
      </c>
      <c r="R20" s="68">
        <v>9314.9083467147138</v>
      </c>
      <c r="S20" s="68">
        <v>97602.091907082664</v>
      </c>
      <c r="T20" s="68">
        <v>9314.9083467147138</v>
      </c>
      <c r="U20" s="68">
        <v>97602.091907082664</v>
      </c>
    </row>
    <row r="21" spans="1:21" x14ac:dyDescent="0.2">
      <c r="A21" s="3">
        <v>38169</v>
      </c>
      <c r="B21" s="59">
        <v>38845733</v>
      </c>
      <c r="C21" s="215">
        <f>+'Purchased Power Model '!C21</f>
        <v>2</v>
      </c>
      <c r="D21" s="215">
        <f>+'Purchased Power Model '!D21</f>
        <v>69.3</v>
      </c>
      <c r="E21" s="126">
        <f>+'Purchased Power Model '!E21</f>
        <v>5.5E-2</v>
      </c>
      <c r="F21" s="57">
        <f>+'Purchased Power Model '!F21</f>
        <v>31</v>
      </c>
      <c r="G21" s="57">
        <f>+'Purchased Power Model '!G21</f>
        <v>0</v>
      </c>
      <c r="H21" s="42">
        <v>44060</v>
      </c>
      <c r="I21" s="222">
        <f t="shared" si="0"/>
        <v>36849004.874875918</v>
      </c>
      <c r="J21" s="36">
        <f t="shared" si="1"/>
        <v>-1996728.125124082</v>
      </c>
      <c r="K21" s="5">
        <f t="shared" si="2"/>
        <v>-5.1401478899216084E-2</v>
      </c>
      <c r="M21" s="35" t="s">
        <v>223</v>
      </c>
      <c r="N21" s="68">
        <v>15363415.259043649</v>
      </c>
      <c r="O21" s="68">
        <v>31427573.903580874</v>
      </c>
      <c r="P21" s="68">
        <v>0.48885145592778745</v>
      </c>
      <c r="Q21" s="68">
        <v>0.62572286726383708</v>
      </c>
      <c r="R21" s="68">
        <v>-46778437.937842697</v>
      </c>
      <c r="S21" s="68">
        <v>77505268.455929995</v>
      </c>
      <c r="T21" s="68">
        <v>-46778437.937842697</v>
      </c>
      <c r="U21" s="68">
        <v>77505268.455929995</v>
      </c>
    </row>
    <row r="22" spans="1:21" x14ac:dyDescent="0.2">
      <c r="A22" s="3">
        <v>38200</v>
      </c>
      <c r="B22" s="59">
        <v>46901464</v>
      </c>
      <c r="C22" s="215">
        <f>+'Purchased Power Model '!C22</f>
        <v>19.600000000000001</v>
      </c>
      <c r="D22" s="215">
        <f>+'Purchased Power Model '!D22</f>
        <v>53.6</v>
      </c>
      <c r="E22" s="126">
        <f>+'Purchased Power Model '!E22</f>
        <v>5.5E-2</v>
      </c>
      <c r="F22" s="57">
        <f>+'Purchased Power Model '!F22</f>
        <v>31</v>
      </c>
      <c r="G22" s="57">
        <f>+'Purchased Power Model '!G22</f>
        <v>0</v>
      </c>
      <c r="H22" s="42">
        <v>44140</v>
      </c>
      <c r="I22" s="222">
        <f t="shared" si="0"/>
        <v>36255158.582561105</v>
      </c>
      <c r="J22" s="36">
        <f t="shared" si="1"/>
        <v>-10646305.417438895</v>
      </c>
      <c r="K22" s="5">
        <f t="shared" si="2"/>
        <v>-0.22699302984313868</v>
      </c>
      <c r="M22" s="35" t="s">
        <v>5</v>
      </c>
      <c r="N22" s="68">
        <v>-859172.71125226701</v>
      </c>
      <c r="O22" s="68">
        <v>604789.73403973691</v>
      </c>
      <c r="P22" s="68">
        <v>-1.4206139140513523</v>
      </c>
      <c r="Q22" s="68">
        <v>0.15768453487527123</v>
      </c>
      <c r="R22" s="68">
        <v>-2055025.5945510019</v>
      </c>
      <c r="S22" s="68">
        <v>336680.17204646789</v>
      </c>
      <c r="T22" s="68">
        <v>-2055025.5945510019</v>
      </c>
      <c r="U22" s="68">
        <v>336680.17204646789</v>
      </c>
    </row>
    <row r="23" spans="1:21" ht="13.5" thickBot="1" x14ac:dyDescent="0.25">
      <c r="A23" s="3">
        <v>38231</v>
      </c>
      <c r="B23" s="59">
        <v>33994099</v>
      </c>
      <c r="C23" s="215">
        <f>+'Purchased Power Model '!C23</f>
        <v>41.7</v>
      </c>
      <c r="D23" s="215">
        <f>+'Purchased Power Model '!D23</f>
        <v>26.7</v>
      </c>
      <c r="E23" s="126">
        <f>+'Purchased Power Model '!E23</f>
        <v>5.5E-2</v>
      </c>
      <c r="F23" s="57">
        <f>+'Purchased Power Model '!F23</f>
        <v>30</v>
      </c>
      <c r="G23" s="57">
        <f>+'Purchased Power Model '!G23</f>
        <v>1</v>
      </c>
      <c r="H23" s="42">
        <v>44155</v>
      </c>
      <c r="I23" s="222">
        <f t="shared" si="0"/>
        <v>36740147.550868019</v>
      </c>
      <c r="J23" s="36">
        <f t="shared" si="1"/>
        <v>2746048.5508680195</v>
      </c>
      <c r="K23" s="5">
        <f t="shared" si="2"/>
        <v>8.0780153957544787E-2</v>
      </c>
      <c r="M23" s="51" t="s">
        <v>17</v>
      </c>
      <c r="N23" s="69">
        <v>755640.09632772172</v>
      </c>
      <c r="O23" s="69">
        <v>1219806.076564881</v>
      </c>
      <c r="P23" s="69">
        <v>0.6194755960354732</v>
      </c>
      <c r="Q23" s="69">
        <v>0.53662450818129614</v>
      </c>
      <c r="R23" s="69">
        <v>-1656286.7794508738</v>
      </c>
      <c r="S23" s="69">
        <v>3167566.9721063171</v>
      </c>
      <c r="T23" s="69">
        <v>-1656286.7794508738</v>
      </c>
      <c r="U23" s="69">
        <v>3167566.9721063171</v>
      </c>
    </row>
    <row r="24" spans="1:21" x14ac:dyDescent="0.2">
      <c r="A24" s="3">
        <v>38261</v>
      </c>
      <c r="B24" s="59">
        <v>6476689</v>
      </c>
      <c r="C24" s="215">
        <f>+'Purchased Power Model '!C24</f>
        <v>235</v>
      </c>
      <c r="D24" s="215">
        <f>+'Purchased Power Model '!D24</f>
        <v>0</v>
      </c>
      <c r="E24" s="126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42">
        <v>44155</v>
      </c>
      <c r="I24" s="222">
        <f t="shared" si="0"/>
        <v>37195513.044826373</v>
      </c>
      <c r="J24" s="36">
        <f t="shared" si="1"/>
        <v>30718824.044826373</v>
      </c>
      <c r="K24" s="5">
        <f t="shared" si="2"/>
        <v>4.7429827254058941</v>
      </c>
      <c r="M24"/>
      <c r="N24"/>
      <c r="O24"/>
      <c r="P24"/>
      <c r="Q24"/>
    </row>
    <row r="25" spans="1:21" x14ac:dyDescent="0.2">
      <c r="A25" s="3">
        <v>38292</v>
      </c>
      <c r="B25" s="59">
        <v>37578865</v>
      </c>
      <c r="C25" s="215">
        <f>+'Purchased Power Model '!C25</f>
        <v>385.7</v>
      </c>
      <c r="D25" s="215">
        <f>+'Purchased Power Model '!D25</f>
        <v>0</v>
      </c>
      <c r="E25" s="126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42">
        <v>44247</v>
      </c>
      <c r="I25" s="222">
        <f t="shared" si="0"/>
        <v>40156369.873317257</v>
      </c>
      <c r="J25" s="36">
        <f t="shared" si="1"/>
        <v>2577504.8733172566</v>
      </c>
      <c r="K25" s="5">
        <f t="shared" si="2"/>
        <v>6.8589215595448574E-2</v>
      </c>
      <c r="M25"/>
      <c r="N25"/>
      <c r="O25"/>
      <c r="P25"/>
      <c r="Q25"/>
    </row>
    <row r="26" spans="1:21" x14ac:dyDescent="0.2">
      <c r="A26" s="3">
        <v>38322</v>
      </c>
      <c r="B26" s="59">
        <v>34208828</v>
      </c>
      <c r="C26" s="215">
        <f>+'Purchased Power Model '!C26</f>
        <v>627.5</v>
      </c>
      <c r="D26" s="215">
        <f>+'Purchased Power Model '!D26</f>
        <v>0</v>
      </c>
      <c r="E26" s="126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42">
        <v>44280</v>
      </c>
      <c r="I26" s="222">
        <f t="shared" si="0"/>
        <v>41913735.032215714</v>
      </c>
      <c r="J26" s="36">
        <f t="shared" si="1"/>
        <v>7704907.0322157145</v>
      </c>
      <c r="K26" s="5">
        <f t="shared" si="2"/>
        <v>0.22523154058992359</v>
      </c>
      <c r="M26"/>
      <c r="N26"/>
      <c r="O26"/>
      <c r="P26"/>
      <c r="Q26"/>
    </row>
    <row r="27" spans="1:21" x14ac:dyDescent="0.2">
      <c r="A27" s="3">
        <v>38353</v>
      </c>
      <c r="B27" s="59">
        <v>44668867</v>
      </c>
      <c r="C27" s="215">
        <f>+'Purchased Power Model '!C27</f>
        <v>745.5</v>
      </c>
      <c r="D27" s="215">
        <f>+'Purchased Power Model '!D27</f>
        <v>0</v>
      </c>
      <c r="E27" s="126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42">
        <v>44293</v>
      </c>
      <c r="I27" s="222">
        <f t="shared" si="0"/>
        <v>43774468.0073165</v>
      </c>
      <c r="J27" s="36">
        <f t="shared" si="1"/>
        <v>-894398.99268350005</v>
      </c>
      <c r="K27" s="5">
        <f t="shared" si="2"/>
        <v>-2.0022871694585404E-2</v>
      </c>
      <c r="M27"/>
      <c r="N27"/>
      <c r="O27"/>
      <c r="P27"/>
      <c r="Q27"/>
    </row>
    <row r="28" spans="1:21" x14ac:dyDescent="0.2">
      <c r="A28" s="3">
        <v>38384</v>
      </c>
      <c r="B28" s="59">
        <v>44845667</v>
      </c>
      <c r="C28" s="215">
        <f>+'Purchased Power Model '!C28</f>
        <v>589.5</v>
      </c>
      <c r="D28" s="215">
        <f>+'Purchased Power Model '!D28</f>
        <v>0</v>
      </c>
      <c r="E28" s="126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42">
        <v>44305</v>
      </c>
      <c r="I28" s="222">
        <f t="shared" si="0"/>
        <v>44176387.453022681</v>
      </c>
      <c r="J28" s="36">
        <f t="shared" si="1"/>
        <v>-669279.54697731882</v>
      </c>
      <c r="K28" s="5">
        <f t="shared" si="2"/>
        <v>-1.4924062718864652E-2</v>
      </c>
    </row>
    <row r="29" spans="1:21" x14ac:dyDescent="0.2">
      <c r="A29" s="3">
        <v>38412</v>
      </c>
      <c r="B29" s="59">
        <v>46098988</v>
      </c>
      <c r="C29" s="215">
        <f>+'Purchased Power Model '!C29</f>
        <v>578.29999999999995</v>
      </c>
      <c r="D29" s="215">
        <f>+'Purchased Power Model '!D29</f>
        <v>0</v>
      </c>
      <c r="E29" s="126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42">
        <v>44318</v>
      </c>
      <c r="I29" s="222">
        <f t="shared" si="0"/>
        <v>42198312.586707935</v>
      </c>
      <c r="J29" s="36">
        <f t="shared" si="1"/>
        <v>-3900675.4132920653</v>
      </c>
      <c r="K29" s="5">
        <f t="shared" si="2"/>
        <v>-8.4615207025630704E-2</v>
      </c>
    </row>
    <row r="30" spans="1:21" x14ac:dyDescent="0.2">
      <c r="A30" s="3">
        <v>38443</v>
      </c>
      <c r="B30" s="59">
        <v>43439251</v>
      </c>
      <c r="C30" s="215">
        <f>+'Purchased Power Model '!C30</f>
        <v>325.3</v>
      </c>
      <c r="D30" s="215">
        <f>+'Purchased Power Model '!D30</f>
        <v>0</v>
      </c>
      <c r="E30" s="126">
        <f>+'Purchased Power Model '!E30</f>
        <v>6.4000000000000001E-2</v>
      </c>
      <c r="F30" s="57">
        <f>+'Purchased Power Model '!F30</f>
        <v>30</v>
      </c>
      <c r="G30" s="57">
        <f>+'Purchased Power Model '!G30</f>
        <v>1</v>
      </c>
      <c r="H30" s="42">
        <v>44330</v>
      </c>
      <c r="I30" s="222">
        <f t="shared" si="0"/>
        <v>39406203.180523738</v>
      </c>
      <c r="J30" s="36">
        <f t="shared" si="1"/>
        <v>-4033047.8194762617</v>
      </c>
      <c r="K30" s="5">
        <f t="shared" si="2"/>
        <v>-9.2843401454510852E-2</v>
      </c>
    </row>
    <row r="31" spans="1:21" x14ac:dyDescent="0.2">
      <c r="A31" s="3">
        <v>38473</v>
      </c>
      <c r="B31" s="59">
        <v>39709742</v>
      </c>
      <c r="C31" s="215">
        <f>+'Purchased Power Model '!C31</f>
        <v>216.1</v>
      </c>
      <c r="D31" s="215">
        <f>+'Purchased Power Model '!D31</f>
        <v>0.3</v>
      </c>
      <c r="E31" s="126">
        <f>+'Purchased Power Model '!E31</f>
        <v>6.4000000000000001E-2</v>
      </c>
      <c r="F31" s="57">
        <f>+'Purchased Power Model '!F31</f>
        <v>31</v>
      </c>
      <c r="G31" s="57">
        <f>+'Purchased Power Model '!G31</f>
        <v>1</v>
      </c>
      <c r="H31" s="42">
        <v>44362</v>
      </c>
      <c r="I31" s="222">
        <f t="shared" si="0"/>
        <v>37040148.93767412</v>
      </c>
      <c r="J31" s="36">
        <f t="shared" si="1"/>
        <v>-2669593.0623258799</v>
      </c>
      <c r="K31" s="5">
        <f t="shared" si="2"/>
        <v>-6.7227660716755094E-2</v>
      </c>
    </row>
    <row r="32" spans="1:21" x14ac:dyDescent="0.2">
      <c r="A32" s="3">
        <v>38504</v>
      </c>
      <c r="B32" s="59">
        <v>33899267</v>
      </c>
      <c r="C32" s="215">
        <f>+'Purchased Power Model '!C32</f>
        <v>13.7</v>
      </c>
      <c r="D32" s="215">
        <f>+'Purchased Power Model '!D32</f>
        <v>89.9</v>
      </c>
      <c r="E32" s="126">
        <f>+'Purchased Power Model '!E32</f>
        <v>6.4000000000000001E-2</v>
      </c>
      <c r="F32" s="57">
        <f>+'Purchased Power Model '!F32</f>
        <v>30</v>
      </c>
      <c r="G32" s="57">
        <f>+'Purchased Power Model '!G32</f>
        <v>0</v>
      </c>
      <c r="H32" s="42">
        <v>44418</v>
      </c>
      <c r="I32" s="222">
        <f t="shared" si="0"/>
        <v>39110863.327677488</v>
      </c>
      <c r="J32" s="36">
        <f t="shared" si="1"/>
        <v>5211596.3276774883</v>
      </c>
      <c r="K32" s="5">
        <f t="shared" si="2"/>
        <v>0.1537377291278153</v>
      </c>
    </row>
    <row r="33" spans="1:11" x14ac:dyDescent="0.2">
      <c r="A33" s="3">
        <v>38534</v>
      </c>
      <c r="B33" s="59">
        <v>33586076</v>
      </c>
      <c r="C33" s="215">
        <f>+'Purchased Power Model '!C33</f>
        <v>2.2000000000000002</v>
      </c>
      <c r="D33" s="215">
        <f>+'Purchased Power Model '!D33</f>
        <v>153</v>
      </c>
      <c r="E33" s="126">
        <f>+'Purchased Power Model '!E33</f>
        <v>5.7999999999999996E-2</v>
      </c>
      <c r="F33" s="57">
        <f>+'Purchased Power Model '!F33</f>
        <v>31</v>
      </c>
      <c r="G33" s="57">
        <f>+'Purchased Power Model '!G33</f>
        <v>0</v>
      </c>
      <c r="H33" s="42">
        <v>44588</v>
      </c>
      <c r="I33" s="222">
        <f t="shared" si="0"/>
        <v>41372360.810361728</v>
      </c>
      <c r="J33" s="36">
        <f t="shared" si="1"/>
        <v>7786284.8103617281</v>
      </c>
      <c r="K33" s="5">
        <f t="shared" si="2"/>
        <v>0.23183073873714</v>
      </c>
    </row>
    <row r="34" spans="1:11" x14ac:dyDescent="0.2">
      <c r="A34" s="3">
        <v>38565</v>
      </c>
      <c r="B34" s="59">
        <v>53042348</v>
      </c>
      <c r="C34" s="215">
        <f>+'Purchased Power Model '!C34</f>
        <v>0</v>
      </c>
      <c r="D34" s="215">
        <f>+'Purchased Power Model '!D34</f>
        <v>108</v>
      </c>
      <c r="E34" s="126">
        <f>+'Purchased Power Model '!E34</f>
        <v>5.7999999999999996E-2</v>
      </c>
      <c r="F34" s="57">
        <f>+'Purchased Power Model '!F34</f>
        <v>31</v>
      </c>
      <c r="G34" s="57">
        <f>+'Purchased Power Model '!G34</f>
        <v>0</v>
      </c>
      <c r="H34" s="42">
        <v>44656</v>
      </c>
      <c r="I34" s="222">
        <f t="shared" si="0"/>
        <v>38936046.784691587</v>
      </c>
      <c r="J34" s="36">
        <f t="shared" si="1"/>
        <v>-14106301.215308413</v>
      </c>
      <c r="K34" s="5">
        <f t="shared" si="2"/>
        <v>-0.26594413232439129</v>
      </c>
    </row>
    <row r="35" spans="1:11" x14ac:dyDescent="0.2">
      <c r="A35" s="3">
        <v>38596</v>
      </c>
      <c r="B35" s="59">
        <v>36544285</v>
      </c>
      <c r="C35" s="215">
        <f>+'Purchased Power Model '!C35</f>
        <v>36.700000000000003</v>
      </c>
      <c r="D35" s="215">
        <f>+'Purchased Power Model '!D35</f>
        <v>32.799999999999997</v>
      </c>
      <c r="E35" s="126">
        <f>+'Purchased Power Model '!E35</f>
        <v>5.7999999999999996E-2</v>
      </c>
      <c r="F35" s="57">
        <f>+'Purchased Power Model '!F35</f>
        <v>30</v>
      </c>
      <c r="G35" s="57">
        <f>+'Purchased Power Model '!G35</f>
        <v>1</v>
      </c>
      <c r="H35" s="42">
        <v>44711</v>
      </c>
      <c r="I35" s="222">
        <f t="shared" si="0"/>
        <v>37042603.920238122</v>
      </c>
      <c r="J35" s="36">
        <f t="shared" si="1"/>
        <v>498318.92023812234</v>
      </c>
      <c r="K35" s="5">
        <f t="shared" si="2"/>
        <v>1.3636028731664127E-2</v>
      </c>
    </row>
    <row r="36" spans="1:11" x14ac:dyDescent="0.2">
      <c r="A36" s="3">
        <v>38626</v>
      </c>
      <c r="B36" s="59">
        <v>38295938</v>
      </c>
      <c r="C36" s="215">
        <f>+'Purchased Power Model '!C36</f>
        <v>223.8</v>
      </c>
      <c r="D36" s="215">
        <f>+'Purchased Power Model '!D36</f>
        <v>0.5</v>
      </c>
      <c r="E36" s="126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42">
        <v>44814</v>
      </c>
      <c r="I36" s="222">
        <f t="shared" si="0"/>
        <v>37204316.203335539</v>
      </c>
      <c r="J36" s="36">
        <f t="shared" si="1"/>
        <v>-1091621.7966644615</v>
      </c>
      <c r="K36" s="5">
        <f t="shared" si="2"/>
        <v>-2.850489774305728E-2</v>
      </c>
    </row>
    <row r="37" spans="1:11" x14ac:dyDescent="0.2">
      <c r="A37" s="3">
        <v>38657</v>
      </c>
      <c r="B37" s="59">
        <v>33107637</v>
      </c>
      <c r="C37" s="215">
        <f>+'Purchased Power Model '!C37</f>
        <v>398.5</v>
      </c>
      <c r="D37" s="215">
        <f>+'Purchased Power Model '!D37</f>
        <v>0</v>
      </c>
      <c r="E37" s="126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42">
        <v>44877</v>
      </c>
      <c r="I37" s="222">
        <f t="shared" si="0"/>
        <v>40473151.272232294</v>
      </c>
      <c r="J37" s="36">
        <f t="shared" si="1"/>
        <v>7365514.2722322941</v>
      </c>
      <c r="K37" s="5">
        <f t="shared" si="2"/>
        <v>0.22247175998191276</v>
      </c>
    </row>
    <row r="38" spans="1:11" x14ac:dyDescent="0.2">
      <c r="A38" s="3">
        <v>38687</v>
      </c>
      <c r="B38" s="59">
        <v>38766635</v>
      </c>
      <c r="C38" s="215">
        <f>+'Purchased Power Model '!C38</f>
        <v>641.1</v>
      </c>
      <c r="D38" s="215">
        <f>+'Purchased Power Model '!D38</f>
        <v>0</v>
      </c>
      <c r="E38" s="126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42">
        <v>44917</v>
      </c>
      <c r="I38" s="222">
        <f t="shared" si="0"/>
        <v>42241673.347479731</v>
      </c>
      <c r="J38" s="36">
        <f t="shared" si="1"/>
        <v>3475038.3474797308</v>
      </c>
      <c r="K38" s="5">
        <f t="shared" si="2"/>
        <v>8.9639927413863257E-2</v>
      </c>
    </row>
    <row r="39" spans="1:11" x14ac:dyDescent="0.2">
      <c r="A39" s="3">
        <v>38718</v>
      </c>
      <c r="B39" s="60">
        <v>46143445</v>
      </c>
      <c r="C39" s="215">
        <f>+'Purchased Power Model '!C39</f>
        <v>558.20000000000005</v>
      </c>
      <c r="D39" s="215">
        <f>+'Purchased Power Model '!D39</f>
        <v>0</v>
      </c>
      <c r="E39" s="126">
        <f>+'Purchased Power Model '!E39</f>
        <v>6.6000000000000003E-2</v>
      </c>
      <c r="F39" s="57">
        <f>+'Purchased Power Model '!F39</f>
        <v>31</v>
      </c>
      <c r="G39" s="57">
        <f>+'Purchased Power Model '!G39</f>
        <v>0</v>
      </c>
      <c r="H39" s="42">
        <v>44963</v>
      </c>
      <c r="I39" s="222">
        <f t="shared" si="0"/>
        <v>41070174.475557894</v>
      </c>
      <c r="J39" s="36">
        <f t="shared" si="1"/>
        <v>-5073270.5244421065</v>
      </c>
      <c r="K39" s="5">
        <f t="shared" si="2"/>
        <v>-0.10994563852876842</v>
      </c>
    </row>
    <row r="40" spans="1:11" x14ac:dyDescent="0.2">
      <c r="A40" s="3">
        <v>38749</v>
      </c>
      <c r="B40" s="60">
        <v>44745054</v>
      </c>
      <c r="C40" s="215">
        <f>+'Purchased Power Model '!C40</f>
        <v>608.79999999999995</v>
      </c>
      <c r="D40" s="215">
        <f>+'Purchased Power Model '!D40</f>
        <v>0</v>
      </c>
      <c r="E40" s="126">
        <f>+'Purchased Power Model '!E40</f>
        <v>6.6000000000000003E-2</v>
      </c>
      <c r="F40" s="57">
        <f>+'Purchased Power Model '!F40</f>
        <v>28</v>
      </c>
      <c r="G40" s="57">
        <f>+'Purchased Power Model '!G40</f>
        <v>0</v>
      </c>
      <c r="H40" s="42">
        <v>45036</v>
      </c>
      <c r="I40" s="222">
        <f t="shared" si="0"/>
        <v>44353367.568387501</v>
      </c>
      <c r="J40" s="36">
        <f t="shared" si="1"/>
        <v>-391686.43161249906</v>
      </c>
      <c r="K40" s="5">
        <f t="shared" si="2"/>
        <v>-8.7537369295050821E-3</v>
      </c>
    </row>
    <row r="41" spans="1:11" x14ac:dyDescent="0.2">
      <c r="A41" s="3">
        <v>38777</v>
      </c>
      <c r="B41" s="60">
        <v>43110864</v>
      </c>
      <c r="C41" s="215">
        <f>+'Purchased Power Model '!C41</f>
        <v>534</v>
      </c>
      <c r="D41" s="215">
        <f>+'Purchased Power Model '!D41</f>
        <v>0</v>
      </c>
      <c r="E41" s="126">
        <f>+'Purchased Power Model '!E41</f>
        <v>6.6000000000000003E-2</v>
      </c>
      <c r="F41" s="57">
        <f>+'Purchased Power Model '!F41</f>
        <v>31</v>
      </c>
      <c r="G41" s="57">
        <f>+'Purchased Power Model '!G41</f>
        <v>1</v>
      </c>
      <c r="H41" s="42">
        <v>45104</v>
      </c>
      <c r="I41" s="222">
        <f t="shared" si="0"/>
        <v>41488317.852329046</v>
      </c>
      <c r="J41" s="36">
        <f t="shared" si="1"/>
        <v>-1622546.1476709545</v>
      </c>
      <c r="K41" s="5">
        <f t="shared" si="2"/>
        <v>-3.7636595445430056E-2</v>
      </c>
    </row>
    <row r="42" spans="1:11" x14ac:dyDescent="0.2">
      <c r="A42" s="3">
        <v>38808</v>
      </c>
      <c r="B42" s="60">
        <v>39740331</v>
      </c>
      <c r="C42" s="215">
        <f>+'Purchased Power Model '!C42</f>
        <v>323.60000000000002</v>
      </c>
      <c r="D42" s="215">
        <f>+'Purchased Power Model '!D42</f>
        <v>0</v>
      </c>
      <c r="E42" s="126">
        <f>+'Purchased Power Model '!E42</f>
        <v>6.5000000000000002E-2</v>
      </c>
      <c r="F42" s="57">
        <f>+'Purchased Power Model '!F42</f>
        <v>30</v>
      </c>
      <c r="G42" s="57">
        <f>+'Purchased Power Model '!G42</f>
        <v>1</v>
      </c>
      <c r="H42" s="42">
        <v>45206</v>
      </c>
      <c r="I42" s="222">
        <f t="shared" si="0"/>
        <v>39397858.148541197</v>
      </c>
      <c r="J42" s="36">
        <f t="shared" si="1"/>
        <v>-342472.85145880282</v>
      </c>
      <c r="K42" s="5">
        <f t="shared" si="2"/>
        <v>-8.6177654498852275E-3</v>
      </c>
    </row>
    <row r="43" spans="1:11" x14ac:dyDescent="0.2">
      <c r="A43" s="3">
        <v>38838</v>
      </c>
      <c r="B43" s="60">
        <v>36190353</v>
      </c>
      <c r="C43" s="215">
        <f>+'Purchased Power Model '!C43</f>
        <v>172.6</v>
      </c>
      <c r="D43" s="215">
        <f>+'Purchased Power Model '!D43</f>
        <v>12.8</v>
      </c>
      <c r="E43" s="126">
        <f>+'Purchased Power Model '!E43</f>
        <v>6.5000000000000002E-2</v>
      </c>
      <c r="F43" s="57">
        <f>+'Purchased Power Model '!F43</f>
        <v>31</v>
      </c>
      <c r="G43" s="57">
        <f>+'Purchased Power Model '!G43</f>
        <v>1</v>
      </c>
      <c r="H43" s="42">
        <v>45279</v>
      </c>
      <c r="I43" s="222">
        <f t="shared" si="0"/>
        <v>37117086.278043747</v>
      </c>
      <c r="J43" s="36">
        <f t="shared" si="1"/>
        <v>926733.27804374695</v>
      </c>
      <c r="K43" s="5">
        <f t="shared" si="2"/>
        <v>2.5607190900949404E-2</v>
      </c>
    </row>
    <row r="44" spans="1:11" x14ac:dyDescent="0.2">
      <c r="A44" s="3">
        <v>38869</v>
      </c>
      <c r="B44" s="60">
        <v>32680208</v>
      </c>
      <c r="C44" s="215">
        <f>+'Purchased Power Model '!C44</f>
        <v>22.6</v>
      </c>
      <c r="D44" s="215">
        <f>+'Purchased Power Model '!D44</f>
        <v>36.200000000000003</v>
      </c>
      <c r="E44" s="126">
        <f>+'Purchased Power Model '!E44</f>
        <v>6.5000000000000002E-2</v>
      </c>
      <c r="F44" s="57">
        <f>+'Purchased Power Model '!F44</f>
        <v>30</v>
      </c>
      <c r="G44" s="57">
        <f>+'Purchased Power Model '!G44</f>
        <v>0</v>
      </c>
      <c r="H44" s="42">
        <v>45458</v>
      </c>
      <c r="I44" s="222">
        <f t="shared" si="0"/>
        <v>36379625.980504438</v>
      </c>
      <c r="J44" s="36">
        <f t="shared" si="1"/>
        <v>3699417.9805044383</v>
      </c>
      <c r="K44" s="5">
        <f t="shared" si="2"/>
        <v>0.11320056409997263</v>
      </c>
    </row>
    <row r="45" spans="1:11" x14ac:dyDescent="0.2">
      <c r="A45" s="3">
        <v>38899</v>
      </c>
      <c r="B45" s="60">
        <v>39020463</v>
      </c>
      <c r="C45" s="215">
        <f>+'Purchased Power Model '!C45</f>
        <v>1.7</v>
      </c>
      <c r="D45" s="215">
        <f>+'Purchased Power Model '!D45</f>
        <v>107.6</v>
      </c>
      <c r="E45" s="126">
        <f>+'Purchased Power Model '!E45</f>
        <v>6.7000000000000004E-2</v>
      </c>
      <c r="F45" s="57">
        <f>+'Purchased Power Model '!F45</f>
        <v>31</v>
      </c>
      <c r="G45" s="57">
        <f>+'Purchased Power Model '!G45</f>
        <v>0</v>
      </c>
      <c r="H45" s="42">
        <v>45537</v>
      </c>
      <c r="I45" s="222">
        <f t="shared" si="0"/>
        <v>39076642.569213793</v>
      </c>
      <c r="J45" s="36">
        <f t="shared" si="1"/>
        <v>56179.569213792682</v>
      </c>
      <c r="K45" s="5">
        <f t="shared" si="2"/>
        <v>1.4397463508772994E-3</v>
      </c>
    </row>
    <row r="46" spans="1:11" x14ac:dyDescent="0.2">
      <c r="A46" s="3">
        <v>38930</v>
      </c>
      <c r="B46" s="60">
        <v>41507196</v>
      </c>
      <c r="C46" s="215">
        <f>+'Purchased Power Model '!C46</f>
        <v>4.4000000000000004</v>
      </c>
      <c r="D46" s="215">
        <f>+'Purchased Power Model '!D46</f>
        <v>82.1</v>
      </c>
      <c r="E46" s="126">
        <f>+'Purchased Power Model '!E46</f>
        <v>6.7000000000000004E-2</v>
      </c>
      <c r="F46" s="57">
        <f>+'Purchased Power Model '!F46</f>
        <v>31</v>
      </c>
      <c r="G46" s="57">
        <f>+'Purchased Power Model '!G46</f>
        <v>0</v>
      </c>
      <c r="H46" s="42">
        <v>45623</v>
      </c>
      <c r="I46" s="222">
        <f t="shared" si="0"/>
        <v>37751105.408655673</v>
      </c>
      <c r="J46" s="36">
        <f t="shared" si="1"/>
        <v>-3756090.5913443267</v>
      </c>
      <c r="K46" s="5">
        <f t="shared" si="2"/>
        <v>-9.0492515836153489E-2</v>
      </c>
    </row>
    <row r="47" spans="1:11" x14ac:dyDescent="0.2">
      <c r="A47" s="3">
        <v>38961</v>
      </c>
      <c r="B47" s="60">
        <v>38710266</v>
      </c>
      <c r="C47" s="215">
        <f>+'Purchased Power Model '!C47</f>
        <v>70.7</v>
      </c>
      <c r="D47" s="215">
        <f>+'Purchased Power Model '!D47</f>
        <v>5.0999999999999996</v>
      </c>
      <c r="E47" s="126">
        <f>+'Purchased Power Model '!E47</f>
        <v>6.7000000000000004E-2</v>
      </c>
      <c r="F47" s="57">
        <f>+'Purchased Power Model '!F47</f>
        <v>30</v>
      </c>
      <c r="G47" s="57">
        <f>+'Purchased Power Model '!G47</f>
        <v>1</v>
      </c>
      <c r="H47" s="42">
        <v>45658</v>
      </c>
      <c r="I47" s="222">
        <f t="shared" si="0"/>
        <v>36174243.148885965</v>
      </c>
      <c r="J47" s="36">
        <f t="shared" si="1"/>
        <v>-2536022.8511140347</v>
      </c>
      <c r="K47" s="5">
        <f t="shared" si="2"/>
        <v>-6.5512927529716145E-2</v>
      </c>
    </row>
    <row r="48" spans="1:11" x14ac:dyDescent="0.2">
      <c r="A48" s="3">
        <v>38991</v>
      </c>
      <c r="B48" s="60">
        <v>34268485</v>
      </c>
      <c r="C48" s="215">
        <f>+'Purchased Power Model '!C48</f>
        <v>274.60000000000002</v>
      </c>
      <c r="D48" s="215">
        <f>+'Purchased Power Model '!D48</f>
        <v>0</v>
      </c>
      <c r="E48" s="126">
        <f>+'Purchased Power Model '!E48</f>
        <v>6.8000000000000005E-2</v>
      </c>
      <c r="F48" s="57">
        <f>+'Purchased Power Model '!F48</f>
        <v>31</v>
      </c>
      <c r="G48" s="57">
        <f>+'Purchased Power Model '!G48</f>
        <v>1</v>
      </c>
      <c r="H48" s="42">
        <v>45740</v>
      </c>
      <c r="I48" s="222">
        <f t="shared" si="0"/>
        <v>37901414.5566912</v>
      </c>
      <c r="J48" s="36">
        <f t="shared" si="1"/>
        <v>3632929.5566911995</v>
      </c>
      <c r="K48" s="5">
        <f t="shared" si="2"/>
        <v>0.10601371950616433</v>
      </c>
    </row>
    <row r="49" spans="1:11" x14ac:dyDescent="0.2">
      <c r="A49" s="3">
        <v>39022</v>
      </c>
      <c r="B49" s="60">
        <v>33823896</v>
      </c>
      <c r="C49" s="215">
        <f>+'Purchased Power Model '!C49</f>
        <v>367.5</v>
      </c>
      <c r="D49" s="215">
        <f>+'Purchased Power Model '!D49</f>
        <v>0</v>
      </c>
      <c r="E49" s="126">
        <f>+'Purchased Power Model '!E49</f>
        <v>6.8000000000000005E-2</v>
      </c>
      <c r="F49" s="57">
        <f>+'Purchased Power Model '!F49</f>
        <v>30</v>
      </c>
      <c r="G49" s="57">
        <f>+'Purchased Power Model '!G49</f>
        <v>1</v>
      </c>
      <c r="H49" s="42">
        <v>45885</v>
      </c>
      <c r="I49" s="222">
        <f t="shared" si="0"/>
        <v>40056184.178968459</v>
      </c>
      <c r="J49" s="36">
        <f t="shared" si="1"/>
        <v>6232288.1789684594</v>
      </c>
      <c r="K49" s="5">
        <f t="shared" si="2"/>
        <v>0.1842569578314828</v>
      </c>
    </row>
    <row r="50" spans="1:11" x14ac:dyDescent="0.2">
      <c r="A50" s="3">
        <v>39052</v>
      </c>
      <c r="B50" s="60">
        <v>36503400</v>
      </c>
      <c r="C50" s="215">
        <f>+'Purchased Power Model '!C50</f>
        <v>471.5</v>
      </c>
      <c r="D50" s="215">
        <f>+'Purchased Power Model '!D50</f>
        <v>0</v>
      </c>
      <c r="E50" s="126">
        <f>+'Purchased Power Model '!E50</f>
        <v>6.8000000000000005E-2</v>
      </c>
      <c r="F50" s="57">
        <f>+'Purchased Power Model '!F50</f>
        <v>31</v>
      </c>
      <c r="G50" s="57">
        <f>+'Purchased Power Model '!G50</f>
        <v>0</v>
      </c>
      <c r="H50" s="42">
        <v>45961</v>
      </c>
      <c r="I50" s="222">
        <f t="shared" si="0"/>
        <v>39891770.49675554</v>
      </c>
      <c r="J50" s="36">
        <f t="shared" si="1"/>
        <v>3388370.4967555404</v>
      </c>
      <c r="K50" s="5">
        <f t="shared" si="2"/>
        <v>9.2823421838939393E-2</v>
      </c>
    </row>
    <row r="51" spans="1:11" x14ac:dyDescent="0.2">
      <c r="A51" s="3">
        <v>39083</v>
      </c>
      <c r="B51" s="60">
        <v>44041059</v>
      </c>
      <c r="C51" s="215">
        <f>+'Purchased Power Model '!C51</f>
        <v>573.1</v>
      </c>
      <c r="D51" s="215">
        <f>+'Purchased Power Model '!D51</f>
        <v>0</v>
      </c>
      <c r="E51" s="126">
        <f>+'Purchased Power Model '!E51</f>
        <v>6.0999999999999999E-2</v>
      </c>
      <c r="F51" s="57">
        <f>+'Purchased Power Model '!F51</f>
        <v>31</v>
      </c>
      <c r="G51" s="57">
        <f>+'Purchased Power Model '!G51</f>
        <v>0</v>
      </c>
      <c r="H51" s="42">
        <v>45997</v>
      </c>
      <c r="I51" s="222">
        <f t="shared" si="0"/>
        <v>41201154.966262385</v>
      </c>
      <c r="J51" s="36">
        <f t="shared" si="1"/>
        <v>-2839904.0337376148</v>
      </c>
      <c r="K51" s="5">
        <f t="shared" si="2"/>
        <v>-6.4483100502592705E-2</v>
      </c>
    </row>
    <row r="52" spans="1:11" x14ac:dyDescent="0.2">
      <c r="A52" s="3">
        <v>39114</v>
      </c>
      <c r="B52" s="60">
        <v>46027730</v>
      </c>
      <c r="C52" s="215">
        <f>+'Purchased Power Model '!C52</f>
        <v>693.5</v>
      </c>
      <c r="D52" s="215">
        <f>+'Purchased Power Model '!D52</f>
        <v>0</v>
      </c>
      <c r="E52" s="126">
        <f>+'Purchased Power Model '!E52</f>
        <v>6.0999999999999999E-2</v>
      </c>
      <c r="F52" s="57">
        <f>+'Purchased Power Model '!F52</f>
        <v>28</v>
      </c>
      <c r="G52" s="57">
        <f>+'Purchased Power Model '!G52</f>
        <v>0</v>
      </c>
      <c r="H52" s="42">
        <v>46052</v>
      </c>
      <c r="I52" s="222">
        <f t="shared" si="0"/>
        <v>45457789.010540284</v>
      </c>
      <c r="J52" s="36">
        <f t="shared" si="1"/>
        <v>-569940.98945971578</v>
      </c>
      <c r="K52" s="5">
        <f t="shared" si="2"/>
        <v>-1.2382556981622075E-2</v>
      </c>
    </row>
    <row r="53" spans="1:11" x14ac:dyDescent="0.2">
      <c r="A53" s="3">
        <v>39142</v>
      </c>
      <c r="B53" s="60">
        <v>44842876</v>
      </c>
      <c r="C53" s="215">
        <f>+'Purchased Power Model '!C53</f>
        <v>477.9</v>
      </c>
      <c r="D53" s="215">
        <f>+'Purchased Power Model '!D53</f>
        <v>0</v>
      </c>
      <c r="E53" s="126">
        <f>+'Purchased Power Model '!E53</f>
        <v>6.0999999999999999E-2</v>
      </c>
      <c r="F53" s="57">
        <f>+'Purchased Power Model '!F53</f>
        <v>31</v>
      </c>
      <c r="G53" s="57">
        <f>+'Purchased Power Model '!G53</f>
        <v>1</v>
      </c>
      <c r="H53" s="42">
        <v>46091</v>
      </c>
      <c r="I53" s="222">
        <f t="shared" si="0"/>
        <v>40629122.017061785</v>
      </c>
      <c r="J53" s="36">
        <f t="shared" si="1"/>
        <v>-4213753.9829382151</v>
      </c>
      <c r="K53" s="5">
        <f t="shared" si="2"/>
        <v>-9.3967077021068296E-2</v>
      </c>
    </row>
    <row r="54" spans="1:11" x14ac:dyDescent="0.2">
      <c r="A54" s="3">
        <v>39173</v>
      </c>
      <c r="B54" s="60">
        <v>43266878</v>
      </c>
      <c r="C54" s="215">
        <f>+'Purchased Power Model '!C54</f>
        <v>280.39999999999998</v>
      </c>
      <c r="D54" s="215">
        <f>+'Purchased Power Model '!D54</f>
        <v>0</v>
      </c>
      <c r="E54" s="126">
        <f>+'Purchased Power Model '!E54</f>
        <v>0.06</v>
      </c>
      <c r="F54" s="57">
        <f>+'Purchased Power Model '!F54</f>
        <v>30</v>
      </c>
      <c r="G54" s="57">
        <f>+'Purchased Power Model '!G54</f>
        <v>1</v>
      </c>
      <c r="H54" s="42">
        <v>46144</v>
      </c>
      <c r="I54" s="222">
        <f t="shared" si="0"/>
        <v>38718567.5894012</v>
      </c>
      <c r="J54" s="36">
        <f t="shared" si="1"/>
        <v>-4548310.4105987996</v>
      </c>
      <c r="K54" s="5">
        <f t="shared" si="2"/>
        <v>-0.10512222329974442</v>
      </c>
    </row>
    <row r="55" spans="1:11" x14ac:dyDescent="0.2">
      <c r="A55" s="3">
        <v>39203</v>
      </c>
      <c r="B55" s="60">
        <v>36870366</v>
      </c>
      <c r="C55" s="215">
        <f>+'Purchased Power Model '!C55</f>
        <v>72.8</v>
      </c>
      <c r="D55" s="215">
        <f>+'Purchased Power Model '!D55</f>
        <v>4.5</v>
      </c>
      <c r="E55" s="126">
        <f>+'Purchased Power Model '!E55</f>
        <v>0.06</v>
      </c>
      <c r="F55" s="57">
        <f>+'Purchased Power Model '!F55</f>
        <v>31</v>
      </c>
      <c r="G55" s="57">
        <f>+'Purchased Power Model '!G55</f>
        <v>1</v>
      </c>
      <c r="H55" s="42">
        <v>46228</v>
      </c>
      <c r="I55" s="222">
        <f t="shared" si="0"/>
        <v>35204738.336160332</v>
      </c>
      <c r="J55" s="36">
        <f t="shared" si="1"/>
        <v>-1665627.663839668</v>
      </c>
      <c r="K55" s="5">
        <f t="shared" si="2"/>
        <v>-4.5175240838121002E-2</v>
      </c>
    </row>
    <row r="56" spans="1:11" x14ac:dyDescent="0.2">
      <c r="A56" s="3">
        <v>39234</v>
      </c>
      <c r="B56" s="60">
        <v>34175270</v>
      </c>
      <c r="C56" s="215">
        <f>+'Purchased Power Model '!C56</f>
        <v>6.2</v>
      </c>
      <c r="D56" s="215">
        <f>+'Purchased Power Model '!D56</f>
        <v>32.799999999999997</v>
      </c>
      <c r="E56" s="126">
        <f>+'Purchased Power Model '!E56</f>
        <v>0.06</v>
      </c>
      <c r="F56" s="57">
        <f>+'Purchased Power Model '!F56</f>
        <v>30</v>
      </c>
      <c r="G56" s="57">
        <f>+'Purchased Power Model '!G56</f>
        <v>0</v>
      </c>
      <c r="H56" s="42">
        <v>46257</v>
      </c>
      <c r="I56" s="222">
        <f t="shared" si="0"/>
        <v>35892333.218623728</v>
      </c>
      <c r="J56" s="36">
        <f t="shared" si="1"/>
        <v>1717063.2186237276</v>
      </c>
      <c r="K56" s="5">
        <f t="shared" si="2"/>
        <v>5.024285744117684E-2</v>
      </c>
    </row>
    <row r="57" spans="1:11" x14ac:dyDescent="0.2">
      <c r="A57" s="3">
        <v>39264</v>
      </c>
      <c r="B57" s="60">
        <v>37079714</v>
      </c>
      <c r="C57" s="215">
        <f>+'Purchased Power Model '!C57</f>
        <v>8.6999999999999993</v>
      </c>
      <c r="D57" s="215">
        <f>+'Purchased Power Model '!D57</f>
        <v>41.6</v>
      </c>
      <c r="E57" s="126">
        <f>+'Purchased Power Model '!E57</f>
        <v>6.5000000000000002E-2</v>
      </c>
      <c r="F57" s="57">
        <f>+'Purchased Power Model '!F57</f>
        <v>31</v>
      </c>
      <c r="G57" s="57">
        <f>+'Purchased Power Model '!G57</f>
        <v>0</v>
      </c>
      <c r="H57" s="42">
        <v>46325</v>
      </c>
      <c r="I57" s="222">
        <f t="shared" si="0"/>
        <v>35615277.748373941</v>
      </c>
      <c r="J57" s="36">
        <f t="shared" si="1"/>
        <v>-1464436.2516260594</v>
      </c>
      <c r="K57" s="5">
        <f t="shared" si="2"/>
        <v>-3.9494270414978376E-2</v>
      </c>
    </row>
    <row r="58" spans="1:11" x14ac:dyDescent="0.2">
      <c r="A58" s="3">
        <v>39295</v>
      </c>
      <c r="B58" s="60">
        <v>40753312</v>
      </c>
      <c r="C58" s="215">
        <f>+'Purchased Power Model '!C58</f>
        <v>4</v>
      </c>
      <c r="D58" s="215">
        <f>+'Purchased Power Model '!D58</f>
        <v>87.8</v>
      </c>
      <c r="E58" s="126">
        <f>+'Purchased Power Model '!E58</f>
        <v>6.5000000000000002E-2</v>
      </c>
      <c r="F58" s="57">
        <f>+'Purchased Power Model '!F58</f>
        <v>31</v>
      </c>
      <c r="G58" s="57">
        <f>+'Purchased Power Model '!G58</f>
        <v>0</v>
      </c>
      <c r="H58" s="42">
        <v>46387</v>
      </c>
      <c r="I58" s="222">
        <f t="shared" si="0"/>
        <v>38019513.57068643</v>
      </c>
      <c r="J58" s="36">
        <f t="shared" si="1"/>
        <v>-2733798.4293135703</v>
      </c>
      <c r="K58" s="5">
        <f t="shared" si="2"/>
        <v>-6.708162588880065E-2</v>
      </c>
    </row>
    <row r="59" spans="1:11" x14ac:dyDescent="0.2">
      <c r="A59" s="3">
        <v>39326</v>
      </c>
      <c r="B59" s="60">
        <v>37935547</v>
      </c>
      <c r="C59" s="215">
        <f>+'Purchased Power Model '!C59</f>
        <v>20.100000000000001</v>
      </c>
      <c r="D59" s="215">
        <f>+'Purchased Power Model '!D59</f>
        <v>12.3</v>
      </c>
      <c r="E59" s="126">
        <f>+'Purchased Power Model '!E59</f>
        <v>6.5000000000000002E-2</v>
      </c>
      <c r="F59" s="57">
        <f>+'Purchased Power Model '!F59</f>
        <v>30</v>
      </c>
      <c r="G59" s="57">
        <f>+'Purchased Power Model '!G59</f>
        <v>1</v>
      </c>
      <c r="H59" s="42">
        <v>46477</v>
      </c>
      <c r="I59" s="222">
        <f t="shared" si="0"/>
        <v>35822742.560208738</v>
      </c>
      <c r="J59" s="36">
        <f t="shared" si="1"/>
        <v>-2112804.4397912621</v>
      </c>
      <c r="K59" s="5">
        <f t="shared" si="2"/>
        <v>-5.5694582176217526E-2</v>
      </c>
    </row>
    <row r="60" spans="1:11" x14ac:dyDescent="0.2">
      <c r="A60" s="3">
        <v>39356</v>
      </c>
      <c r="B60" s="60">
        <v>37441028</v>
      </c>
      <c r="C60" s="215">
        <f>+'Purchased Power Model '!C60</f>
        <v>101.5</v>
      </c>
      <c r="D60" s="215">
        <f>+'Purchased Power Model '!D60</f>
        <v>0</v>
      </c>
      <c r="E60" s="126">
        <f>+'Purchased Power Model '!E60</f>
        <v>6.3E-2</v>
      </c>
      <c r="F60" s="57">
        <f>+'Purchased Power Model '!F60</f>
        <v>31</v>
      </c>
      <c r="G60" s="57">
        <f>+'Purchased Power Model '!G60</f>
        <v>1</v>
      </c>
      <c r="H60" s="42">
        <v>46548</v>
      </c>
      <c r="I60" s="222">
        <f t="shared" si="0"/>
        <v>35410519.705385983</v>
      </c>
      <c r="J60" s="36">
        <f t="shared" si="1"/>
        <v>-2030508.294614017</v>
      </c>
      <c r="K60" s="5">
        <f t="shared" si="2"/>
        <v>-5.423217264798437E-2</v>
      </c>
    </row>
    <row r="61" spans="1:11" x14ac:dyDescent="0.2">
      <c r="A61" s="3">
        <v>39387</v>
      </c>
      <c r="B61" s="60">
        <v>34986690</v>
      </c>
      <c r="C61" s="215">
        <f>+'Purchased Power Model '!C61</f>
        <v>314.10000000000002</v>
      </c>
      <c r="D61" s="215">
        <f>+'Purchased Power Model '!D61</f>
        <v>0</v>
      </c>
      <c r="E61" s="126">
        <f>+'Purchased Power Model '!E61</f>
        <v>6.3E-2</v>
      </c>
      <c r="F61" s="57">
        <f>+'Purchased Power Model '!F61</f>
        <v>30</v>
      </c>
      <c r="G61" s="57">
        <f>+'Purchased Power Model '!G61</f>
        <v>1</v>
      </c>
      <c r="H61" s="42">
        <v>46661</v>
      </c>
      <c r="I61" s="222">
        <f t="shared" si="0"/>
        <v>39234642.936379001</v>
      </c>
      <c r="J61" s="36">
        <f t="shared" si="1"/>
        <v>4247952.9363790005</v>
      </c>
      <c r="K61" s="5">
        <f t="shared" si="2"/>
        <v>0.12141625676447244</v>
      </c>
    </row>
    <row r="62" spans="1:11" x14ac:dyDescent="0.2">
      <c r="A62" s="3">
        <v>39417</v>
      </c>
      <c r="B62" s="60">
        <v>35644093</v>
      </c>
      <c r="C62" s="215">
        <f>+'Purchased Power Model '!C62</f>
        <v>337.8</v>
      </c>
      <c r="D62" s="215">
        <f>+'Purchased Power Model '!D62</f>
        <v>0</v>
      </c>
      <c r="E62" s="126">
        <f>+'Purchased Power Model '!E62</f>
        <v>6.3E-2</v>
      </c>
      <c r="F62" s="57">
        <f>+'Purchased Power Model '!F62</f>
        <v>31</v>
      </c>
      <c r="G62" s="57">
        <f>+'Purchased Power Model '!G62</f>
        <v>0</v>
      </c>
      <c r="H62" s="42">
        <v>46679</v>
      </c>
      <c r="I62" s="222">
        <f t="shared" si="0"/>
        <v>37950353.775637478</v>
      </c>
      <c r="J62" s="36">
        <f t="shared" si="1"/>
        <v>2306260.7756374776</v>
      </c>
      <c r="K62" s="5">
        <f t="shared" si="2"/>
        <v>6.4702467689035537E-2</v>
      </c>
    </row>
    <row r="63" spans="1:11" x14ac:dyDescent="0.2">
      <c r="A63" s="3">
        <v>39448</v>
      </c>
      <c r="B63" s="61">
        <v>45406896</v>
      </c>
      <c r="C63" s="216">
        <f>+'Purchased Power Model '!C63</f>
        <v>432.8</v>
      </c>
      <c r="D63" s="216">
        <f>+'Purchased Power Model '!D63</f>
        <v>0</v>
      </c>
      <c r="E63" s="126">
        <f>+'Purchased Power Model '!E63</f>
        <v>6.4000000000000001E-2</v>
      </c>
      <c r="F63" s="57">
        <f>+'Purchased Power Model '!F63</f>
        <v>31</v>
      </c>
      <c r="G63" s="57">
        <f>+'Purchased Power Model '!G63</f>
        <v>0</v>
      </c>
      <c r="H63" s="42">
        <v>46811</v>
      </c>
      <c r="I63" s="222">
        <f t="shared" si="0"/>
        <v>39290601.007337585</v>
      </c>
      <c r="J63" s="36">
        <f t="shared" si="1"/>
        <v>-6116294.9926624149</v>
      </c>
      <c r="K63" s="5">
        <f t="shared" si="2"/>
        <v>-0.13469969391130401</v>
      </c>
    </row>
    <row r="64" spans="1:11" x14ac:dyDescent="0.2">
      <c r="A64" s="3">
        <v>39479</v>
      </c>
      <c r="B64" s="61">
        <v>50038729</v>
      </c>
      <c r="C64" s="216">
        <f>+'Purchased Power Model '!C64</f>
        <v>317.60000000000002</v>
      </c>
      <c r="D64" s="216">
        <f>+'Purchased Power Model '!D64</f>
        <v>0</v>
      </c>
      <c r="E64" s="126">
        <f>+'Purchased Power Model '!E64</f>
        <v>6.4000000000000001E-2</v>
      </c>
      <c r="F64" s="57">
        <f>+'Purchased Power Model '!F64</f>
        <v>29</v>
      </c>
      <c r="G64" s="57">
        <f>+'Purchased Power Model '!G64</f>
        <v>0</v>
      </c>
      <c r="H64" s="42">
        <v>46870</v>
      </c>
      <c r="I64" s="222">
        <f t="shared" si="0"/>
        <v>39402350.475589372</v>
      </c>
      <c r="J64" s="36">
        <f t="shared" si="1"/>
        <v>-10636378.524410628</v>
      </c>
      <c r="K64" s="5">
        <f t="shared" si="2"/>
        <v>-0.21256292349892875</v>
      </c>
    </row>
    <row r="65" spans="1:17" x14ac:dyDescent="0.2">
      <c r="A65" s="3">
        <v>39508</v>
      </c>
      <c r="B65" s="61">
        <v>46174352</v>
      </c>
      <c r="C65" s="216">
        <f>+'Purchased Power Model '!C65</f>
        <v>430</v>
      </c>
      <c r="D65" s="216">
        <f>+'Purchased Power Model '!D65</f>
        <v>0</v>
      </c>
      <c r="E65" s="126">
        <f>+'Purchased Power Model '!E65</f>
        <v>6.4000000000000001E-2</v>
      </c>
      <c r="F65" s="57">
        <f>+'Purchased Power Model '!F65</f>
        <v>31</v>
      </c>
      <c r="G65" s="57">
        <f>+'Purchased Power Model '!G65</f>
        <v>1</v>
      </c>
      <c r="H65" s="42">
        <v>46925</v>
      </c>
      <c r="I65" s="222">
        <f t="shared" si="0"/>
        <v>40007191.896443889</v>
      </c>
      <c r="J65" s="36">
        <f t="shared" si="1"/>
        <v>-6167160.1035561115</v>
      </c>
      <c r="K65" s="5">
        <f t="shared" si="2"/>
        <v>-0.13356246133256211</v>
      </c>
    </row>
    <row r="66" spans="1:17" x14ac:dyDescent="0.2">
      <c r="A66" s="3">
        <v>39539</v>
      </c>
      <c r="B66" s="61">
        <v>42871330</v>
      </c>
      <c r="C66" s="216">
        <f>+'Purchased Power Model '!C66</f>
        <v>144.6</v>
      </c>
      <c r="D66" s="216">
        <f>+'Purchased Power Model '!D66</f>
        <v>0</v>
      </c>
      <c r="E66" s="126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42">
        <v>46960</v>
      </c>
      <c r="I66" s="222">
        <f t="shared" si="0"/>
        <v>37039768.85278888</v>
      </c>
      <c r="J66" s="36">
        <f t="shared" si="1"/>
        <v>-5831561.1472111195</v>
      </c>
      <c r="K66" s="5">
        <f t="shared" si="2"/>
        <v>-0.13602473138134785</v>
      </c>
    </row>
    <row r="67" spans="1:17" x14ac:dyDescent="0.2">
      <c r="A67" s="3">
        <v>39569</v>
      </c>
      <c r="B67" s="61">
        <v>34610197</v>
      </c>
      <c r="C67" s="216">
        <f>+'Purchased Power Model '!C67</f>
        <v>151</v>
      </c>
      <c r="D67" s="216">
        <f>+'Purchased Power Model '!D67</f>
        <v>0</v>
      </c>
      <c r="E67" s="126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42">
        <v>47013</v>
      </c>
      <c r="I67" s="222">
        <f t="shared" si="0"/>
        <v>36269851.472328439</v>
      </c>
      <c r="J67" s="36">
        <f t="shared" si="1"/>
        <v>1659654.4723284394</v>
      </c>
      <c r="K67" s="5">
        <f t="shared" si="2"/>
        <v>4.7952760058789595E-2</v>
      </c>
    </row>
    <row r="68" spans="1:17" x14ac:dyDescent="0.2">
      <c r="A68" s="3">
        <v>39600</v>
      </c>
      <c r="B68" s="61">
        <v>32036344</v>
      </c>
      <c r="C68" s="216">
        <f>+'Purchased Power Model '!C68</f>
        <v>15.5</v>
      </c>
      <c r="D68" s="216">
        <f>+'Purchased Power Model '!D68</f>
        <v>23.6</v>
      </c>
      <c r="E68" s="126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42">
        <v>47130</v>
      </c>
      <c r="I68" s="222">
        <f t="shared" ref="I68:I131" si="3">$N$18+C68*$N$19+D68*$N$20+E68*$N$21+F68*$N$22+G68*$N$23</f>
        <v>35745301.983639732</v>
      </c>
      <c r="J68" s="36">
        <f t="shared" ref="J68:J131" si="4">I68-B68</f>
        <v>3708957.983639732</v>
      </c>
      <c r="K68" s="5">
        <f t="shared" ref="K68:K131" si="5">J68/B68</f>
        <v>0.11577344729597522</v>
      </c>
    </row>
    <row r="69" spans="1:17" x14ac:dyDescent="0.2">
      <c r="A69" s="3">
        <v>39630</v>
      </c>
      <c r="B69" s="61">
        <v>36409972</v>
      </c>
      <c r="C69" s="216">
        <f>+'Purchased Power Model '!C69</f>
        <v>1</v>
      </c>
      <c r="D69" s="216">
        <f>+'Purchased Power Model '!D69</f>
        <v>61.4</v>
      </c>
      <c r="E69" s="126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42">
        <v>47200</v>
      </c>
      <c r="I69" s="222">
        <f t="shared" si="3"/>
        <v>36612460.976804763</v>
      </c>
      <c r="J69" s="36">
        <f t="shared" si="4"/>
        <v>202488.97680476308</v>
      </c>
      <c r="K69" s="5">
        <f t="shared" si="5"/>
        <v>5.5613604098559343E-3</v>
      </c>
    </row>
    <row r="70" spans="1:17" x14ac:dyDescent="0.2">
      <c r="A70" s="3">
        <v>39661</v>
      </c>
      <c r="B70" s="61">
        <v>38939362</v>
      </c>
      <c r="C70" s="216">
        <f>+'Purchased Power Model '!C70</f>
        <v>13.8</v>
      </c>
      <c r="D70" s="216">
        <f>+'Purchased Power Model '!D70</f>
        <v>29.9</v>
      </c>
      <c r="E70" s="126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42">
        <v>47242</v>
      </c>
      <c r="I70" s="222">
        <f t="shared" si="3"/>
        <v>35107028.884391099</v>
      </c>
      <c r="J70" s="36">
        <f t="shared" si="4"/>
        <v>-3832333.1156089008</v>
      </c>
      <c r="K70" s="5">
        <f t="shared" si="5"/>
        <v>-9.8417973967033681E-2</v>
      </c>
    </row>
    <row r="71" spans="1:17" x14ac:dyDescent="0.2">
      <c r="A71" s="3">
        <v>39692</v>
      </c>
      <c r="B71" s="61">
        <v>38252149</v>
      </c>
      <c r="C71" s="216">
        <f>+'Purchased Power Model '!C71</f>
        <v>51.6</v>
      </c>
      <c r="D71" s="216">
        <f>+'Purchased Power Model '!D71</f>
        <v>15.1</v>
      </c>
      <c r="E71" s="126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42">
        <v>47313</v>
      </c>
      <c r="I71" s="222">
        <f t="shared" si="3"/>
        <v>36457820.187582165</v>
      </c>
      <c r="J71" s="36">
        <f t="shared" si="4"/>
        <v>-1794328.812417835</v>
      </c>
      <c r="K71" s="5">
        <f t="shared" si="5"/>
        <v>-4.6907921759319585E-2</v>
      </c>
    </row>
    <row r="72" spans="1:17" x14ac:dyDescent="0.2">
      <c r="A72" s="3">
        <v>39722</v>
      </c>
      <c r="B72" s="61">
        <v>34259628</v>
      </c>
      <c r="C72" s="216">
        <f>+'Purchased Power Model '!C72</f>
        <v>203.1</v>
      </c>
      <c r="D72" s="216">
        <f>+'Purchased Power Model '!D72</f>
        <v>0</v>
      </c>
      <c r="E72" s="126">
        <f>+'Purchased Power Model '!E72</f>
        <v>7.9000000000000001E-2</v>
      </c>
      <c r="F72" s="57">
        <f>+'Purchased Power Model '!F72</f>
        <v>31</v>
      </c>
      <c r="G72" s="57">
        <f>+'Purchased Power Model '!G72</f>
        <v>1</v>
      </c>
      <c r="H72" s="42">
        <v>47351</v>
      </c>
      <c r="I72" s="222">
        <f t="shared" si="3"/>
        <v>37073262.725850821</v>
      </c>
      <c r="J72" s="36">
        <f t="shared" si="4"/>
        <v>2813634.7258508205</v>
      </c>
      <c r="K72" s="5">
        <f t="shared" si="5"/>
        <v>8.2126832371058459E-2</v>
      </c>
    </row>
    <row r="73" spans="1:17" x14ac:dyDescent="0.2">
      <c r="A73" s="3">
        <v>39753</v>
      </c>
      <c r="B73" s="61">
        <v>34344368</v>
      </c>
      <c r="C73" s="216">
        <f>+'Purchased Power Model '!C73</f>
        <v>268.8</v>
      </c>
      <c r="D73" s="216">
        <f>+'Purchased Power Model '!D73</f>
        <v>0</v>
      </c>
      <c r="E73" s="126">
        <f>+'Purchased Power Model '!E73</f>
        <v>7.9000000000000001E-2</v>
      </c>
      <c r="F73" s="57">
        <f>+'Purchased Power Model '!F73</f>
        <v>30</v>
      </c>
      <c r="G73" s="57">
        <f>+'Purchased Power Model '!G73</f>
        <v>1</v>
      </c>
      <c r="H73" s="42">
        <v>47409</v>
      </c>
      <c r="I73" s="222">
        <f t="shared" si="3"/>
        <v>38848697.192262843</v>
      </c>
      <c r="J73" s="36">
        <f t="shared" si="4"/>
        <v>4504329.1922628433</v>
      </c>
      <c r="K73" s="5">
        <f t="shared" si="5"/>
        <v>0.13115190217688219</v>
      </c>
    </row>
    <row r="74" spans="1:17" x14ac:dyDescent="0.2">
      <c r="A74" s="3">
        <v>39783</v>
      </c>
      <c r="B74" s="61">
        <v>37414757</v>
      </c>
      <c r="C74" s="216">
        <f>+'Purchased Power Model '!C74</f>
        <v>378.9</v>
      </c>
      <c r="D74" s="216">
        <f>+'Purchased Power Model '!D74</f>
        <v>0</v>
      </c>
      <c r="E74" s="126">
        <f>+'Purchased Power Model '!E74</f>
        <v>7.9000000000000001E-2</v>
      </c>
      <c r="F74" s="57">
        <f>+'Purchased Power Model '!F74</f>
        <v>31</v>
      </c>
      <c r="G74" s="57">
        <f>+'Purchased Power Model '!G74</f>
        <v>0</v>
      </c>
      <c r="H74" s="42">
        <v>47436</v>
      </c>
      <c r="I74" s="222">
        <f t="shared" si="3"/>
        <v>38769354.99721089</v>
      </c>
      <c r="J74" s="36">
        <f t="shared" si="4"/>
        <v>1354597.9972108901</v>
      </c>
      <c r="K74" s="5">
        <f t="shared" si="5"/>
        <v>3.6204912334747756E-2</v>
      </c>
    </row>
    <row r="75" spans="1:17" s="14" customFormat="1" x14ac:dyDescent="0.2">
      <c r="A75" s="3">
        <v>39814</v>
      </c>
      <c r="B75" s="61">
        <v>48145614</v>
      </c>
      <c r="C75" s="216">
        <f>+'Purchased Power Model '!C75</f>
        <v>684.3</v>
      </c>
      <c r="D75" s="216">
        <f>+'Purchased Power Model '!D75</f>
        <v>0</v>
      </c>
      <c r="E75" s="126">
        <f>+'Purchased Power Model '!E75</f>
        <v>8.5000000000000006E-2</v>
      </c>
      <c r="F75" s="57">
        <f>+'Purchased Power Model '!F75</f>
        <v>31</v>
      </c>
      <c r="G75" s="57">
        <f>+'Purchased Power Model '!G75</f>
        <v>0</v>
      </c>
      <c r="H75" s="42">
        <v>47452</v>
      </c>
      <c r="I75" s="222">
        <f t="shared" si="3"/>
        <v>43120688.304987296</v>
      </c>
      <c r="J75" s="36">
        <f t="shared" si="4"/>
        <v>-5024925.6950127035</v>
      </c>
      <c r="K75" s="5">
        <f t="shared" si="5"/>
        <v>-0.10436933455688618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61">
        <v>50342878</v>
      </c>
      <c r="C76" s="216">
        <f>+'Purchased Power Model '!C76</f>
        <v>595.29999999999995</v>
      </c>
      <c r="D76" s="216">
        <f>+'Purchased Power Model '!D76</f>
        <v>0</v>
      </c>
      <c r="E76" s="126">
        <f>+'Purchased Power Model '!E76</f>
        <v>8.5000000000000006E-2</v>
      </c>
      <c r="F76" s="57">
        <f>+'Purchased Power Model '!F76</f>
        <v>28</v>
      </c>
      <c r="G76" s="57">
        <f>+'Purchased Power Model '!G76</f>
        <v>0</v>
      </c>
      <c r="H76" s="42">
        <v>47472</v>
      </c>
      <c r="I76" s="222">
        <f t="shared" si="3"/>
        <v>44456999.494920336</v>
      </c>
      <c r="J76" s="36">
        <f t="shared" si="4"/>
        <v>-5885878.5050796643</v>
      </c>
      <c r="K76" s="5">
        <f t="shared" si="5"/>
        <v>-0.11691581289968492</v>
      </c>
    </row>
    <row r="77" spans="1:17" x14ac:dyDescent="0.2">
      <c r="A77" s="3">
        <v>39873</v>
      </c>
      <c r="B77" s="61">
        <v>42873962</v>
      </c>
      <c r="C77" s="216">
        <f>+'Purchased Power Model '!C77</f>
        <v>442.2</v>
      </c>
      <c r="D77" s="216">
        <f>+'Purchased Power Model '!D77</f>
        <v>0</v>
      </c>
      <c r="E77" s="126">
        <f>+'Purchased Power Model '!E77</f>
        <v>8.5000000000000006E-2</v>
      </c>
      <c r="F77" s="57">
        <f>+'Purchased Power Model '!F77</f>
        <v>31</v>
      </c>
      <c r="G77" s="57">
        <f>+'Purchased Power Model '!G77</f>
        <v>1</v>
      </c>
      <c r="H77" s="42">
        <v>47485</v>
      </c>
      <c r="I77" s="222">
        <f t="shared" si="3"/>
        <v>40499966.591205701</v>
      </c>
      <c r="J77" s="36">
        <f t="shared" si="4"/>
        <v>-2373995.4087942988</v>
      </c>
      <c r="K77" s="5">
        <f t="shared" si="5"/>
        <v>-5.5371495846227109E-2</v>
      </c>
    </row>
    <row r="78" spans="1:17" x14ac:dyDescent="0.2">
      <c r="A78" s="3">
        <v>39904</v>
      </c>
      <c r="B78" s="61">
        <v>39483063</v>
      </c>
      <c r="C78" s="216">
        <f>+'Purchased Power Model '!C78</f>
        <v>313.8</v>
      </c>
      <c r="D78" s="216">
        <f>+'Purchased Power Model '!D78</f>
        <v>0</v>
      </c>
      <c r="E78" s="126">
        <f>+'Purchased Power Model '!E78</f>
        <v>8.6999999999999994E-2</v>
      </c>
      <c r="F78" s="57">
        <f>+'Purchased Power Model '!F78</f>
        <v>30</v>
      </c>
      <c r="G78" s="57">
        <f>+'Purchased Power Model '!G78</f>
        <v>1</v>
      </c>
      <c r="H78" s="42">
        <v>47489</v>
      </c>
      <c r="I78" s="222">
        <f t="shared" si="3"/>
        <v>39599181.058965176</v>
      </c>
      <c r="J78" s="36">
        <f t="shared" si="4"/>
        <v>116118.05896517634</v>
      </c>
      <c r="K78" s="5">
        <f t="shared" si="5"/>
        <v>2.9409587337531624E-3</v>
      </c>
    </row>
    <row r="79" spans="1:17" x14ac:dyDescent="0.2">
      <c r="A79" s="3">
        <v>39934</v>
      </c>
      <c r="B79" s="61">
        <v>37344261</v>
      </c>
      <c r="C79" s="216">
        <f>+'Purchased Power Model '!C79</f>
        <v>170.1</v>
      </c>
      <c r="D79" s="216">
        <f>+'Purchased Power Model '!D79</f>
        <v>0</v>
      </c>
      <c r="E79" s="126">
        <f>+'Purchased Power Model '!E79</f>
        <v>8.6999999999999994E-2</v>
      </c>
      <c r="F79" s="57">
        <f>+'Purchased Power Model '!F79</f>
        <v>31</v>
      </c>
      <c r="G79" s="57">
        <f>+'Purchased Power Model '!G79</f>
        <v>1</v>
      </c>
      <c r="H79" s="42">
        <v>47515</v>
      </c>
      <c r="I79" s="222">
        <f t="shared" si="3"/>
        <v>36735947.24852784</v>
      </c>
      <c r="J79" s="36">
        <f t="shared" si="4"/>
        <v>-608313.75147216022</v>
      </c>
      <c r="K79" s="5">
        <f t="shared" si="5"/>
        <v>-1.6289350362888696E-2</v>
      </c>
    </row>
    <row r="80" spans="1:17" x14ac:dyDescent="0.2">
      <c r="A80" s="3">
        <v>39965</v>
      </c>
      <c r="B80" s="61">
        <v>33870381</v>
      </c>
      <c r="C80" s="216">
        <f>+'Purchased Power Model '!C80</f>
        <v>57.9</v>
      </c>
      <c r="D80" s="216">
        <f>+'Purchased Power Model '!D80</f>
        <v>26.3</v>
      </c>
      <c r="E80" s="126">
        <f>+'Purchased Power Model '!E80</f>
        <v>8.6999999999999994E-2</v>
      </c>
      <c r="F80" s="57">
        <f>+'Purchased Power Model '!F80</f>
        <v>30</v>
      </c>
      <c r="G80" s="57">
        <f>+'Purchased Power Model '!G80</f>
        <v>0</v>
      </c>
      <c r="H80" s="42">
        <v>47525</v>
      </c>
      <c r="I80" s="222">
        <f t="shared" si="3"/>
        <v>36680680.898845732</v>
      </c>
      <c r="J80" s="36">
        <f t="shared" si="4"/>
        <v>2810299.8988457322</v>
      </c>
      <c r="K80" s="5">
        <f t="shared" si="5"/>
        <v>8.2972196233804751E-2</v>
      </c>
    </row>
    <row r="81" spans="1:17" x14ac:dyDescent="0.2">
      <c r="A81" s="3">
        <v>39995</v>
      </c>
      <c r="B81" s="61">
        <v>34673490</v>
      </c>
      <c r="C81" s="216">
        <f>+'Purchased Power Model '!C81</f>
        <v>16.8</v>
      </c>
      <c r="D81" s="216">
        <f>+'Purchased Power Model '!D81</f>
        <v>25.6</v>
      </c>
      <c r="E81" s="126">
        <f>+'Purchased Power Model '!E81</f>
        <v>9.1999999999999998E-2</v>
      </c>
      <c r="F81" s="57">
        <f>+'Purchased Power Model '!F81</f>
        <v>31</v>
      </c>
      <c r="G81" s="57">
        <f>+'Purchased Power Model '!G81</f>
        <v>0</v>
      </c>
      <c r="H81" s="42">
        <v>47537</v>
      </c>
      <c r="I81" s="222">
        <f t="shared" si="3"/>
        <v>35287717.736371145</v>
      </c>
      <c r="J81" s="36">
        <f t="shared" si="4"/>
        <v>614227.73637114465</v>
      </c>
      <c r="K81" s="5">
        <f t="shared" si="5"/>
        <v>1.7714621065579052E-2</v>
      </c>
    </row>
    <row r="82" spans="1:17" x14ac:dyDescent="0.2">
      <c r="A82" s="3">
        <v>40026</v>
      </c>
      <c r="B82" s="61">
        <v>34583075</v>
      </c>
      <c r="C82" s="216">
        <f>+'Purchased Power Model '!C82</f>
        <v>13.1</v>
      </c>
      <c r="D82" s="216">
        <f>+'Purchased Power Model '!D82</f>
        <v>77.7</v>
      </c>
      <c r="E82" s="126">
        <f>+'Purchased Power Model '!E82</f>
        <v>9.1999999999999998E-2</v>
      </c>
      <c r="F82" s="57">
        <f>+'Purchased Power Model '!F82</f>
        <v>31</v>
      </c>
      <c r="G82" s="57">
        <f>+'Purchased Power Model '!G82</f>
        <v>0</v>
      </c>
      <c r="H82" s="42">
        <v>47595</v>
      </c>
      <c r="I82" s="222">
        <f t="shared" si="3"/>
        <v>38021304.854868546</v>
      </c>
      <c r="J82" s="36">
        <f t="shared" si="4"/>
        <v>3438229.8548685461</v>
      </c>
      <c r="K82" s="5">
        <f t="shared" si="5"/>
        <v>9.9419437249826575E-2</v>
      </c>
    </row>
    <row r="83" spans="1:17" x14ac:dyDescent="0.2">
      <c r="A83" s="3">
        <v>40057</v>
      </c>
      <c r="B83" s="61">
        <v>36959314</v>
      </c>
      <c r="C83" s="216">
        <f>+'Purchased Power Model '!C83</f>
        <v>64.8</v>
      </c>
      <c r="D83" s="216">
        <f>+'Purchased Power Model '!D83</f>
        <v>9</v>
      </c>
      <c r="E83" s="126">
        <f>+'Purchased Power Model '!E83</f>
        <v>9.1999999999999998E-2</v>
      </c>
      <c r="F83" s="57">
        <f>+'Purchased Power Model '!F83</f>
        <v>30</v>
      </c>
      <c r="G83" s="57">
        <f>+'Purchased Power Model '!G83</f>
        <v>1</v>
      </c>
      <c r="H83" s="42">
        <v>47640</v>
      </c>
      <c r="I83" s="222">
        <f t="shared" si="3"/>
        <v>36684534.422783256</v>
      </c>
      <c r="J83" s="36">
        <f t="shared" si="4"/>
        <v>-274779.57721674442</v>
      </c>
      <c r="K83" s="5">
        <f t="shared" si="5"/>
        <v>-7.4346503621994832E-3</v>
      </c>
    </row>
    <row r="84" spans="1:17" x14ac:dyDescent="0.2">
      <c r="A84" s="3">
        <v>40087</v>
      </c>
      <c r="B84" s="61">
        <v>37604869</v>
      </c>
      <c r="C84" s="216">
        <f>+'Purchased Power Model '!C84</f>
        <v>287.89999999999998</v>
      </c>
      <c r="D84" s="216">
        <f>+'Purchased Power Model '!D84</f>
        <v>0</v>
      </c>
      <c r="E84" s="126">
        <f>+'Purchased Power Model '!E84</f>
        <v>9.9000000000000005E-2</v>
      </c>
      <c r="F84" s="57">
        <f>+'Purchased Power Model '!F84</f>
        <v>31</v>
      </c>
      <c r="G84" s="57">
        <f>+'Purchased Power Model '!G84</f>
        <v>1</v>
      </c>
      <c r="H84" s="42">
        <v>47669</v>
      </c>
      <c r="I84" s="222">
        <f t="shared" si="3"/>
        <v>38563164.164023295</v>
      </c>
      <c r="J84" s="36">
        <f t="shared" si="4"/>
        <v>958295.16402329504</v>
      </c>
      <c r="K84" s="5">
        <f t="shared" si="5"/>
        <v>2.5483273562880781E-2</v>
      </c>
    </row>
    <row r="85" spans="1:17" x14ac:dyDescent="0.2">
      <c r="A85" s="3">
        <v>40118</v>
      </c>
      <c r="B85" s="61">
        <v>35777422</v>
      </c>
      <c r="C85" s="216">
        <f>+'Purchased Power Model '!C85</f>
        <v>347.4</v>
      </c>
      <c r="D85" s="216">
        <f>+'Purchased Power Model '!D85</f>
        <v>0</v>
      </c>
      <c r="E85" s="126">
        <f>+'Purchased Power Model '!E85</f>
        <v>9.9000000000000005E-2</v>
      </c>
      <c r="F85" s="57">
        <f>+'Purchased Power Model '!F85</f>
        <v>30</v>
      </c>
      <c r="G85" s="57">
        <f>+'Purchased Power Model '!G85</f>
        <v>1</v>
      </c>
      <c r="H85" s="42">
        <v>47715</v>
      </c>
      <c r="I85" s="222">
        <f t="shared" si="3"/>
        <v>40252132.528730765</v>
      </c>
      <c r="J85" s="36">
        <f t="shared" si="4"/>
        <v>4474710.528730765</v>
      </c>
      <c r="K85" s="5">
        <f t="shared" si="5"/>
        <v>0.12507079265607132</v>
      </c>
    </row>
    <row r="86" spans="1:17" s="31" customFormat="1" x14ac:dyDescent="0.2">
      <c r="A86" s="3">
        <v>40148</v>
      </c>
      <c r="B86" s="61">
        <v>36356282</v>
      </c>
      <c r="C86" s="216">
        <f>+'Purchased Power Model '!C86</f>
        <v>619.1</v>
      </c>
      <c r="D86" s="216">
        <f>+'Purchased Power Model '!D86</f>
        <v>0</v>
      </c>
      <c r="E86" s="126">
        <f>+'Purchased Power Model '!E86</f>
        <v>9.9000000000000005E-2</v>
      </c>
      <c r="F86" s="57">
        <f>+'Purchased Power Model '!F86</f>
        <v>31</v>
      </c>
      <c r="G86" s="57">
        <f>+'Purchased Power Model '!G86</f>
        <v>0</v>
      </c>
      <c r="H86" s="42">
        <v>47769</v>
      </c>
      <c r="I86" s="222">
        <f t="shared" si="3"/>
        <v>42426487.436172247</v>
      </c>
      <c r="J86" s="36">
        <f t="shared" si="4"/>
        <v>6070205.4361722469</v>
      </c>
      <c r="K86" s="5">
        <f t="shared" si="5"/>
        <v>0.16696441721329611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59">
        <v>46964801</v>
      </c>
      <c r="C87" s="216">
        <f>+'Purchased Power Model '!C87</f>
        <v>699.9</v>
      </c>
      <c r="D87" s="216">
        <f>+'Purchased Power Model '!D87</f>
        <v>0</v>
      </c>
      <c r="E87" s="126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42">
        <v>47822</v>
      </c>
      <c r="I87" s="222">
        <f t="shared" si="3"/>
        <v>43614789.648455143</v>
      </c>
      <c r="J87" s="36">
        <f t="shared" si="4"/>
        <v>-3350011.351544857</v>
      </c>
      <c r="K87" s="5">
        <f t="shared" si="5"/>
        <v>-7.1330257559163446E-2</v>
      </c>
    </row>
    <row r="88" spans="1:17" x14ac:dyDescent="0.2">
      <c r="A88" s="3">
        <v>40210</v>
      </c>
      <c r="B88" s="59">
        <v>48467266</v>
      </c>
      <c r="C88" s="216">
        <f>+'Purchased Power Model '!C88</f>
        <v>583.79999999999995</v>
      </c>
      <c r="D88" s="216">
        <f>+'Purchased Power Model '!D88</f>
        <v>0</v>
      </c>
      <c r="E88" s="126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42">
        <v>47929</v>
      </c>
      <c r="I88" s="222">
        <f t="shared" si="3"/>
        <v>44573160.297066577</v>
      </c>
      <c r="J88" s="36">
        <f t="shared" si="4"/>
        <v>-3894105.7029334232</v>
      </c>
      <c r="K88" s="5">
        <f t="shared" si="5"/>
        <v>-8.034506635743438E-2</v>
      </c>
    </row>
    <row r="89" spans="1:17" x14ac:dyDescent="0.2">
      <c r="A89" s="3">
        <v>40238</v>
      </c>
      <c r="B89" s="59">
        <v>44474145</v>
      </c>
      <c r="C89" s="216">
        <f>+'Purchased Power Model '!C89</f>
        <v>411</v>
      </c>
      <c r="D89" s="216">
        <f>+'Purchased Power Model '!D89</f>
        <v>0</v>
      </c>
      <c r="E89" s="126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42">
        <v>47981</v>
      </c>
      <c r="I89" s="222">
        <f t="shared" si="3"/>
        <v>40341388.32825838</v>
      </c>
      <c r="J89" s="36">
        <f t="shared" si="4"/>
        <v>-4132756.6717416197</v>
      </c>
      <c r="K89" s="5">
        <f t="shared" si="5"/>
        <v>-9.2924926870243812E-2</v>
      </c>
    </row>
    <row r="90" spans="1:17" x14ac:dyDescent="0.2">
      <c r="A90" s="3">
        <v>40269</v>
      </c>
      <c r="B90" s="59">
        <v>38255952</v>
      </c>
      <c r="C90" s="216">
        <f>+'Purchased Power Model '!C90</f>
        <v>244</v>
      </c>
      <c r="D90" s="216">
        <f>+'Purchased Power Model '!D90</f>
        <v>0</v>
      </c>
      <c r="E90" s="126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42">
        <v>48073</v>
      </c>
      <c r="I90" s="222">
        <f t="shared" si="3"/>
        <v>38810101.09062542</v>
      </c>
      <c r="J90" s="36">
        <f t="shared" si="4"/>
        <v>554149.09062542021</v>
      </c>
      <c r="K90" s="5">
        <f t="shared" si="5"/>
        <v>1.448530389795084E-2</v>
      </c>
    </row>
    <row r="91" spans="1:17" x14ac:dyDescent="0.2">
      <c r="A91" s="3">
        <v>40299</v>
      </c>
      <c r="B91" s="59">
        <v>33452154</v>
      </c>
      <c r="C91" s="216">
        <f>+'Purchased Power Model '!C91</f>
        <v>121.7</v>
      </c>
      <c r="D91" s="216">
        <f>+'Purchased Power Model '!D91</f>
        <v>23.2</v>
      </c>
      <c r="E91" s="126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42">
        <v>48165</v>
      </c>
      <c r="I91" s="222">
        <f t="shared" si="3"/>
        <v>37485551.99546729</v>
      </c>
      <c r="J91" s="36">
        <f t="shared" si="4"/>
        <v>4033397.9954672903</v>
      </c>
      <c r="K91" s="5">
        <f t="shared" si="5"/>
        <v>0.12057214598101187</v>
      </c>
    </row>
    <row r="92" spans="1:17" x14ac:dyDescent="0.2">
      <c r="A92" s="3">
        <v>40330</v>
      </c>
      <c r="B92" s="59">
        <v>31846018</v>
      </c>
      <c r="C92" s="216">
        <f>+'Purchased Power Model '!C92</f>
        <v>19.399999999999999</v>
      </c>
      <c r="D92" s="216">
        <f>+'Purchased Power Model '!D92</f>
        <v>46.6</v>
      </c>
      <c r="E92" s="126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42">
        <v>48234</v>
      </c>
      <c r="I92" s="222">
        <f t="shared" si="3"/>
        <v>37413322.83523576</v>
      </c>
      <c r="J92" s="36">
        <f t="shared" si="4"/>
        <v>5567304.8352357596</v>
      </c>
      <c r="K92" s="5">
        <f t="shared" si="5"/>
        <v>0.17481949659250207</v>
      </c>
    </row>
    <row r="93" spans="1:17" x14ac:dyDescent="0.2">
      <c r="A93" s="3">
        <v>40360</v>
      </c>
      <c r="B93" s="59">
        <v>36254179</v>
      </c>
      <c r="C93" s="216">
        <f>+'Purchased Power Model '!C93</f>
        <v>3.5</v>
      </c>
      <c r="D93" s="216">
        <f>+'Purchased Power Model '!D93</f>
        <v>124</v>
      </c>
      <c r="E93" s="126">
        <f>+'Purchased Power Model '!E93</f>
        <v>0.10400000000000001</v>
      </c>
      <c r="F93" s="57">
        <f>+'Purchased Power Model '!F93</f>
        <v>31</v>
      </c>
      <c r="G93" s="57">
        <f>+'Purchased Power Model '!G93</f>
        <v>0</v>
      </c>
      <c r="H93" s="42">
        <v>48264</v>
      </c>
      <c r="I93" s="222">
        <f t="shared" si="3"/>
        <v>40546911.397664756</v>
      </c>
      <c r="J93" s="36">
        <f t="shared" si="4"/>
        <v>4292732.3976647556</v>
      </c>
      <c r="K93" s="5">
        <f t="shared" si="5"/>
        <v>0.11840655383934513</v>
      </c>
    </row>
    <row r="94" spans="1:17" x14ac:dyDescent="0.2">
      <c r="A94" s="3">
        <v>40391</v>
      </c>
      <c r="B94" s="59">
        <v>44827045</v>
      </c>
      <c r="C94" s="216">
        <f>+'Purchased Power Model '!C94</f>
        <v>3.2</v>
      </c>
      <c r="D94" s="216">
        <f>+'Purchased Power Model '!D94</f>
        <v>96.8</v>
      </c>
      <c r="E94" s="126">
        <f>+'Purchased Power Model '!E94</f>
        <v>0.10400000000000001</v>
      </c>
      <c r="F94" s="57">
        <f>+'Purchased Power Model '!F94</f>
        <v>31</v>
      </c>
      <c r="G94" s="57">
        <f>+'Purchased Power Model '!G94</f>
        <v>0</v>
      </c>
      <c r="H94" s="42">
        <v>48303</v>
      </c>
      <c r="I94" s="222">
        <f t="shared" si="3"/>
        <v>39088656.350582242</v>
      </c>
      <c r="J94" s="36">
        <f t="shared" si="4"/>
        <v>-5738388.649417758</v>
      </c>
      <c r="K94" s="5">
        <f t="shared" si="5"/>
        <v>-0.12801175382891641</v>
      </c>
    </row>
    <row r="95" spans="1:17" x14ac:dyDescent="0.2">
      <c r="A95" s="3">
        <v>40422</v>
      </c>
      <c r="B95" s="59">
        <v>44782980</v>
      </c>
      <c r="C95" s="216">
        <f>+'Purchased Power Model '!C95</f>
        <v>85.5</v>
      </c>
      <c r="D95" s="216">
        <f>+'Purchased Power Model '!D95</f>
        <v>18.5</v>
      </c>
      <c r="E95" s="126">
        <f>+'Purchased Power Model '!E95</f>
        <v>0.10400000000000001</v>
      </c>
      <c r="F95" s="57">
        <f>+'Purchased Power Model '!F95</f>
        <v>30</v>
      </c>
      <c r="G95" s="57">
        <f>+'Purchased Power Model '!G95</f>
        <v>1</v>
      </c>
      <c r="H95" s="42">
        <v>48348</v>
      </c>
      <c r="I95" s="222">
        <f t="shared" si="3"/>
        <v>37665436.367627114</v>
      </c>
      <c r="J95" s="36">
        <f t="shared" si="4"/>
        <v>-7117543.6323728859</v>
      </c>
      <c r="K95" s="5">
        <f t="shared" si="5"/>
        <v>-0.15893412257006759</v>
      </c>
    </row>
    <row r="96" spans="1:17" x14ac:dyDescent="0.2">
      <c r="A96" s="3">
        <v>40452</v>
      </c>
      <c r="B96" s="59">
        <v>38118288</v>
      </c>
      <c r="C96" s="216">
        <f>+'Purchased Power Model '!C96</f>
        <v>247.8</v>
      </c>
      <c r="D96" s="216">
        <f>+'Purchased Power Model '!D96</f>
        <v>0</v>
      </c>
      <c r="E96" s="126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42">
        <v>48388</v>
      </c>
      <c r="I96" s="222">
        <f t="shared" si="3"/>
        <v>37911743.240476534</v>
      </c>
      <c r="J96" s="36">
        <f t="shared" si="4"/>
        <v>-206544.75952346623</v>
      </c>
      <c r="K96" s="5">
        <f t="shared" si="5"/>
        <v>-5.4185214069285125E-3</v>
      </c>
    </row>
    <row r="97" spans="1:11" x14ac:dyDescent="0.2">
      <c r="A97" s="3">
        <v>40483</v>
      </c>
      <c r="B97" s="59">
        <v>35289109</v>
      </c>
      <c r="C97" s="216">
        <f>+'Purchased Power Model '!C97</f>
        <v>389.2</v>
      </c>
      <c r="D97" s="216">
        <f>+'Purchased Power Model '!D97</f>
        <v>0</v>
      </c>
      <c r="E97" s="126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42">
        <v>48425</v>
      </c>
      <c r="I97" s="222">
        <f t="shared" si="3"/>
        <v>40742900.916410565</v>
      </c>
      <c r="J97" s="36">
        <f t="shared" si="4"/>
        <v>5453791.9164105654</v>
      </c>
      <c r="K97" s="5">
        <f t="shared" si="5"/>
        <v>0.15454603618387094</v>
      </c>
    </row>
    <row r="98" spans="1:11" x14ac:dyDescent="0.2">
      <c r="A98" s="3">
        <v>40513</v>
      </c>
      <c r="B98" s="59">
        <v>34244910</v>
      </c>
      <c r="C98" s="216">
        <f>+'Purchased Power Model '!C98</f>
        <v>628.70000000000005</v>
      </c>
      <c r="D98" s="216">
        <f>+'Purchased Power Model '!D98</f>
        <v>0</v>
      </c>
      <c r="E98" s="126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42">
        <v>48460</v>
      </c>
      <c r="I98" s="222">
        <f t="shared" si="3"/>
        <v>42468189.940805718</v>
      </c>
      <c r="J98" s="36">
        <f t="shared" si="4"/>
        <v>8223279.9408057183</v>
      </c>
      <c r="K98" s="5">
        <f t="shared" si="5"/>
        <v>0.24013145138374486</v>
      </c>
    </row>
    <row r="99" spans="1:11" x14ac:dyDescent="0.2">
      <c r="A99" s="3">
        <v>40544</v>
      </c>
      <c r="B99" s="218">
        <v>45548074</v>
      </c>
      <c r="C99" s="219">
        <f>+'Purchased Power Model '!C99</f>
        <v>760.9</v>
      </c>
      <c r="D99" s="219">
        <f>+'Purchased Power Model '!D99</f>
        <v>0</v>
      </c>
      <c r="E99" s="126">
        <f>+'Purchased Power Model '!E99</f>
        <v>8.6999999999999994E-2</v>
      </c>
      <c r="F99" s="57">
        <f>+'Purchased Power Model '!F99</f>
        <v>31</v>
      </c>
      <c r="G99" s="57">
        <f>+'Purchased Power Model '!G99</f>
        <v>0</v>
      </c>
      <c r="H99" s="58">
        <v>48492</v>
      </c>
      <c r="I99" s="222">
        <f t="shared" si="3"/>
        <v>44219689.875919983</v>
      </c>
      <c r="J99" s="36">
        <f t="shared" si="4"/>
        <v>-1328384.1240800172</v>
      </c>
      <c r="K99" s="5">
        <f t="shared" si="5"/>
        <v>-2.9164441159027211E-2</v>
      </c>
    </row>
    <row r="100" spans="1:11" x14ac:dyDescent="0.2">
      <c r="A100" s="3">
        <v>40575</v>
      </c>
      <c r="B100" s="129">
        <v>47320844</v>
      </c>
      <c r="C100" s="219">
        <f>+'Purchased Power Model '!C100</f>
        <v>634.19999999999993</v>
      </c>
      <c r="D100" s="219">
        <f>+'Purchased Power Model '!D100</f>
        <v>0</v>
      </c>
      <c r="E100" s="126">
        <f>+'Purchased Power Model '!E100</f>
        <v>8.6999999999999994E-2</v>
      </c>
      <c r="F100" s="57">
        <f>+'Purchased Power Model '!F100</f>
        <v>28</v>
      </c>
      <c r="G100" s="57">
        <f>+'Purchased Power Model '!G100</f>
        <v>0</v>
      </c>
      <c r="H100" s="58">
        <v>48513</v>
      </c>
      <c r="I100" s="222">
        <f t="shared" si="3"/>
        <v>45030231.382907473</v>
      </c>
      <c r="J100" s="36">
        <f t="shared" si="4"/>
        <v>-2290612.6170925274</v>
      </c>
      <c r="K100" s="5">
        <f t="shared" si="5"/>
        <v>-4.8405996670146618E-2</v>
      </c>
    </row>
    <row r="101" spans="1:11" x14ac:dyDescent="0.2">
      <c r="A101" s="3">
        <v>40603</v>
      </c>
      <c r="B101" s="129">
        <v>49556102</v>
      </c>
      <c r="C101" s="219">
        <f>+'Purchased Power Model '!C101</f>
        <v>559.80000000000007</v>
      </c>
      <c r="D101" s="219">
        <f>+'Purchased Power Model '!D101</f>
        <v>0</v>
      </c>
      <c r="E101" s="126">
        <f>+'Purchased Power Model '!E101</f>
        <v>8.6999999999999994E-2</v>
      </c>
      <c r="F101" s="57">
        <f>+'Purchased Power Model '!F101</f>
        <v>31</v>
      </c>
      <c r="G101" s="57">
        <f>+'Purchased Power Model '!G101</f>
        <v>1</v>
      </c>
      <c r="H101" s="58">
        <v>48584</v>
      </c>
      <c r="I101" s="222">
        <f t="shared" si="3"/>
        <v>42170760.125023484</v>
      </c>
      <c r="J101" s="36">
        <f t="shared" si="4"/>
        <v>-7385341.8749765158</v>
      </c>
      <c r="K101" s="5">
        <f t="shared" si="5"/>
        <v>-0.14902991916064173</v>
      </c>
    </row>
    <row r="102" spans="1:11" x14ac:dyDescent="0.2">
      <c r="A102" s="3">
        <v>40634</v>
      </c>
      <c r="B102" s="129">
        <v>43462201</v>
      </c>
      <c r="C102" s="219">
        <f>+'Purchased Power Model '!C102</f>
        <v>350.79999999999995</v>
      </c>
      <c r="D102" s="219">
        <f>+'Purchased Power Model '!D102</f>
        <v>0</v>
      </c>
      <c r="E102" s="126">
        <f>+'Purchased Power Model '!E102</f>
        <v>9.3000000000000013E-2</v>
      </c>
      <c r="F102" s="57">
        <f>+'Purchased Power Model '!F102</f>
        <v>30</v>
      </c>
      <c r="G102" s="57">
        <f>+'Purchased Power Model '!G102</f>
        <v>1</v>
      </c>
      <c r="H102" s="58">
        <v>48612</v>
      </c>
      <c r="I102" s="222">
        <f t="shared" si="3"/>
        <v>40207368.931659654</v>
      </c>
      <c r="J102" s="36">
        <f t="shared" si="4"/>
        <v>-3254832.0683403462</v>
      </c>
      <c r="K102" s="5">
        <f t="shared" si="5"/>
        <v>-7.4888799772021356E-2</v>
      </c>
    </row>
    <row r="103" spans="1:11" x14ac:dyDescent="0.2">
      <c r="A103" s="3">
        <v>40664</v>
      </c>
      <c r="B103" s="129">
        <v>34986173</v>
      </c>
      <c r="C103" s="219">
        <f>+'Purchased Power Model '!C103</f>
        <v>157.69999999999996</v>
      </c>
      <c r="D103" s="219">
        <f>+'Purchased Power Model '!D103</f>
        <v>2.8</v>
      </c>
      <c r="E103" s="126">
        <f>+'Purchased Power Model '!E103</f>
        <v>9.3000000000000013E-2</v>
      </c>
      <c r="F103" s="57">
        <f>+'Purchased Power Model '!F103</f>
        <v>31</v>
      </c>
      <c r="G103" s="57">
        <f>+'Purchased Power Model '!G103</f>
        <v>1</v>
      </c>
      <c r="H103" s="58">
        <v>48687</v>
      </c>
      <c r="I103" s="222">
        <f t="shared" si="3"/>
        <v>36804879.337028265</v>
      </c>
      <c r="J103" s="36">
        <f t="shared" si="4"/>
        <v>1818706.337028265</v>
      </c>
      <c r="K103" s="5">
        <f t="shared" si="5"/>
        <v>5.1983574683297458E-2</v>
      </c>
    </row>
    <row r="104" spans="1:11" x14ac:dyDescent="0.2">
      <c r="A104" s="3">
        <v>40695</v>
      </c>
      <c r="B104" s="129">
        <v>32871092</v>
      </c>
      <c r="C104" s="219">
        <f>+'Purchased Power Model '!C104</f>
        <v>26.699999999999996</v>
      </c>
      <c r="D104" s="219">
        <f>+'Purchased Power Model '!D104</f>
        <v>36.900000000000006</v>
      </c>
      <c r="E104" s="126">
        <f>+'Purchased Power Model '!E104</f>
        <v>9.3000000000000013E-2</v>
      </c>
      <c r="F104" s="57">
        <f>+'Purchased Power Model '!F104</f>
        <v>30</v>
      </c>
      <c r="G104" s="57">
        <f>+'Purchased Power Model '!G104</f>
        <v>0</v>
      </c>
      <c r="H104" s="58">
        <v>48641</v>
      </c>
      <c r="I104" s="222">
        <f t="shared" si="3"/>
        <v>36904401.754134998</v>
      </c>
      <c r="J104" s="36">
        <f t="shared" si="4"/>
        <v>4033309.7541349977</v>
      </c>
      <c r="K104" s="5">
        <f t="shared" si="5"/>
        <v>0.12270081426363924</v>
      </c>
    </row>
    <row r="105" spans="1:11" x14ac:dyDescent="0.2">
      <c r="A105" s="3">
        <v>40725</v>
      </c>
      <c r="B105" s="129">
        <v>35752252</v>
      </c>
      <c r="C105" s="219">
        <f>+'Purchased Power Model '!C105</f>
        <v>0.2</v>
      </c>
      <c r="D105" s="219">
        <f>+'Purchased Power Model '!D105</f>
        <v>141.19999999999999</v>
      </c>
      <c r="E105" s="126">
        <f>+'Purchased Power Model '!E105</f>
        <v>7.2000000000000008E-2</v>
      </c>
      <c r="F105" s="57">
        <f>+'Purchased Power Model '!F105</f>
        <v>31</v>
      </c>
      <c r="G105" s="57">
        <f>+'Purchased Power Model '!G105</f>
        <v>0</v>
      </c>
      <c r="H105" s="58">
        <v>48672</v>
      </c>
      <c r="I105" s="222">
        <f t="shared" si="3"/>
        <v>40928746.031618476</v>
      </c>
      <c r="J105" s="36">
        <f t="shared" si="4"/>
        <v>5176494.0316184759</v>
      </c>
      <c r="K105" s="5">
        <f t="shared" si="5"/>
        <v>0.14478791522331169</v>
      </c>
    </row>
    <row r="106" spans="1:11" x14ac:dyDescent="0.2">
      <c r="A106" s="3">
        <v>40756</v>
      </c>
      <c r="B106" s="129">
        <v>47336699</v>
      </c>
      <c r="C106" s="219">
        <f>+'Purchased Power Model '!C106</f>
        <v>3.7</v>
      </c>
      <c r="D106" s="219">
        <f>+'Purchased Power Model '!D106</f>
        <v>80.499999999999957</v>
      </c>
      <c r="E106" s="126">
        <f>+'Purchased Power Model '!E106</f>
        <v>7.2000000000000008E-2</v>
      </c>
      <c r="F106" s="57">
        <f>+'Purchased Power Model '!F106</f>
        <v>31</v>
      </c>
      <c r="G106" s="57">
        <f>+'Purchased Power Model '!G106</f>
        <v>0</v>
      </c>
      <c r="H106" s="58">
        <v>48705</v>
      </c>
      <c r="I106" s="222">
        <f t="shared" si="3"/>
        <v>37732626.582942501</v>
      </c>
      <c r="J106" s="36">
        <f t="shared" si="4"/>
        <v>-9604072.4170574993</v>
      </c>
      <c r="K106" s="5">
        <f t="shared" si="5"/>
        <v>-0.20288851187231072</v>
      </c>
    </row>
    <row r="107" spans="1:11" x14ac:dyDescent="0.2">
      <c r="A107" s="3">
        <v>40787</v>
      </c>
      <c r="B107" s="129">
        <v>42985684</v>
      </c>
      <c r="C107" s="219">
        <f>+'Purchased Power Model '!C107</f>
        <v>48.900000000000006</v>
      </c>
      <c r="D107" s="219">
        <f>+'Purchased Power Model '!D107</f>
        <v>34.6</v>
      </c>
      <c r="E107" s="126">
        <f>+'Purchased Power Model '!E107</f>
        <v>7.2000000000000008E-2</v>
      </c>
      <c r="F107" s="57">
        <f>+'Purchased Power Model '!F107</f>
        <v>30</v>
      </c>
      <c r="G107" s="57">
        <f>+'Purchased Power Model '!G107</f>
        <v>1</v>
      </c>
      <c r="H107" s="58">
        <v>48746</v>
      </c>
      <c r="I107" s="222">
        <f t="shared" si="3"/>
        <v>37524060.008415073</v>
      </c>
      <c r="J107" s="36">
        <f t="shared" si="4"/>
        <v>-5461623.9915849268</v>
      </c>
      <c r="K107" s="5">
        <f t="shared" si="5"/>
        <v>-0.12705681248633677</v>
      </c>
    </row>
    <row r="108" spans="1:11" x14ac:dyDescent="0.2">
      <c r="A108" s="3">
        <v>40817</v>
      </c>
      <c r="B108" s="129">
        <v>35399883</v>
      </c>
      <c r="C108" s="219">
        <f>+'Purchased Power Model '!C108</f>
        <v>225.29999999999998</v>
      </c>
      <c r="D108" s="219">
        <f>+'Purchased Power Model '!D108</f>
        <v>0</v>
      </c>
      <c r="E108" s="126">
        <f>+'Purchased Power Model '!E108</f>
        <v>7.2000000000000008E-2</v>
      </c>
      <c r="F108" s="57">
        <f>+'Purchased Power Model '!F108</f>
        <v>31</v>
      </c>
      <c r="G108" s="57">
        <f>+'Purchased Power Model '!G108</f>
        <v>1</v>
      </c>
      <c r="H108" s="58">
        <v>48780</v>
      </c>
      <c r="I108" s="222">
        <f t="shared" si="3"/>
        <v>37275323.247721642</v>
      </c>
      <c r="J108" s="36">
        <f t="shared" si="4"/>
        <v>1875440.2477216423</v>
      </c>
      <c r="K108" s="5">
        <f t="shared" si="5"/>
        <v>5.2978713170369583E-2</v>
      </c>
    </row>
    <row r="109" spans="1:11" x14ac:dyDescent="0.2">
      <c r="A109" s="3">
        <v>40848</v>
      </c>
      <c r="B109" s="129">
        <v>35056122</v>
      </c>
      <c r="C109" s="219">
        <f>+'Purchased Power Model '!C109</f>
        <v>349.69999999999993</v>
      </c>
      <c r="D109" s="219">
        <f>+'Purchased Power Model '!D109</f>
        <v>0</v>
      </c>
      <c r="E109" s="126">
        <f>+'Purchased Power Model '!E109</f>
        <v>7.2000000000000008E-2</v>
      </c>
      <c r="F109" s="57">
        <f>+'Purchased Power Model '!F109</f>
        <v>30</v>
      </c>
      <c r="G109" s="57">
        <f>+'Purchased Power Model '!G109</f>
        <v>1</v>
      </c>
      <c r="H109" s="58">
        <v>48812</v>
      </c>
      <c r="I109" s="222">
        <f t="shared" si="3"/>
        <v>39869396.451239899</v>
      </c>
      <c r="J109" s="36">
        <f t="shared" si="4"/>
        <v>4813274.4512398988</v>
      </c>
      <c r="K109" s="5">
        <f t="shared" si="5"/>
        <v>0.1373019654381594</v>
      </c>
    </row>
    <row r="110" spans="1:11" x14ac:dyDescent="0.2">
      <c r="A110" s="3">
        <v>40878</v>
      </c>
      <c r="B110" s="129">
        <v>34342708</v>
      </c>
      <c r="C110" s="219">
        <f>+'Purchased Power Model '!C110</f>
        <v>531.20000000000005</v>
      </c>
      <c r="D110" s="219">
        <f>+'Purchased Power Model '!D110</f>
        <v>0</v>
      </c>
      <c r="E110" s="126">
        <f>+'Purchased Power Model '!E110</f>
        <v>7.2000000000000008E-2</v>
      </c>
      <c r="F110" s="57">
        <f>+'Purchased Power Model '!F110</f>
        <v>31</v>
      </c>
      <c r="G110" s="57">
        <f>+'Purchased Power Model '!G110</f>
        <v>0</v>
      </c>
      <c r="H110" s="58">
        <v>48841</v>
      </c>
      <c r="I110" s="222">
        <f t="shared" si="3"/>
        <v>40785809.040334165</v>
      </c>
      <c r="J110" s="36">
        <f t="shared" si="4"/>
        <v>6443101.0403341651</v>
      </c>
      <c r="K110" s="5">
        <f t="shared" si="5"/>
        <v>0.18761190993832416</v>
      </c>
    </row>
    <row r="111" spans="1:11" x14ac:dyDescent="0.2">
      <c r="A111" s="3">
        <v>40909</v>
      </c>
      <c r="B111" s="129">
        <v>44507364</v>
      </c>
      <c r="C111" s="219">
        <f>+'Purchased Power Model '!C111</f>
        <v>611</v>
      </c>
      <c r="D111" s="219">
        <f>+'Purchased Power Model '!D111</f>
        <v>0</v>
      </c>
      <c r="E111" s="126">
        <f>+'Purchased Power Model '!E111</f>
        <v>0.08</v>
      </c>
      <c r="F111" s="57">
        <f>+'Purchased Power Model '!F111</f>
        <v>31</v>
      </c>
      <c r="G111" s="57">
        <f>+'Purchased Power Model '!G111</f>
        <v>0</v>
      </c>
      <c r="H111" s="58">
        <v>48868</v>
      </c>
      <c r="I111" s="222">
        <f t="shared" si="3"/>
        <v>42021618.768217012</v>
      </c>
      <c r="J111" s="36">
        <f t="shared" si="4"/>
        <v>-2485745.2317829877</v>
      </c>
      <c r="K111" s="5">
        <f t="shared" si="5"/>
        <v>-5.5850201143859871E-2</v>
      </c>
    </row>
    <row r="112" spans="1:11" x14ac:dyDescent="0.2">
      <c r="A112" s="3">
        <v>40940</v>
      </c>
      <c r="B112" s="129">
        <v>46211417</v>
      </c>
      <c r="C112" s="219">
        <f>+'Purchased Power Model '!C112</f>
        <v>536.20000000000005</v>
      </c>
      <c r="D112" s="219">
        <f>+'Purchased Power Model '!D112</f>
        <v>0</v>
      </c>
      <c r="E112" s="126">
        <f>+'Purchased Power Model '!E112</f>
        <v>0.08</v>
      </c>
      <c r="F112" s="57">
        <f>+'Purchased Power Model '!F112</f>
        <v>29</v>
      </c>
      <c r="G112" s="57">
        <f>+'Purchased Power Model '!G112</f>
        <v>0</v>
      </c>
      <c r="H112" s="58">
        <v>48878</v>
      </c>
      <c r="I112" s="222">
        <f t="shared" si="3"/>
        <v>42696792.512092158</v>
      </c>
      <c r="J112" s="36">
        <f t="shared" si="4"/>
        <v>-3514624.4879078418</v>
      </c>
      <c r="K112" s="5">
        <f t="shared" si="5"/>
        <v>-7.6055328229987881E-2</v>
      </c>
    </row>
    <row r="113" spans="1:11" x14ac:dyDescent="0.2">
      <c r="A113" s="3">
        <v>40969</v>
      </c>
      <c r="B113" s="129">
        <v>43295338</v>
      </c>
      <c r="C113" s="219">
        <f>+'Purchased Power Model '!C113</f>
        <v>399.39999999999992</v>
      </c>
      <c r="D113" s="219">
        <f>+'Purchased Power Model '!D113</f>
        <v>0</v>
      </c>
      <c r="E113" s="126">
        <f>+'Purchased Power Model '!E113</f>
        <v>0.08</v>
      </c>
      <c r="F113" s="57">
        <f>+'Purchased Power Model '!F113</f>
        <v>31</v>
      </c>
      <c r="G113" s="57">
        <f>+'Purchased Power Model '!G113</f>
        <v>1</v>
      </c>
      <c r="H113" s="58">
        <v>48886</v>
      </c>
      <c r="I113" s="222">
        <f t="shared" si="3"/>
        <v>39826254.490240201</v>
      </c>
      <c r="J113" s="36">
        <f t="shared" si="4"/>
        <v>-3469083.5097597986</v>
      </c>
      <c r="K113" s="5">
        <f t="shared" si="5"/>
        <v>-8.0126029037117089E-2</v>
      </c>
    </row>
    <row r="114" spans="1:11" x14ac:dyDescent="0.2">
      <c r="A114" s="3">
        <v>41000</v>
      </c>
      <c r="B114" s="129">
        <v>36181165</v>
      </c>
      <c r="C114" s="219">
        <f>+'Purchased Power Model '!C114</f>
        <v>336.89999999999992</v>
      </c>
      <c r="D114" s="219">
        <f>+'Purchased Power Model '!D114</f>
        <v>0</v>
      </c>
      <c r="E114" s="126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58">
        <v>48890</v>
      </c>
      <c r="I114" s="222">
        <f t="shared" si="3"/>
        <v>39875246.772764772</v>
      </c>
      <c r="J114" s="36">
        <f t="shared" si="4"/>
        <v>3694081.7727647722</v>
      </c>
      <c r="K114" s="5">
        <f t="shared" si="5"/>
        <v>0.10209958061783726</v>
      </c>
    </row>
    <row r="115" spans="1:11" x14ac:dyDescent="0.2">
      <c r="A115" s="3">
        <v>41030</v>
      </c>
      <c r="B115" s="129">
        <v>31564371</v>
      </c>
      <c r="C115" s="219">
        <f>+'Purchased Power Model '!C115</f>
        <v>109.30000000000001</v>
      </c>
      <c r="D115" s="219">
        <f>+'Purchased Power Model '!D115</f>
        <v>21.8</v>
      </c>
      <c r="E115" s="126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58">
        <v>48930</v>
      </c>
      <c r="I115" s="222">
        <f t="shared" si="3"/>
        <v>37007326.662994817</v>
      </c>
      <c r="J115" s="36">
        <f t="shared" si="4"/>
        <v>5442955.6629948169</v>
      </c>
      <c r="K115" s="5">
        <f t="shared" si="5"/>
        <v>0.17243985831350217</v>
      </c>
    </row>
    <row r="116" spans="1:11" x14ac:dyDescent="0.2">
      <c r="A116" s="3">
        <v>41061</v>
      </c>
      <c r="B116" s="129">
        <v>33547925</v>
      </c>
      <c r="C116" s="219">
        <f>+'Purchased Power Model '!C116</f>
        <v>28.2</v>
      </c>
      <c r="D116" s="219">
        <f>+'Purchased Power Model '!D116</f>
        <v>64.3</v>
      </c>
      <c r="E116" s="126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58">
        <v>48970</v>
      </c>
      <c r="I116" s="222">
        <f t="shared" si="3"/>
        <v>38251813.138434961</v>
      </c>
      <c r="J116" s="36">
        <f t="shared" si="4"/>
        <v>4703888.1384349614</v>
      </c>
      <c r="K116" s="5">
        <f t="shared" si="5"/>
        <v>0.14021398159304821</v>
      </c>
    </row>
    <row r="117" spans="1:11" x14ac:dyDescent="0.2">
      <c r="A117" s="3">
        <v>41091</v>
      </c>
      <c r="B117" s="129">
        <v>38898477</v>
      </c>
      <c r="C117" s="219">
        <f>+'Purchased Power Model '!C117</f>
        <v>0</v>
      </c>
      <c r="D117" s="219">
        <f>+'Purchased Power Model '!D117</f>
        <v>155.30000000000001</v>
      </c>
      <c r="E117" s="126">
        <f>+'Purchased Power Model '!E117</f>
        <v>9.3000000000000013E-2</v>
      </c>
      <c r="F117" s="57">
        <f>+'Purchased Power Model '!F117</f>
        <v>31</v>
      </c>
      <c r="G117" s="57">
        <f>+'Purchased Power Model '!G117</f>
        <v>0</v>
      </c>
      <c r="H117" s="58">
        <v>48983</v>
      </c>
      <c r="I117" s="222">
        <f t="shared" si="3"/>
        <v>42002353.374760434</v>
      </c>
      <c r="J117" s="36">
        <f t="shared" si="4"/>
        <v>3103876.374760434</v>
      </c>
      <c r="K117" s="5">
        <f t="shared" si="5"/>
        <v>7.9794290526090106E-2</v>
      </c>
    </row>
    <row r="118" spans="1:11" x14ac:dyDescent="0.2">
      <c r="A118" s="3">
        <v>41122</v>
      </c>
      <c r="B118" s="129">
        <v>48492174</v>
      </c>
      <c r="C118" s="219">
        <f>+'Purchased Power Model '!C118</f>
        <v>4.4000000000000004</v>
      </c>
      <c r="D118" s="219">
        <f>+'Purchased Power Model '!D118</f>
        <v>102.79999999999998</v>
      </c>
      <c r="E118" s="126">
        <f>+'Purchased Power Model '!E118</f>
        <v>9.3000000000000013E-2</v>
      </c>
      <c r="F118" s="57">
        <f>+'Purchased Power Model '!F118</f>
        <v>31</v>
      </c>
      <c r="G118" s="57">
        <f>+'Purchased Power Model '!G118</f>
        <v>0</v>
      </c>
      <c r="H118" s="58">
        <v>49027</v>
      </c>
      <c r="I118" s="222">
        <f t="shared" si="3"/>
        <v>39257145.158017606</v>
      </c>
      <c r="J118" s="36">
        <f t="shared" si="4"/>
        <v>-9235028.8419823945</v>
      </c>
      <c r="K118" s="5">
        <f t="shared" si="5"/>
        <v>-0.19044369596591801</v>
      </c>
    </row>
    <row r="119" spans="1:11" x14ac:dyDescent="0.2">
      <c r="A119" s="3">
        <v>41153</v>
      </c>
      <c r="B119" s="129">
        <v>45718998</v>
      </c>
      <c r="C119" s="219">
        <f>+'Purchased Power Model '!C119</f>
        <v>84</v>
      </c>
      <c r="D119" s="219">
        <f>+'Purchased Power Model '!D119</f>
        <v>24.400000000000002</v>
      </c>
      <c r="E119" s="126">
        <f>+'Purchased Power Model '!E119</f>
        <v>9.3000000000000013E-2</v>
      </c>
      <c r="F119" s="57">
        <f>+'Purchased Power Model '!F119</f>
        <v>30</v>
      </c>
      <c r="G119" s="57">
        <f>+'Purchased Power Model '!G119</f>
        <v>1</v>
      </c>
      <c r="H119" s="58">
        <v>49040</v>
      </c>
      <c r="I119" s="222">
        <f t="shared" si="3"/>
        <v>37790924.732372001</v>
      </c>
      <c r="J119" s="36">
        <f t="shared" si="4"/>
        <v>-7928073.2676279992</v>
      </c>
      <c r="K119" s="5">
        <f t="shared" si="5"/>
        <v>-0.17340872754096665</v>
      </c>
    </row>
    <row r="120" spans="1:11" x14ac:dyDescent="0.2">
      <c r="A120" s="3">
        <v>41183</v>
      </c>
      <c r="B120" s="129">
        <v>36478878</v>
      </c>
      <c r="C120" s="219">
        <f>+'Purchased Power Model '!C120</f>
        <v>228.99999999999994</v>
      </c>
      <c r="D120" s="219">
        <f>+'Purchased Power Model '!D120</f>
        <v>0</v>
      </c>
      <c r="E120" s="126">
        <f>+'Purchased Power Model '!E120</f>
        <v>9.4E-2</v>
      </c>
      <c r="F120" s="57">
        <f>+'Purchased Power Model '!F120</f>
        <v>31</v>
      </c>
      <c r="G120" s="57">
        <f>+'Purchased Power Model '!G120</f>
        <v>1</v>
      </c>
      <c r="H120" s="58">
        <v>49081</v>
      </c>
      <c r="I120" s="222">
        <f t="shared" si="3"/>
        <v>37664919.121534616</v>
      </c>
      <c r="J120" s="36">
        <f t="shared" si="4"/>
        <v>1186041.1215346158</v>
      </c>
      <c r="K120" s="5">
        <f t="shared" si="5"/>
        <v>3.2513092138815668E-2</v>
      </c>
    </row>
    <row r="121" spans="1:11" x14ac:dyDescent="0.2">
      <c r="A121" s="3">
        <v>41214</v>
      </c>
      <c r="B121" s="129">
        <v>32177448</v>
      </c>
      <c r="C121" s="219">
        <f>+'Purchased Power Model '!C121</f>
        <v>427.89999999999992</v>
      </c>
      <c r="D121" s="219">
        <f>+'Purchased Power Model '!D121</f>
        <v>0</v>
      </c>
      <c r="E121" s="126">
        <f>+'Purchased Power Model '!E121</f>
        <v>9.4E-2</v>
      </c>
      <c r="F121" s="57">
        <f>+'Purchased Power Model '!F121</f>
        <v>30</v>
      </c>
      <c r="G121" s="57">
        <f>+'Purchased Power Model '!G121</f>
        <v>1</v>
      </c>
      <c r="H121" s="58">
        <v>49113</v>
      </c>
      <c r="I121" s="222">
        <f t="shared" si="3"/>
        <v>41297980.160051391</v>
      </c>
      <c r="J121" s="36">
        <f t="shared" si="4"/>
        <v>9120532.1600513905</v>
      </c>
      <c r="K121" s="5">
        <f t="shared" si="5"/>
        <v>0.28344485740607489</v>
      </c>
    </row>
    <row r="122" spans="1:11" x14ac:dyDescent="0.2">
      <c r="A122" s="3">
        <v>41244</v>
      </c>
      <c r="B122" s="129">
        <v>36250725</v>
      </c>
      <c r="C122" s="219">
        <f>+'Purchased Power Model '!C122</f>
        <v>451.09999999999997</v>
      </c>
      <c r="D122" s="219">
        <f>+'Purchased Power Model '!D122</f>
        <v>0</v>
      </c>
      <c r="E122" s="126">
        <f>+'Purchased Power Model '!E122</f>
        <v>9.4E-2</v>
      </c>
      <c r="F122" s="57">
        <f>+'Purchased Power Model '!F122</f>
        <v>31</v>
      </c>
      <c r="G122" s="57">
        <f>+'Purchased Power Model '!G122</f>
        <v>0</v>
      </c>
      <c r="H122" s="58">
        <v>49201</v>
      </c>
      <c r="I122" s="222">
        <f t="shared" si="3"/>
        <v>40006717.926591754</v>
      </c>
      <c r="J122" s="36">
        <f t="shared" si="4"/>
        <v>3755992.926591754</v>
      </c>
      <c r="K122" s="5">
        <f t="shared" si="5"/>
        <v>0.10361152574443004</v>
      </c>
    </row>
    <row r="123" spans="1:11" x14ac:dyDescent="0.2">
      <c r="A123" s="3">
        <v>41275</v>
      </c>
      <c r="B123" s="129">
        <v>43239727</v>
      </c>
      <c r="C123" s="219">
        <f>+'Purchased Power Model '!C123</f>
        <v>615.40000000000009</v>
      </c>
      <c r="D123" s="219">
        <f>+'Purchased Power Model '!D123</f>
        <v>0</v>
      </c>
      <c r="E123" s="126">
        <f>+'Purchased Power Model '!E123</f>
        <v>8.4000000000000005E-2</v>
      </c>
      <c r="F123" s="57">
        <f>+'Purchased Power Model '!F123</f>
        <v>31</v>
      </c>
      <c r="G123" s="57">
        <f>+'Purchased Power Model '!G123</f>
        <v>0</v>
      </c>
      <c r="H123" s="58">
        <v>49228</v>
      </c>
      <c r="I123" s="222">
        <f t="shared" si="3"/>
        <v>42144435.469172582</v>
      </c>
      <c r="J123" s="36">
        <f t="shared" si="4"/>
        <v>-1095291.530827418</v>
      </c>
      <c r="K123" s="5">
        <f t="shared" si="5"/>
        <v>-2.5330676366837793E-2</v>
      </c>
    </row>
    <row r="124" spans="1:11" x14ac:dyDescent="0.2">
      <c r="A124" s="3">
        <v>41306</v>
      </c>
      <c r="B124" s="129">
        <v>45208585</v>
      </c>
      <c r="C124" s="219">
        <f>+'Purchased Power Model '!C124</f>
        <v>611.5</v>
      </c>
      <c r="D124" s="219">
        <f>+'Purchased Power Model '!D124</f>
        <v>0</v>
      </c>
      <c r="E124" s="126">
        <f>+'Purchased Power Model '!E124</f>
        <v>8.4000000000000005E-2</v>
      </c>
      <c r="F124" s="57">
        <f>+'Purchased Power Model '!F124</f>
        <v>28</v>
      </c>
      <c r="G124" s="57">
        <f>+'Purchased Power Model '!G124</f>
        <v>0</v>
      </c>
      <c r="H124" s="58">
        <v>49269</v>
      </c>
      <c r="I124" s="222">
        <f t="shared" si="3"/>
        <v>44667563.635728098</v>
      </c>
      <c r="J124" s="36">
        <f t="shared" si="4"/>
        <v>-541021.36427190155</v>
      </c>
      <c r="K124" s="5">
        <f t="shared" si="5"/>
        <v>-1.1967226230856408E-2</v>
      </c>
    </row>
    <row r="125" spans="1:11" x14ac:dyDescent="0.2">
      <c r="A125" s="3">
        <v>41334</v>
      </c>
      <c r="B125" s="129">
        <v>47225367</v>
      </c>
      <c r="C125" s="219">
        <f>+'Purchased Power Model '!C125</f>
        <v>545</v>
      </c>
      <c r="D125" s="219">
        <f>+'Purchased Power Model '!D125</f>
        <v>0</v>
      </c>
      <c r="E125" s="126">
        <f>+'Purchased Power Model '!E125</f>
        <v>8.4000000000000005E-2</v>
      </c>
      <c r="F125" s="57">
        <f>+'Purchased Power Model '!F125</f>
        <v>31</v>
      </c>
      <c r="G125" s="57">
        <f>+'Purchased Power Model '!G125</f>
        <v>1</v>
      </c>
      <c r="H125" s="58">
        <v>49337</v>
      </c>
      <c r="I125" s="222">
        <f t="shared" si="3"/>
        <v>41918266.926790282</v>
      </c>
      <c r="J125" s="36">
        <f t="shared" si="4"/>
        <v>-5307100.0732097179</v>
      </c>
      <c r="K125" s="5">
        <f t="shared" si="5"/>
        <v>-0.11237816475221289</v>
      </c>
    </row>
    <row r="126" spans="1:11" x14ac:dyDescent="0.2">
      <c r="A126" s="3">
        <v>41365</v>
      </c>
      <c r="B126" s="129">
        <v>41850195</v>
      </c>
      <c r="C126" s="219">
        <f>+'Purchased Power Model '!C126</f>
        <v>366.49999999999994</v>
      </c>
      <c r="D126" s="219">
        <f>+'Purchased Power Model '!D126</f>
        <v>0</v>
      </c>
      <c r="E126" s="126">
        <f>+'Purchased Power Model '!E126</f>
        <v>7.0999999999999994E-2</v>
      </c>
      <c r="F126" s="57">
        <f>+'Purchased Power Model '!F126</f>
        <v>30</v>
      </c>
      <c r="G126" s="57">
        <f>+'Purchased Power Model '!G126</f>
        <v>1</v>
      </c>
      <c r="H126" s="58">
        <v>49429</v>
      </c>
      <c r="I126" s="222">
        <f t="shared" si="3"/>
        <v>40088328.279309377</v>
      </c>
      <c r="J126" s="36">
        <f t="shared" si="4"/>
        <v>-1761866.7206906229</v>
      </c>
      <c r="K126" s="5">
        <f t="shared" si="5"/>
        <v>-4.2099367056488576E-2</v>
      </c>
    </row>
    <row r="127" spans="1:11" x14ac:dyDescent="0.2">
      <c r="A127" s="3">
        <v>41395</v>
      </c>
      <c r="B127" s="129">
        <v>37731544</v>
      </c>
      <c r="C127" s="219">
        <f>+'Purchased Power Model '!C127</f>
        <v>133.4</v>
      </c>
      <c r="D127" s="219">
        <f>+'Purchased Power Model '!D127</f>
        <v>3</v>
      </c>
      <c r="E127" s="126">
        <f>+'Purchased Power Model '!E127</f>
        <v>7.0999999999999994E-2</v>
      </c>
      <c r="F127" s="57">
        <f>+'Purchased Power Model '!F127</f>
        <v>31</v>
      </c>
      <c r="G127" s="57">
        <f>+'Purchased Power Model '!G127</f>
        <v>1</v>
      </c>
      <c r="H127" s="58">
        <v>49493</v>
      </c>
      <c r="I127" s="222">
        <f t="shared" si="3"/>
        <v>36138684.567254499</v>
      </c>
      <c r="J127" s="36">
        <f t="shared" si="4"/>
        <v>-1592859.4327455014</v>
      </c>
      <c r="K127" s="5">
        <f t="shared" si="5"/>
        <v>-4.2215591091249838E-2</v>
      </c>
    </row>
    <row r="128" spans="1:11" x14ac:dyDescent="0.2">
      <c r="A128" s="3">
        <v>41426</v>
      </c>
      <c r="B128" s="129">
        <v>32044592</v>
      </c>
      <c r="C128" s="219">
        <f>+'Purchased Power Model '!C128</f>
        <v>42.900000000000006</v>
      </c>
      <c r="D128" s="219">
        <f>+'Purchased Power Model '!D128</f>
        <v>32.200000000000003</v>
      </c>
      <c r="E128" s="126">
        <f>+'Purchased Power Model '!E128</f>
        <v>7.0999999999999994E-2</v>
      </c>
      <c r="F128" s="57">
        <f>+'Purchased Power Model '!F128</f>
        <v>30</v>
      </c>
      <c r="G128" s="57">
        <f>+'Purchased Power Model '!G128</f>
        <v>0</v>
      </c>
      <c r="H128" s="58">
        <v>49529</v>
      </c>
      <c r="I128" s="222">
        <f t="shared" si="3"/>
        <v>36541079.223906413</v>
      </c>
      <c r="J128" s="36">
        <f t="shared" si="4"/>
        <v>4496487.2239064127</v>
      </c>
      <c r="K128" s="5">
        <f t="shared" si="5"/>
        <v>0.14031969025869989</v>
      </c>
    </row>
    <row r="129" spans="1:11" x14ac:dyDescent="0.2">
      <c r="A129" s="3">
        <v>41456</v>
      </c>
      <c r="B129" s="129">
        <v>35192077</v>
      </c>
      <c r="C129" s="219">
        <f>+'Purchased Power Model '!C129</f>
        <v>4.4000000000000004</v>
      </c>
      <c r="D129" s="219">
        <f>+'Purchased Power Model '!D129</f>
        <v>109.99999999999999</v>
      </c>
      <c r="E129" s="126">
        <f>+'Purchased Power Model '!E129</f>
        <v>6.3E-2</v>
      </c>
      <c r="F129" s="57">
        <f>+'Purchased Power Model '!F129</f>
        <v>31</v>
      </c>
      <c r="G129" s="57">
        <f>+'Purchased Power Model '!G129</f>
        <v>0</v>
      </c>
      <c r="H129" s="58">
        <v>49593</v>
      </c>
      <c r="I129" s="222">
        <f t="shared" si="3"/>
        <v>39181143.901159972</v>
      </c>
      <c r="J129" s="36">
        <f t="shared" si="4"/>
        <v>3989066.901159972</v>
      </c>
      <c r="K129" s="5">
        <f t="shared" si="5"/>
        <v>0.113351277935655</v>
      </c>
    </row>
    <row r="130" spans="1:11" x14ac:dyDescent="0.2">
      <c r="A130" s="3">
        <v>41487</v>
      </c>
      <c r="B130" s="129">
        <v>45217149</v>
      </c>
      <c r="C130" s="219">
        <f>+'Purchased Power Model '!C130</f>
        <v>11</v>
      </c>
      <c r="D130" s="219">
        <f>+'Purchased Power Model '!D130</f>
        <v>57.899999999999991</v>
      </c>
      <c r="E130" s="126">
        <f>+'Purchased Power Model '!E130</f>
        <v>6.3E-2</v>
      </c>
      <c r="F130" s="57">
        <f>+'Purchased Power Model '!F130</f>
        <v>31</v>
      </c>
      <c r="G130" s="57">
        <f>+'Purchased Power Model '!G130</f>
        <v>0</v>
      </c>
      <c r="H130" s="58">
        <v>49640</v>
      </c>
      <c r="I130" s="222">
        <f t="shared" si="3"/>
        <v>36488000.604427621</v>
      </c>
      <c r="J130" s="36">
        <f t="shared" si="4"/>
        <v>-8729148.3955723792</v>
      </c>
      <c r="K130" s="5">
        <f t="shared" si="5"/>
        <v>-0.19304950861834255</v>
      </c>
    </row>
    <row r="131" spans="1:11" x14ac:dyDescent="0.2">
      <c r="A131" s="3">
        <v>41518</v>
      </c>
      <c r="B131" s="129">
        <v>40545830</v>
      </c>
      <c r="C131" s="219">
        <f>+'Purchased Power Model '!C131</f>
        <v>96.600000000000009</v>
      </c>
      <c r="D131" s="219">
        <f>+'Purchased Power Model '!D131</f>
        <v>15.700000000000001</v>
      </c>
      <c r="E131" s="126">
        <f>+'Purchased Power Model '!E131</f>
        <v>6.3E-2</v>
      </c>
      <c r="F131" s="57">
        <f>+'Purchased Power Model '!F131</f>
        <v>30</v>
      </c>
      <c r="G131" s="57">
        <f>+'Purchased Power Model '!G131</f>
        <v>1</v>
      </c>
      <c r="H131" s="58">
        <v>49706</v>
      </c>
      <c r="I131" s="222">
        <f t="shared" si="3"/>
        <v>37040654.755993068</v>
      </c>
      <c r="J131" s="36">
        <f t="shared" si="4"/>
        <v>-3505175.2440069318</v>
      </c>
      <c r="K131" s="5">
        <f t="shared" si="5"/>
        <v>-8.6449709970345456E-2</v>
      </c>
    </row>
    <row r="132" spans="1:11" x14ac:dyDescent="0.2">
      <c r="A132" s="3">
        <v>41548</v>
      </c>
      <c r="B132" s="129">
        <v>37147018</v>
      </c>
      <c r="C132" s="219">
        <f>+'Purchased Power Model '!C132</f>
        <v>221</v>
      </c>
      <c r="D132" s="219">
        <f>+'Purchased Power Model '!D132</f>
        <v>3</v>
      </c>
      <c r="E132" s="126">
        <f>+'Purchased Power Model '!E132</f>
        <v>7.0000000000000007E-2</v>
      </c>
      <c r="F132" s="57">
        <f>+'Purchased Power Model '!F132</f>
        <v>31</v>
      </c>
      <c r="G132" s="57">
        <f>+'Purchased Power Model '!G132</f>
        <v>1</v>
      </c>
      <c r="H132" s="58">
        <v>49770</v>
      </c>
      <c r="I132" s="222">
        <f t="shared" ref="I132:I195" si="6">$N$18+C132*$N$19+D132*$N$20+E132*$N$21+F132*$N$22+G132*$N$23</f>
        <v>37345003.492208481</v>
      </c>
      <c r="J132" s="36">
        <f t="shared" ref="J132:J133" si="7">I132-B132</f>
        <v>197985.49220848083</v>
      </c>
      <c r="K132" s="5">
        <f t="shared" ref="K132:K133" si="8">J132/B132</f>
        <v>5.3297815778504979E-3</v>
      </c>
    </row>
    <row r="133" spans="1:11" x14ac:dyDescent="0.2">
      <c r="A133" s="3">
        <v>41579</v>
      </c>
      <c r="B133" s="129">
        <v>30731580</v>
      </c>
      <c r="C133" s="219">
        <f>+'Purchased Power Model '!C133</f>
        <v>458.6</v>
      </c>
      <c r="D133" s="219">
        <f>+'Purchased Power Model '!D133</f>
        <v>0</v>
      </c>
      <c r="E133" s="126">
        <f>+'Purchased Power Model '!E133</f>
        <v>7.0000000000000007E-2</v>
      </c>
      <c r="F133" s="57">
        <f>+'Purchased Power Model '!F133</f>
        <v>30</v>
      </c>
      <c r="G133" s="57">
        <f>+'Purchased Power Model '!G133</f>
        <v>1</v>
      </c>
      <c r="H133" s="58">
        <v>49821</v>
      </c>
      <c r="I133" s="222">
        <f t="shared" si="6"/>
        <v>41357404.858726352</v>
      </c>
      <c r="J133" s="36">
        <f t="shared" si="7"/>
        <v>10625824.858726352</v>
      </c>
      <c r="K133" s="5">
        <f t="shared" si="8"/>
        <v>0.34576240006945141</v>
      </c>
    </row>
    <row r="134" spans="1:11" x14ac:dyDescent="0.2">
      <c r="A134" s="3">
        <v>41609</v>
      </c>
      <c r="B134" s="129">
        <v>39184597</v>
      </c>
      <c r="C134" s="219">
        <f>+'Purchased Power Model '!C134</f>
        <v>472.8</v>
      </c>
      <c r="D134" s="219">
        <f ca="1">+'Purchased Power Model '!D134</f>
        <v>0</v>
      </c>
      <c r="E134" s="126">
        <f>+'Purchased Power Model '!E134</f>
        <v>7.0000000000000007E-2</v>
      </c>
      <c r="F134" s="57">
        <f>+'Purchased Power Model '!F134</f>
        <v>31</v>
      </c>
      <c r="G134" s="57">
        <f>+'Purchased Power Model '!G134</f>
        <v>0</v>
      </c>
      <c r="H134" s="369">
        <v>49831</v>
      </c>
      <c r="I134" s="222">
        <f t="shared" ca="1" si="6"/>
        <v>39940627.31634073</v>
      </c>
      <c r="J134" s="36">
        <f t="shared" ref="J134" ca="1" si="9">I134-B134</f>
        <v>756030.31634072959</v>
      </c>
      <c r="K134" s="5">
        <f t="shared" ref="K134" ca="1" si="10">J134/B134</f>
        <v>1.9294068951142451E-2</v>
      </c>
    </row>
    <row r="135" spans="1:11" x14ac:dyDescent="0.2">
      <c r="A135" s="3">
        <v>41640</v>
      </c>
      <c r="B135" s="6">
        <v>48055145</v>
      </c>
      <c r="C135" s="217">
        <f>+'Purchased Power Model '!C135</f>
        <v>771.3</v>
      </c>
      <c r="D135" s="217">
        <f>+'Purchased Power Model '!D135</f>
        <v>0</v>
      </c>
      <c r="E135" s="126">
        <f>+'Purchased Power Model '!E135</f>
        <v>7.0999869999999993E-2</v>
      </c>
      <c r="F135" s="57">
        <f>+'Purchased Power Model '!F135</f>
        <v>31</v>
      </c>
      <c r="G135" s="57">
        <f>+'Purchased Power Model '!G135</f>
        <v>0</v>
      </c>
      <c r="H135" s="220">
        <v>49844</v>
      </c>
      <c r="I135" s="222">
        <f t="shared" si="6"/>
        <v>44118913.147067994</v>
      </c>
      <c r="J135" s="36"/>
      <c r="K135" s="5"/>
    </row>
    <row r="136" spans="1:11" x14ac:dyDescent="0.2">
      <c r="A136" s="3">
        <v>41671</v>
      </c>
      <c r="B136" s="6">
        <v>52458603</v>
      </c>
      <c r="C136" s="217">
        <f>+'Purchased Power Model '!C136</f>
        <v>690.84999999999991</v>
      </c>
      <c r="D136" s="217">
        <f>+'Purchased Power Model '!D136</f>
        <v>0</v>
      </c>
      <c r="E136" s="126">
        <f>+'Purchased Power Model '!E136</f>
        <v>7.0999869999999993E-2</v>
      </c>
      <c r="F136" s="57">
        <f>+'Purchased Power Model '!F136</f>
        <v>28</v>
      </c>
      <c r="G136" s="57">
        <f>+'Purchased Power Model '!G136</f>
        <v>0</v>
      </c>
      <c r="H136" s="220">
        <v>49876</v>
      </c>
      <c r="I136" s="222">
        <f t="shared" si="6"/>
        <v>45574463.880480744</v>
      </c>
      <c r="J136" s="36"/>
      <c r="K136" s="5"/>
    </row>
    <row r="137" spans="1:11" x14ac:dyDescent="0.2">
      <c r="A137" s="3">
        <v>41699</v>
      </c>
      <c r="B137" s="6">
        <v>49417345</v>
      </c>
      <c r="C137" s="217">
        <f>+'Purchased Power Model '!C137</f>
        <v>677.95</v>
      </c>
      <c r="D137" s="217">
        <f>+'Purchased Power Model '!D137</f>
        <v>0</v>
      </c>
      <c r="E137" s="126">
        <f>+'Purchased Power Model '!E137</f>
        <v>7.0999869999999993E-2</v>
      </c>
      <c r="F137" s="57">
        <f>+'Purchased Power Model '!F137</f>
        <v>31</v>
      </c>
      <c r="G137" s="57">
        <f>+'Purchased Power Model '!G137</f>
        <v>1</v>
      </c>
      <c r="H137" s="220">
        <v>49940</v>
      </c>
      <c r="I137" s="222">
        <f t="shared" si="6"/>
        <v>43572680.566924408</v>
      </c>
      <c r="J137" s="36"/>
      <c r="K137" s="5"/>
    </row>
    <row r="138" spans="1:11" x14ac:dyDescent="0.2">
      <c r="A138" s="3">
        <v>41730</v>
      </c>
      <c r="B138" s="6">
        <v>42883964</v>
      </c>
      <c r="C138" s="217">
        <f>+'Purchased Power Model '!C138</f>
        <v>371.2999999999999</v>
      </c>
      <c r="D138" s="217">
        <f>+'Purchased Power Model '!D138</f>
        <v>0</v>
      </c>
      <c r="E138" s="126">
        <f>+'Purchased Power Model '!E138</f>
        <v>7.2000069999999999E-2</v>
      </c>
      <c r="F138" s="57">
        <f>+'Purchased Power Model '!F138</f>
        <v>30</v>
      </c>
      <c r="G138" s="57">
        <f>+'Purchased Power Model '!G138</f>
        <v>1</v>
      </c>
      <c r="H138" s="220">
        <v>49961</v>
      </c>
      <c r="I138" s="222">
        <f t="shared" si="6"/>
        <v>40170634.268101349</v>
      </c>
      <c r="J138" s="36"/>
      <c r="K138" s="5"/>
    </row>
    <row r="139" spans="1:11" x14ac:dyDescent="0.2">
      <c r="A139" s="3">
        <v>41760</v>
      </c>
      <c r="B139" s="6">
        <v>38466864</v>
      </c>
      <c r="C139" s="217">
        <f>+'Purchased Power Model '!C139</f>
        <v>160.49999999999994</v>
      </c>
      <c r="D139" s="217">
        <f>+'Purchased Power Model '!D139</f>
        <v>1.3</v>
      </c>
      <c r="E139" s="126">
        <f>+'Purchased Power Model '!E139</f>
        <v>7.2000069999999999E-2</v>
      </c>
      <c r="F139" s="57">
        <f>+'Purchased Power Model '!F139</f>
        <v>31</v>
      </c>
      <c r="G139" s="57">
        <f>+'Purchased Power Model '!G139</f>
        <v>1</v>
      </c>
      <c r="H139" s="220">
        <v>50032</v>
      </c>
      <c r="I139" s="222">
        <f t="shared" si="6"/>
        <v>36441110.149058491</v>
      </c>
      <c r="J139" s="36"/>
      <c r="K139" s="5"/>
    </row>
    <row r="140" spans="1:11" x14ac:dyDescent="0.2">
      <c r="A140" s="3">
        <v>41791</v>
      </c>
      <c r="B140" s="6">
        <v>31891061</v>
      </c>
      <c r="C140" s="217">
        <f>+'Purchased Power Model '!C140</f>
        <v>26.9</v>
      </c>
      <c r="D140" s="217">
        <f>+'Purchased Power Model '!D140</f>
        <v>40.1</v>
      </c>
      <c r="E140" s="126">
        <f>+'Purchased Power Model '!E140</f>
        <v>7.2000069999999999E-2</v>
      </c>
      <c r="F140" s="57">
        <f>+'Purchased Power Model '!F140</f>
        <v>30</v>
      </c>
      <c r="G140" s="57">
        <f>+'Purchased Power Model '!G140</f>
        <v>0</v>
      </c>
      <c r="H140" s="220">
        <v>50102</v>
      </c>
      <c r="I140" s="222">
        <f t="shared" si="6"/>
        <v>36755627.538627476</v>
      </c>
      <c r="J140" s="36"/>
      <c r="K140" s="5"/>
    </row>
    <row r="141" spans="1:11" x14ac:dyDescent="0.2">
      <c r="A141" s="3">
        <v>41821</v>
      </c>
      <c r="B141" s="6">
        <v>35262229</v>
      </c>
      <c r="C141" s="217">
        <f>+'Purchased Power Model '!C141</f>
        <v>9.5999999999999979</v>
      </c>
      <c r="D141" s="217">
        <f>+'Purchased Power Model '!D141</f>
        <v>54.599999999999994</v>
      </c>
      <c r="E141" s="126">
        <f>+'Purchased Power Model '!E141</f>
        <v>7.6999829999999991E-2</v>
      </c>
      <c r="F141" s="57">
        <f>+'Purchased Power Model '!F141</f>
        <v>31</v>
      </c>
      <c r="G141" s="57">
        <f>+'Purchased Power Model '!G141</f>
        <v>0</v>
      </c>
      <c r="H141" s="220">
        <v>50183</v>
      </c>
      <c r="I141" s="222">
        <f t="shared" si="6"/>
        <v>36507148.152244166</v>
      </c>
      <c r="J141" s="36"/>
      <c r="K141" s="5"/>
    </row>
    <row r="142" spans="1:11" x14ac:dyDescent="0.2">
      <c r="A142" s="3">
        <v>41852</v>
      </c>
      <c r="B142" s="6">
        <v>39782614</v>
      </c>
      <c r="C142" s="217">
        <f>+'Purchased Power Model '!C142</f>
        <v>12.7</v>
      </c>
      <c r="D142" s="217">
        <f>+'Purchased Power Model '!D142</f>
        <v>58</v>
      </c>
      <c r="E142" s="126">
        <f>+'Purchased Power Model '!E142</f>
        <v>7.6999829999999991E-2</v>
      </c>
      <c r="F142" s="57">
        <f>+'Purchased Power Model '!F142</f>
        <v>31</v>
      </c>
      <c r="G142" s="57">
        <f>+'Purchased Power Model '!G142</f>
        <v>0</v>
      </c>
      <c r="H142" s="220">
        <v>50251</v>
      </c>
      <c r="I142" s="222">
        <f t="shared" si="6"/>
        <v>36732140.103527904</v>
      </c>
      <c r="J142" s="36"/>
      <c r="K142" s="5"/>
    </row>
    <row r="143" spans="1:11" x14ac:dyDescent="0.2">
      <c r="A143" s="3">
        <v>41883</v>
      </c>
      <c r="B143" s="6">
        <v>39248944</v>
      </c>
      <c r="C143" s="217">
        <f>+'Purchased Power Model '!C143</f>
        <v>77.400000000000006</v>
      </c>
      <c r="D143" s="217">
        <f>+'Purchased Power Model '!D143</f>
        <v>22.5</v>
      </c>
      <c r="E143" s="126">
        <f>+'Purchased Power Model '!E143</f>
        <v>7.6999829999999991E-2</v>
      </c>
      <c r="F143" s="57">
        <f>+'Purchased Power Model '!F143</f>
        <v>30</v>
      </c>
      <c r="G143" s="57">
        <f>+'Purchased Power Model '!G143</f>
        <v>1</v>
      </c>
      <c r="H143" s="220">
        <v>50320</v>
      </c>
      <c r="I143" s="222">
        <f t="shared" si="6"/>
        <v>37351491.766326532</v>
      </c>
      <c r="J143" s="36"/>
      <c r="K143" s="5"/>
    </row>
    <row r="144" spans="1:11" x14ac:dyDescent="0.2">
      <c r="A144" s="3">
        <v>41913</v>
      </c>
      <c r="B144" s="6">
        <v>36539755</v>
      </c>
      <c r="C144" s="217">
        <f>+'Purchased Power Model '!C144</f>
        <v>216.29999999999998</v>
      </c>
      <c r="D144" s="217">
        <f>+'Purchased Power Model '!D144</f>
        <v>0.5</v>
      </c>
      <c r="E144" s="126">
        <f>+'Purchased Power Model '!E144</f>
        <v>7.3406150000000003E-2</v>
      </c>
      <c r="F144" s="57">
        <f>+'Purchased Power Model '!F144</f>
        <v>31</v>
      </c>
      <c r="G144" s="57">
        <f>+'Purchased Power Model '!G144</f>
        <v>1</v>
      </c>
      <c r="H144" s="220">
        <v>50423</v>
      </c>
      <c r="I144" s="222">
        <f t="shared" si="6"/>
        <v>37198140.455225587</v>
      </c>
      <c r="J144" s="36"/>
      <c r="K144" s="5"/>
    </row>
    <row r="145" spans="1:11" x14ac:dyDescent="0.2">
      <c r="A145" s="3">
        <v>41944</v>
      </c>
      <c r="B145" s="6">
        <v>32699721</v>
      </c>
      <c r="C145" s="217">
        <f>+'Purchased Power Model '!C145</f>
        <v>407.30000000000013</v>
      </c>
      <c r="D145" s="217">
        <f>+'Purchased Power Model '!D145</f>
        <v>0</v>
      </c>
      <c r="E145" s="126">
        <f>+'Purchased Power Model '!E145</f>
        <v>7.3406150000000003E-2</v>
      </c>
      <c r="F145" s="57">
        <f>+'Purchased Power Model '!F145</f>
        <v>30</v>
      </c>
      <c r="G145" s="57">
        <f>+'Purchased Power Model '!G145</f>
        <v>1</v>
      </c>
      <c r="H145" s="220">
        <v>50530</v>
      </c>
      <c r="I145" s="222">
        <f t="shared" si="6"/>
        <v>40694297.69473277</v>
      </c>
      <c r="J145" s="36"/>
      <c r="K145" s="5"/>
    </row>
    <row r="146" spans="1:11" x14ac:dyDescent="0.2">
      <c r="A146" s="3">
        <v>41974</v>
      </c>
      <c r="B146" s="6">
        <v>38833074</v>
      </c>
      <c r="C146" s="217">
        <f>+'Purchased Power Model '!C146</f>
        <v>551.79999999999995</v>
      </c>
      <c r="D146" s="217">
        <f>+'Purchased Power Model '!D146</f>
        <v>0</v>
      </c>
      <c r="E146" s="126">
        <f>+'Purchased Power Model '!E146</f>
        <v>7.3406150000000003E-2</v>
      </c>
      <c r="F146" s="57">
        <f>+'Purchased Power Model '!F146</f>
        <v>31</v>
      </c>
      <c r="G146" s="57">
        <f>+'Purchased Power Model '!G146</f>
        <v>0</v>
      </c>
      <c r="H146" s="220">
        <v>50574</v>
      </c>
      <c r="I146" s="222">
        <f t="shared" si="6"/>
        <v>41094702.902686834</v>
      </c>
      <c r="J146" s="36"/>
      <c r="K146" s="5"/>
    </row>
    <row r="147" spans="1:11" x14ac:dyDescent="0.2">
      <c r="A147" s="3">
        <v>42005</v>
      </c>
      <c r="C147" s="217">
        <f>+'Purchased Power Model '!C147</f>
        <v>665.29813270224599</v>
      </c>
      <c r="D147" s="217">
        <f ca="1">+'Purchased Power Model '!D147</f>
        <v>0</v>
      </c>
      <c r="E147" s="126">
        <f>+'Purchased Power Model '!E147</f>
        <v>7.3406150000000003E-2</v>
      </c>
      <c r="F147" s="57">
        <f>+'Purchased Power Model '!F147</f>
        <v>31</v>
      </c>
      <c r="G147" s="57">
        <f>+'Purchased Power Model '!G147</f>
        <v>0</v>
      </c>
      <c r="H147" s="220"/>
      <c r="I147" s="222">
        <f t="shared" ca="1" si="6"/>
        <v>42677564.368091971</v>
      </c>
      <c r="J147" s="36"/>
      <c r="K147" s="5"/>
    </row>
    <row r="148" spans="1:11" x14ac:dyDescent="0.2">
      <c r="A148" s="3">
        <v>42036</v>
      </c>
      <c r="C148" s="217">
        <f>+'Purchased Power Model '!C148</f>
        <v>595.90459610702271</v>
      </c>
      <c r="D148" s="217">
        <f ca="1">+'Purchased Power Model '!D148</f>
        <v>0</v>
      </c>
      <c r="E148" s="126">
        <f>+'Purchased Power Model '!E148</f>
        <v>7.3406150000000003E-2</v>
      </c>
      <c r="F148" s="57">
        <f>+'Purchased Power Model '!F148</f>
        <v>28</v>
      </c>
      <c r="G148" s="57">
        <f>+'Purchased Power Model '!G148</f>
        <v>0</v>
      </c>
      <c r="H148" s="220"/>
      <c r="I148" s="222">
        <f t="shared" ca="1" si="6"/>
        <v>44287310.148157991</v>
      </c>
      <c r="J148" s="36"/>
      <c r="K148" s="5"/>
    </row>
    <row r="149" spans="1:11" x14ac:dyDescent="0.2">
      <c r="A149" s="3">
        <v>42064</v>
      </c>
      <c r="C149" s="217">
        <f>+'Purchased Power Model '!C149</f>
        <v>584.77747836832327</v>
      </c>
      <c r="D149" s="217">
        <f ca="1">+'Purchased Power Model '!D149</f>
        <v>0</v>
      </c>
      <c r="E149" s="126">
        <f>+'Purchased Power Model '!E149</f>
        <v>7.3406150000000003E-2</v>
      </c>
      <c r="F149" s="57">
        <f>+'Purchased Power Model '!F149</f>
        <v>31</v>
      </c>
      <c r="G149" s="57">
        <f>+'Purchased Power Model '!G149</f>
        <v>1</v>
      </c>
      <c r="H149" s="220"/>
      <c r="I149" s="222">
        <f t="shared" ca="1" si="6"/>
        <v>42310251.708459049</v>
      </c>
      <c r="J149" s="36"/>
      <c r="K149" s="5"/>
    </row>
    <row r="150" spans="1:11" x14ac:dyDescent="0.2">
      <c r="A150" s="3">
        <v>42095</v>
      </c>
      <c r="C150" s="217">
        <f>+'Purchased Power Model '!C150</f>
        <v>320.27122607590286</v>
      </c>
      <c r="D150" s="217">
        <f ca="1">+'Purchased Power Model '!D150</f>
        <v>0</v>
      </c>
      <c r="E150" s="126">
        <f>+'Purchased Power Model '!E150</f>
        <v>7.3406150000000003E-2</v>
      </c>
      <c r="F150" s="57">
        <f>+'Purchased Power Model '!F150</f>
        <v>30</v>
      </c>
      <c r="G150" s="57">
        <f>+'Purchased Power Model '!G150</f>
        <v>1</v>
      </c>
      <c r="H150" s="220"/>
      <c r="I150" s="222">
        <f t="shared" ca="1" si="6"/>
        <v>39480581.756451249</v>
      </c>
      <c r="J150" s="36"/>
      <c r="K150" s="5"/>
    </row>
    <row r="151" spans="1:11" x14ac:dyDescent="0.2">
      <c r="A151" s="3">
        <v>42125</v>
      </c>
      <c r="C151" s="217">
        <f>+'Purchased Power Model '!C151</f>
        <v>138.4420462838201</v>
      </c>
      <c r="D151" s="217">
        <f ca="1">+'Purchased Power Model '!D151</f>
        <v>1.8457952405410045</v>
      </c>
      <c r="E151" s="126">
        <f>+'Purchased Power Model '!E151</f>
        <v>7.3406150000000003E-2</v>
      </c>
      <c r="F151" s="57">
        <f>+'Purchased Power Model '!F151</f>
        <v>31</v>
      </c>
      <c r="G151" s="57">
        <f>+'Purchased Power Model '!G151</f>
        <v>1</v>
      </c>
      <c r="H151" s="220"/>
      <c r="I151" s="222">
        <f t="shared" ca="1" si="6"/>
        <v>36184266.304370359</v>
      </c>
      <c r="J151" s="36"/>
      <c r="K151" s="5"/>
    </row>
    <row r="152" spans="1:11" x14ac:dyDescent="0.2">
      <c r="A152" s="3">
        <v>42156</v>
      </c>
      <c r="C152" s="217">
        <f>+'Purchased Power Model '!C152</f>
        <v>23.203059470621568</v>
      </c>
      <c r="D152" s="217">
        <f ca="1">+'Purchased Power Model '!D152</f>
        <v>56.93568395822637</v>
      </c>
      <c r="E152" s="126">
        <f>+'Purchased Power Model '!E152</f>
        <v>7.3406150000000003E-2</v>
      </c>
      <c r="F152" s="57">
        <f>+'Purchased Power Model '!F152</f>
        <v>30</v>
      </c>
      <c r="G152" s="57">
        <f>+'Purchased Power Model '!G152</f>
        <v>0</v>
      </c>
      <c r="H152" s="220"/>
      <c r="I152" s="222">
        <f t="shared" ca="1" si="6"/>
        <v>37625682.072280407</v>
      </c>
      <c r="J152" s="36"/>
      <c r="K152" s="5"/>
    </row>
    <row r="153" spans="1:11" x14ac:dyDescent="0.2">
      <c r="A153" s="3">
        <v>42186</v>
      </c>
      <c r="C153" s="217">
        <f>+'Purchased Power Model '!C153</f>
        <v>8.2806457590322324</v>
      </c>
      <c r="D153" s="217">
        <f ca="1">+'Purchased Power Model '!D153</f>
        <v>77.523400102722178</v>
      </c>
      <c r="E153" s="126">
        <f>+'Purchased Power Model '!E153</f>
        <v>7.3406150000000003E-2</v>
      </c>
      <c r="F153" s="57">
        <f>+'Purchased Power Model '!F153</f>
        <v>31</v>
      </c>
      <c r="G153" s="57">
        <f>+'Purchased Power Model '!G153</f>
        <v>0</v>
      </c>
      <c r="H153" s="220"/>
      <c r="I153" s="222">
        <f t="shared" ca="1" si="6"/>
        <v>37658987.63526994</v>
      </c>
      <c r="J153" s="36"/>
      <c r="K153" s="5"/>
    </row>
    <row r="154" spans="1:11" x14ac:dyDescent="0.2">
      <c r="A154" s="3">
        <v>42217</v>
      </c>
      <c r="C154" s="217">
        <f>+'Purchased Power Model '!C154</f>
        <v>10.954604285386392</v>
      </c>
      <c r="D154" s="217">
        <f ca="1">+'Purchased Power Model '!D154</f>
        <v>82.350864577983273</v>
      </c>
      <c r="E154" s="126">
        <f>+'Purchased Power Model '!E154</f>
        <v>7.3406150000000003E-2</v>
      </c>
      <c r="F154" s="57">
        <f>+'Purchased Power Model '!F154</f>
        <v>31</v>
      </c>
      <c r="G154" s="57">
        <f>+'Purchased Power Model '!G154</f>
        <v>0</v>
      </c>
      <c r="H154" s="220"/>
      <c r="I154" s="222">
        <f t="shared" ca="1" si="6"/>
        <v>37954348.060032234</v>
      </c>
      <c r="J154" s="36"/>
      <c r="K154" s="5"/>
    </row>
    <row r="155" spans="1:11" x14ac:dyDescent="0.2">
      <c r="A155" s="3">
        <v>42248</v>
      </c>
      <c r="C155" s="217">
        <f>+'Purchased Power Model '!C155</f>
        <v>66.76270643219739</v>
      </c>
      <c r="D155" s="217">
        <f ca="1">+'Purchased Power Model '!D155</f>
        <v>31.946456086286616</v>
      </c>
      <c r="E155" s="126">
        <f>+'Purchased Power Model '!E155</f>
        <v>7.3406150000000003E-2</v>
      </c>
      <c r="F155" s="57">
        <f>+'Purchased Power Model '!F155</f>
        <v>30</v>
      </c>
      <c r="G155" s="57">
        <f>+'Purchased Power Model '!G155</f>
        <v>1</v>
      </c>
      <c r="H155" s="220"/>
      <c r="I155" s="222">
        <f t="shared" ca="1" si="6"/>
        <v>37652924.698921546</v>
      </c>
      <c r="J155" s="36"/>
      <c r="K155" s="5"/>
    </row>
    <row r="156" spans="1:11" x14ac:dyDescent="0.2">
      <c r="A156" s="3">
        <v>42278</v>
      </c>
      <c r="C156" s="217">
        <f>+'Purchased Power Model '!C156</f>
        <v>186.57329975819502</v>
      </c>
      <c r="D156" s="217">
        <f ca="1">+'Purchased Power Model '!D156</f>
        <v>0.70992124636192477</v>
      </c>
      <c r="E156" s="126">
        <f>+'Purchased Power Model '!E156</f>
        <v>7.3406150000000003E-2</v>
      </c>
      <c r="F156" s="57">
        <f>+'Purchased Power Model '!F156</f>
        <v>31</v>
      </c>
      <c r="G156" s="57">
        <f>+'Purchased Power Model '!G156</f>
        <v>1</v>
      </c>
      <c r="H156" s="220"/>
      <c r="I156" s="222">
        <f t="shared" ca="1" si="6"/>
        <v>36794789.645289689</v>
      </c>
      <c r="J156" s="36"/>
      <c r="K156" s="5"/>
    </row>
    <row r="157" spans="1:11" x14ac:dyDescent="0.2">
      <c r="A157" s="3">
        <v>42309</v>
      </c>
      <c r="C157" s="217">
        <f>+'Purchased Power Model '!C157</f>
        <v>351.32364767227392</v>
      </c>
      <c r="D157" s="217">
        <f ca="1">+'Purchased Power Model '!D157</f>
        <v>0</v>
      </c>
      <c r="E157" s="126">
        <f>+'Purchased Power Model '!E157</f>
        <v>7.3406150000000003E-2</v>
      </c>
      <c r="F157" s="57">
        <f>+'Purchased Power Model '!F157</f>
        <v>30</v>
      </c>
      <c r="G157" s="57">
        <f>+'Purchased Power Model '!G157</f>
        <v>1</v>
      </c>
      <c r="H157" s="220"/>
      <c r="I157" s="222">
        <f t="shared" ca="1" si="6"/>
        <v>39913643.344181105</v>
      </c>
      <c r="J157" s="36"/>
      <c r="K157" s="5"/>
    </row>
    <row r="158" spans="1:11" x14ac:dyDescent="0.2">
      <c r="A158" s="3">
        <v>42339</v>
      </c>
      <c r="C158" s="217">
        <f>+'Purchased Power Model '!C158</f>
        <v>475.96461769104019</v>
      </c>
      <c r="D158" s="217">
        <f ca="1">+'Purchased Power Model '!D158</f>
        <v>0</v>
      </c>
      <c r="E158" s="126">
        <f>+'Purchased Power Model '!E158</f>
        <v>7.3406150000000003E-2</v>
      </c>
      <c r="F158" s="57">
        <f>+'Purchased Power Model '!F158</f>
        <v>31</v>
      </c>
      <c r="G158" s="57">
        <f>+'Purchased Power Model '!G158</f>
        <v>0</v>
      </c>
      <c r="H158" s="220"/>
      <c r="I158" s="222">
        <f t="shared" ca="1" si="6"/>
        <v>40037091.631794602</v>
      </c>
      <c r="J158" s="36"/>
      <c r="K158" s="5"/>
    </row>
    <row r="159" spans="1:11" x14ac:dyDescent="0.2">
      <c r="A159" s="3">
        <v>42370</v>
      </c>
      <c r="C159" s="217">
        <f>+'Purchased Power Model '!C159</f>
        <v>663.68561281945165</v>
      </c>
      <c r="D159" s="217">
        <f ca="1">+'Purchased Power Model '!D159</f>
        <v>0</v>
      </c>
      <c r="E159" s="126">
        <f>+'Purchased Power Model '!E159</f>
        <v>7.3406150000000003E-2</v>
      </c>
      <c r="F159" s="57">
        <f>+'Purchased Power Model '!F159</f>
        <v>31</v>
      </c>
      <c r="G159" s="57">
        <f>+'Purchased Power Model '!G159</f>
        <v>0</v>
      </c>
      <c r="H159" s="220"/>
      <c r="I159" s="222">
        <f t="shared" ca="1" si="6"/>
        <v>42655075.931287721</v>
      </c>
      <c r="J159" s="36"/>
      <c r="K159" s="5"/>
    </row>
    <row r="160" spans="1:11" x14ac:dyDescent="0.2">
      <c r="A160" s="3">
        <v>42401</v>
      </c>
      <c r="C160" s="217">
        <f>+'Purchased Power Model '!C160</f>
        <v>594.4602691771272</v>
      </c>
      <c r="D160" s="217">
        <f ca="1">+'Purchased Power Model '!D160</f>
        <v>0</v>
      </c>
      <c r="E160" s="126">
        <f>+'Purchased Power Model '!E160</f>
        <v>7.3406150000000003E-2</v>
      </c>
      <c r="F160" s="57">
        <f>+'Purchased Power Model '!F160</f>
        <v>29</v>
      </c>
      <c r="G160" s="57">
        <f>+'Purchased Power Model '!G160</f>
        <v>0</v>
      </c>
      <c r="H160" s="220"/>
      <c r="I160" s="222">
        <f t="shared" ca="1" si="6"/>
        <v>43407994.643483952</v>
      </c>
      <c r="J160" s="36"/>
      <c r="K160" s="5"/>
    </row>
    <row r="161" spans="1:11" x14ac:dyDescent="0.2">
      <c r="A161" s="3">
        <v>42430</v>
      </c>
      <c r="C161" s="217">
        <f>+'Purchased Power Model '!C161</f>
        <v>583.36012084914728</v>
      </c>
      <c r="D161" s="217">
        <f ca="1">+'Purchased Power Model '!D161</f>
        <v>0</v>
      </c>
      <c r="E161" s="126">
        <f>+'Purchased Power Model '!E161</f>
        <v>7.3406150000000003E-2</v>
      </c>
      <c r="F161" s="57">
        <f>+'Purchased Power Model '!F161</f>
        <v>31</v>
      </c>
      <c r="G161" s="57">
        <f>+'Purchased Power Model '!G161</f>
        <v>1</v>
      </c>
      <c r="H161" s="220"/>
      <c r="I161" s="222">
        <f t="shared" ca="1" si="6"/>
        <v>42290485.034361511</v>
      </c>
      <c r="J161" s="36"/>
      <c r="K161" s="5"/>
    </row>
    <row r="162" spans="1:11" x14ac:dyDescent="0.2">
      <c r="A162" s="3">
        <v>42461</v>
      </c>
      <c r="C162" s="217">
        <f>+'Purchased Power Model '!C162</f>
        <v>319.49496699061632</v>
      </c>
      <c r="D162" s="217">
        <f ca="1">+'Purchased Power Model '!D162</f>
        <v>0</v>
      </c>
      <c r="E162" s="126">
        <f>+'Purchased Power Model '!E162</f>
        <v>7.3406150000000003E-2</v>
      </c>
      <c r="F162" s="57">
        <f>+'Purchased Power Model '!F162</f>
        <v>30</v>
      </c>
      <c r="G162" s="57">
        <f>+'Purchased Power Model '!G162</f>
        <v>1</v>
      </c>
      <c r="H162" s="220"/>
      <c r="I162" s="222">
        <f t="shared" ca="1" si="6"/>
        <v>39469755.934351653</v>
      </c>
      <c r="J162" s="36"/>
      <c r="K162" s="5"/>
    </row>
    <row r="163" spans="1:11" x14ac:dyDescent="0.2">
      <c r="A163" s="3">
        <v>42491</v>
      </c>
      <c r="C163" s="217">
        <f>+'Purchased Power Model '!C163</f>
        <v>138.10649663882012</v>
      </c>
      <c r="D163" s="217">
        <f ca="1">+'Purchased Power Model '!D163</f>
        <v>1.8640104434172213</v>
      </c>
      <c r="E163" s="126">
        <f>+'Purchased Power Model '!E163</f>
        <v>7.3406150000000003E-2</v>
      </c>
      <c r="F163" s="57">
        <f>+'Purchased Power Model '!F163</f>
        <v>31</v>
      </c>
      <c r="G163" s="57">
        <f>+'Purchased Power Model '!G163</f>
        <v>1</v>
      </c>
      <c r="H163" s="220"/>
      <c r="I163" s="222">
        <f t="shared" ca="1" si="6"/>
        <v>36180560.437645391</v>
      </c>
      <c r="J163" s="36"/>
      <c r="K163" s="5"/>
    </row>
    <row r="164" spans="1:11" x14ac:dyDescent="0.2">
      <c r="A164" s="3">
        <v>42522</v>
      </c>
      <c r="C164" s="217">
        <f>+'Purchased Power Model '!C164</f>
        <v>23.146820931989172</v>
      </c>
      <c r="D164" s="217">
        <f ca="1">+'Purchased Power Model '!D164</f>
        <v>57.497552908485055</v>
      </c>
      <c r="E164" s="126">
        <f>+'Purchased Power Model '!E164</f>
        <v>7.3406150000000003E-2</v>
      </c>
      <c r="F164" s="57">
        <f>+'Purchased Power Model '!F164</f>
        <v>30</v>
      </c>
      <c r="G164" s="57">
        <f>+'Purchased Power Model '!G164</f>
        <v>0</v>
      </c>
      <c r="H164" s="220"/>
      <c r="I164" s="222">
        <f t="shared" ca="1" si="6"/>
        <v>37654934.432790235</v>
      </c>
      <c r="J164" s="36"/>
      <c r="K164" s="5"/>
    </row>
    <row r="165" spans="1:11" x14ac:dyDescent="0.2">
      <c r="A165" s="3">
        <v>42552</v>
      </c>
      <c r="C165" s="217">
        <f>+'Purchased Power Model '!C165</f>
        <v>8.2605754998920471</v>
      </c>
      <c r="D165" s="217">
        <f ca="1">+'Purchased Power Model '!D165</f>
        <v>78.288438623523277</v>
      </c>
      <c r="E165" s="126">
        <f>+'Purchased Power Model '!E165</f>
        <v>7.3406150000000003E-2</v>
      </c>
      <c r="F165" s="57">
        <f>+'Purchased Power Model '!F165</f>
        <v>31</v>
      </c>
      <c r="G165" s="57">
        <f>+'Purchased Power Model '!G165</f>
        <v>0</v>
      </c>
      <c r="H165" s="220"/>
      <c r="I165" s="222">
        <f t="shared" ca="1" si="6"/>
        <v>37699605.544378355</v>
      </c>
      <c r="J165" s="36"/>
      <c r="K165" s="5"/>
    </row>
    <row r="166" spans="1:11" x14ac:dyDescent="0.2">
      <c r="A166" s="3">
        <v>42583</v>
      </c>
      <c r="C166" s="217">
        <f>+'Purchased Power Model '!C166</f>
        <v>10.92805300506552</v>
      </c>
      <c r="D166" s="217">
        <f ca="1">+'Purchased Power Model '!D166</f>
        <v>83.163542860152944</v>
      </c>
      <c r="E166" s="126">
        <f>+'Purchased Power Model '!E166</f>
        <v>7.3406150000000003E-2</v>
      </c>
      <c r="F166" s="57">
        <f>+'Purchased Power Model '!F166</f>
        <v>31</v>
      </c>
      <c r="G166" s="57">
        <f>+'Purchased Power Model '!G166</f>
        <v>0</v>
      </c>
      <c r="H166" s="220"/>
      <c r="I166" s="222">
        <f t="shared" ca="1" si="6"/>
        <v>37997422.334065855</v>
      </c>
      <c r="J166" s="36"/>
      <c r="K166" s="5"/>
    </row>
    <row r="167" spans="1:11" x14ac:dyDescent="0.2">
      <c r="A167" s="3">
        <v>42614</v>
      </c>
      <c r="C167" s="217">
        <f>+'Purchased Power Model '!C167</f>
        <v>66.600889967879638</v>
      </c>
      <c r="D167" s="217">
        <f ca="1">+'Purchased Power Model '!D167</f>
        <v>32.261719212990371</v>
      </c>
      <c r="E167" s="126">
        <f>+'Purchased Power Model '!E167</f>
        <v>7.3406150000000003E-2</v>
      </c>
      <c r="F167" s="57">
        <f>+'Purchased Power Model '!F167</f>
        <v>30</v>
      </c>
      <c r="G167" s="57">
        <f>+'Purchased Power Model '!G167</f>
        <v>1</v>
      </c>
      <c r="H167" s="220"/>
      <c r="I167" s="222">
        <f t="shared" ca="1" si="6"/>
        <v>37667521.476875111</v>
      </c>
      <c r="J167" s="36"/>
      <c r="K167" s="5"/>
    </row>
    <row r="168" spans="1:11" x14ac:dyDescent="0.2">
      <c r="A168" s="3">
        <v>42644</v>
      </c>
      <c r="C168" s="217">
        <f>+'Purchased Power Model '!C168</f>
        <v>186.1210917319427</v>
      </c>
      <c r="D168" s="217">
        <f ca="1">+'Purchased Power Model '!D168</f>
        <v>0.71692709362200813</v>
      </c>
      <c r="E168" s="126">
        <f>+'Purchased Power Model '!E168</f>
        <v>7.3406150000000003E-2</v>
      </c>
      <c r="F168" s="57">
        <f>+'Purchased Power Model '!F168</f>
        <v>31</v>
      </c>
      <c r="G168" s="57">
        <f>+'Purchased Power Model '!G168</f>
        <v>1</v>
      </c>
      <c r="H168" s="220"/>
      <c r="I168" s="222">
        <f t="shared" ca="1" si="6"/>
        <v>36788857.608474791</v>
      </c>
      <c r="J168" s="36"/>
      <c r="K168" s="5"/>
    </row>
    <row r="169" spans="1:11" x14ac:dyDescent="0.2">
      <c r="A169" s="3">
        <v>42675</v>
      </c>
      <c r="C169" s="217">
        <f>+'Purchased Power Model '!C169</f>
        <v>350.47212511521167</v>
      </c>
      <c r="D169" s="217">
        <f ca="1">+'Purchased Power Model '!D169</f>
        <v>0</v>
      </c>
      <c r="E169" s="126">
        <f>+'Purchased Power Model '!E169</f>
        <v>7.3406150000000003E-2</v>
      </c>
      <c r="F169" s="57">
        <f>+'Purchased Power Model '!F169</f>
        <v>30</v>
      </c>
      <c r="G169" s="57">
        <f>+'Purchased Power Model '!G169</f>
        <v>1</v>
      </c>
      <c r="H169" s="220"/>
      <c r="I169" s="222">
        <f t="shared" ca="1" si="6"/>
        <v>39901767.886758104</v>
      </c>
      <c r="J169" s="36"/>
      <c r="K169" s="5"/>
    </row>
    <row r="170" spans="1:11" x14ac:dyDescent="0.2">
      <c r="A170" s="3">
        <v>42705</v>
      </c>
      <c r="C170" s="217">
        <f>+'Purchased Power Model '!C170</f>
        <v>474.81099592087827</v>
      </c>
      <c r="D170" s="217">
        <f ca="1">+'Purchased Power Model '!D170</f>
        <v>0</v>
      </c>
      <c r="E170" s="126">
        <f>+'Purchased Power Model '!E170</f>
        <v>7.3406150000000003E-2</v>
      </c>
      <c r="F170" s="57">
        <f>+'Purchased Power Model '!F170</f>
        <v>31</v>
      </c>
      <c r="G170" s="57">
        <f>+'Purchased Power Model '!G170</f>
        <v>0</v>
      </c>
      <c r="H170" s="220"/>
      <c r="I170" s="222">
        <f t="shared" ca="1" si="6"/>
        <v>40021003.054809541</v>
      </c>
      <c r="J170" s="36"/>
      <c r="K170" s="5"/>
    </row>
    <row r="171" spans="1:11" x14ac:dyDescent="0.2">
      <c r="A171" s="3">
        <v>42736</v>
      </c>
      <c r="C171" s="217">
        <f>+'Purchased Power Model '!C171</f>
        <v>662.07309293665651</v>
      </c>
      <c r="D171" s="217">
        <f ca="1">+'Purchased Power Model '!D171</f>
        <v>0</v>
      </c>
      <c r="E171" s="126">
        <f>+'Purchased Power Model '!E171</f>
        <v>7.3406150000000003E-2</v>
      </c>
      <c r="F171" s="57">
        <f>+'Purchased Power Model '!F171</f>
        <v>31</v>
      </c>
      <c r="G171" s="57">
        <f>+'Purchased Power Model '!G171</f>
        <v>0</v>
      </c>
      <c r="H171" s="220"/>
      <c r="I171" s="222">
        <f t="shared" ca="1" si="6"/>
        <v>42632587.494483456</v>
      </c>
      <c r="J171" s="36"/>
      <c r="K171" s="5"/>
    </row>
    <row r="172" spans="1:11" x14ac:dyDescent="0.2">
      <c r="A172" s="3">
        <v>42767</v>
      </c>
      <c r="C172" s="217">
        <f>+'Purchased Power Model '!C172</f>
        <v>593.0159422472309</v>
      </c>
      <c r="D172" s="217">
        <f ca="1">+'Purchased Power Model '!D172</f>
        <v>0</v>
      </c>
      <c r="E172" s="126">
        <f>+'Purchased Power Model '!E172</f>
        <v>7.3406150000000003E-2</v>
      </c>
      <c r="F172" s="57">
        <f>+'Purchased Power Model '!F172</f>
        <v>28</v>
      </c>
      <c r="G172" s="57">
        <f>+'Purchased Power Model '!G172</f>
        <v>0</v>
      </c>
      <c r="H172" s="220"/>
      <c r="I172" s="222">
        <f t="shared" ca="1" si="6"/>
        <v>44247024.561314441</v>
      </c>
      <c r="J172" s="36"/>
      <c r="K172" s="5"/>
    </row>
    <row r="173" spans="1:11" x14ac:dyDescent="0.2">
      <c r="A173" s="3">
        <v>42795</v>
      </c>
      <c r="C173" s="217">
        <f>+'Purchased Power Model '!C173</f>
        <v>581.9427633299706</v>
      </c>
      <c r="D173" s="217">
        <f ca="1">+'Purchased Power Model '!D173</f>
        <v>0</v>
      </c>
      <c r="E173" s="126">
        <f>+'Purchased Power Model '!E173</f>
        <v>7.3406150000000003E-2</v>
      </c>
      <c r="F173" s="57">
        <f>+'Purchased Power Model '!F173</f>
        <v>31</v>
      </c>
      <c r="G173" s="57">
        <f>+'Purchased Power Model '!G173</f>
        <v>1</v>
      </c>
      <c r="H173" s="220"/>
      <c r="I173" s="222">
        <f t="shared" ca="1" si="6"/>
        <v>42270718.360263944</v>
      </c>
      <c r="J173" s="36"/>
      <c r="K173" s="5"/>
    </row>
    <row r="174" spans="1:11" x14ac:dyDescent="0.2">
      <c r="A174" s="3">
        <v>42826</v>
      </c>
      <c r="C174" s="217">
        <f>+'Purchased Power Model '!C174</f>
        <v>318.71870790532938</v>
      </c>
      <c r="D174" s="217">
        <f ca="1">+'Purchased Power Model '!D174</f>
        <v>0</v>
      </c>
      <c r="E174" s="126">
        <f>+'Purchased Power Model '!E174</f>
        <v>7.3406150000000003E-2</v>
      </c>
      <c r="F174" s="57">
        <f>+'Purchased Power Model '!F174</f>
        <v>30</v>
      </c>
      <c r="G174" s="57">
        <f>+'Purchased Power Model '!G174</f>
        <v>1</v>
      </c>
      <c r="H174" s="220"/>
      <c r="I174" s="222">
        <f t="shared" ca="1" si="6"/>
        <v>39458930.112252057</v>
      </c>
      <c r="J174" s="36"/>
      <c r="K174" s="5"/>
    </row>
    <row r="175" spans="1:11" x14ac:dyDescent="0.2">
      <c r="A175" s="3">
        <v>42856</v>
      </c>
      <c r="C175" s="217">
        <f>+'Purchased Power Model '!C175</f>
        <v>137.77094699381996</v>
      </c>
      <c r="D175" s="217">
        <f ca="1">+'Purchased Power Model '!D175</f>
        <v>1.8822256462934444</v>
      </c>
      <c r="E175" s="126">
        <f>+'Purchased Power Model '!E175</f>
        <v>7.3406150000000003E-2</v>
      </c>
      <c r="F175" s="57">
        <f>+'Purchased Power Model '!F175</f>
        <v>31</v>
      </c>
      <c r="G175" s="57">
        <f>+'Purchased Power Model '!G175</f>
        <v>1</v>
      </c>
      <c r="H175" s="220"/>
      <c r="I175" s="222">
        <f t="shared" ca="1" si="6"/>
        <v>36176854.570920408</v>
      </c>
      <c r="J175" s="36"/>
      <c r="K175" s="5"/>
    </row>
    <row r="176" spans="1:11" x14ac:dyDescent="0.2">
      <c r="A176" s="3">
        <v>42887</v>
      </c>
      <c r="C176" s="217">
        <f>+'Purchased Power Model '!C176</f>
        <v>23.090582393356748</v>
      </c>
      <c r="D176" s="217">
        <f ca="1">+'Purchased Power Model '!D176</f>
        <v>58.059421858743939</v>
      </c>
      <c r="E176" s="126">
        <f>+'Purchased Power Model '!E176</f>
        <v>7.3406150000000003E-2</v>
      </c>
      <c r="F176" s="57">
        <f>+'Purchased Power Model '!F176</f>
        <v>30</v>
      </c>
      <c r="G176" s="57">
        <f>+'Purchased Power Model '!G176</f>
        <v>0</v>
      </c>
      <c r="H176" s="220"/>
      <c r="I176" s="222">
        <f t="shared" ca="1" si="6"/>
        <v>37684186.793300048</v>
      </c>
      <c r="J176" s="36"/>
      <c r="K176" s="5"/>
    </row>
    <row r="177" spans="1:11" x14ac:dyDescent="0.2">
      <c r="A177" s="3">
        <v>42917</v>
      </c>
      <c r="C177" s="217">
        <f>+'Purchased Power Model '!C177</f>
        <v>8.2405052407518511</v>
      </c>
      <c r="D177" s="217">
        <f ca="1">+'Purchased Power Model '!D177</f>
        <v>79.053477144324646</v>
      </c>
      <c r="E177" s="126">
        <f>+'Purchased Power Model '!E177</f>
        <v>7.3406150000000003E-2</v>
      </c>
      <c r="F177" s="57">
        <f>+'Purchased Power Model '!F177</f>
        <v>31</v>
      </c>
      <c r="G177" s="57">
        <f>+'Purchased Power Model '!G177</f>
        <v>0</v>
      </c>
      <c r="H177" s="220"/>
      <c r="I177" s="222">
        <f t="shared" ca="1" si="6"/>
        <v>37740223.453486785</v>
      </c>
      <c r="J177" s="36"/>
      <c r="K177" s="5"/>
    </row>
    <row r="178" spans="1:11" x14ac:dyDescent="0.2">
      <c r="A178" s="3">
        <v>42948</v>
      </c>
      <c r="C178" s="217">
        <f>+'Purchased Power Model '!C178</f>
        <v>10.901501724744636</v>
      </c>
      <c r="D178" s="217">
        <f ca="1">+'Purchased Power Model '!D178</f>
        <v>83.976221142322899</v>
      </c>
      <c r="E178" s="126">
        <f>+'Purchased Power Model '!E178</f>
        <v>7.3406150000000003E-2</v>
      </c>
      <c r="F178" s="57">
        <f>+'Purchased Power Model '!F178</f>
        <v>31</v>
      </c>
      <c r="G178" s="57">
        <f>+'Purchased Power Model '!G178</f>
        <v>0</v>
      </c>
      <c r="H178" s="220"/>
      <c r="I178" s="222">
        <f t="shared" ca="1" si="6"/>
        <v>38040496.608099505</v>
      </c>
      <c r="J178" s="36"/>
      <c r="K178" s="5"/>
    </row>
    <row r="179" spans="1:11" x14ac:dyDescent="0.2">
      <c r="A179" s="3">
        <v>42979</v>
      </c>
      <c r="C179" s="217">
        <f>+'Purchased Power Model '!C179</f>
        <v>66.439073503561801</v>
      </c>
      <c r="D179" s="217">
        <f ca="1">+'Purchased Power Model '!D179</f>
        <v>32.576982339694233</v>
      </c>
      <c r="E179" s="126">
        <f>+'Purchased Power Model '!E179</f>
        <v>7.3406150000000003E-2</v>
      </c>
      <c r="F179" s="57">
        <f>+'Purchased Power Model '!F179</f>
        <v>30</v>
      </c>
      <c r="G179" s="57">
        <f>+'Purchased Power Model '!G179</f>
        <v>1</v>
      </c>
      <c r="H179" s="220"/>
      <c r="I179" s="222">
        <f t="shared" ca="1" si="6"/>
        <v>37682118.254828647</v>
      </c>
      <c r="J179" s="36"/>
      <c r="K179" s="5"/>
    </row>
    <row r="180" spans="1:11" x14ac:dyDescent="0.2">
      <c r="A180" s="3">
        <v>43009</v>
      </c>
      <c r="C180" s="217">
        <f>+'Purchased Power Model '!C180</f>
        <v>185.66888370569015</v>
      </c>
      <c r="D180" s="217">
        <f ca="1">+'Purchased Power Model '!D180</f>
        <v>0.72393294088209392</v>
      </c>
      <c r="E180" s="126">
        <f>+'Purchased Power Model '!E180</f>
        <v>7.3406150000000003E-2</v>
      </c>
      <c r="F180" s="57">
        <f>+'Purchased Power Model '!F180</f>
        <v>31</v>
      </c>
      <c r="G180" s="57">
        <f>+'Purchased Power Model '!G180</f>
        <v>1</v>
      </c>
      <c r="H180" s="220"/>
      <c r="I180" s="222">
        <f t="shared" ca="1" si="6"/>
        <v>36782925.571659878</v>
      </c>
      <c r="J180" s="36"/>
      <c r="K180" s="5"/>
    </row>
    <row r="181" spans="1:11" x14ac:dyDescent="0.2">
      <c r="A181" s="3">
        <v>43040</v>
      </c>
      <c r="C181" s="217">
        <f>+'Purchased Power Model '!C181</f>
        <v>349.62060255814896</v>
      </c>
      <c r="D181" s="217">
        <f ca="1">+'Purchased Power Model '!D181</f>
        <v>0</v>
      </c>
      <c r="E181" s="126">
        <f>+'Purchased Power Model '!E181</f>
        <v>7.3406150000000003E-2</v>
      </c>
      <c r="F181" s="57">
        <f>+'Purchased Power Model '!F181</f>
        <v>30</v>
      </c>
      <c r="G181" s="57">
        <f>+'Purchased Power Model '!G181</f>
        <v>1</v>
      </c>
      <c r="H181" s="220"/>
      <c r="I181" s="222">
        <f t="shared" ca="1" si="6"/>
        <v>39889892.429335073</v>
      </c>
      <c r="J181" s="36"/>
      <c r="K181" s="5"/>
    </row>
    <row r="182" spans="1:11" x14ac:dyDescent="0.2">
      <c r="A182" s="3">
        <v>43070</v>
      </c>
      <c r="C182" s="217">
        <f>+'Purchased Power Model '!C182</f>
        <v>473.65737415071578</v>
      </c>
      <c r="D182" s="217">
        <f ca="1">+'Purchased Power Model '!D182</f>
        <v>0</v>
      </c>
      <c r="E182" s="126">
        <f>+'Purchased Power Model '!E182</f>
        <v>7.3406150000000003E-2</v>
      </c>
      <c r="F182" s="57">
        <f>+'Purchased Power Model '!F182</f>
        <v>31</v>
      </c>
      <c r="G182" s="57">
        <f>+'Purchased Power Model '!G182</f>
        <v>0</v>
      </c>
      <c r="H182" s="220"/>
      <c r="I182" s="222">
        <f t="shared" ca="1" si="6"/>
        <v>40004914.47782445</v>
      </c>
      <c r="J182" s="36"/>
      <c r="K182" s="5"/>
    </row>
    <row r="183" spans="1:11" x14ac:dyDescent="0.2">
      <c r="A183" s="3">
        <v>43101</v>
      </c>
      <c r="C183" s="217">
        <f>+'Purchased Power Model '!C183</f>
        <v>660.46057305386228</v>
      </c>
      <c r="D183" s="217">
        <f ca="1">+'Purchased Power Model '!D183</f>
        <v>0</v>
      </c>
      <c r="E183" s="126">
        <f>+'Purchased Power Model '!E183</f>
        <v>7.3406150000000003E-2</v>
      </c>
      <c r="F183" s="57">
        <f>+'Purchased Power Model '!F183</f>
        <v>31</v>
      </c>
      <c r="G183" s="57">
        <f>+'Purchased Power Model '!G183</f>
        <v>0</v>
      </c>
      <c r="H183" s="220"/>
      <c r="I183" s="222">
        <f t="shared" ca="1" si="6"/>
        <v>42610099.057679206</v>
      </c>
      <c r="J183" s="36"/>
      <c r="K183" s="5"/>
    </row>
    <row r="184" spans="1:11" x14ac:dyDescent="0.2">
      <c r="A184" s="3">
        <v>43132</v>
      </c>
      <c r="C184" s="217">
        <f>+'Purchased Power Model '!C184</f>
        <v>591.57161531733539</v>
      </c>
      <c r="D184" s="217">
        <f ca="1">+'Purchased Power Model '!D184</f>
        <v>0</v>
      </c>
      <c r="E184" s="126">
        <f>+'Purchased Power Model '!E184</f>
        <v>7.3406150000000003E-2</v>
      </c>
      <c r="F184" s="57">
        <f>+'Purchased Power Model '!F184</f>
        <v>28</v>
      </c>
      <c r="G184" s="57">
        <f>+'Purchased Power Model '!G184</f>
        <v>0</v>
      </c>
      <c r="H184" s="220"/>
      <c r="I184" s="222">
        <f t="shared" ca="1" si="6"/>
        <v>44226881.767892666</v>
      </c>
      <c r="J184" s="36"/>
      <c r="K184" s="5"/>
    </row>
    <row r="185" spans="1:11" x14ac:dyDescent="0.2">
      <c r="A185" s="3">
        <v>43160</v>
      </c>
      <c r="C185" s="217">
        <f>+'Purchased Power Model '!C185</f>
        <v>580.52540581079472</v>
      </c>
      <c r="D185" s="217">
        <f ca="1">+'Purchased Power Model '!D185</f>
        <v>0</v>
      </c>
      <c r="E185" s="126">
        <f>+'Purchased Power Model '!E185</f>
        <v>7.3406150000000003E-2</v>
      </c>
      <c r="F185" s="57">
        <f>+'Purchased Power Model '!F185</f>
        <v>31</v>
      </c>
      <c r="G185" s="57">
        <f>+'Purchased Power Model '!G185</f>
        <v>1</v>
      </c>
      <c r="H185" s="220"/>
      <c r="I185" s="222">
        <f t="shared" ca="1" si="6"/>
        <v>42250951.686166391</v>
      </c>
      <c r="J185" s="36"/>
      <c r="K185" s="5"/>
    </row>
    <row r="186" spans="1:11" x14ac:dyDescent="0.2">
      <c r="A186" s="3">
        <v>43191</v>
      </c>
      <c r="C186" s="217">
        <f>+'Purchased Power Model '!C186</f>
        <v>317.94244882004284</v>
      </c>
      <c r="D186" s="217">
        <f ca="1">+'Purchased Power Model '!D186</f>
        <v>0</v>
      </c>
      <c r="E186" s="126">
        <f>+'Purchased Power Model '!E186</f>
        <v>7.3406150000000003E-2</v>
      </c>
      <c r="F186" s="57">
        <f>+'Purchased Power Model '!F186</f>
        <v>30</v>
      </c>
      <c r="G186" s="57">
        <f>+'Purchased Power Model '!G186</f>
        <v>1</v>
      </c>
      <c r="H186" s="220"/>
      <c r="I186" s="222">
        <f t="shared" ca="1" si="6"/>
        <v>39448104.29015246</v>
      </c>
      <c r="J186" s="36"/>
      <c r="K186" s="5"/>
    </row>
    <row r="187" spans="1:11" x14ac:dyDescent="0.2">
      <c r="A187" s="3">
        <v>43221</v>
      </c>
      <c r="C187" s="217">
        <f>+'Purchased Power Model '!C187</f>
        <v>137.43539734882</v>
      </c>
      <c r="D187" s="217">
        <f ca="1">+'Purchased Power Model '!D187</f>
        <v>1.9004408491696605</v>
      </c>
      <c r="E187" s="126">
        <f>+'Purchased Power Model '!E187</f>
        <v>7.3406150000000003E-2</v>
      </c>
      <c r="F187" s="57">
        <f>+'Purchased Power Model '!F187</f>
        <v>31</v>
      </c>
      <c r="G187" s="57">
        <f>+'Purchased Power Model '!G187</f>
        <v>1</v>
      </c>
      <c r="H187" s="220"/>
      <c r="I187" s="222">
        <f t="shared" ca="1" si="6"/>
        <v>36173148.70419544</v>
      </c>
      <c r="J187" s="36"/>
      <c r="K187" s="5"/>
    </row>
    <row r="188" spans="1:11" x14ac:dyDescent="0.2">
      <c r="A188" s="3">
        <v>43252</v>
      </c>
      <c r="C188" s="217">
        <f>+'Purchased Power Model '!C188</f>
        <v>23.034343854724352</v>
      </c>
      <c r="D188" s="217">
        <f ca="1">+'Purchased Power Model '!D188</f>
        <v>58.621290809002602</v>
      </c>
      <c r="E188" s="126">
        <f>+'Purchased Power Model '!E188</f>
        <v>7.3406150000000003E-2</v>
      </c>
      <c r="F188" s="57">
        <f>+'Purchased Power Model '!F188</f>
        <v>30</v>
      </c>
      <c r="G188" s="57">
        <f>+'Purchased Power Model '!G188</f>
        <v>0</v>
      </c>
      <c r="H188" s="220"/>
      <c r="I188" s="222">
        <f t="shared" ca="1" si="6"/>
        <v>37713439.15380986</v>
      </c>
      <c r="J188" s="36"/>
      <c r="K188" s="5"/>
    </row>
    <row r="189" spans="1:11" x14ac:dyDescent="0.2">
      <c r="A189" s="3">
        <v>43282</v>
      </c>
      <c r="C189" s="217">
        <f>+'Purchased Power Model '!C189</f>
        <v>8.2204349816116657</v>
      </c>
      <c r="D189" s="217">
        <f ca="1">+'Purchased Power Model '!D189</f>
        <v>79.81851566512573</v>
      </c>
      <c r="E189" s="126">
        <f>+'Purchased Power Model '!E189</f>
        <v>7.3406150000000003E-2</v>
      </c>
      <c r="F189" s="57">
        <f>+'Purchased Power Model '!F189</f>
        <v>31</v>
      </c>
      <c r="G189" s="57">
        <f>+'Purchased Power Model '!G189</f>
        <v>0</v>
      </c>
      <c r="H189" s="220"/>
      <c r="I189" s="222">
        <f t="shared" ca="1" si="6"/>
        <v>37780841.362595186</v>
      </c>
      <c r="J189" s="36"/>
      <c r="K189" s="5"/>
    </row>
    <row r="190" spans="1:11" x14ac:dyDescent="0.2">
      <c r="A190" s="3">
        <v>43313</v>
      </c>
      <c r="C190" s="217">
        <f>+'Purchased Power Model '!C190</f>
        <v>10.874950444423765</v>
      </c>
      <c r="D190" s="217">
        <f ca="1">+'Purchased Power Model '!D190</f>
        <v>84.788899424492527</v>
      </c>
      <c r="E190" s="126">
        <f>+'Purchased Power Model '!E190</f>
        <v>7.3406150000000003E-2</v>
      </c>
      <c r="F190" s="57">
        <f>+'Purchased Power Model '!F190</f>
        <v>31</v>
      </c>
      <c r="G190" s="57">
        <f>+'Purchased Power Model '!G190</f>
        <v>0</v>
      </c>
      <c r="H190" s="220"/>
      <c r="I190" s="222">
        <f t="shared" ca="1" si="6"/>
        <v>38083570.882133111</v>
      </c>
      <c r="J190" s="36"/>
      <c r="K190" s="5"/>
    </row>
    <row r="191" spans="1:11" x14ac:dyDescent="0.2">
      <c r="A191" s="3">
        <v>43344</v>
      </c>
      <c r="C191" s="217">
        <f>+'Purchased Power Model '!C191</f>
        <v>66.277257039244049</v>
      </c>
      <c r="D191" s="217">
        <f ca="1">+'Purchased Power Model '!D191</f>
        <v>32.892245466397974</v>
      </c>
      <c r="E191" s="126">
        <f>+'Purchased Power Model '!E191</f>
        <v>7.3406150000000003E-2</v>
      </c>
      <c r="F191" s="57">
        <f>+'Purchased Power Model '!F191</f>
        <v>30</v>
      </c>
      <c r="G191" s="57">
        <f>+'Purchased Power Model '!G191</f>
        <v>1</v>
      </c>
      <c r="H191" s="220"/>
      <c r="I191" s="222">
        <f t="shared" ca="1" si="6"/>
        <v>37696715.032782197</v>
      </c>
      <c r="J191" s="36"/>
      <c r="K191" s="5"/>
    </row>
    <row r="192" spans="1:11" x14ac:dyDescent="0.2">
      <c r="A192" s="3">
        <v>43374</v>
      </c>
      <c r="C192" s="217">
        <f>+'Purchased Power Model '!C192</f>
        <v>185.21667567943786</v>
      </c>
      <c r="D192" s="217">
        <f ca="1">+'Purchased Power Model '!D192</f>
        <v>0.73093878814217705</v>
      </c>
      <c r="E192" s="126">
        <f>+'Purchased Power Model '!E192</f>
        <v>7.3406150000000003E-2</v>
      </c>
      <c r="F192" s="57">
        <f>+'Purchased Power Model '!F192</f>
        <v>31</v>
      </c>
      <c r="G192" s="57">
        <f>+'Purchased Power Model '!G192</f>
        <v>1</v>
      </c>
      <c r="H192" s="220"/>
      <c r="I192" s="222">
        <f t="shared" ca="1" si="6"/>
        <v>36776993.53484498</v>
      </c>
      <c r="J192" s="36"/>
      <c r="K192" s="5"/>
    </row>
    <row r="193" spans="1:11" x14ac:dyDescent="0.2">
      <c r="A193" s="3">
        <v>43405</v>
      </c>
      <c r="C193" s="217">
        <f>+'Purchased Power Model '!C193</f>
        <v>348.76908000108671</v>
      </c>
      <c r="D193" s="217">
        <f ca="1">+'Purchased Power Model '!D193</f>
        <v>0</v>
      </c>
      <c r="E193" s="126">
        <f>+'Purchased Power Model '!E193</f>
        <v>7.3406150000000003E-2</v>
      </c>
      <c r="F193" s="57">
        <f>+'Purchased Power Model '!F193</f>
        <v>30</v>
      </c>
      <c r="G193" s="57">
        <f>+'Purchased Power Model '!G193</f>
        <v>1</v>
      </c>
      <c r="H193" s="220"/>
      <c r="I193" s="222">
        <f t="shared" ca="1" si="6"/>
        <v>39878016.971912071</v>
      </c>
      <c r="J193" s="36"/>
      <c r="K193" s="5"/>
    </row>
    <row r="194" spans="1:11" x14ac:dyDescent="0.2">
      <c r="A194" s="3">
        <v>43435</v>
      </c>
      <c r="C194" s="217">
        <f>+'Purchased Power Model '!C194</f>
        <v>472.50375238055386</v>
      </c>
      <c r="D194" s="217">
        <f ca="1">+'Purchased Power Model '!D194</f>
        <v>0</v>
      </c>
      <c r="E194" s="126">
        <f>+'Purchased Power Model '!E194</f>
        <v>7.3406150000000003E-2</v>
      </c>
      <c r="F194" s="57">
        <f>+'Purchased Power Model '!F194</f>
        <v>31</v>
      </c>
      <c r="G194" s="57">
        <f>+'Purchased Power Model '!G194</f>
        <v>0</v>
      </c>
      <c r="H194" s="220"/>
      <c r="I194" s="222">
        <f t="shared" ca="1" si="6"/>
        <v>39988825.900839388</v>
      </c>
      <c r="J194" s="36"/>
      <c r="K194" s="5"/>
    </row>
    <row r="195" spans="1:11" x14ac:dyDescent="0.2">
      <c r="A195" s="3">
        <v>43466</v>
      </c>
      <c r="C195" s="217">
        <f>+'Purchased Power Model '!C195</f>
        <v>658.84805317106725</v>
      </c>
      <c r="D195" s="217">
        <f ca="1">+'Purchased Power Model '!D195</f>
        <v>0</v>
      </c>
      <c r="E195" s="126">
        <f>+'Purchased Power Model '!E195</f>
        <v>7.3406150000000003E-2</v>
      </c>
      <c r="F195" s="57">
        <f>+'Purchased Power Model '!F195</f>
        <v>31</v>
      </c>
      <c r="G195" s="57">
        <f>+'Purchased Power Model '!G195</f>
        <v>0</v>
      </c>
      <c r="H195" s="220"/>
      <c r="I195" s="222">
        <f t="shared" ca="1" si="6"/>
        <v>42587610.620874956</v>
      </c>
      <c r="J195" s="36"/>
      <c r="K195" s="5"/>
    </row>
    <row r="196" spans="1:11" x14ac:dyDescent="0.2">
      <c r="A196" s="3">
        <v>43497</v>
      </c>
      <c r="C196" s="217">
        <f>+'Purchased Power Model '!C196</f>
        <v>590.12728838743919</v>
      </c>
      <c r="D196" s="217">
        <f ca="1">+'Purchased Power Model '!D196</f>
        <v>0</v>
      </c>
      <c r="E196" s="126">
        <f>+'Purchased Power Model '!E196</f>
        <v>7.3406150000000003E-2</v>
      </c>
      <c r="F196" s="57">
        <f>+'Purchased Power Model '!F196</f>
        <v>28</v>
      </c>
      <c r="G196" s="57">
        <f>+'Purchased Power Model '!G196</f>
        <v>0</v>
      </c>
      <c r="H196" s="220"/>
      <c r="I196" s="222">
        <f t="shared" ref="I196:I206" ca="1" si="11">$N$18+C196*$N$19+D196*$N$20+E196*$N$21+F196*$N$22+G196*$N$23</f>
        <v>44206738.974470876</v>
      </c>
      <c r="J196" s="36"/>
      <c r="K196" s="5"/>
    </row>
    <row r="197" spans="1:11" x14ac:dyDescent="0.2">
      <c r="A197" s="3">
        <v>43525</v>
      </c>
      <c r="C197" s="217">
        <f>+'Purchased Power Model '!C197</f>
        <v>579.10804829161816</v>
      </c>
      <c r="D197" s="217">
        <f ca="1">+'Purchased Power Model '!D197</f>
        <v>0</v>
      </c>
      <c r="E197" s="126">
        <f>+'Purchased Power Model '!E197</f>
        <v>7.3406150000000003E-2</v>
      </c>
      <c r="F197" s="57">
        <f>+'Purchased Power Model '!F197</f>
        <v>31</v>
      </c>
      <c r="G197" s="57">
        <f>+'Purchased Power Model '!G197</f>
        <v>1</v>
      </c>
      <c r="H197" s="220"/>
      <c r="I197" s="222">
        <f t="shared" ca="1" si="11"/>
        <v>42231185.012068838</v>
      </c>
      <c r="J197" s="36"/>
      <c r="K197" s="5"/>
    </row>
    <row r="198" spans="1:11" x14ac:dyDescent="0.2">
      <c r="A198" s="3">
        <v>43556</v>
      </c>
      <c r="C198" s="217">
        <f>+'Purchased Power Model '!C198</f>
        <v>317.1661897347559</v>
      </c>
      <c r="D198" s="217">
        <f ca="1">+'Purchased Power Model '!D198</f>
        <v>0</v>
      </c>
      <c r="E198" s="126">
        <f>+'Purchased Power Model '!E198</f>
        <v>7.3406150000000003E-2</v>
      </c>
      <c r="F198" s="57">
        <f>+'Purchased Power Model '!F198</f>
        <v>30</v>
      </c>
      <c r="G198" s="57">
        <f>+'Purchased Power Model '!G198</f>
        <v>1</v>
      </c>
      <c r="H198" s="220"/>
      <c r="I198" s="222">
        <f t="shared" ca="1" si="11"/>
        <v>39437278.468052864</v>
      </c>
      <c r="J198" s="36"/>
      <c r="K198" s="5"/>
    </row>
    <row r="199" spans="1:11" x14ac:dyDescent="0.2">
      <c r="A199" s="3">
        <v>43586</v>
      </c>
      <c r="C199" s="217">
        <f>+'Purchased Power Model '!C199</f>
        <v>137.09984770381988</v>
      </c>
      <c r="D199" s="217">
        <f ca="1">+'Purchased Power Model '!D199</f>
        <v>1.9186560520458842</v>
      </c>
      <c r="E199" s="126">
        <f>+'Purchased Power Model '!E199</f>
        <v>7.3406150000000003E-2</v>
      </c>
      <c r="F199" s="57">
        <f>+'Purchased Power Model '!F199</f>
        <v>31</v>
      </c>
      <c r="G199" s="57">
        <f>+'Purchased Power Model '!G199</f>
        <v>1</v>
      </c>
      <c r="H199" s="220"/>
      <c r="I199" s="222">
        <f t="shared" ca="1" si="11"/>
        <v>36169442.837470472</v>
      </c>
      <c r="J199" s="36"/>
      <c r="K199" s="5"/>
    </row>
    <row r="200" spans="1:11" x14ac:dyDescent="0.2">
      <c r="A200" s="3">
        <v>43617</v>
      </c>
      <c r="C200" s="217">
        <f>+'Purchased Power Model '!C200</f>
        <v>22.978105316091931</v>
      </c>
      <c r="D200" s="217">
        <f ca="1">+'Purchased Power Model '!D200</f>
        <v>59.1831597592615</v>
      </c>
      <c r="E200" s="126">
        <f>+'Purchased Power Model '!E200</f>
        <v>7.3406150000000003E-2</v>
      </c>
      <c r="F200" s="57">
        <f>+'Purchased Power Model '!F200</f>
        <v>30</v>
      </c>
      <c r="G200" s="57">
        <f>+'Purchased Power Model '!G200</f>
        <v>0</v>
      </c>
      <c r="H200" s="220"/>
      <c r="I200" s="222">
        <f t="shared" ca="1" si="11"/>
        <v>37742691.514319703</v>
      </c>
      <c r="J200" s="36"/>
      <c r="K200" s="5"/>
    </row>
    <row r="201" spans="1:11" x14ac:dyDescent="0.2">
      <c r="A201" s="3">
        <v>43647</v>
      </c>
      <c r="C201" s="217">
        <f>+'Purchased Power Model '!C201</f>
        <v>8.2003647224714715</v>
      </c>
      <c r="D201" s="217">
        <f ca="1">+'Purchased Power Model '!D201</f>
        <v>80.583554185927127</v>
      </c>
      <c r="E201" s="126">
        <f>+'Purchased Power Model '!E201</f>
        <v>7.3406150000000003E-2</v>
      </c>
      <c r="F201" s="57">
        <f>+'Purchased Power Model '!F201</f>
        <v>31</v>
      </c>
      <c r="G201" s="57">
        <f>+'Purchased Power Model '!G201</f>
        <v>0</v>
      </c>
      <c r="H201" s="220"/>
      <c r="I201" s="222">
        <f t="shared" ca="1" si="11"/>
        <v>37821459.271703631</v>
      </c>
      <c r="J201" s="36"/>
      <c r="K201" s="5"/>
    </row>
    <row r="202" spans="1:11" x14ac:dyDescent="0.2">
      <c r="A202" s="3">
        <v>43678</v>
      </c>
      <c r="C202" s="217">
        <f>+'Purchased Power Model '!C202</f>
        <v>10.848399164102883</v>
      </c>
      <c r="D202" s="217">
        <f ca="1">+'Purchased Power Model '!D202</f>
        <v>85.601577706662511</v>
      </c>
      <c r="E202" s="126">
        <f>+'Purchased Power Model '!E202</f>
        <v>7.3406150000000003E-2</v>
      </c>
      <c r="F202" s="57">
        <f>+'Purchased Power Model '!F202</f>
        <v>31</v>
      </c>
      <c r="G202" s="57">
        <f>+'Purchased Power Model '!G202</f>
        <v>0</v>
      </c>
      <c r="H202" s="220"/>
      <c r="I202" s="222">
        <f t="shared" ca="1" si="11"/>
        <v>38126645.156166762</v>
      </c>
      <c r="J202" s="36"/>
      <c r="K202" s="5"/>
    </row>
    <row r="203" spans="1:11" x14ac:dyDescent="0.2">
      <c r="A203" s="3">
        <v>43709</v>
      </c>
      <c r="C203" s="217">
        <f>+'Purchased Power Model '!C203</f>
        <v>66.115440574926225</v>
      </c>
      <c r="D203" s="217">
        <f ca="1">+'Purchased Power Model '!D203</f>
        <v>33.207508593101842</v>
      </c>
      <c r="E203" s="126">
        <f>+'Purchased Power Model '!E203</f>
        <v>7.3406150000000003E-2</v>
      </c>
      <c r="F203" s="57">
        <f>+'Purchased Power Model '!F203</f>
        <v>30</v>
      </c>
      <c r="G203" s="57">
        <f>+'Purchased Power Model '!G203</f>
        <v>1</v>
      </c>
      <c r="H203" s="220"/>
      <c r="I203" s="222">
        <f t="shared" ca="1" si="11"/>
        <v>37711311.810735747</v>
      </c>
      <c r="J203" s="36"/>
      <c r="K203" s="5"/>
    </row>
    <row r="204" spans="1:11" x14ac:dyDescent="0.2">
      <c r="A204" s="3">
        <v>43739</v>
      </c>
      <c r="C204" s="217">
        <f>+'Purchased Power Model '!C204</f>
        <v>184.76446765318536</v>
      </c>
      <c r="D204" s="217">
        <f ca="1">+'Purchased Power Model '!D204</f>
        <v>0.73794463540226296</v>
      </c>
      <c r="E204" s="126">
        <f>+'Purchased Power Model '!E204</f>
        <v>7.3406150000000003E-2</v>
      </c>
      <c r="F204" s="57">
        <f>+'Purchased Power Model '!F204</f>
        <v>31</v>
      </c>
      <c r="G204" s="57">
        <f>+'Purchased Power Model '!G204</f>
        <v>1</v>
      </c>
      <c r="H204" s="220"/>
      <c r="I204" s="222">
        <f t="shared" ca="1" si="11"/>
        <v>36771061.498030081</v>
      </c>
      <c r="J204" s="36"/>
      <c r="K204" s="5"/>
    </row>
    <row r="205" spans="1:11" x14ac:dyDescent="0.2">
      <c r="A205" s="3">
        <v>43770</v>
      </c>
      <c r="C205" s="217">
        <f>+'Purchased Power Model '!C205</f>
        <v>347.91755744402406</v>
      </c>
      <c r="D205" s="217">
        <f ca="1">+'Purchased Power Model '!D205</f>
        <v>0</v>
      </c>
      <c r="E205" s="126">
        <f>+'Purchased Power Model '!E205</f>
        <v>7.3406150000000003E-2</v>
      </c>
      <c r="F205" s="57">
        <f>+'Purchased Power Model '!F205</f>
        <v>30</v>
      </c>
      <c r="G205" s="57">
        <f>+'Purchased Power Model '!G205</f>
        <v>1</v>
      </c>
      <c r="H205" s="220"/>
      <c r="I205" s="222">
        <f t="shared" ca="1" si="11"/>
        <v>39866141.51448904</v>
      </c>
      <c r="J205" s="36"/>
      <c r="K205" s="5"/>
    </row>
    <row r="206" spans="1:11" x14ac:dyDescent="0.2">
      <c r="A206" s="3">
        <v>43800</v>
      </c>
      <c r="C206" s="217">
        <f>+'Purchased Power Model '!C206</f>
        <v>471.35013061039143</v>
      </c>
      <c r="D206" s="217">
        <f ca="1">+'Purchased Power Model '!D206</f>
        <v>0</v>
      </c>
      <c r="E206" s="126">
        <f>+'Purchased Power Model '!E206</f>
        <v>7.3406150000000003E-2</v>
      </c>
      <c r="F206" s="57">
        <f>+'Purchased Power Model '!F206</f>
        <v>31</v>
      </c>
      <c r="G206" s="57">
        <f>+'Purchased Power Model '!G206</f>
        <v>0</v>
      </c>
      <c r="H206" s="220"/>
      <c r="I206" s="222">
        <f t="shared" ca="1" si="11"/>
        <v>39972737.323854312</v>
      </c>
      <c r="J206" s="36"/>
      <c r="K206" s="5"/>
    </row>
    <row r="207" spans="1:11" x14ac:dyDescent="0.2">
      <c r="A207" s="3"/>
      <c r="I207" s="11"/>
      <c r="J207" s="11"/>
      <c r="K207" s="11"/>
    </row>
    <row r="208" spans="1:11" x14ac:dyDescent="0.2">
      <c r="A208" s="3"/>
      <c r="C208" s="18"/>
      <c r="D208" s="63" t="s">
        <v>60</v>
      </c>
      <c r="I208" s="47">
        <f ca="1">SUM(I3:I206)</f>
        <v>8028086776.7275906</v>
      </c>
    </row>
    <row r="209" spans="1:11" x14ac:dyDescent="0.2">
      <c r="A209" s="3"/>
      <c r="C209" s="23"/>
      <c r="D209" s="23"/>
      <c r="F209" s="209"/>
      <c r="G209" s="209"/>
      <c r="H209"/>
      <c r="I209" s="209"/>
      <c r="J209" s="36"/>
      <c r="K209" s="5" t="s">
        <v>201</v>
      </c>
    </row>
    <row r="210" spans="1:11" x14ac:dyDescent="0.2">
      <c r="A210" s="16">
        <v>2003</v>
      </c>
      <c r="B210" s="6">
        <f>SUM(B3:B14)</f>
        <v>457662445</v>
      </c>
      <c r="C210" s="131"/>
      <c r="D210" s="23" t="s">
        <v>200</v>
      </c>
      <c r="E210" s="132" t="s">
        <v>112</v>
      </c>
      <c r="F210" s="209"/>
      <c r="G210" s="209"/>
      <c r="H210"/>
      <c r="I210" s="6">
        <f>SUM(I3:I14)</f>
        <v>473956645.90948683</v>
      </c>
      <c r="J210" s="36">
        <f>I210-B210</f>
        <v>16294200.90948683</v>
      </c>
      <c r="K210" s="5">
        <f>J210/B210</f>
        <v>3.5603098063872886E-2</v>
      </c>
    </row>
    <row r="211" spans="1:11" x14ac:dyDescent="0.2">
      <c r="A211">
        <v>2004</v>
      </c>
      <c r="B211" s="6">
        <f>SUM(B15:B26)</f>
        <v>448166680</v>
      </c>
      <c r="C211" s="131">
        <f>+B211-B210</f>
        <v>-9495765</v>
      </c>
      <c r="D211" s="133">
        <f>+C211/B210</f>
        <v>-2.0748403334689171E-2</v>
      </c>
      <c r="E211" s="133">
        <f>RATE(1,0,-B$210,B211)</f>
        <v>-2.0748403334689181E-2</v>
      </c>
      <c r="F211" s="209"/>
      <c r="G211" s="209"/>
      <c r="H211"/>
      <c r="I211" s="6">
        <f>SUM(I15:I26)</f>
        <v>469314281.11764956</v>
      </c>
      <c r="J211" s="36">
        <f t="shared" ref="J211:J226" si="12">I211-B211</f>
        <v>21147601.117649555</v>
      </c>
      <c r="K211" s="5">
        <f t="shared" ref="K211:K226" si="13">J211/B211</f>
        <v>4.7186910721809028E-2</v>
      </c>
    </row>
    <row r="212" spans="1:11" x14ac:dyDescent="0.2">
      <c r="A212" s="16">
        <v>2005</v>
      </c>
      <c r="B212" s="6">
        <f>SUM(B27:B38)</f>
        <v>486004701</v>
      </c>
      <c r="C212" s="131">
        <f t="shared" ref="C212:C226" si="14">+B212-B211</f>
        <v>37838021</v>
      </c>
      <c r="D212" s="133">
        <f t="shared" ref="D212:D226" si="15">+C212/B211</f>
        <v>8.4428456394839521E-2</v>
      </c>
      <c r="E212" s="133">
        <f>RATE(2,0,-B$210,B212)</f>
        <v>3.0499052592453797E-2</v>
      </c>
      <c r="F212" s="209"/>
      <c r="G212" s="209"/>
      <c r="H212"/>
      <c r="I212" s="6">
        <f>SUM(I27:I38)</f>
        <v>482976535.83126152</v>
      </c>
      <c r="J212" s="36">
        <f t="shared" si="12"/>
        <v>-3028165.1687384844</v>
      </c>
      <c r="K212" s="5">
        <f t="shared" si="13"/>
        <v>-6.2307322593953352E-3</v>
      </c>
    </row>
    <row r="213" spans="1:11" x14ac:dyDescent="0.2">
      <c r="A213">
        <v>2006</v>
      </c>
      <c r="B213" s="6">
        <f>SUM(B39:B50)</f>
        <v>466443961</v>
      </c>
      <c r="C213" s="131">
        <f t="shared" si="14"/>
        <v>-19560740</v>
      </c>
      <c r="D213" s="133">
        <f t="shared" si="15"/>
        <v>-4.0248046901093661E-2</v>
      </c>
      <c r="E213" s="133">
        <f>RATE(3,0,-B$210,B213)</f>
        <v>6.3554419470238047E-3</v>
      </c>
      <c r="F213" s="209"/>
      <c r="G213" s="209"/>
      <c r="H213"/>
      <c r="I213" s="6">
        <f>SUM(I39:I50)</f>
        <v>470657790.66253442</v>
      </c>
      <c r="J213" s="36">
        <f t="shared" si="12"/>
        <v>4213829.6625344157</v>
      </c>
      <c r="K213" s="5">
        <f t="shared" si="13"/>
        <v>9.0339462290399668E-3</v>
      </c>
    </row>
    <row r="214" spans="1:11" x14ac:dyDescent="0.2">
      <c r="A214" s="16">
        <v>2007</v>
      </c>
      <c r="B214" s="6">
        <f>SUM(B51:B62)</f>
        <v>473064563</v>
      </c>
      <c r="C214" s="131">
        <f t="shared" si="14"/>
        <v>6620602</v>
      </c>
      <c r="D214" s="133">
        <f t="shared" si="15"/>
        <v>1.419377793166455E-2</v>
      </c>
      <c r="E214" s="133">
        <f>RATE(4,0,-B$210,B214)</f>
        <v>8.3093282314549311E-3</v>
      </c>
      <c r="F214" s="209"/>
      <c r="G214" s="209"/>
      <c r="H214"/>
      <c r="I214" s="6">
        <f>SUM(I51:I62)</f>
        <v>459156755.43472123</v>
      </c>
      <c r="J214" s="36">
        <f t="shared" si="12"/>
        <v>-13907807.565278769</v>
      </c>
      <c r="K214" s="5">
        <f t="shared" si="13"/>
        <v>-2.9399385735174522E-2</v>
      </c>
    </row>
    <row r="215" spans="1:11" x14ac:dyDescent="0.2">
      <c r="A215">
        <v>2008</v>
      </c>
      <c r="B215" s="6">
        <f>SUM(B63:B74)</f>
        <v>470758084</v>
      </c>
      <c r="C215" s="131">
        <f t="shared" si="14"/>
        <v>-2306479</v>
      </c>
      <c r="D215" s="133">
        <f t="shared" si="15"/>
        <v>-4.8756114501013678E-3</v>
      </c>
      <c r="E215" s="133">
        <f>RATE(5,0,-B$210,B215)</f>
        <v>5.6584382776635215E-3</v>
      </c>
      <c r="F215" s="209"/>
      <c r="G215" s="209"/>
      <c r="H215"/>
      <c r="I215" s="6">
        <f>SUM(I63:I74)</f>
        <v>450623690.6522305</v>
      </c>
      <c r="J215" s="36">
        <f t="shared" si="12"/>
        <v>-20134393.347769499</v>
      </c>
      <c r="K215" s="5">
        <f t="shared" si="13"/>
        <v>-4.2770148898323535E-2</v>
      </c>
    </row>
    <row r="216" spans="1:11" x14ac:dyDescent="0.2">
      <c r="A216" s="16">
        <v>2009</v>
      </c>
      <c r="B216" s="6">
        <f>SUM(B75:B86)</f>
        <v>468014611</v>
      </c>
      <c r="C216" s="131">
        <f t="shared" si="14"/>
        <v>-2743473</v>
      </c>
      <c r="D216" s="133">
        <f t="shared" si="15"/>
        <v>-5.8277767142921755E-3</v>
      </c>
      <c r="E216" s="133">
        <f>RATE(6,0,-B$210,B216)</f>
        <v>3.734894531315652E-3</v>
      </c>
      <c r="F216" s="209"/>
      <c r="G216" s="209"/>
      <c r="H216"/>
      <c r="I216" s="6">
        <f>SUM(I75:I86)</f>
        <v>472328804.74040127</v>
      </c>
      <c r="J216" s="36">
        <f t="shared" si="12"/>
        <v>4314193.740401268</v>
      </c>
      <c r="K216" s="5">
        <f t="shared" si="13"/>
        <v>9.2180749040787283E-3</v>
      </c>
    </row>
    <row r="217" spans="1:11" x14ac:dyDescent="0.2">
      <c r="A217">
        <v>2010</v>
      </c>
      <c r="B217" s="6">
        <f>SUM(B87:B98)</f>
        <v>476976847</v>
      </c>
      <c r="C217" s="131">
        <f t="shared" si="14"/>
        <v>8962236</v>
      </c>
      <c r="D217" s="133">
        <f t="shared" si="15"/>
        <v>1.9149479074703504E-2</v>
      </c>
      <c r="E217" s="133">
        <f>RATE(7,0,-B$210,B217)</f>
        <v>5.9226209462114668E-3</v>
      </c>
      <c r="F217" s="209"/>
      <c r="G217" s="209"/>
      <c r="H217"/>
      <c r="I217" s="6">
        <f>SUM(I87:I98)</f>
        <v>480662152.40867555</v>
      </c>
      <c r="J217" s="36">
        <f t="shared" si="12"/>
        <v>3685305.4086755514</v>
      </c>
      <c r="K217" s="5">
        <f t="shared" si="13"/>
        <v>7.7263821752663634E-3</v>
      </c>
    </row>
    <row r="218" spans="1:11" x14ac:dyDescent="0.2">
      <c r="A218">
        <v>2011</v>
      </c>
      <c r="B218" s="6">
        <f>SUM(B99:B110)</f>
        <v>484617834</v>
      </c>
      <c r="C218" s="131">
        <f t="shared" si="14"/>
        <v>7640987</v>
      </c>
      <c r="D218" s="133">
        <f t="shared" si="15"/>
        <v>1.6019618243650304E-2</v>
      </c>
      <c r="E218" s="133">
        <f>RATE(8,0,-B$210,B218)</f>
        <v>7.1792376013294331E-3</v>
      </c>
      <c r="F218" s="209"/>
      <c r="G218" s="209"/>
      <c r="H218"/>
      <c r="I218" s="6">
        <f>SUM(I99:I110)</f>
        <v>479453292.76894557</v>
      </c>
      <c r="J218" s="36">
        <f t="shared" si="12"/>
        <v>-5164541.2310544252</v>
      </c>
      <c r="K218" s="5">
        <f t="shared" si="13"/>
        <v>-1.0656935978659063E-2</v>
      </c>
    </row>
    <row r="219" spans="1:11" x14ac:dyDescent="0.2">
      <c r="A219">
        <v>2012</v>
      </c>
      <c r="B219" s="6">
        <f>SUM(B111:B122)</f>
        <v>473324280</v>
      </c>
      <c r="C219" s="131">
        <f t="shared" si="14"/>
        <v>-11293554</v>
      </c>
      <c r="D219" s="133">
        <f t="shared" si="15"/>
        <v>-2.3304041262336209E-2</v>
      </c>
      <c r="E219" s="133">
        <f>RATE(9,0,-B$210,B219)</f>
        <v>3.7457581328207484E-3</v>
      </c>
      <c r="F219" s="209"/>
      <c r="G219" s="209"/>
      <c r="H219"/>
      <c r="I219" s="6">
        <f>SUM(I111:I122)</f>
        <v>477699092.81807178</v>
      </c>
      <c r="J219" s="36">
        <f t="shared" si="12"/>
        <v>4374812.8180717826</v>
      </c>
      <c r="K219" s="5">
        <f t="shared" si="13"/>
        <v>9.2427390753581935E-3</v>
      </c>
    </row>
    <row r="220" spans="1:11" x14ac:dyDescent="0.2">
      <c r="A220">
        <v>2013</v>
      </c>
      <c r="B220" s="6">
        <f>SUM(B123:B134)</f>
        <v>475318261</v>
      </c>
      <c r="C220" s="131">
        <f t="shared" si="14"/>
        <v>1993981</v>
      </c>
      <c r="D220" s="133">
        <f t="shared" si="15"/>
        <v>4.2127164911126046E-3</v>
      </c>
      <c r="E220" s="133">
        <f>RATE(10,0,-B$210,B220)</f>
        <v>3.7924441958913282E-3</v>
      </c>
      <c r="F220" s="209"/>
      <c r="G220" s="209"/>
      <c r="H220"/>
      <c r="I220" s="6">
        <f ca="1">SUM(I123:I134)</f>
        <v>472851193.03101748</v>
      </c>
      <c r="J220" s="36">
        <f t="shared" ca="1" si="12"/>
        <v>-2467067.9689825177</v>
      </c>
      <c r="K220" s="5">
        <f t="shared" ca="1" si="13"/>
        <v>-5.1903496486589177E-3</v>
      </c>
    </row>
    <row r="221" spans="1:11" x14ac:dyDescent="0.2">
      <c r="A221">
        <v>2014</v>
      </c>
      <c r="B221" s="6">
        <f>SUM(B135:B146)</f>
        <v>485539319</v>
      </c>
      <c r="C221" s="131">
        <f t="shared" ref="C221" si="16">+B221-B220</f>
        <v>10221058</v>
      </c>
      <c r="D221" s="133">
        <f t="shared" ref="D221" si="17">+C221/B220</f>
        <v>2.1503608926146434E-2</v>
      </c>
      <c r="E221" s="133">
        <f>RATE(10,0,-B$210,B221)</f>
        <v>5.9303531636595332E-3</v>
      </c>
      <c r="F221" s="126"/>
      <c r="G221" s="209"/>
      <c r="H221"/>
      <c r="I221" s="6">
        <f>SUM(I135:I146)</f>
        <v>476211350.62500429</v>
      </c>
      <c r="J221" s="36">
        <f t="shared" si="12"/>
        <v>-9327968.3749957085</v>
      </c>
      <c r="K221" s="5">
        <f t="shared" si="13"/>
        <v>-1.9211561268008676E-2</v>
      </c>
    </row>
    <row r="222" spans="1:11" x14ac:dyDescent="0.2">
      <c r="A222">
        <v>2015</v>
      </c>
      <c r="B222" s="6">
        <f t="shared" ref="B222:B226" ca="1" si="18">+I222</f>
        <v>472577441.37330019</v>
      </c>
      <c r="C222" s="131">
        <f t="shared" ca="1" si="14"/>
        <v>-12961877.626699805</v>
      </c>
      <c r="D222" s="133">
        <f t="shared" ca="1" si="15"/>
        <v>-2.6695835166131634E-2</v>
      </c>
      <c r="E222" s="133">
        <f ca="1">RATE(12,0,-B$210,B222)</f>
        <v>2.6760524080281629E-3</v>
      </c>
      <c r="F222" s="126"/>
      <c r="G222" s="209"/>
      <c r="H222"/>
      <c r="I222" s="6">
        <f ca="1">SUM(I147:I158)</f>
        <v>472577441.37330019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t="shared" ca="1" si="18"/>
        <v>471734984.31928217</v>
      </c>
      <c r="C223" s="131">
        <f t="shared" ca="1" si="14"/>
        <v>-842457.05401802063</v>
      </c>
      <c r="D223" s="133">
        <f t="shared" ca="1" si="15"/>
        <v>-1.7826857151070478E-3</v>
      </c>
      <c r="E223" s="133">
        <f ca="1">RATE(13,0,-B$210,B223)</f>
        <v>2.3323666119460587E-3</v>
      </c>
      <c r="F223" s="126"/>
      <c r="G223" s="209"/>
      <c r="H223"/>
      <c r="I223" s="6">
        <f ca="1">SUM(I159:I170)</f>
        <v>471734984.31928217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t="shared" ca="1" si="18"/>
        <v>472610872.6877687</v>
      </c>
      <c r="C224" s="131">
        <f t="shared" ca="1" si="14"/>
        <v>875888.36848652363</v>
      </c>
      <c r="D224" s="133">
        <f t="shared" ca="1" si="15"/>
        <v>1.8567382059874961E-3</v>
      </c>
      <c r="E224" s="133">
        <f ca="1">RATE(14,0,-B$210,B224)</f>
        <v>2.2983856672781021E-3</v>
      </c>
      <c r="F224" s="126"/>
      <c r="G224" s="209"/>
      <c r="H224"/>
      <c r="I224" s="6">
        <f ca="1">SUM(I171:I182)</f>
        <v>472610872.6877687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472627588.34500301</v>
      </c>
      <c r="C225" s="131">
        <f t="shared" ca="1" si="14"/>
        <v>16715.657234311104</v>
      </c>
      <c r="D225" s="133">
        <f t="shared" ca="1" si="15"/>
        <v>3.5368753027724639E-5</v>
      </c>
      <c r="E225" s="133">
        <f ca="1">RATE(15,0,-B$210,B225)</f>
        <v>2.1473586790309827E-3</v>
      </c>
      <c r="F225" s="126"/>
      <c r="G225" s="209"/>
      <c r="H225"/>
      <c r="I225" s="6">
        <f ca="1">SUM(I183:I194)</f>
        <v>472627588.34500301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472644304.00223738</v>
      </c>
      <c r="C226" s="131">
        <f t="shared" ca="1" si="14"/>
        <v>16715.657234370708</v>
      </c>
      <c r="D226" s="133">
        <f t="shared" ca="1" si="15"/>
        <v>3.5367502123402951E-5</v>
      </c>
      <c r="E226" s="133">
        <f ca="1">RATE(16,0,-B$210,B226)</f>
        <v>2.0152286538218699E-3</v>
      </c>
      <c r="F226" s="126"/>
      <c r="G226" s="209"/>
      <c r="H226"/>
      <c r="I226" s="6">
        <f ca="1">SUM(I195:I206)</f>
        <v>472644304.00223738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24"/>
      <c r="D227" s="209"/>
      <c r="F227" s="209"/>
      <c r="G227" s="209"/>
      <c r="H227"/>
      <c r="J227" s="209"/>
      <c r="K227" s="209"/>
    </row>
    <row r="228" spans="1:11" x14ac:dyDescent="0.2">
      <c r="A228" t="s">
        <v>9</v>
      </c>
      <c r="B228" s="6">
        <f ca="1">SUM(B210:B226)</f>
        <v>8028086776.7275925</v>
      </c>
      <c r="C228" s="124"/>
      <c r="D228" s="209"/>
      <c r="F228" s="209"/>
      <c r="G228" s="209"/>
      <c r="H228"/>
      <c r="I228" s="6">
        <f ca="1">SUM(I210:I226)</f>
        <v>8028086776.7275925</v>
      </c>
      <c r="J228" s="213">
        <f ca="1">I228-B228</f>
        <v>0</v>
      </c>
      <c r="K228" s="209"/>
    </row>
    <row r="229" spans="1:11" x14ac:dyDescent="0.2">
      <c r="C229" s="209"/>
      <c r="D229" s="209"/>
      <c r="F229" s="209"/>
      <c r="G229" s="209"/>
      <c r="H229"/>
      <c r="I229" s="209"/>
      <c r="J229" s="62"/>
      <c r="K229" s="209"/>
    </row>
    <row r="230" spans="1:11" x14ac:dyDescent="0.2">
      <c r="C230" s="209"/>
      <c r="D230" s="209"/>
      <c r="F230" s="209"/>
      <c r="G230" s="209"/>
      <c r="H230"/>
      <c r="I230" s="6">
        <f ca="1">SUM(I210:I226)</f>
        <v>8028086776.7275925</v>
      </c>
      <c r="J230" s="213">
        <f ca="1">I208-I230</f>
        <v>0</v>
      </c>
      <c r="K230" s="209"/>
    </row>
    <row r="231" spans="1:11" x14ac:dyDescent="0.2">
      <c r="C231" s="209"/>
      <c r="D231" s="209"/>
      <c r="F231" s="209"/>
      <c r="G231" s="209"/>
      <c r="H231"/>
      <c r="I231" s="23"/>
      <c r="J231" s="214" t="s">
        <v>69</v>
      </c>
      <c r="K231" s="18"/>
    </row>
    <row r="233" spans="1:11" x14ac:dyDescent="0.2">
      <c r="I233" s="11"/>
      <c r="J233" s="11"/>
      <c r="K233" s="11"/>
    </row>
    <row r="245" spans="9:11" x14ac:dyDescent="0.2">
      <c r="I245" s="11"/>
      <c r="J245" s="11"/>
      <c r="K245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4"/>
  <sheetViews>
    <sheetView workbookViewId="0"/>
  </sheetViews>
  <sheetFormatPr defaultRowHeight="12.75" x14ac:dyDescent="0.2"/>
  <cols>
    <col min="1" max="1" width="11.85546875" customWidth="1"/>
    <col min="2" max="2" width="18" style="6" customWidth="1"/>
    <col min="3" max="3" width="12.28515625" style="1" bestFit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4" style="6" bestFit="1" customWidth="1"/>
    <col min="10" max="10" width="18.140625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4.140625" style="6" bestFit="1" customWidth="1"/>
    <col min="15" max="15" width="22.7109375" style="6" bestFit="1" customWidth="1"/>
    <col min="16" max="16" width="20.5703125" style="6" bestFit="1" customWidth="1"/>
    <col min="17" max="17" width="9.5703125" style="6" bestFit="1" customWidth="1"/>
    <col min="18" max="18" width="14.5703125" bestFit="1" customWidth="1"/>
    <col min="19" max="19" width="14.140625" bestFit="1" customWidth="1"/>
    <col min="20" max="20" width="14.5703125" bestFit="1" customWidth="1"/>
    <col min="21" max="21" width="14.140625" bestFit="1" customWidth="1"/>
  </cols>
  <sheetData>
    <row r="2" spans="1:18" ht="42" customHeight="1" x14ac:dyDescent="0.2">
      <c r="B2" s="7" t="s">
        <v>199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20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59">
        <v>11396944.435770413</v>
      </c>
      <c r="C3" s="215">
        <f>+'Purchased Power Model '!C3</f>
        <v>786</v>
      </c>
      <c r="D3" s="215">
        <f>+'Purchased Power Model '!D3</f>
        <v>0</v>
      </c>
      <c r="E3" s="126">
        <f>+'Purchased Power Model '!E3</f>
        <v>4.7E-2</v>
      </c>
      <c r="F3" s="57">
        <f>+'Purchased Power Model '!F3</f>
        <v>31</v>
      </c>
      <c r="G3" s="57">
        <f>+'Purchased Power Model '!G3</f>
        <v>0</v>
      </c>
      <c r="H3" s="42">
        <v>3723.4166666666665</v>
      </c>
      <c r="I3" s="222">
        <f>$N$18+C3*$N$19+D3*$N$20+E3*$N$21+F3*$N$22+G3*$N$23</f>
        <v>11708631.13826596</v>
      </c>
      <c r="J3" s="36">
        <f>I3-B3</f>
        <v>311686.70249554701</v>
      </c>
      <c r="K3" s="5">
        <f>J3/B3</f>
        <v>2.734826902527384E-2</v>
      </c>
      <c r="M3"/>
      <c r="N3"/>
      <c r="O3"/>
      <c r="P3"/>
      <c r="Q3"/>
    </row>
    <row r="4" spans="1:18" x14ac:dyDescent="0.2">
      <c r="A4" s="3">
        <v>37653</v>
      </c>
      <c r="B4" s="59">
        <v>11214225.542405957</v>
      </c>
      <c r="C4" s="215">
        <f>+'Purchased Power Model '!C4</f>
        <v>686.5</v>
      </c>
      <c r="D4" s="215">
        <f>+'Purchased Power Model '!D4</f>
        <v>0</v>
      </c>
      <c r="E4" s="126">
        <f>+'Purchased Power Model '!E4</f>
        <v>4.7E-2</v>
      </c>
      <c r="F4" s="57">
        <f>+'Purchased Power Model '!F4</f>
        <v>28</v>
      </c>
      <c r="G4" s="57">
        <f>+'Purchased Power Model '!G4</f>
        <v>0</v>
      </c>
      <c r="H4" s="42">
        <v>3745.833333333333</v>
      </c>
      <c r="I4" s="222">
        <f t="shared" ref="I4:I67" si="0">$N$18+C4*$N$19+D4*$N$20+E4*$N$21+F4*$N$22+G4*$N$23</f>
        <v>12398370.143269071</v>
      </c>
      <c r="J4" s="36">
        <f t="shared" ref="J4:J67" si="1">I4-B4</f>
        <v>1184144.600863114</v>
      </c>
      <c r="K4" s="5">
        <f t="shared" ref="K4:K67" si="2">J4/B4</f>
        <v>0.10559307875388615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59">
        <v>11886519.02182363</v>
      </c>
      <c r="C5" s="215">
        <f>+'Purchased Power Model '!C5</f>
        <v>572.5</v>
      </c>
      <c r="D5" s="215">
        <f>+'Purchased Power Model '!D5</f>
        <v>0</v>
      </c>
      <c r="E5" s="126">
        <f>+'Purchased Power Model '!E5</f>
        <v>4.7E-2</v>
      </c>
      <c r="F5" s="57">
        <f>+'Purchased Power Model '!F5</f>
        <v>31</v>
      </c>
      <c r="G5" s="57">
        <f>+'Purchased Power Model '!G5</f>
        <v>1</v>
      </c>
      <c r="H5" s="42">
        <v>3768.2499999999995</v>
      </c>
      <c r="I5" s="222">
        <f t="shared" si="0"/>
        <v>11352907.668358238</v>
      </c>
      <c r="J5" s="36">
        <f t="shared" si="1"/>
        <v>-533611.35346539132</v>
      </c>
      <c r="K5" s="5">
        <f t="shared" si="2"/>
        <v>-4.4892146513683423E-2</v>
      </c>
      <c r="M5" s="35" t="s">
        <v>20</v>
      </c>
      <c r="N5" s="118">
        <v>0.33988802251436639</v>
      </c>
      <c r="O5"/>
      <c r="P5"/>
      <c r="Q5"/>
    </row>
    <row r="6" spans="1:18" x14ac:dyDescent="0.2">
      <c r="A6" s="3">
        <v>37712</v>
      </c>
      <c r="B6" s="59">
        <v>9634741</v>
      </c>
      <c r="C6" s="215">
        <f>+'Purchased Power Model '!C6</f>
        <v>403.9</v>
      </c>
      <c r="D6" s="215">
        <f>+'Purchased Power Model '!D6</f>
        <v>0</v>
      </c>
      <c r="E6" s="126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42">
        <v>3790.6666666666661</v>
      </c>
      <c r="I6" s="222">
        <f t="shared" si="0"/>
        <v>11295537.4083467</v>
      </c>
      <c r="J6" s="36">
        <f t="shared" si="1"/>
        <v>1660796.4083466996</v>
      </c>
      <c r="K6" s="5">
        <f t="shared" si="2"/>
        <v>0.17237582290449732</v>
      </c>
      <c r="M6" s="35" t="s">
        <v>21</v>
      </c>
      <c r="N6" s="118">
        <v>0.11552386784872642</v>
      </c>
      <c r="O6"/>
      <c r="P6"/>
      <c r="Q6"/>
    </row>
    <row r="7" spans="1:18" x14ac:dyDescent="0.2">
      <c r="A7" s="3">
        <v>37742</v>
      </c>
      <c r="B7" s="59">
        <v>11917377</v>
      </c>
      <c r="C7" s="215">
        <f>+'Purchased Power Model '!C7</f>
        <v>192</v>
      </c>
      <c r="D7" s="215">
        <f>+'Purchased Power Model '!D7</f>
        <v>0</v>
      </c>
      <c r="E7" s="126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42">
        <v>3813.0833333333326</v>
      </c>
      <c r="I7" s="222">
        <f t="shared" si="0"/>
        <v>10561261.585061198</v>
      </c>
      <c r="J7" s="36">
        <f t="shared" si="1"/>
        <v>-1356115.4149388019</v>
      </c>
      <c r="K7" s="5">
        <f t="shared" si="2"/>
        <v>-0.11379311193552087</v>
      </c>
      <c r="M7" s="35" t="s">
        <v>22</v>
      </c>
      <c r="N7" s="118">
        <v>8.3477631176578845E-2</v>
      </c>
      <c r="O7"/>
      <c r="P7"/>
      <c r="Q7"/>
    </row>
    <row r="8" spans="1:18" x14ac:dyDescent="0.2">
      <c r="A8" s="3">
        <v>37773</v>
      </c>
      <c r="B8" s="59">
        <v>9459075</v>
      </c>
      <c r="C8" s="215">
        <f>+'Purchased Power Model '!C8</f>
        <v>55.1</v>
      </c>
      <c r="D8" s="215">
        <f>+'Purchased Power Model '!D8</f>
        <v>31</v>
      </c>
      <c r="E8" s="126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42">
        <v>3835.4999999999991</v>
      </c>
      <c r="I8" s="222">
        <f t="shared" si="0"/>
        <v>10727815.052548863</v>
      </c>
      <c r="J8" s="36">
        <f t="shared" si="1"/>
        <v>1268740.052548863</v>
      </c>
      <c r="K8" s="5">
        <f t="shared" si="2"/>
        <v>0.13412939981434369</v>
      </c>
      <c r="M8" s="35" t="s">
        <v>23</v>
      </c>
      <c r="N8" s="68">
        <v>1329542.1305108382</v>
      </c>
      <c r="O8"/>
      <c r="P8"/>
      <c r="Q8"/>
    </row>
    <row r="9" spans="1:18" ht="13.5" thickBot="1" x14ac:dyDescent="0.25">
      <c r="A9" s="3">
        <v>37803</v>
      </c>
      <c r="B9" s="59">
        <v>10609374</v>
      </c>
      <c r="C9" s="215">
        <f>+'Purchased Power Model '!C9</f>
        <v>5.7</v>
      </c>
      <c r="D9" s="215">
        <f>+'Purchased Power Model '!D9</f>
        <v>59.1</v>
      </c>
      <c r="E9" s="126">
        <f>+'Purchased Power Model '!E9</f>
        <v>5.2000000000000005E-2</v>
      </c>
      <c r="F9" s="57">
        <f>+'Purchased Power Model '!F9</f>
        <v>31</v>
      </c>
      <c r="G9" s="57">
        <f>+'Purchased Power Model '!G9</f>
        <v>0</v>
      </c>
      <c r="H9" s="42">
        <v>3857.9166666666656</v>
      </c>
      <c r="I9" s="222">
        <f t="shared" si="0"/>
        <v>10543707.329983197</v>
      </c>
      <c r="J9" s="36">
        <f t="shared" si="1"/>
        <v>-65666.670016802847</v>
      </c>
      <c r="K9" s="5">
        <f t="shared" si="2"/>
        <v>-6.1894952536127815E-3</v>
      </c>
      <c r="M9" s="51" t="s">
        <v>24</v>
      </c>
      <c r="N9" s="69">
        <v>144</v>
      </c>
      <c r="O9"/>
      <c r="P9"/>
      <c r="Q9"/>
    </row>
    <row r="10" spans="1:18" x14ac:dyDescent="0.2">
      <c r="A10" s="3">
        <v>37834</v>
      </c>
      <c r="B10" s="59">
        <v>8646885</v>
      </c>
      <c r="C10" s="215">
        <f>+'Purchased Power Model '!C10</f>
        <v>10.4</v>
      </c>
      <c r="D10" s="215">
        <f>+'Purchased Power Model '!D10</f>
        <v>106.5</v>
      </c>
      <c r="E10" s="126">
        <f>+'Purchased Power Model '!E10</f>
        <v>5.2000000000000005E-2</v>
      </c>
      <c r="F10" s="57">
        <f>+'Purchased Power Model '!F10</f>
        <v>31</v>
      </c>
      <c r="G10" s="57">
        <f>+'Purchased Power Model '!G10</f>
        <v>0</v>
      </c>
      <c r="H10" s="42">
        <v>3880.3333333333321</v>
      </c>
      <c r="I10" s="222">
        <f t="shared" si="0"/>
        <v>10910873.197364133</v>
      </c>
      <c r="J10" s="36">
        <f t="shared" si="1"/>
        <v>2263988.1973641329</v>
      </c>
      <c r="K10" s="5">
        <f t="shared" si="2"/>
        <v>0.26182702757861737</v>
      </c>
      <c r="M10"/>
      <c r="N10"/>
      <c r="O10"/>
      <c r="P10"/>
      <c r="Q10"/>
    </row>
    <row r="11" spans="1:18" ht="13.5" thickBot="1" x14ac:dyDescent="0.25">
      <c r="A11" s="3">
        <v>37865</v>
      </c>
      <c r="B11" s="59">
        <v>10960006</v>
      </c>
      <c r="C11" s="215">
        <f>+'Purchased Power Model '!C11</f>
        <v>55.2</v>
      </c>
      <c r="D11" s="215">
        <f>+'Purchased Power Model '!D11</f>
        <v>12.1</v>
      </c>
      <c r="E11" s="126">
        <f>+'Purchased Power Model '!E11</f>
        <v>5.2000000000000005E-2</v>
      </c>
      <c r="F11" s="57">
        <f>+'Purchased Power Model '!F11</f>
        <v>30</v>
      </c>
      <c r="G11" s="57">
        <f>+'Purchased Power Model '!G11</f>
        <v>1</v>
      </c>
      <c r="H11" s="42">
        <v>3902.7499999999986</v>
      </c>
      <c r="I11" s="222">
        <f t="shared" si="0"/>
        <v>10672950.591208844</v>
      </c>
      <c r="J11" s="36">
        <f t="shared" si="1"/>
        <v>-287055.40879115649</v>
      </c>
      <c r="K11" s="5">
        <f t="shared" si="2"/>
        <v>-2.6191172595266508E-2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59">
        <v>9502699</v>
      </c>
      <c r="C12" s="215">
        <f>+'Purchased Power Model '!C12</f>
        <v>289.7</v>
      </c>
      <c r="D12" s="215">
        <f>+'Purchased Power Model '!D12</f>
        <v>0</v>
      </c>
      <c r="E12" s="126">
        <f>+'Purchased Power Model '!E12</f>
        <v>4.7E-2</v>
      </c>
      <c r="F12" s="57">
        <f>+'Purchased Power Model '!F12</f>
        <v>31</v>
      </c>
      <c r="G12" s="57">
        <f>+'Purchased Power Model '!G12</f>
        <v>1</v>
      </c>
      <c r="H12" s="42">
        <v>3925.1666666666652</v>
      </c>
      <c r="I12" s="222">
        <f t="shared" si="0"/>
        <v>10770887.241453258</v>
      </c>
      <c r="J12" s="36">
        <f t="shared" si="1"/>
        <v>1268188.2414532583</v>
      </c>
      <c r="K12" s="5">
        <f t="shared" si="2"/>
        <v>0.13345558366662549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59">
        <v>9788409</v>
      </c>
      <c r="C13" s="215">
        <f>+'Purchased Power Model '!C13</f>
        <v>387.6</v>
      </c>
      <c r="D13" s="215">
        <f>+'Purchased Power Model '!D13</f>
        <v>0</v>
      </c>
      <c r="E13" s="126">
        <f>+'Purchased Power Model '!E13</f>
        <v>4.7E-2</v>
      </c>
      <c r="F13" s="57">
        <f>+'Purchased Power Model '!F13</f>
        <v>30</v>
      </c>
      <c r="G13" s="57">
        <f>+'Purchased Power Model '!G13</f>
        <v>1</v>
      </c>
      <c r="H13" s="42">
        <v>3947.5833333333317</v>
      </c>
      <c r="I13" s="222">
        <f t="shared" si="0"/>
        <v>11270543.797881735</v>
      </c>
      <c r="J13" s="36">
        <f t="shared" si="1"/>
        <v>1482134.7978817355</v>
      </c>
      <c r="K13" s="5">
        <f t="shared" si="2"/>
        <v>0.15141733430649817</v>
      </c>
      <c r="M13" s="35" t="s">
        <v>26</v>
      </c>
      <c r="N13" s="68">
        <v>5</v>
      </c>
      <c r="O13" s="68">
        <v>31861696559434.875</v>
      </c>
      <c r="P13" s="68">
        <v>6372339311886.9746</v>
      </c>
      <c r="Q13" s="68">
        <v>3.6049121471143568</v>
      </c>
      <c r="R13" s="68">
        <v>4.2735406598058811E-3</v>
      </c>
    </row>
    <row r="14" spans="1:18" x14ac:dyDescent="0.2">
      <c r="A14" s="3">
        <v>37956</v>
      </c>
      <c r="B14" s="59">
        <v>9128398</v>
      </c>
      <c r="C14" s="215">
        <f>+'Purchased Power Model '!C14</f>
        <v>548.20000000000005</v>
      </c>
      <c r="D14" s="215">
        <f>+'Purchased Power Model '!D14</f>
        <v>0</v>
      </c>
      <c r="E14" s="126">
        <f>+'Purchased Power Model '!E14</f>
        <v>4.7E-2</v>
      </c>
      <c r="F14" s="57">
        <f>+'Purchased Power Model '!F14</f>
        <v>31</v>
      </c>
      <c r="G14" s="57">
        <f>+'Purchased Power Model '!G14</f>
        <v>0</v>
      </c>
      <c r="H14" s="42">
        <v>3970</v>
      </c>
      <c r="I14" s="222">
        <f t="shared" si="0"/>
        <v>11219223.579857174</v>
      </c>
      <c r="J14" s="36">
        <f t="shared" si="1"/>
        <v>2090825.5798571743</v>
      </c>
      <c r="K14" s="5">
        <f t="shared" si="2"/>
        <v>0.22904627732677457</v>
      </c>
      <c r="M14" s="35" t="s">
        <v>27</v>
      </c>
      <c r="N14" s="68">
        <v>138</v>
      </c>
      <c r="O14" s="68">
        <v>243940154198855.25</v>
      </c>
      <c r="P14" s="68">
        <v>1767682276803.2988</v>
      </c>
      <c r="Q14" s="68"/>
      <c r="R14" s="68"/>
    </row>
    <row r="15" spans="1:18" ht="13.5" thickBot="1" x14ac:dyDescent="0.25">
      <c r="A15" s="3">
        <v>37987</v>
      </c>
      <c r="B15" s="59">
        <v>12389595</v>
      </c>
      <c r="C15" s="215">
        <f>+'Purchased Power Model '!C15</f>
        <v>828.8</v>
      </c>
      <c r="D15" s="215">
        <f>+'Purchased Power Model '!D15</f>
        <v>0</v>
      </c>
      <c r="E15" s="126">
        <f>+'Purchased Power Model '!E15</f>
        <v>0.05</v>
      </c>
      <c r="F15" s="57">
        <f>+'Purchased Power Model '!F15</f>
        <v>31</v>
      </c>
      <c r="G15" s="57">
        <f>+'Purchased Power Model '!G15</f>
        <v>0</v>
      </c>
      <c r="H15" s="42">
        <v>3951</v>
      </c>
      <c r="I15" s="222">
        <f t="shared" si="0"/>
        <v>11793865.323668528</v>
      </c>
      <c r="J15" s="36">
        <f t="shared" si="1"/>
        <v>-595729.67633147165</v>
      </c>
      <c r="K15" s="5">
        <f t="shared" si="2"/>
        <v>-4.8083062951732612E-2</v>
      </c>
      <c r="M15" s="51" t="s">
        <v>9</v>
      </c>
      <c r="N15" s="69">
        <v>143</v>
      </c>
      <c r="O15" s="69">
        <v>275801850758290.12</v>
      </c>
      <c r="P15" s="69"/>
      <c r="Q15" s="69"/>
      <c r="R15" s="69"/>
    </row>
    <row r="16" spans="1:18" ht="13.5" thickBot="1" x14ac:dyDescent="0.25">
      <c r="A16" s="3">
        <v>38018</v>
      </c>
      <c r="B16" s="59">
        <v>11165538</v>
      </c>
      <c r="C16" s="215">
        <f>+'Purchased Power Model '!C16</f>
        <v>615.6</v>
      </c>
      <c r="D16" s="215">
        <f>+'Purchased Power Model '!D16</f>
        <v>0</v>
      </c>
      <c r="E16" s="126">
        <f>+'Purchased Power Model '!E16</f>
        <v>0.05</v>
      </c>
      <c r="F16" s="57">
        <f>+'Purchased Power Model '!F16</f>
        <v>29</v>
      </c>
      <c r="G16" s="57">
        <f>+'Purchased Power Model '!G16</f>
        <v>0</v>
      </c>
      <c r="H16" s="42">
        <v>3985</v>
      </c>
      <c r="I16" s="222">
        <f t="shared" si="0"/>
        <v>11951430.365082281</v>
      </c>
      <c r="J16" s="36">
        <f t="shared" si="1"/>
        <v>785892.36508228071</v>
      </c>
      <c r="K16" s="5">
        <f t="shared" si="2"/>
        <v>7.038553494531842E-2</v>
      </c>
      <c r="M16"/>
      <c r="N16"/>
      <c r="O16"/>
      <c r="P16"/>
      <c r="Q16"/>
    </row>
    <row r="17" spans="1:21" x14ac:dyDescent="0.2">
      <c r="A17" s="3">
        <v>38047</v>
      </c>
      <c r="B17" s="59">
        <v>14473788</v>
      </c>
      <c r="C17" s="215">
        <f>+'Purchased Power Model '!C17</f>
        <v>487.1</v>
      </c>
      <c r="D17" s="215">
        <f>+'Purchased Power Model '!D17</f>
        <v>0</v>
      </c>
      <c r="E17" s="126">
        <f>+'Purchased Power Model '!E17</f>
        <v>0.05</v>
      </c>
      <c r="F17" s="57">
        <f>+'Purchased Power Model '!F17</f>
        <v>31</v>
      </c>
      <c r="G17" s="57">
        <f>+'Purchased Power Model '!G17</f>
        <v>1</v>
      </c>
      <c r="H17" s="42">
        <v>3981</v>
      </c>
      <c r="I17" s="222">
        <f t="shared" si="0"/>
        <v>11174298.081733873</v>
      </c>
      <c r="J17" s="36">
        <f t="shared" si="1"/>
        <v>-3299489.9182661269</v>
      </c>
      <c r="K17" s="5">
        <f t="shared" si="2"/>
        <v>-0.22796312328646287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59">
        <v>10779015</v>
      </c>
      <c r="C18" s="215">
        <f>+'Purchased Power Model '!C18</f>
        <v>345</v>
      </c>
      <c r="D18" s="215">
        <f>+'Purchased Power Model '!D18</f>
        <v>0</v>
      </c>
      <c r="E18" s="126">
        <f>+'Purchased Power Model '!E18</f>
        <v>5.4000000000000006E-2</v>
      </c>
      <c r="F18" s="57">
        <f>+'Purchased Power Model '!F18</f>
        <v>30</v>
      </c>
      <c r="G18" s="57">
        <f>+'Purchased Power Model '!G18</f>
        <v>1</v>
      </c>
      <c r="H18" s="42">
        <v>3975</v>
      </c>
      <c r="I18" s="222">
        <f t="shared" si="0"/>
        <v>11176218.082374593</v>
      </c>
      <c r="J18" s="36">
        <f t="shared" si="1"/>
        <v>397203.08237459324</v>
      </c>
      <c r="K18" s="5">
        <f t="shared" si="2"/>
        <v>3.6849664127435879E-2</v>
      </c>
      <c r="M18" s="35" t="s">
        <v>28</v>
      </c>
      <c r="N18" s="68">
        <v>19378993.398135126</v>
      </c>
      <c r="O18" s="68">
        <v>4342336.5088360095</v>
      </c>
      <c r="P18" s="68">
        <v>4.4628032301738374</v>
      </c>
      <c r="Q18" s="68">
        <v>1.6657424956249565E-5</v>
      </c>
      <c r="R18" s="68">
        <v>10792876.038537685</v>
      </c>
      <c r="S18" s="68">
        <v>27965110.757732566</v>
      </c>
      <c r="T18" s="68">
        <v>10792876.038537685</v>
      </c>
      <c r="U18" s="68">
        <v>27965110.757732566</v>
      </c>
    </row>
    <row r="19" spans="1:21" x14ac:dyDescent="0.2">
      <c r="A19" s="3">
        <v>38108</v>
      </c>
      <c r="B19" s="59">
        <v>12200717</v>
      </c>
      <c r="C19" s="215">
        <f>+'Purchased Power Model '!C19</f>
        <v>177.5</v>
      </c>
      <c r="D19" s="215">
        <f>+'Purchased Power Model '!D19</f>
        <v>0</v>
      </c>
      <c r="E19" s="126">
        <f>+'Purchased Power Model '!E19</f>
        <v>5.4000000000000006E-2</v>
      </c>
      <c r="F19" s="57">
        <f>+'Purchased Power Model '!F19</f>
        <v>31</v>
      </c>
      <c r="G19" s="57">
        <f>+'Purchased Power Model '!G19</f>
        <v>1</v>
      </c>
      <c r="H19" s="42">
        <v>3967</v>
      </c>
      <c r="I19" s="222">
        <f t="shared" si="0"/>
        <v>10533320.289338669</v>
      </c>
      <c r="J19" s="36">
        <f t="shared" si="1"/>
        <v>-1667396.7106613312</v>
      </c>
      <c r="K19" s="5">
        <f t="shared" si="2"/>
        <v>-0.13666382972913241</v>
      </c>
      <c r="M19" s="35" t="s">
        <v>3</v>
      </c>
      <c r="N19" s="68">
        <v>2058.0637443598971</v>
      </c>
      <c r="O19" s="68">
        <v>676.69304360855813</v>
      </c>
      <c r="P19" s="68">
        <v>3.0413549596800804</v>
      </c>
      <c r="Q19" s="68">
        <v>2.8193653535512632E-3</v>
      </c>
      <c r="R19" s="68">
        <v>720.03619236722102</v>
      </c>
      <c r="S19" s="68">
        <v>3396.0912963525734</v>
      </c>
      <c r="T19" s="68">
        <v>720.03619236722102</v>
      </c>
      <c r="U19" s="68">
        <v>3396.0912963525734</v>
      </c>
    </row>
    <row r="20" spans="1:21" x14ac:dyDescent="0.2">
      <c r="A20" s="3">
        <v>38139</v>
      </c>
      <c r="B20" s="59">
        <v>9552121</v>
      </c>
      <c r="C20" s="215">
        <f>+'Purchased Power Model '!C20</f>
        <v>73.2</v>
      </c>
      <c r="D20" s="215">
        <f>+'Purchased Power Model '!D20</f>
        <v>15.6</v>
      </c>
      <c r="E20" s="126">
        <f>+'Purchased Power Model '!E20</f>
        <v>5.4000000000000006E-2</v>
      </c>
      <c r="F20" s="57">
        <f>+'Purchased Power Model '!F20</f>
        <v>30</v>
      </c>
      <c r="G20" s="57">
        <f>+'Purchased Power Model '!G20</f>
        <v>0</v>
      </c>
      <c r="H20" s="42">
        <v>3927</v>
      </c>
      <c r="I20" s="222">
        <f t="shared" si="0"/>
        <v>10650819.130591843</v>
      </c>
      <c r="J20" s="36">
        <f t="shared" si="1"/>
        <v>1098698.1305918433</v>
      </c>
      <c r="K20" s="5">
        <f t="shared" si="2"/>
        <v>0.11502137908343532</v>
      </c>
      <c r="M20" s="35" t="s">
        <v>4</v>
      </c>
      <c r="N20" s="68">
        <v>7542.0457338068763</v>
      </c>
      <c r="O20" s="68">
        <v>5243.2702808415333</v>
      </c>
      <c r="P20" s="68">
        <v>1.4384239853827248</v>
      </c>
      <c r="Q20" s="68">
        <v>0.15257782989203711</v>
      </c>
      <c r="R20" s="68">
        <v>-2825.4911643094229</v>
      </c>
      <c r="S20" s="68">
        <v>17909.582631923175</v>
      </c>
      <c r="T20" s="68">
        <v>-2825.4911643094229</v>
      </c>
      <c r="U20" s="68">
        <v>17909.582631923175</v>
      </c>
    </row>
    <row r="21" spans="1:21" x14ac:dyDescent="0.2">
      <c r="A21" s="3">
        <v>38169</v>
      </c>
      <c r="B21" s="59">
        <v>12682460</v>
      </c>
      <c r="C21" s="215">
        <f>+'Purchased Power Model '!C21</f>
        <v>2</v>
      </c>
      <c r="D21" s="215">
        <f>+'Purchased Power Model '!D21</f>
        <v>69.3</v>
      </c>
      <c r="E21" s="126">
        <f>+'Purchased Power Model '!E21</f>
        <v>5.5E-2</v>
      </c>
      <c r="F21" s="57">
        <f>+'Purchased Power Model '!F21</f>
        <v>31</v>
      </c>
      <c r="G21" s="57">
        <f>+'Purchased Power Model '!G21</f>
        <v>0</v>
      </c>
      <c r="H21" s="42">
        <v>3932</v>
      </c>
      <c r="I21" s="222">
        <f t="shared" si="0"/>
        <v>10610170.417757861</v>
      </c>
      <c r="J21" s="36">
        <f t="shared" si="1"/>
        <v>-2072289.5822421387</v>
      </c>
      <c r="K21" s="5">
        <f t="shared" si="2"/>
        <v>-0.16339807752140662</v>
      </c>
      <c r="M21" s="35" t="s">
        <v>223</v>
      </c>
      <c r="N21" s="68">
        <v>-950314.28534436168</v>
      </c>
      <c r="O21" s="68">
        <v>7381060.7366552101</v>
      </c>
      <c r="P21" s="68">
        <v>-0.12875036790105113</v>
      </c>
      <c r="Q21" s="68">
        <v>0.8977426305074705</v>
      </c>
      <c r="R21" s="68">
        <v>-15544911.823853958</v>
      </c>
      <c r="S21" s="68">
        <v>13644283.253165234</v>
      </c>
      <c r="T21" s="68">
        <v>-15544911.823853958</v>
      </c>
      <c r="U21" s="68">
        <v>13644283.253165234</v>
      </c>
    </row>
    <row r="22" spans="1:21" x14ac:dyDescent="0.2">
      <c r="A22" s="3">
        <v>38200</v>
      </c>
      <c r="B22" s="59">
        <v>15254194</v>
      </c>
      <c r="C22" s="215">
        <f>+'Purchased Power Model '!C22</f>
        <v>19.600000000000001</v>
      </c>
      <c r="D22" s="215">
        <f>+'Purchased Power Model '!D22</f>
        <v>53.6</v>
      </c>
      <c r="E22" s="126">
        <f>+'Purchased Power Model '!E22</f>
        <v>5.5E-2</v>
      </c>
      <c r="F22" s="57">
        <f>+'Purchased Power Model '!F22</f>
        <v>31</v>
      </c>
      <c r="G22" s="57">
        <f>+'Purchased Power Model '!G22</f>
        <v>0</v>
      </c>
      <c r="H22" s="42">
        <v>3969</v>
      </c>
      <c r="I22" s="222">
        <f t="shared" si="0"/>
        <v>10527982.221637826</v>
      </c>
      <c r="J22" s="36">
        <f t="shared" si="1"/>
        <v>-4726211.7783621736</v>
      </c>
      <c r="K22" s="5">
        <f t="shared" si="2"/>
        <v>-0.30983031803333388</v>
      </c>
      <c r="M22" s="35" t="s">
        <v>5</v>
      </c>
      <c r="N22" s="68">
        <v>-298172.11585564067</v>
      </c>
      <c r="O22" s="68">
        <v>142040.54609968539</v>
      </c>
      <c r="P22" s="68">
        <v>-2.0992042345879232</v>
      </c>
      <c r="Q22" s="68">
        <v>3.7620090659931604E-2</v>
      </c>
      <c r="R22" s="68">
        <v>-579029.39077009098</v>
      </c>
      <c r="S22" s="68">
        <v>-17314.84094119037</v>
      </c>
      <c r="T22" s="68">
        <v>-579029.39077009098</v>
      </c>
      <c r="U22" s="68">
        <v>-17314.84094119037</v>
      </c>
    </row>
    <row r="23" spans="1:21" ht="13.5" thickBot="1" x14ac:dyDescent="0.25">
      <c r="A23" s="3">
        <v>38231</v>
      </c>
      <c r="B23" s="59">
        <v>10882228</v>
      </c>
      <c r="C23" s="215">
        <f>+'Purchased Power Model '!C23</f>
        <v>41.7</v>
      </c>
      <c r="D23" s="215">
        <f>+'Purchased Power Model '!D23</f>
        <v>26.7</v>
      </c>
      <c r="E23" s="126">
        <f>+'Purchased Power Model '!E23</f>
        <v>5.5E-2</v>
      </c>
      <c r="F23" s="57">
        <f>+'Purchased Power Model '!F23</f>
        <v>30</v>
      </c>
      <c r="G23" s="57">
        <f>+'Purchased Power Model '!G23</f>
        <v>1</v>
      </c>
      <c r="H23" s="42">
        <v>3988</v>
      </c>
      <c r="I23" s="222">
        <f t="shared" si="0"/>
        <v>10752429.655517535</v>
      </c>
      <c r="J23" s="36">
        <f t="shared" si="1"/>
        <v>-129798.34448246472</v>
      </c>
      <c r="K23" s="5">
        <f t="shared" si="2"/>
        <v>-1.1927552380125165E-2</v>
      </c>
      <c r="M23" s="51" t="s">
        <v>17</v>
      </c>
      <c r="N23" s="69">
        <v>83673.139513118833</v>
      </c>
      <c r="O23" s="69">
        <v>286482.90719763841</v>
      </c>
      <c r="P23" s="69">
        <v>0.29207026810641279</v>
      </c>
      <c r="Q23" s="69">
        <v>0.77067152321085308</v>
      </c>
      <c r="R23" s="69">
        <v>-482790.52761915146</v>
      </c>
      <c r="S23" s="69">
        <v>650136.80664538918</v>
      </c>
      <c r="T23" s="69">
        <v>-482790.52761915146</v>
      </c>
      <c r="U23" s="69">
        <v>650136.80664538918</v>
      </c>
    </row>
    <row r="24" spans="1:21" x14ac:dyDescent="0.2">
      <c r="A24" s="3">
        <v>38261</v>
      </c>
      <c r="B24" s="59">
        <v>2042443</v>
      </c>
      <c r="C24" s="215">
        <f>+'Purchased Power Model '!C24</f>
        <v>235</v>
      </c>
      <c r="D24" s="215">
        <f>+'Purchased Power Model '!D24</f>
        <v>0</v>
      </c>
      <c r="E24" s="126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42">
        <v>3861</v>
      </c>
      <c r="I24" s="222">
        <f t="shared" si="0"/>
        <v>10647857.697497984</v>
      </c>
      <c r="J24" s="36">
        <f t="shared" si="1"/>
        <v>8605414.6974979844</v>
      </c>
      <c r="K24" s="5">
        <f t="shared" si="2"/>
        <v>4.2132949107994611</v>
      </c>
      <c r="M24"/>
      <c r="N24"/>
      <c r="O24"/>
      <c r="P24"/>
      <c r="Q24"/>
    </row>
    <row r="25" spans="1:21" x14ac:dyDescent="0.2">
      <c r="A25" s="3">
        <v>38292</v>
      </c>
      <c r="B25" s="59">
        <v>11145860</v>
      </c>
      <c r="C25" s="215">
        <f>+'Purchased Power Model '!C25</f>
        <v>385.7</v>
      </c>
      <c r="D25" s="215">
        <f>+'Purchased Power Model '!D25</f>
        <v>0</v>
      </c>
      <c r="E25" s="126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42">
        <v>3869</v>
      </c>
      <c r="I25" s="222">
        <f t="shared" si="0"/>
        <v>11256180.019628664</v>
      </c>
      <c r="J25" s="36">
        <f t="shared" si="1"/>
        <v>110320.01962866448</v>
      </c>
      <c r="K25" s="5">
        <f t="shared" si="2"/>
        <v>9.8978472391241662E-3</v>
      </c>
      <c r="M25"/>
      <c r="N25"/>
      <c r="O25"/>
      <c r="P25"/>
      <c r="Q25"/>
    </row>
    <row r="26" spans="1:21" x14ac:dyDescent="0.2">
      <c r="A26" s="3">
        <v>38322</v>
      </c>
      <c r="B26" s="59">
        <v>10370531</v>
      </c>
      <c r="C26" s="215">
        <f>+'Purchased Power Model '!C26</f>
        <v>627.5</v>
      </c>
      <c r="D26" s="215">
        <f>+'Purchased Power Model '!D26</f>
        <v>0</v>
      </c>
      <c r="E26" s="126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42">
        <v>3871</v>
      </c>
      <c r="I26" s="222">
        <f t="shared" si="0"/>
        <v>11371974.577646129</v>
      </c>
      <c r="J26" s="36">
        <f t="shared" si="1"/>
        <v>1001443.5776461288</v>
      </c>
      <c r="K26" s="5">
        <f t="shared" si="2"/>
        <v>9.6566277816066387E-2</v>
      </c>
      <c r="M26"/>
      <c r="N26"/>
      <c r="O26"/>
      <c r="P26"/>
      <c r="Q26"/>
    </row>
    <row r="27" spans="1:21" x14ac:dyDescent="0.2">
      <c r="A27" s="3">
        <v>38353</v>
      </c>
      <c r="B27" s="59">
        <v>12101539</v>
      </c>
      <c r="C27" s="215">
        <f>+'Purchased Power Model '!C27</f>
        <v>745.5</v>
      </c>
      <c r="D27" s="215">
        <f>+'Purchased Power Model '!D27</f>
        <v>0</v>
      </c>
      <c r="E27" s="126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42">
        <v>3872</v>
      </c>
      <c r="I27" s="222">
        <f t="shared" si="0"/>
        <v>11601521.699485775</v>
      </c>
      <c r="J27" s="36">
        <f t="shared" si="1"/>
        <v>-500017.30051422492</v>
      </c>
      <c r="K27" s="5">
        <f t="shared" si="2"/>
        <v>-4.1318488542178386E-2</v>
      </c>
      <c r="M27"/>
      <c r="N27"/>
      <c r="O27"/>
      <c r="P27"/>
      <c r="Q27"/>
    </row>
    <row r="28" spans="1:21" x14ac:dyDescent="0.2">
      <c r="A28" s="3">
        <v>38384</v>
      </c>
      <c r="B28" s="59">
        <v>12785626</v>
      </c>
      <c r="C28" s="215">
        <f>+'Purchased Power Model '!C28</f>
        <v>589.5</v>
      </c>
      <c r="D28" s="215">
        <f>+'Purchased Power Model '!D28</f>
        <v>0</v>
      </c>
      <c r="E28" s="126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42">
        <v>3870</v>
      </c>
      <c r="I28" s="222">
        <f t="shared" si="0"/>
        <v>12174980.102932556</v>
      </c>
      <c r="J28" s="36">
        <f t="shared" si="1"/>
        <v>-610645.8970674444</v>
      </c>
      <c r="K28" s="5">
        <f t="shared" si="2"/>
        <v>-4.7760344082287749E-2</v>
      </c>
    </row>
    <row r="29" spans="1:21" x14ac:dyDescent="0.2">
      <c r="A29" s="3">
        <v>38412</v>
      </c>
      <c r="B29" s="59">
        <v>11521059</v>
      </c>
      <c r="C29" s="215">
        <f>+'Purchased Power Model '!C29</f>
        <v>578.29999999999995</v>
      </c>
      <c r="D29" s="215">
        <f>+'Purchased Power Model '!D29</f>
        <v>0</v>
      </c>
      <c r="E29" s="126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42">
        <v>3876</v>
      </c>
      <c r="I29" s="222">
        <f t="shared" si="0"/>
        <v>11341086.580941917</v>
      </c>
      <c r="J29" s="36">
        <f t="shared" si="1"/>
        <v>-179972.41905808263</v>
      </c>
      <c r="K29" s="5">
        <f t="shared" si="2"/>
        <v>-1.5621169812435005E-2</v>
      </c>
    </row>
    <row r="30" spans="1:21" x14ac:dyDescent="0.2">
      <c r="A30" s="3">
        <v>38443</v>
      </c>
      <c r="B30" s="59">
        <v>12681822</v>
      </c>
      <c r="C30" s="215">
        <f>+'Purchased Power Model '!C30</f>
        <v>325.3</v>
      </c>
      <c r="D30" s="215">
        <f>+'Purchased Power Model '!D30</f>
        <v>0</v>
      </c>
      <c r="E30" s="126">
        <f>+'Purchased Power Model '!E30</f>
        <v>6.4000000000000001E-2</v>
      </c>
      <c r="F30" s="57">
        <f>+'Purchased Power Model '!F30</f>
        <v>30</v>
      </c>
      <c r="G30" s="57">
        <f>+'Purchased Power Model '!G30</f>
        <v>1</v>
      </c>
      <c r="H30" s="42">
        <v>3888</v>
      </c>
      <c r="I30" s="222">
        <f t="shared" si="0"/>
        <v>11126171.083757257</v>
      </c>
      <c r="J30" s="36">
        <f t="shared" si="1"/>
        <v>-1555650.9162427429</v>
      </c>
      <c r="K30" s="5">
        <f t="shared" si="2"/>
        <v>-0.12266777725178156</v>
      </c>
    </row>
    <row r="31" spans="1:21" x14ac:dyDescent="0.2">
      <c r="A31" s="3">
        <v>38473</v>
      </c>
      <c r="B31" s="59">
        <v>11659837</v>
      </c>
      <c r="C31" s="215">
        <f>+'Purchased Power Model '!C31</f>
        <v>216.1</v>
      </c>
      <c r="D31" s="215">
        <f>+'Purchased Power Model '!D31</f>
        <v>0.3</v>
      </c>
      <c r="E31" s="126">
        <f>+'Purchased Power Model '!E31</f>
        <v>6.4000000000000001E-2</v>
      </c>
      <c r="F31" s="57">
        <f>+'Purchased Power Model '!F31</f>
        <v>31</v>
      </c>
      <c r="G31" s="57">
        <f>+'Purchased Power Model '!G31</f>
        <v>1</v>
      </c>
      <c r="H31" s="42">
        <v>3892</v>
      </c>
      <c r="I31" s="222">
        <f t="shared" si="0"/>
        <v>10605521.020737657</v>
      </c>
      <c r="J31" s="36">
        <f t="shared" si="1"/>
        <v>-1054315.9792623427</v>
      </c>
      <c r="K31" s="5">
        <f t="shared" si="2"/>
        <v>-9.0422874630438035E-2</v>
      </c>
    </row>
    <row r="32" spans="1:21" x14ac:dyDescent="0.2">
      <c r="A32" s="3">
        <v>38504</v>
      </c>
      <c r="B32" s="59">
        <v>10976310</v>
      </c>
      <c r="C32" s="215">
        <f>+'Purchased Power Model '!C32</f>
        <v>13.7</v>
      </c>
      <c r="D32" s="215">
        <f>+'Purchased Power Model '!D32</f>
        <v>89.9</v>
      </c>
      <c r="E32" s="126">
        <f>+'Purchased Power Model '!E32</f>
        <v>6.4000000000000001E-2</v>
      </c>
      <c r="F32" s="57">
        <f>+'Purchased Power Model '!F32</f>
        <v>30</v>
      </c>
      <c r="G32" s="57">
        <f>+'Purchased Power Model '!G32</f>
        <v>0</v>
      </c>
      <c r="H32" s="42">
        <v>3882</v>
      </c>
      <c r="I32" s="222">
        <f t="shared" si="0"/>
        <v>11079235.192970835</v>
      </c>
      <c r="J32" s="36">
        <f t="shared" si="1"/>
        <v>102925.19297083467</v>
      </c>
      <c r="K32" s="5">
        <f t="shared" si="2"/>
        <v>9.3770304383563024E-3</v>
      </c>
    </row>
    <row r="33" spans="1:11" x14ac:dyDescent="0.2">
      <c r="A33" s="3">
        <v>38534</v>
      </c>
      <c r="B33" s="59">
        <v>9734431</v>
      </c>
      <c r="C33" s="215">
        <f>+'Purchased Power Model '!C33</f>
        <v>2.2000000000000002</v>
      </c>
      <c r="D33" s="215">
        <f>+'Purchased Power Model '!D33</f>
        <v>153</v>
      </c>
      <c r="E33" s="126">
        <f>+'Purchased Power Model '!E33</f>
        <v>5.7999999999999996E-2</v>
      </c>
      <c r="F33" s="57">
        <f>+'Purchased Power Model '!F33</f>
        <v>31</v>
      </c>
      <c r="G33" s="57">
        <f>+'Purchased Power Model '!G33</f>
        <v>0</v>
      </c>
      <c r="H33" s="42">
        <v>3992</v>
      </c>
      <c r="I33" s="222">
        <f t="shared" si="0"/>
        <v>11239000.315570332</v>
      </c>
      <c r="J33" s="36">
        <f t="shared" si="1"/>
        <v>1504569.3155703321</v>
      </c>
      <c r="K33" s="5">
        <f t="shared" si="2"/>
        <v>0.15456160874429456</v>
      </c>
    </row>
    <row r="34" spans="1:11" x14ac:dyDescent="0.2">
      <c r="A34" s="3">
        <v>38565</v>
      </c>
      <c r="B34" s="59">
        <v>13811424</v>
      </c>
      <c r="C34" s="215">
        <f>+'Purchased Power Model '!C34</f>
        <v>0</v>
      </c>
      <c r="D34" s="215">
        <f>+'Purchased Power Model '!D34</f>
        <v>108</v>
      </c>
      <c r="E34" s="126">
        <f>+'Purchased Power Model '!E34</f>
        <v>5.7999999999999996E-2</v>
      </c>
      <c r="F34" s="57">
        <f>+'Purchased Power Model '!F34</f>
        <v>31</v>
      </c>
      <c r="G34" s="57">
        <f>+'Purchased Power Model '!G34</f>
        <v>0</v>
      </c>
      <c r="H34" s="42">
        <v>4008</v>
      </c>
      <c r="I34" s="222">
        <f t="shared" si="0"/>
        <v>10895080.517311435</v>
      </c>
      <c r="J34" s="36">
        <f t="shared" si="1"/>
        <v>-2916343.4826885648</v>
      </c>
      <c r="K34" s="5">
        <f t="shared" si="2"/>
        <v>-0.2111544387232312</v>
      </c>
    </row>
    <row r="35" spans="1:11" x14ac:dyDescent="0.2">
      <c r="A35" s="3">
        <v>38596</v>
      </c>
      <c r="B35" s="59">
        <v>10621632</v>
      </c>
      <c r="C35" s="215">
        <f>+'Purchased Power Model '!C35</f>
        <v>36.700000000000003</v>
      </c>
      <c r="D35" s="215">
        <f>+'Purchased Power Model '!D35</f>
        <v>32.799999999999997</v>
      </c>
      <c r="E35" s="126">
        <f>+'Purchased Power Model '!E35</f>
        <v>5.7999999999999996E-2</v>
      </c>
      <c r="F35" s="57">
        <f>+'Purchased Power Model '!F35</f>
        <v>30</v>
      </c>
      <c r="G35" s="57">
        <f>+'Purchased Power Model '!G35</f>
        <v>1</v>
      </c>
      <c r="H35" s="42">
        <v>4013</v>
      </c>
      <c r="I35" s="222">
        <f t="shared" si="0"/>
        <v>10785294.872915925</v>
      </c>
      <c r="J35" s="36">
        <f t="shared" si="1"/>
        <v>163662.87291592546</v>
      </c>
      <c r="K35" s="5">
        <f t="shared" si="2"/>
        <v>1.5408448806730026E-2</v>
      </c>
    </row>
    <row r="36" spans="1:11" x14ac:dyDescent="0.2">
      <c r="A36" s="3">
        <v>38626</v>
      </c>
      <c r="B36" s="59">
        <v>11684632</v>
      </c>
      <c r="C36" s="215">
        <f>+'Purchased Power Model '!C36</f>
        <v>223.8</v>
      </c>
      <c r="D36" s="215">
        <f>+'Purchased Power Model '!D36</f>
        <v>0.5</v>
      </c>
      <c r="E36" s="126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42">
        <v>4013</v>
      </c>
      <c r="I36" s="222">
        <f t="shared" si="0"/>
        <v>10620025.577859959</v>
      </c>
      <c r="J36" s="36">
        <f t="shared" si="1"/>
        <v>-1064606.4221400414</v>
      </c>
      <c r="K36" s="5">
        <f t="shared" si="2"/>
        <v>-9.1111677470034264E-2</v>
      </c>
    </row>
    <row r="37" spans="1:11" x14ac:dyDescent="0.2">
      <c r="A37" s="3">
        <v>38657</v>
      </c>
      <c r="B37" s="59">
        <v>10256317</v>
      </c>
      <c r="C37" s="215">
        <f>+'Purchased Power Model '!C37</f>
        <v>398.5</v>
      </c>
      <c r="D37" s="215">
        <f>+'Purchased Power Model '!D37</f>
        <v>0</v>
      </c>
      <c r="E37" s="126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42">
        <v>4031</v>
      </c>
      <c r="I37" s="222">
        <f t="shared" si="0"/>
        <v>11273970.406988369</v>
      </c>
      <c r="J37" s="36">
        <f t="shared" si="1"/>
        <v>1017653.4069883693</v>
      </c>
      <c r="K37" s="5">
        <f t="shared" si="2"/>
        <v>9.9222109358395344E-2</v>
      </c>
    </row>
    <row r="38" spans="1:11" x14ac:dyDescent="0.2">
      <c r="A38" s="3">
        <v>38687</v>
      </c>
      <c r="B38" s="59">
        <v>11024399</v>
      </c>
      <c r="C38" s="215">
        <f>+'Purchased Power Model '!C38</f>
        <v>641.1</v>
      </c>
      <c r="D38" s="215">
        <f>+'Purchased Power Model '!D38</f>
        <v>0</v>
      </c>
      <c r="E38" s="126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42">
        <v>4043</v>
      </c>
      <c r="I38" s="222">
        <f t="shared" si="0"/>
        <v>11391411.41600132</v>
      </c>
      <c r="J38" s="36">
        <f t="shared" si="1"/>
        <v>367012.41600131989</v>
      </c>
      <c r="K38" s="5">
        <f t="shared" si="2"/>
        <v>3.3290922797815994E-2</v>
      </c>
    </row>
    <row r="39" spans="1:11" x14ac:dyDescent="0.2">
      <c r="A39" s="3">
        <v>38718</v>
      </c>
      <c r="B39" s="60">
        <v>12471130</v>
      </c>
      <c r="C39" s="215">
        <f>+'Purchased Power Model '!C39</f>
        <v>558.20000000000005</v>
      </c>
      <c r="D39" s="215">
        <f>+'Purchased Power Model '!D39</f>
        <v>0</v>
      </c>
      <c r="E39" s="126">
        <f>+'Purchased Power Model '!E39</f>
        <v>6.6000000000000003E-2</v>
      </c>
      <c r="F39" s="57">
        <f>+'Purchased Power Model '!F39</f>
        <v>31</v>
      </c>
      <c r="G39" s="57">
        <f>+'Purchased Power Model '!G39</f>
        <v>0</v>
      </c>
      <c r="H39" s="42">
        <v>4045</v>
      </c>
      <c r="I39" s="222">
        <f t="shared" si="0"/>
        <v>11221748.245879229</v>
      </c>
      <c r="J39" s="36">
        <f t="shared" si="1"/>
        <v>-1249381.7541207708</v>
      </c>
      <c r="K39" s="5">
        <f t="shared" si="2"/>
        <v>-0.10018192049323284</v>
      </c>
    </row>
    <row r="40" spans="1:11" x14ac:dyDescent="0.2">
      <c r="A40" s="3">
        <v>38749</v>
      </c>
      <c r="B40" s="60">
        <v>12378052</v>
      </c>
      <c r="C40" s="215">
        <f>+'Purchased Power Model '!C40</f>
        <v>608.79999999999995</v>
      </c>
      <c r="D40" s="215">
        <f>+'Purchased Power Model '!D40</f>
        <v>0</v>
      </c>
      <c r="E40" s="126">
        <f>+'Purchased Power Model '!E40</f>
        <v>6.6000000000000003E-2</v>
      </c>
      <c r="F40" s="57">
        <f>+'Purchased Power Model '!F40</f>
        <v>28</v>
      </c>
      <c r="G40" s="57">
        <f>+'Purchased Power Model '!G40</f>
        <v>0</v>
      </c>
      <c r="H40" s="42">
        <v>4052</v>
      </c>
      <c r="I40" s="222">
        <f t="shared" si="0"/>
        <v>12220402.618910765</v>
      </c>
      <c r="J40" s="36">
        <f t="shared" si="1"/>
        <v>-157649.38108923472</v>
      </c>
      <c r="K40" s="5">
        <f t="shared" si="2"/>
        <v>-1.2736202844295268E-2</v>
      </c>
    </row>
    <row r="41" spans="1:11" x14ac:dyDescent="0.2">
      <c r="A41" s="3">
        <v>38777</v>
      </c>
      <c r="B41" s="60">
        <v>12610185</v>
      </c>
      <c r="C41" s="215">
        <f>+'Purchased Power Model '!C41</f>
        <v>534</v>
      </c>
      <c r="D41" s="215">
        <f>+'Purchased Power Model '!D41</f>
        <v>0</v>
      </c>
      <c r="E41" s="126">
        <f>+'Purchased Power Model '!E41</f>
        <v>6.6000000000000003E-2</v>
      </c>
      <c r="F41" s="57">
        <f>+'Purchased Power Model '!F41</f>
        <v>31</v>
      </c>
      <c r="G41" s="57">
        <f>+'Purchased Power Model '!G41</f>
        <v>1</v>
      </c>
      <c r="H41" s="42">
        <v>4064</v>
      </c>
      <c r="I41" s="222">
        <f t="shared" si="0"/>
        <v>11255616.24277884</v>
      </c>
      <c r="J41" s="36">
        <f t="shared" si="1"/>
        <v>-1354568.7572211605</v>
      </c>
      <c r="K41" s="5">
        <f t="shared" si="2"/>
        <v>-0.10741862686559796</v>
      </c>
    </row>
    <row r="42" spans="1:11" x14ac:dyDescent="0.2">
      <c r="A42" s="3">
        <v>38808</v>
      </c>
      <c r="B42" s="60">
        <v>11451939</v>
      </c>
      <c r="C42" s="215">
        <f>+'Purchased Power Model '!C42</f>
        <v>323.60000000000002</v>
      </c>
      <c r="D42" s="215">
        <f>+'Purchased Power Model '!D42</f>
        <v>0</v>
      </c>
      <c r="E42" s="126">
        <f>+'Purchased Power Model '!E42</f>
        <v>6.5000000000000002E-2</v>
      </c>
      <c r="F42" s="57">
        <f>+'Purchased Power Model '!F42</f>
        <v>30</v>
      </c>
      <c r="G42" s="57">
        <f>+'Purchased Power Model '!G42</f>
        <v>1</v>
      </c>
      <c r="H42" s="42">
        <v>4088</v>
      </c>
      <c r="I42" s="222">
        <f t="shared" si="0"/>
        <v>11121722.061106505</v>
      </c>
      <c r="J42" s="36">
        <f t="shared" si="1"/>
        <v>-330216.93889349513</v>
      </c>
      <c r="K42" s="5">
        <f t="shared" si="2"/>
        <v>-2.8835024260389017E-2</v>
      </c>
    </row>
    <row r="43" spans="1:11" x14ac:dyDescent="0.2">
      <c r="A43" s="3">
        <v>38838</v>
      </c>
      <c r="B43" s="60">
        <v>10909292</v>
      </c>
      <c r="C43" s="215">
        <f>+'Purchased Power Model '!C43</f>
        <v>172.6</v>
      </c>
      <c r="D43" s="215">
        <f>+'Purchased Power Model '!D43</f>
        <v>12.8</v>
      </c>
      <c r="E43" s="126">
        <f>+'Purchased Power Model '!E43</f>
        <v>6.5000000000000002E-2</v>
      </c>
      <c r="F43" s="57">
        <f>+'Purchased Power Model '!F43</f>
        <v>31</v>
      </c>
      <c r="G43" s="57">
        <f>+'Purchased Power Model '!G43</f>
        <v>1</v>
      </c>
      <c r="H43" s="42">
        <v>3783</v>
      </c>
      <c r="I43" s="222">
        <f t="shared" si="0"/>
        <v>10609320.505245244</v>
      </c>
      <c r="J43" s="36">
        <f t="shared" si="1"/>
        <v>-299971.49475475587</v>
      </c>
      <c r="K43" s="5">
        <f t="shared" si="2"/>
        <v>-2.7496880160028339E-2</v>
      </c>
    </row>
    <row r="44" spans="1:11" x14ac:dyDescent="0.2">
      <c r="A44" s="3">
        <v>38869</v>
      </c>
      <c r="B44" s="60">
        <v>10327669</v>
      </c>
      <c r="C44" s="215">
        <f>+'Purchased Power Model '!C44</f>
        <v>22.6</v>
      </c>
      <c r="D44" s="215">
        <f>+'Purchased Power Model '!D44</f>
        <v>36.200000000000003</v>
      </c>
      <c r="E44" s="126">
        <f>+'Purchased Power Model '!E44</f>
        <v>6.5000000000000002E-2</v>
      </c>
      <c r="F44" s="57">
        <f>+'Purchased Power Model '!F44</f>
        <v>30</v>
      </c>
      <c r="G44" s="57">
        <f>+'Purchased Power Model '!G44</f>
        <v>0</v>
      </c>
      <c r="H44" s="42">
        <v>3797</v>
      </c>
      <c r="I44" s="222">
        <f t="shared" si="0"/>
        <v>10691593.790104866</v>
      </c>
      <c r="J44" s="36">
        <f t="shared" si="1"/>
        <v>363924.79010486603</v>
      </c>
      <c r="K44" s="5">
        <f t="shared" si="2"/>
        <v>3.5237844096752714E-2</v>
      </c>
    </row>
    <row r="45" spans="1:11" x14ac:dyDescent="0.2">
      <c r="A45" s="3">
        <v>38899</v>
      </c>
      <c r="B45" s="60">
        <v>10443940</v>
      </c>
      <c r="C45" s="215">
        <f>+'Purchased Power Model '!C45</f>
        <v>1.7</v>
      </c>
      <c r="D45" s="215">
        <f>+'Purchased Power Model '!D45</f>
        <v>107.6</v>
      </c>
      <c r="E45" s="126">
        <f>+'Purchased Power Model '!E45</f>
        <v>6.7000000000000004E-2</v>
      </c>
      <c r="F45" s="57">
        <f>+'Purchased Power Model '!F45</f>
        <v>31</v>
      </c>
      <c r="G45" s="57">
        <f>+'Purchased Power Model '!G45</f>
        <v>0</v>
      </c>
      <c r="H45" s="42">
        <v>3809</v>
      </c>
      <c r="I45" s="222">
        <f t="shared" si="0"/>
        <v>10887009.578815222</v>
      </c>
      <c r="J45" s="36">
        <f t="shared" si="1"/>
        <v>443069.57881522179</v>
      </c>
      <c r="K45" s="5">
        <f t="shared" si="2"/>
        <v>4.2423604388307647E-2</v>
      </c>
    </row>
    <row r="46" spans="1:11" x14ac:dyDescent="0.2">
      <c r="A46" s="3">
        <v>38930</v>
      </c>
      <c r="B46" s="60">
        <v>12084297</v>
      </c>
      <c r="C46" s="215">
        <f>+'Purchased Power Model '!C46</f>
        <v>4.4000000000000004</v>
      </c>
      <c r="D46" s="215">
        <f>+'Purchased Power Model '!D46</f>
        <v>82.1</v>
      </c>
      <c r="E46" s="126">
        <f>+'Purchased Power Model '!E46</f>
        <v>6.7000000000000004E-2</v>
      </c>
      <c r="F46" s="57">
        <f>+'Purchased Power Model '!F46</f>
        <v>31</v>
      </c>
      <c r="G46" s="57">
        <f>+'Purchased Power Model '!G46</f>
        <v>0</v>
      </c>
      <c r="H46" s="42">
        <v>3824</v>
      </c>
      <c r="I46" s="222">
        <f t="shared" si="0"/>
        <v>10700244.18471292</v>
      </c>
      <c r="J46" s="36">
        <f t="shared" si="1"/>
        <v>-1384052.8152870797</v>
      </c>
      <c r="K46" s="5">
        <f t="shared" si="2"/>
        <v>-0.11453316773719478</v>
      </c>
    </row>
    <row r="47" spans="1:11" x14ac:dyDescent="0.2">
      <c r="A47" s="3">
        <v>38961</v>
      </c>
      <c r="B47" s="60">
        <v>10707914</v>
      </c>
      <c r="C47" s="215">
        <f>+'Purchased Power Model '!C47</f>
        <v>70.7</v>
      </c>
      <c r="D47" s="215">
        <f>+'Purchased Power Model '!D47</f>
        <v>5.0999999999999996</v>
      </c>
      <c r="E47" s="126">
        <f>+'Purchased Power Model '!E47</f>
        <v>6.7000000000000004E-2</v>
      </c>
      <c r="F47" s="57">
        <f>+'Purchased Power Model '!F47</f>
        <v>30</v>
      </c>
      <c r="G47" s="57">
        <f>+'Purchased Power Model '!G47</f>
        <v>1</v>
      </c>
      <c r="H47" s="42">
        <v>3724</v>
      </c>
      <c r="I47" s="222">
        <f t="shared" si="0"/>
        <v>10637801.544829609</v>
      </c>
      <c r="J47" s="36">
        <f t="shared" si="1"/>
        <v>-70112.455170391127</v>
      </c>
      <c r="K47" s="5">
        <f t="shared" si="2"/>
        <v>-6.5477230364748102E-3</v>
      </c>
    </row>
    <row r="48" spans="1:11" x14ac:dyDescent="0.2">
      <c r="A48" s="3">
        <v>38991</v>
      </c>
      <c r="B48" s="60">
        <v>10422734</v>
      </c>
      <c r="C48" s="215">
        <f>+'Purchased Power Model '!C48</f>
        <v>274.60000000000002</v>
      </c>
      <c r="D48" s="215">
        <f>+'Purchased Power Model '!D48</f>
        <v>0</v>
      </c>
      <c r="E48" s="126">
        <f>+'Purchased Power Model '!E48</f>
        <v>6.8000000000000005E-2</v>
      </c>
      <c r="F48" s="57">
        <f>+'Purchased Power Model '!F48</f>
        <v>31</v>
      </c>
      <c r="G48" s="57">
        <f>+'Purchased Power Model '!G48</f>
        <v>1</v>
      </c>
      <c r="H48" s="42">
        <v>3725</v>
      </c>
      <c r="I48" s="222">
        <f t="shared" si="0"/>
        <v>10719853.878921194</v>
      </c>
      <c r="J48" s="36">
        <f t="shared" si="1"/>
        <v>297119.878921194</v>
      </c>
      <c r="K48" s="5">
        <f t="shared" si="2"/>
        <v>2.8506904131026849E-2</v>
      </c>
    </row>
    <row r="49" spans="1:11" x14ac:dyDescent="0.2">
      <c r="A49" s="3">
        <v>39022</v>
      </c>
      <c r="B49" s="60">
        <v>9945698</v>
      </c>
      <c r="C49" s="215">
        <f>+'Purchased Power Model '!C49</f>
        <v>367.5</v>
      </c>
      <c r="D49" s="215">
        <f>+'Purchased Power Model '!D49</f>
        <v>0</v>
      </c>
      <c r="E49" s="126">
        <f>+'Purchased Power Model '!E49</f>
        <v>6.8000000000000005E-2</v>
      </c>
      <c r="F49" s="57">
        <f>+'Purchased Power Model '!F49</f>
        <v>30</v>
      </c>
      <c r="G49" s="57">
        <f>+'Purchased Power Model '!G49</f>
        <v>1</v>
      </c>
      <c r="H49" s="42">
        <v>3729</v>
      </c>
      <c r="I49" s="222">
        <f t="shared" si="0"/>
        <v>11209220.11662787</v>
      </c>
      <c r="J49" s="36">
        <f t="shared" si="1"/>
        <v>1263522.1166278701</v>
      </c>
      <c r="K49" s="5">
        <f t="shared" si="2"/>
        <v>0.12704207554139188</v>
      </c>
    </row>
    <row r="50" spans="1:11" x14ac:dyDescent="0.2">
      <c r="A50" s="3">
        <v>39052</v>
      </c>
      <c r="B50" s="60">
        <v>10402920</v>
      </c>
      <c r="C50" s="215">
        <f>+'Purchased Power Model '!C50</f>
        <v>471.5</v>
      </c>
      <c r="D50" s="215">
        <f>+'Purchased Power Model '!D50</f>
        <v>0</v>
      </c>
      <c r="E50" s="126">
        <f>+'Purchased Power Model '!E50</f>
        <v>6.8000000000000005E-2</v>
      </c>
      <c r="F50" s="57">
        <f>+'Purchased Power Model '!F50</f>
        <v>31</v>
      </c>
      <c r="G50" s="57">
        <f>+'Purchased Power Model '!G50</f>
        <v>0</v>
      </c>
      <c r="H50" s="42">
        <v>3733</v>
      </c>
      <c r="I50" s="222">
        <f t="shared" si="0"/>
        <v>11041413.49067254</v>
      </c>
      <c r="J50" s="36">
        <f t="shared" si="1"/>
        <v>638493.49067253992</v>
      </c>
      <c r="K50" s="5">
        <f t="shared" si="2"/>
        <v>6.1376372275528404E-2</v>
      </c>
    </row>
    <row r="51" spans="1:11" x14ac:dyDescent="0.2">
      <c r="A51" s="3">
        <v>39083</v>
      </c>
      <c r="B51" s="60">
        <v>11259988</v>
      </c>
      <c r="C51" s="215">
        <f>+'Purchased Power Model '!C51</f>
        <v>573.1</v>
      </c>
      <c r="D51" s="215">
        <f>+'Purchased Power Model '!D51</f>
        <v>0</v>
      </c>
      <c r="E51" s="126">
        <f>+'Purchased Power Model '!E51</f>
        <v>6.0999999999999999E-2</v>
      </c>
      <c r="F51" s="57">
        <f>+'Purchased Power Model '!F51</f>
        <v>31</v>
      </c>
      <c r="G51" s="57">
        <f>+'Purchased Power Model '!G51</f>
        <v>0</v>
      </c>
      <c r="H51" s="42">
        <v>3744</v>
      </c>
      <c r="I51" s="222">
        <f t="shared" si="0"/>
        <v>11257164.967096917</v>
      </c>
      <c r="J51" s="36">
        <f t="shared" si="1"/>
        <v>-2823.0329030826688</v>
      </c>
      <c r="K51" s="5">
        <f t="shared" si="2"/>
        <v>-2.5071366888514168E-4</v>
      </c>
    </row>
    <row r="52" spans="1:11" x14ac:dyDescent="0.2">
      <c r="A52" s="3">
        <v>39114</v>
      </c>
      <c r="B52" s="60">
        <v>11970135</v>
      </c>
      <c r="C52" s="215">
        <f>+'Purchased Power Model '!C52</f>
        <v>693.5</v>
      </c>
      <c r="D52" s="215">
        <f>+'Purchased Power Model '!D52</f>
        <v>0</v>
      </c>
      <c r="E52" s="126">
        <f>+'Purchased Power Model '!E52</f>
        <v>6.0999999999999999E-2</v>
      </c>
      <c r="F52" s="57">
        <f>+'Purchased Power Model '!F52</f>
        <v>28</v>
      </c>
      <c r="G52" s="57">
        <f>+'Purchased Power Model '!G52</f>
        <v>0</v>
      </c>
      <c r="H52" s="42">
        <v>3741</v>
      </c>
      <c r="I52" s="222">
        <f t="shared" si="0"/>
        <v>12399472.189484769</v>
      </c>
      <c r="J52" s="36">
        <f t="shared" si="1"/>
        <v>429337.18948476948</v>
      </c>
      <c r="K52" s="5">
        <f t="shared" si="2"/>
        <v>3.5867364025950373E-2</v>
      </c>
    </row>
    <row r="53" spans="1:11" x14ac:dyDescent="0.2">
      <c r="A53" s="3">
        <v>39142</v>
      </c>
      <c r="B53" s="60">
        <v>11917401</v>
      </c>
      <c r="C53" s="215">
        <f>+'Purchased Power Model '!C53</f>
        <v>477.9</v>
      </c>
      <c r="D53" s="215">
        <f>+'Purchased Power Model '!D53</f>
        <v>0</v>
      </c>
      <c r="E53" s="126">
        <f>+'Purchased Power Model '!E53</f>
        <v>6.0999999999999999E-2</v>
      </c>
      <c r="F53" s="57">
        <f>+'Purchased Power Model '!F53</f>
        <v>31</v>
      </c>
      <c r="G53" s="57">
        <f>+'Purchased Power Model '!G53</f>
        <v>1</v>
      </c>
      <c r="H53" s="42">
        <v>3739</v>
      </c>
      <c r="I53" s="222">
        <f t="shared" si="0"/>
        <v>11144910.438146973</v>
      </c>
      <c r="J53" s="36">
        <f t="shared" si="1"/>
        <v>-772490.56185302697</v>
      </c>
      <c r="K53" s="5">
        <f t="shared" si="2"/>
        <v>-6.4820388426388181E-2</v>
      </c>
    </row>
    <row r="54" spans="1:11" x14ac:dyDescent="0.2">
      <c r="A54" s="3">
        <v>39173</v>
      </c>
      <c r="B54" s="60">
        <v>11639751</v>
      </c>
      <c r="C54" s="215">
        <f>+'Purchased Power Model '!C54</f>
        <v>280.39999999999998</v>
      </c>
      <c r="D54" s="215">
        <f>+'Purchased Power Model '!D54</f>
        <v>0</v>
      </c>
      <c r="E54" s="126">
        <f>+'Purchased Power Model '!E54</f>
        <v>0.06</v>
      </c>
      <c r="F54" s="57">
        <f>+'Purchased Power Model '!F54</f>
        <v>30</v>
      </c>
      <c r="G54" s="57">
        <f>+'Purchased Power Model '!G54</f>
        <v>1</v>
      </c>
      <c r="H54" s="42">
        <v>3743</v>
      </c>
      <c r="I54" s="222">
        <f t="shared" si="0"/>
        <v>11037565.278776875</v>
      </c>
      <c r="J54" s="36">
        <f t="shared" si="1"/>
        <v>-602185.72122312523</v>
      </c>
      <c r="K54" s="5">
        <f t="shared" si="2"/>
        <v>-5.1735275198165773E-2</v>
      </c>
    </row>
    <row r="55" spans="1:11" x14ac:dyDescent="0.2">
      <c r="A55" s="3">
        <v>39203</v>
      </c>
      <c r="B55" s="60">
        <v>10763742</v>
      </c>
      <c r="C55" s="215">
        <f>+'Purchased Power Model '!C55</f>
        <v>72.8</v>
      </c>
      <c r="D55" s="215">
        <f>+'Purchased Power Model '!D55</f>
        <v>4.5</v>
      </c>
      <c r="E55" s="126">
        <f>+'Purchased Power Model '!E55</f>
        <v>0.06</v>
      </c>
      <c r="F55" s="57">
        <f>+'Purchased Power Model '!F55</f>
        <v>31</v>
      </c>
      <c r="G55" s="57">
        <f>+'Purchased Power Model '!G55</f>
        <v>1</v>
      </c>
      <c r="H55" s="42">
        <v>3747</v>
      </c>
      <c r="I55" s="222">
        <f t="shared" si="0"/>
        <v>10346078.33539425</v>
      </c>
      <c r="J55" s="36">
        <f t="shared" si="1"/>
        <v>-417663.66460574977</v>
      </c>
      <c r="K55" s="5">
        <f t="shared" si="2"/>
        <v>-3.8802831264977342E-2</v>
      </c>
    </row>
    <row r="56" spans="1:11" x14ac:dyDescent="0.2">
      <c r="A56" s="3">
        <v>39234</v>
      </c>
      <c r="B56" s="60">
        <v>10679632</v>
      </c>
      <c r="C56" s="215">
        <f>+'Purchased Power Model '!C56</f>
        <v>6.2</v>
      </c>
      <c r="D56" s="215">
        <f>+'Purchased Power Model '!D56</f>
        <v>32.799999999999997</v>
      </c>
      <c r="E56" s="126">
        <f>+'Purchased Power Model '!E56</f>
        <v>0.06</v>
      </c>
      <c r="F56" s="57">
        <f>+'Purchased Power Model '!F56</f>
        <v>30</v>
      </c>
      <c r="G56" s="57">
        <f>+'Purchased Power Model '!G56</f>
        <v>0</v>
      </c>
      <c r="H56" s="42">
        <v>3744</v>
      </c>
      <c r="I56" s="222">
        <f t="shared" si="0"/>
        <v>10636950.160629142</v>
      </c>
      <c r="J56" s="36">
        <f t="shared" si="1"/>
        <v>-42681.839370857924</v>
      </c>
      <c r="K56" s="5">
        <f t="shared" si="2"/>
        <v>-3.9965646167262996E-3</v>
      </c>
    </row>
    <row r="57" spans="1:11" x14ac:dyDescent="0.2">
      <c r="A57" s="3">
        <v>39264</v>
      </c>
      <c r="B57" s="60">
        <v>10131980</v>
      </c>
      <c r="C57" s="215">
        <f>+'Purchased Power Model '!C57</f>
        <v>8.6999999999999993</v>
      </c>
      <c r="D57" s="215">
        <f>+'Purchased Power Model '!D57</f>
        <v>41.6</v>
      </c>
      <c r="E57" s="126">
        <f>+'Purchased Power Model '!E57</f>
        <v>6.5000000000000002E-2</v>
      </c>
      <c r="F57" s="57">
        <f>+'Purchased Power Model '!F57</f>
        <v>31</v>
      </c>
      <c r="G57" s="57">
        <f>+'Purchased Power Model '!G57</f>
        <v>0</v>
      </c>
      <c r="H57" s="42">
        <v>3770</v>
      </c>
      <c r="I57" s="222">
        <f t="shared" si="0"/>
        <v>10405541.635165181</v>
      </c>
      <c r="J57" s="36">
        <f t="shared" si="1"/>
        <v>273561.63516518101</v>
      </c>
      <c r="K57" s="5">
        <f t="shared" si="2"/>
        <v>2.6999819893562857E-2</v>
      </c>
    </row>
    <row r="58" spans="1:11" x14ac:dyDescent="0.2">
      <c r="A58" s="3">
        <v>39295</v>
      </c>
      <c r="B58" s="60">
        <v>11308818</v>
      </c>
      <c r="C58" s="215">
        <f>+'Purchased Power Model '!C58</f>
        <v>4</v>
      </c>
      <c r="D58" s="215">
        <f>+'Purchased Power Model '!D58</f>
        <v>87.8</v>
      </c>
      <c r="E58" s="126">
        <f>+'Purchased Power Model '!E58</f>
        <v>6.5000000000000002E-2</v>
      </c>
      <c r="F58" s="57">
        <f>+'Purchased Power Model '!F58</f>
        <v>31</v>
      </c>
      <c r="G58" s="57">
        <f>+'Purchased Power Model '!G58</f>
        <v>0</v>
      </c>
      <c r="H58" s="42">
        <v>3770</v>
      </c>
      <c r="I58" s="222">
        <f t="shared" si="0"/>
        <v>10744311.248468563</v>
      </c>
      <c r="J58" s="36">
        <f t="shared" si="1"/>
        <v>-564506.75153143704</v>
      </c>
      <c r="K58" s="5">
        <f t="shared" si="2"/>
        <v>-4.9917396453938605E-2</v>
      </c>
    </row>
    <row r="59" spans="1:11" x14ac:dyDescent="0.2">
      <c r="A59" s="3">
        <v>39326</v>
      </c>
      <c r="B59" s="60">
        <v>11270208</v>
      </c>
      <c r="C59" s="215">
        <f>+'Purchased Power Model '!C59</f>
        <v>20.100000000000001</v>
      </c>
      <c r="D59" s="215">
        <f>+'Purchased Power Model '!D59</f>
        <v>12.3</v>
      </c>
      <c r="E59" s="126">
        <f>+'Purchased Power Model '!E59</f>
        <v>6.5000000000000002E-2</v>
      </c>
      <c r="F59" s="57">
        <f>+'Purchased Power Model '!F59</f>
        <v>30</v>
      </c>
      <c r="G59" s="57">
        <f>+'Purchased Power Model '!G59</f>
        <v>1</v>
      </c>
      <c r="H59" s="42">
        <v>3768</v>
      </c>
      <c r="I59" s="222">
        <f t="shared" si="0"/>
        <v>10589866.877219101</v>
      </c>
      <c r="J59" s="36">
        <f t="shared" si="1"/>
        <v>-680341.12278089859</v>
      </c>
      <c r="K59" s="5">
        <f t="shared" si="2"/>
        <v>-6.0366332438664717E-2</v>
      </c>
    </row>
    <row r="60" spans="1:11" x14ac:dyDescent="0.2">
      <c r="A60" s="3">
        <v>39356</v>
      </c>
      <c r="B60" s="60">
        <v>10530867</v>
      </c>
      <c r="C60" s="215">
        <f>+'Purchased Power Model '!C60</f>
        <v>101.5</v>
      </c>
      <c r="D60" s="215">
        <f>+'Purchased Power Model '!D60</f>
        <v>0</v>
      </c>
      <c r="E60" s="126">
        <f>+'Purchased Power Model '!E60</f>
        <v>6.3E-2</v>
      </c>
      <c r="F60" s="57">
        <f>+'Purchased Power Model '!F60</f>
        <v>31</v>
      </c>
      <c r="G60" s="57">
        <f>+'Purchased Power Model '!G60</f>
        <v>1</v>
      </c>
      <c r="H60" s="42">
        <v>3770</v>
      </c>
      <c r="I60" s="222">
        <f t="shared" si="0"/>
        <v>10368354.616199216</v>
      </c>
      <c r="J60" s="36">
        <f t="shared" si="1"/>
        <v>-162512.38380078413</v>
      </c>
      <c r="K60" s="5">
        <f t="shared" si="2"/>
        <v>-1.5432004202577445E-2</v>
      </c>
    </row>
    <row r="61" spans="1:11" x14ac:dyDescent="0.2">
      <c r="A61" s="3">
        <v>39387</v>
      </c>
      <c r="B61" s="60">
        <v>10602579</v>
      </c>
      <c r="C61" s="215">
        <f>+'Purchased Power Model '!C61</f>
        <v>314.10000000000002</v>
      </c>
      <c r="D61" s="215">
        <f>+'Purchased Power Model '!D61</f>
        <v>0</v>
      </c>
      <c r="E61" s="126">
        <f>+'Purchased Power Model '!E61</f>
        <v>6.3E-2</v>
      </c>
      <c r="F61" s="57">
        <f>+'Purchased Power Model '!F61</f>
        <v>30</v>
      </c>
      <c r="G61" s="57">
        <f>+'Purchased Power Model '!G61</f>
        <v>1</v>
      </c>
      <c r="H61" s="42">
        <v>3774</v>
      </c>
      <c r="I61" s="222">
        <f t="shared" si="0"/>
        <v>11104071.084105773</v>
      </c>
      <c r="J61" s="36">
        <f t="shared" si="1"/>
        <v>501492.0841057729</v>
      </c>
      <c r="K61" s="5">
        <f t="shared" si="2"/>
        <v>4.729906602023648E-2</v>
      </c>
    </row>
    <row r="62" spans="1:11" x14ac:dyDescent="0.2">
      <c r="A62" s="3">
        <v>39417</v>
      </c>
      <c r="B62" s="60">
        <v>10270903</v>
      </c>
      <c r="C62" s="215">
        <f>+'Purchased Power Model '!C62</f>
        <v>337.8</v>
      </c>
      <c r="D62" s="215">
        <f>+'Purchased Power Model '!D62</f>
        <v>0</v>
      </c>
      <c r="E62" s="126">
        <f>+'Purchased Power Model '!E62</f>
        <v>6.3E-2</v>
      </c>
      <c r="F62" s="57">
        <f>+'Purchased Power Model '!F62</f>
        <v>31</v>
      </c>
      <c r="G62" s="57">
        <f>+'Purchased Power Model '!G62</f>
        <v>0</v>
      </c>
      <c r="H62" s="42">
        <v>3765</v>
      </c>
      <c r="I62" s="222">
        <f t="shared" si="0"/>
        <v>10771001.939478341</v>
      </c>
      <c r="J62" s="36">
        <f t="shared" si="1"/>
        <v>500098.93947834149</v>
      </c>
      <c r="K62" s="5">
        <f t="shared" si="2"/>
        <v>4.8690844366687282E-2</v>
      </c>
    </row>
    <row r="63" spans="1:11" x14ac:dyDescent="0.2">
      <c r="A63" s="3">
        <v>39448</v>
      </c>
      <c r="B63" s="61">
        <v>11697786</v>
      </c>
      <c r="C63" s="216">
        <f>+'Purchased Power Model '!C63</f>
        <v>432.8</v>
      </c>
      <c r="D63" s="216">
        <f>+'Purchased Power Model '!D63</f>
        <v>0</v>
      </c>
      <c r="E63" s="126">
        <f>+'Purchased Power Model '!E63</f>
        <v>6.4000000000000001E-2</v>
      </c>
      <c r="F63" s="57">
        <f>+'Purchased Power Model '!F63</f>
        <v>31</v>
      </c>
      <c r="G63" s="57">
        <f>+'Purchased Power Model '!G63</f>
        <v>0</v>
      </c>
      <c r="H63" s="42">
        <v>3768</v>
      </c>
      <c r="I63" s="222">
        <f t="shared" si="0"/>
        <v>10965567.680907186</v>
      </c>
      <c r="J63" s="36">
        <f t="shared" si="1"/>
        <v>-732218.31909281388</v>
      </c>
      <c r="K63" s="5">
        <f t="shared" si="2"/>
        <v>-6.2594607141284161E-2</v>
      </c>
    </row>
    <row r="64" spans="1:11" x14ac:dyDescent="0.2">
      <c r="A64" s="3">
        <v>39479</v>
      </c>
      <c r="B64" s="61">
        <v>13146769</v>
      </c>
      <c r="C64" s="216">
        <f>+'Purchased Power Model '!C64</f>
        <v>317.60000000000002</v>
      </c>
      <c r="D64" s="216">
        <f>+'Purchased Power Model '!D64</f>
        <v>0</v>
      </c>
      <c r="E64" s="126">
        <f>+'Purchased Power Model '!E64</f>
        <v>6.4000000000000001E-2</v>
      </c>
      <c r="F64" s="57">
        <f>+'Purchased Power Model '!F64</f>
        <v>29</v>
      </c>
      <c r="G64" s="57">
        <f>+'Purchased Power Model '!G64</f>
        <v>0</v>
      </c>
      <c r="H64" s="42">
        <v>3766</v>
      </c>
      <c r="I64" s="222">
        <f t="shared" si="0"/>
        <v>11324822.969268208</v>
      </c>
      <c r="J64" s="36">
        <f t="shared" si="1"/>
        <v>-1821946.0307317916</v>
      </c>
      <c r="K64" s="5">
        <f t="shared" si="2"/>
        <v>-0.13858507978133575</v>
      </c>
    </row>
    <row r="65" spans="1:17" x14ac:dyDescent="0.2">
      <c r="A65" s="3">
        <v>39508</v>
      </c>
      <c r="B65" s="61">
        <v>12431779</v>
      </c>
      <c r="C65" s="216">
        <f>+'Purchased Power Model '!C65</f>
        <v>430</v>
      </c>
      <c r="D65" s="216">
        <f>+'Purchased Power Model '!D65</f>
        <v>0</v>
      </c>
      <c r="E65" s="126">
        <f>+'Purchased Power Model '!E65</f>
        <v>6.4000000000000001E-2</v>
      </c>
      <c r="F65" s="57">
        <f>+'Purchased Power Model '!F65</f>
        <v>31</v>
      </c>
      <c r="G65" s="57">
        <f>+'Purchased Power Model '!G65</f>
        <v>1</v>
      </c>
      <c r="H65" s="42">
        <v>3772</v>
      </c>
      <c r="I65" s="222">
        <f t="shared" si="0"/>
        <v>11043478.241936097</v>
      </c>
      <c r="J65" s="36">
        <f t="shared" si="1"/>
        <v>-1388300.7580639031</v>
      </c>
      <c r="K65" s="5">
        <f t="shared" si="2"/>
        <v>-0.11167353908591064</v>
      </c>
    </row>
    <row r="66" spans="1:17" x14ac:dyDescent="0.2">
      <c r="A66" s="3">
        <v>39539</v>
      </c>
      <c r="B66" s="61">
        <v>11604575</v>
      </c>
      <c r="C66" s="216">
        <f>+'Purchased Power Model '!C66</f>
        <v>144.6</v>
      </c>
      <c r="D66" s="216">
        <f>+'Purchased Power Model '!D66</f>
        <v>0</v>
      </c>
      <c r="E66" s="126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42">
        <v>3774</v>
      </c>
      <c r="I66" s="222">
        <f t="shared" si="0"/>
        <v>10744775.822297981</v>
      </c>
      <c r="J66" s="36">
        <f t="shared" si="1"/>
        <v>-859799.17770201899</v>
      </c>
      <c r="K66" s="5">
        <f t="shared" si="2"/>
        <v>-7.4091397375777995E-2</v>
      </c>
    </row>
    <row r="67" spans="1:17" x14ac:dyDescent="0.2">
      <c r="A67" s="3">
        <v>39569</v>
      </c>
      <c r="B67" s="61">
        <v>10354473</v>
      </c>
      <c r="C67" s="216">
        <f>+'Purchased Power Model '!C67</f>
        <v>151</v>
      </c>
      <c r="D67" s="216">
        <f>+'Purchased Power Model '!D67</f>
        <v>0</v>
      </c>
      <c r="E67" s="126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42">
        <v>3773</v>
      </c>
      <c r="I67" s="222">
        <f t="shared" si="0"/>
        <v>10459775.314406244</v>
      </c>
      <c r="J67" s="36">
        <f t="shared" si="1"/>
        <v>105302.31440624408</v>
      </c>
      <c r="K67" s="5">
        <f t="shared" si="2"/>
        <v>1.0169741560603237E-2</v>
      </c>
    </row>
    <row r="68" spans="1:17" x14ac:dyDescent="0.2">
      <c r="A68" s="3">
        <v>39600</v>
      </c>
      <c r="B68" s="61">
        <v>10341099</v>
      </c>
      <c r="C68" s="216">
        <f>+'Purchased Power Model '!C68</f>
        <v>15.5</v>
      </c>
      <c r="D68" s="216">
        <f>+'Purchased Power Model '!D68</f>
        <v>23.6</v>
      </c>
      <c r="E68" s="126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42">
        <v>3775</v>
      </c>
      <c r="I68" s="222">
        <f t="shared" ref="I68:I131" si="3">$N$18+C68*$N$19+D68*$N$20+E68*$N$21+F68*$N$22+G68*$N$23</f>
        <v>10573398.932705842</v>
      </c>
      <c r="J68" s="36">
        <f t="shared" ref="J68:J131" si="4">I68-B68</f>
        <v>232299.93270584196</v>
      </c>
      <c r="K68" s="5">
        <f t="shared" ref="K68:K131" si="5">J68/B68</f>
        <v>2.2463756773418567E-2</v>
      </c>
    </row>
    <row r="69" spans="1:17" x14ac:dyDescent="0.2">
      <c r="A69" s="3">
        <v>39630</v>
      </c>
      <c r="B69" s="61">
        <v>10150312</v>
      </c>
      <c r="C69" s="216">
        <f>+'Purchased Power Model '!C69</f>
        <v>1</v>
      </c>
      <c r="D69" s="216">
        <f>+'Purchased Power Model '!D69</f>
        <v>61.4</v>
      </c>
      <c r="E69" s="126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42">
        <v>3784</v>
      </c>
      <c r="I69" s="222">
        <f t="shared" si="3"/>
        <v>10536176.107006948</v>
      </c>
      <c r="J69" s="36">
        <f t="shared" si="4"/>
        <v>385864.10700694844</v>
      </c>
      <c r="K69" s="5">
        <f t="shared" si="5"/>
        <v>3.8014999638134123E-2</v>
      </c>
    </row>
    <row r="70" spans="1:17" x14ac:dyDescent="0.2">
      <c r="A70" s="3">
        <v>39661</v>
      </c>
      <c r="B70" s="61">
        <v>10885564</v>
      </c>
      <c r="C70" s="216">
        <f>+'Purchased Power Model '!C70</f>
        <v>13.8</v>
      </c>
      <c r="D70" s="216">
        <f>+'Purchased Power Model '!D70</f>
        <v>29.9</v>
      </c>
      <c r="E70" s="126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42">
        <v>3802</v>
      </c>
      <c r="I70" s="222">
        <f t="shared" si="3"/>
        <v>10324944.882319842</v>
      </c>
      <c r="J70" s="36">
        <f t="shared" si="4"/>
        <v>-560619.11768015847</v>
      </c>
      <c r="K70" s="5">
        <f t="shared" si="5"/>
        <v>-5.1501154894698933E-2</v>
      </c>
    </row>
    <row r="71" spans="1:17" x14ac:dyDescent="0.2">
      <c r="A71" s="3">
        <v>39692</v>
      </c>
      <c r="B71" s="61">
        <v>10839209</v>
      </c>
      <c r="C71" s="216">
        <f>+'Purchased Power Model '!C71</f>
        <v>51.6</v>
      </c>
      <c r="D71" s="216">
        <f>+'Purchased Power Model '!D71</f>
        <v>15.1</v>
      </c>
      <c r="E71" s="126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42">
        <v>3808</v>
      </c>
      <c r="I71" s="222">
        <f t="shared" si="3"/>
        <v>10672962.670365063</v>
      </c>
      <c r="J71" s="36">
        <f t="shared" si="4"/>
        <v>-166246.32963493653</v>
      </c>
      <c r="K71" s="5">
        <f t="shared" si="5"/>
        <v>-1.5337496457069564E-2</v>
      </c>
    </row>
    <row r="72" spans="1:17" x14ac:dyDescent="0.2">
      <c r="A72" s="3">
        <v>39722</v>
      </c>
      <c r="B72" s="61">
        <v>10352355</v>
      </c>
      <c r="C72" s="216">
        <f>+'Purchased Power Model '!C72</f>
        <v>203.1</v>
      </c>
      <c r="D72" s="216">
        <f>+'Purchased Power Model '!D72</f>
        <v>0</v>
      </c>
      <c r="E72" s="126">
        <f>+'Purchased Power Model '!E72</f>
        <v>7.9000000000000001E-2</v>
      </c>
      <c r="F72" s="57">
        <f>+'Purchased Power Model '!F72</f>
        <v>31</v>
      </c>
      <c r="G72" s="57">
        <f>+'Purchased Power Model '!G72</f>
        <v>1</v>
      </c>
      <c r="H72" s="42">
        <v>3817</v>
      </c>
      <c r="I72" s="222">
        <f t="shared" si="3"/>
        <v>10562248.864060676</v>
      </c>
      <c r="J72" s="36">
        <f t="shared" si="4"/>
        <v>209893.86406067573</v>
      </c>
      <c r="K72" s="5">
        <f t="shared" si="5"/>
        <v>2.0274987098170005E-2</v>
      </c>
    </row>
    <row r="73" spans="1:17" x14ac:dyDescent="0.2">
      <c r="A73" s="3">
        <v>39753</v>
      </c>
      <c r="B73" s="61">
        <v>9669055</v>
      </c>
      <c r="C73" s="216">
        <f>+'Purchased Power Model '!C73</f>
        <v>268.8</v>
      </c>
      <c r="D73" s="216">
        <f>+'Purchased Power Model '!D73</f>
        <v>0</v>
      </c>
      <c r="E73" s="126">
        <f>+'Purchased Power Model '!E73</f>
        <v>7.9000000000000001E-2</v>
      </c>
      <c r="F73" s="57">
        <f>+'Purchased Power Model '!F73</f>
        <v>30</v>
      </c>
      <c r="G73" s="57">
        <f>+'Purchased Power Model '!G73</f>
        <v>1</v>
      </c>
      <c r="H73" s="42">
        <v>3823</v>
      </c>
      <c r="I73" s="222">
        <f t="shared" si="3"/>
        <v>10995635.76792076</v>
      </c>
      <c r="J73" s="36">
        <f t="shared" si="4"/>
        <v>1326580.7679207604</v>
      </c>
      <c r="K73" s="5">
        <f t="shared" si="5"/>
        <v>0.13719859571806764</v>
      </c>
    </row>
    <row r="74" spans="1:17" x14ac:dyDescent="0.2">
      <c r="A74" s="3">
        <v>39783</v>
      </c>
      <c r="B74" s="61">
        <v>10395041</v>
      </c>
      <c r="C74" s="216">
        <f>+'Purchased Power Model '!C74</f>
        <v>378.9</v>
      </c>
      <c r="D74" s="216">
        <f>+'Purchased Power Model '!D74</f>
        <v>0</v>
      </c>
      <c r="E74" s="126">
        <f>+'Purchased Power Model '!E74</f>
        <v>7.9000000000000001E-2</v>
      </c>
      <c r="F74" s="57">
        <f>+'Purchased Power Model '!F74</f>
        <v>31</v>
      </c>
      <c r="G74" s="57">
        <f>+'Purchased Power Model '!G74</f>
        <v>0</v>
      </c>
      <c r="H74" s="42">
        <v>3822</v>
      </c>
      <c r="I74" s="222">
        <f t="shared" si="3"/>
        <v>10840383.330806024</v>
      </c>
      <c r="J74" s="36">
        <f t="shared" si="4"/>
        <v>445342.33080602437</v>
      </c>
      <c r="K74" s="5">
        <f t="shared" si="5"/>
        <v>4.2841806088694055E-2</v>
      </c>
    </row>
    <row r="75" spans="1:17" s="14" customFormat="1" x14ac:dyDescent="0.2">
      <c r="A75" s="3">
        <v>39814</v>
      </c>
      <c r="B75" s="61">
        <v>12106349</v>
      </c>
      <c r="C75" s="216">
        <f>+'Purchased Power Model '!C75</f>
        <v>684.3</v>
      </c>
      <c r="D75" s="216">
        <f>+'Purchased Power Model '!D75</f>
        <v>0</v>
      </c>
      <c r="E75" s="126">
        <f>+'Purchased Power Model '!E75</f>
        <v>8.5000000000000006E-2</v>
      </c>
      <c r="F75" s="57">
        <f>+'Purchased Power Model '!F75</f>
        <v>31</v>
      </c>
      <c r="G75" s="57">
        <f>+'Purchased Power Model '!G75</f>
        <v>0</v>
      </c>
      <c r="H75" s="42">
        <v>3820</v>
      </c>
      <c r="I75" s="222">
        <f t="shared" si="3"/>
        <v>11463214.112621471</v>
      </c>
      <c r="J75" s="36">
        <f t="shared" si="4"/>
        <v>-643134.88737852871</v>
      </c>
      <c r="K75" s="5">
        <f t="shared" si="5"/>
        <v>-5.3123768972671175E-2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61">
        <v>12482450</v>
      </c>
      <c r="C76" s="216">
        <f>+'Purchased Power Model '!C76</f>
        <v>595.29999999999995</v>
      </c>
      <c r="D76" s="216">
        <f>+'Purchased Power Model '!D76</f>
        <v>0</v>
      </c>
      <c r="E76" s="126">
        <f>+'Purchased Power Model '!E76</f>
        <v>8.5000000000000006E-2</v>
      </c>
      <c r="F76" s="57">
        <f>+'Purchased Power Model '!F76</f>
        <v>28</v>
      </c>
      <c r="G76" s="57">
        <f>+'Purchased Power Model '!G76</f>
        <v>0</v>
      </c>
      <c r="H76" s="42">
        <v>3826</v>
      </c>
      <c r="I76" s="222">
        <f t="shared" si="3"/>
        <v>12174562.786940364</v>
      </c>
      <c r="J76" s="36">
        <f t="shared" si="4"/>
        <v>-307887.21305963583</v>
      </c>
      <c r="K76" s="5">
        <f t="shared" si="5"/>
        <v>-2.4665607557781993E-2</v>
      </c>
    </row>
    <row r="77" spans="1:17" x14ac:dyDescent="0.2">
      <c r="A77" s="3">
        <v>39873</v>
      </c>
      <c r="B77" s="61">
        <v>10503063</v>
      </c>
      <c r="C77" s="216">
        <f>+'Purchased Power Model '!C77</f>
        <v>442.2</v>
      </c>
      <c r="D77" s="216">
        <f>+'Purchased Power Model '!D77</f>
        <v>0</v>
      </c>
      <c r="E77" s="126">
        <f>+'Purchased Power Model '!E77</f>
        <v>8.5000000000000006E-2</v>
      </c>
      <c r="F77" s="57">
        <f>+'Purchased Power Model '!F77</f>
        <v>31</v>
      </c>
      <c r="G77" s="57">
        <f>+'Purchased Power Model '!G77</f>
        <v>1</v>
      </c>
      <c r="H77" s="42">
        <v>3825</v>
      </c>
      <c r="I77" s="222">
        <f t="shared" si="3"/>
        <v>11048630.019625058</v>
      </c>
      <c r="J77" s="36">
        <f t="shared" si="4"/>
        <v>545567.0196250584</v>
      </c>
      <c r="K77" s="5">
        <f t="shared" si="5"/>
        <v>5.1943611080411345E-2</v>
      </c>
    </row>
    <row r="78" spans="1:17" x14ac:dyDescent="0.2">
      <c r="A78" s="3">
        <v>39904</v>
      </c>
      <c r="B78" s="61">
        <v>10918955</v>
      </c>
      <c r="C78" s="216">
        <f>+'Purchased Power Model '!C78</f>
        <v>313.8</v>
      </c>
      <c r="D78" s="216">
        <f>+'Purchased Power Model '!D78</f>
        <v>0</v>
      </c>
      <c r="E78" s="126">
        <f>+'Purchased Power Model '!E78</f>
        <v>8.6999999999999994E-2</v>
      </c>
      <c r="F78" s="57">
        <f>+'Purchased Power Model '!F78</f>
        <v>30</v>
      </c>
      <c r="G78" s="57">
        <f>+'Purchased Power Model '!G78</f>
        <v>1</v>
      </c>
      <c r="H78" s="42">
        <v>3828</v>
      </c>
      <c r="I78" s="222">
        <f t="shared" si="3"/>
        <v>11080646.122134199</v>
      </c>
      <c r="J78" s="36">
        <f t="shared" si="4"/>
        <v>161691.12213419937</v>
      </c>
      <c r="K78" s="5">
        <f t="shared" si="5"/>
        <v>1.4808296410617991E-2</v>
      </c>
    </row>
    <row r="79" spans="1:17" x14ac:dyDescent="0.2">
      <c r="A79" s="3">
        <v>39934</v>
      </c>
      <c r="B79" s="61">
        <v>10667089</v>
      </c>
      <c r="C79" s="216">
        <f>+'Purchased Power Model '!C79</f>
        <v>170.1</v>
      </c>
      <c r="D79" s="216">
        <f>+'Purchased Power Model '!D79</f>
        <v>0</v>
      </c>
      <c r="E79" s="126">
        <f>+'Purchased Power Model '!E79</f>
        <v>8.6999999999999994E-2</v>
      </c>
      <c r="F79" s="57">
        <f>+'Purchased Power Model '!F79</f>
        <v>31</v>
      </c>
      <c r="G79" s="57">
        <f>+'Purchased Power Model '!G79</f>
        <v>1</v>
      </c>
      <c r="H79" s="42">
        <v>3829</v>
      </c>
      <c r="I79" s="222">
        <f t="shared" si="3"/>
        <v>10486730.246214041</v>
      </c>
      <c r="J79" s="36">
        <f t="shared" si="4"/>
        <v>-180358.75378595851</v>
      </c>
      <c r="K79" s="5">
        <f t="shared" si="5"/>
        <v>-1.690796371774516E-2</v>
      </c>
    </row>
    <row r="80" spans="1:17" x14ac:dyDescent="0.2">
      <c r="A80" s="3">
        <v>39965</v>
      </c>
      <c r="B80" s="61">
        <v>10147486</v>
      </c>
      <c r="C80" s="216">
        <f>+'Purchased Power Model '!C80</f>
        <v>57.9</v>
      </c>
      <c r="D80" s="216">
        <f>+'Purchased Power Model '!D80</f>
        <v>26.3</v>
      </c>
      <c r="E80" s="126">
        <f>+'Purchased Power Model '!E80</f>
        <v>8.6999999999999994E-2</v>
      </c>
      <c r="F80" s="57">
        <f>+'Purchased Power Model '!F80</f>
        <v>30</v>
      </c>
      <c r="G80" s="57">
        <f>+'Purchased Power Model '!G80</f>
        <v>0</v>
      </c>
      <c r="H80" s="42">
        <v>3832</v>
      </c>
      <c r="I80" s="222">
        <f t="shared" si="3"/>
        <v>10668670.273238506</v>
      </c>
      <c r="J80" s="36">
        <f t="shared" si="4"/>
        <v>521184.27323850617</v>
      </c>
      <c r="K80" s="5">
        <f t="shared" si="5"/>
        <v>5.1360925576887338E-2</v>
      </c>
    </row>
    <row r="81" spans="1:17" x14ac:dyDescent="0.2">
      <c r="A81" s="3">
        <v>39995</v>
      </c>
      <c r="B81" s="61">
        <v>9831147</v>
      </c>
      <c r="C81" s="216">
        <f>+'Purchased Power Model '!C81</f>
        <v>16.8</v>
      </c>
      <c r="D81" s="216">
        <f>+'Purchased Power Model '!D81</f>
        <v>25.6</v>
      </c>
      <c r="E81" s="126">
        <f>+'Purchased Power Model '!E81</f>
        <v>9.1999999999999998E-2</v>
      </c>
      <c r="F81" s="57">
        <f>+'Purchased Power Model '!F81</f>
        <v>31</v>
      </c>
      <c r="G81" s="57">
        <f>+'Purchased Power Model '!G81</f>
        <v>0</v>
      </c>
      <c r="H81" s="42">
        <v>3834</v>
      </c>
      <c r="I81" s="222">
        <f t="shared" si="3"/>
        <v>10275880.734049287</v>
      </c>
      <c r="J81" s="36">
        <f t="shared" si="4"/>
        <v>444733.73404928669</v>
      </c>
      <c r="K81" s="5">
        <f t="shared" si="5"/>
        <v>4.5237217391753647E-2</v>
      </c>
    </row>
    <row r="82" spans="1:17" x14ac:dyDescent="0.2">
      <c r="A82" s="3">
        <v>40026</v>
      </c>
      <c r="B82" s="61">
        <v>10245990</v>
      </c>
      <c r="C82" s="216">
        <f>+'Purchased Power Model '!C82</f>
        <v>13.1</v>
      </c>
      <c r="D82" s="216">
        <f>+'Purchased Power Model '!D82</f>
        <v>77.7</v>
      </c>
      <c r="E82" s="126">
        <f>+'Purchased Power Model '!E82</f>
        <v>9.1999999999999998E-2</v>
      </c>
      <c r="F82" s="57">
        <f>+'Purchased Power Model '!F82</f>
        <v>31</v>
      </c>
      <c r="G82" s="57">
        <f>+'Purchased Power Model '!G82</f>
        <v>0</v>
      </c>
      <c r="H82" s="42">
        <v>3838</v>
      </c>
      <c r="I82" s="222">
        <f t="shared" si="3"/>
        <v>10661206.480926495</v>
      </c>
      <c r="J82" s="36">
        <f t="shared" si="4"/>
        <v>415216.48092649505</v>
      </c>
      <c r="K82" s="5">
        <f t="shared" si="5"/>
        <v>4.0524779052731365E-2</v>
      </c>
    </row>
    <row r="83" spans="1:17" x14ac:dyDescent="0.2">
      <c r="A83" s="3">
        <v>40057</v>
      </c>
      <c r="B83" s="61">
        <v>10416446</v>
      </c>
      <c r="C83" s="216">
        <f>+'Purchased Power Model '!C83</f>
        <v>64.8</v>
      </c>
      <c r="D83" s="216">
        <f>+'Purchased Power Model '!D83</f>
        <v>9</v>
      </c>
      <c r="E83" s="126">
        <f>+'Purchased Power Model '!E83</f>
        <v>9.1999999999999998E-2</v>
      </c>
      <c r="F83" s="57">
        <f>+'Purchased Power Model '!F83</f>
        <v>30</v>
      </c>
      <c r="G83" s="57">
        <f>+'Purchased Power Model '!G83</f>
        <v>1</v>
      </c>
      <c r="H83" s="42">
        <v>3848</v>
      </c>
      <c r="I83" s="222">
        <f t="shared" si="3"/>
        <v>10631315.089966128</v>
      </c>
      <c r="J83" s="36">
        <f t="shared" si="4"/>
        <v>214869.08996612765</v>
      </c>
      <c r="K83" s="5">
        <f t="shared" si="5"/>
        <v>2.0627869617538232E-2</v>
      </c>
    </row>
    <row r="84" spans="1:17" x14ac:dyDescent="0.2">
      <c r="A84" s="3">
        <v>40087</v>
      </c>
      <c r="B84" s="61">
        <v>10039694</v>
      </c>
      <c r="C84" s="216">
        <f>+'Purchased Power Model '!C84</f>
        <v>287.89999999999998</v>
      </c>
      <c r="D84" s="216">
        <f>+'Purchased Power Model '!D84</f>
        <v>0</v>
      </c>
      <c r="E84" s="126">
        <f>+'Purchased Power Model '!E84</f>
        <v>9.9000000000000005E-2</v>
      </c>
      <c r="F84" s="57">
        <f>+'Purchased Power Model '!F84</f>
        <v>31</v>
      </c>
      <c r="G84" s="57">
        <f>+'Purchased Power Model '!G84</f>
        <v>1</v>
      </c>
      <c r="H84" s="42">
        <v>3853</v>
      </c>
      <c r="I84" s="222">
        <f t="shared" si="3"/>
        <v>10717766.383875506</v>
      </c>
      <c r="J84" s="36">
        <f t="shared" si="4"/>
        <v>678072.383875506</v>
      </c>
      <c r="K84" s="5">
        <f t="shared" si="5"/>
        <v>6.7539148491528325E-2</v>
      </c>
    </row>
    <row r="85" spans="1:17" x14ac:dyDescent="0.2">
      <c r="A85" s="3">
        <v>40118</v>
      </c>
      <c r="B85" s="61">
        <v>10212467</v>
      </c>
      <c r="C85" s="216">
        <f>+'Purchased Power Model '!C85</f>
        <v>347.4</v>
      </c>
      <c r="D85" s="216">
        <f>+'Purchased Power Model '!D85</f>
        <v>0</v>
      </c>
      <c r="E85" s="126">
        <f>+'Purchased Power Model '!E85</f>
        <v>9.9000000000000005E-2</v>
      </c>
      <c r="F85" s="57">
        <f>+'Purchased Power Model '!F85</f>
        <v>30</v>
      </c>
      <c r="G85" s="57">
        <f>+'Purchased Power Model '!G85</f>
        <v>1</v>
      </c>
      <c r="H85" s="42">
        <v>3877</v>
      </c>
      <c r="I85" s="222">
        <f t="shared" si="3"/>
        <v>11138393.292520562</v>
      </c>
      <c r="J85" s="36">
        <f t="shared" si="4"/>
        <v>925926.29252056219</v>
      </c>
      <c r="K85" s="5">
        <f t="shared" si="5"/>
        <v>9.0666270208810684E-2</v>
      </c>
    </row>
    <row r="86" spans="1:17" s="31" customFormat="1" x14ac:dyDescent="0.2">
      <c r="A86" s="3">
        <v>40148</v>
      </c>
      <c r="B86" s="61">
        <v>10448369</v>
      </c>
      <c r="C86" s="216">
        <f>+'Purchased Power Model '!C86</f>
        <v>619.1</v>
      </c>
      <c r="D86" s="216">
        <f>+'Purchased Power Model '!D86</f>
        <v>0</v>
      </c>
      <c r="E86" s="126">
        <f>+'Purchased Power Model '!E86</f>
        <v>9.9000000000000005E-2</v>
      </c>
      <c r="F86" s="57">
        <f>+'Purchased Power Model '!F86</f>
        <v>31</v>
      </c>
      <c r="G86" s="57">
        <f>+'Purchased Power Model '!G86</f>
        <v>0</v>
      </c>
      <c r="H86" s="42">
        <v>3897</v>
      </c>
      <c r="I86" s="222">
        <f t="shared" si="3"/>
        <v>11315723.956494384</v>
      </c>
      <c r="J86" s="36">
        <f t="shared" si="4"/>
        <v>867354.95649438351</v>
      </c>
      <c r="K86" s="5">
        <f t="shared" si="5"/>
        <v>8.301343075597574E-2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59">
        <v>11522598</v>
      </c>
      <c r="C87" s="216">
        <f>+'Purchased Power Model '!C87</f>
        <v>699.9</v>
      </c>
      <c r="D87" s="216">
        <f>+'Purchased Power Model '!D87</f>
        <v>0</v>
      </c>
      <c r="E87" s="126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42">
        <v>3899</v>
      </c>
      <c r="I87" s="222">
        <f t="shared" si="3"/>
        <v>11478214.249897286</v>
      </c>
      <c r="J87" s="36">
        <f t="shared" si="4"/>
        <v>-44383.750102713704</v>
      </c>
      <c r="K87" s="5">
        <f t="shared" si="5"/>
        <v>-3.851887404447652E-3</v>
      </c>
    </row>
    <row r="88" spans="1:17" x14ac:dyDescent="0.2">
      <c r="A88" s="3">
        <v>40210</v>
      </c>
      <c r="B88" s="59">
        <v>13123101</v>
      </c>
      <c r="C88" s="216">
        <f>+'Purchased Power Model '!C88</f>
        <v>583.79999999999995</v>
      </c>
      <c r="D88" s="216">
        <f>+'Purchased Power Model '!D88</f>
        <v>0</v>
      </c>
      <c r="E88" s="126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42">
        <v>3902</v>
      </c>
      <c r="I88" s="222">
        <f t="shared" si="3"/>
        <v>12133789.396744026</v>
      </c>
      <c r="J88" s="36">
        <f t="shared" si="4"/>
        <v>-989311.60325597413</v>
      </c>
      <c r="K88" s="5">
        <f t="shared" si="5"/>
        <v>-7.5387029579058643E-2</v>
      </c>
    </row>
    <row r="89" spans="1:17" x14ac:dyDescent="0.2">
      <c r="A89" s="3">
        <v>40238</v>
      </c>
      <c r="B89" s="59">
        <v>11365818</v>
      </c>
      <c r="C89" s="216">
        <f>+'Purchased Power Model '!C89</f>
        <v>411</v>
      </c>
      <c r="D89" s="216">
        <f>+'Purchased Power Model '!D89</f>
        <v>0</v>
      </c>
      <c r="E89" s="126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42">
        <v>3904</v>
      </c>
      <c r="I89" s="222">
        <f t="shared" si="3"/>
        <v>10967312.77366483</v>
      </c>
      <c r="J89" s="36">
        <f t="shared" si="4"/>
        <v>-398505.22633516975</v>
      </c>
      <c r="K89" s="5">
        <f t="shared" si="5"/>
        <v>-3.506172862658629E-2</v>
      </c>
    </row>
    <row r="90" spans="1:17" x14ac:dyDescent="0.2">
      <c r="A90" s="3">
        <v>40269</v>
      </c>
      <c r="B90" s="59">
        <v>10954550</v>
      </c>
      <c r="C90" s="216">
        <f>+'Purchased Power Model '!C90</f>
        <v>244</v>
      </c>
      <c r="D90" s="216">
        <f>+'Purchased Power Model '!D90</f>
        <v>0</v>
      </c>
      <c r="E90" s="126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42">
        <v>3905</v>
      </c>
      <c r="I90" s="222">
        <f t="shared" si="3"/>
        <v>10925589.501353746</v>
      </c>
      <c r="J90" s="36">
        <f t="shared" si="4"/>
        <v>-28960.49864625372</v>
      </c>
      <c r="K90" s="5">
        <f t="shared" si="5"/>
        <v>-2.6436958748879435E-3</v>
      </c>
    </row>
    <row r="91" spans="1:17" x14ac:dyDescent="0.2">
      <c r="A91" s="3">
        <v>40299</v>
      </c>
      <c r="B91" s="59">
        <v>10190240</v>
      </c>
      <c r="C91" s="216">
        <f>+'Purchased Power Model '!C91</f>
        <v>121.7</v>
      </c>
      <c r="D91" s="216">
        <f>+'Purchased Power Model '!D91</f>
        <v>23.2</v>
      </c>
      <c r="E91" s="126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42">
        <v>3919</v>
      </c>
      <c r="I91" s="222">
        <f t="shared" si="3"/>
        <v>10550691.650587207</v>
      </c>
      <c r="J91" s="36">
        <f t="shared" si="4"/>
        <v>360451.65058720671</v>
      </c>
      <c r="K91" s="5">
        <f t="shared" si="5"/>
        <v>3.5372243498406973E-2</v>
      </c>
    </row>
    <row r="92" spans="1:17" x14ac:dyDescent="0.2">
      <c r="A92" s="3">
        <v>40330</v>
      </c>
      <c r="B92" s="59">
        <v>9777540</v>
      </c>
      <c r="C92" s="216">
        <f>+'Purchased Power Model '!C92</f>
        <v>19.399999999999999</v>
      </c>
      <c r="D92" s="216">
        <f>+'Purchased Power Model '!D92</f>
        <v>46.6</v>
      </c>
      <c r="E92" s="126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42">
        <v>3923</v>
      </c>
      <c r="I92" s="222">
        <f t="shared" si="3"/>
        <v>10731134.576052796</v>
      </c>
      <c r="J92" s="36">
        <f t="shared" si="4"/>
        <v>953594.5760527961</v>
      </c>
      <c r="K92" s="5">
        <f t="shared" si="5"/>
        <v>9.7529089735536353E-2</v>
      </c>
    </row>
    <row r="93" spans="1:17" x14ac:dyDescent="0.2">
      <c r="A93" s="3">
        <v>40360</v>
      </c>
      <c r="B93" s="59">
        <v>10570916</v>
      </c>
      <c r="C93" s="216">
        <f>+'Purchased Power Model '!C93</f>
        <v>3.5</v>
      </c>
      <c r="D93" s="216">
        <f>+'Purchased Power Model '!D93</f>
        <v>124</v>
      </c>
      <c r="E93" s="126">
        <f>+'Purchased Power Model '!E93</f>
        <v>0.10400000000000001</v>
      </c>
      <c r="F93" s="57">
        <f>+'Purchased Power Model '!F93</f>
        <v>31</v>
      </c>
      <c r="G93" s="57">
        <f>+'Purchased Power Model '!G93</f>
        <v>0</v>
      </c>
      <c r="H93" s="42">
        <v>3928</v>
      </c>
      <c r="I93" s="222">
        <f t="shared" si="3"/>
        <v>10979242.015031762</v>
      </c>
      <c r="J93" s="36">
        <f t="shared" si="4"/>
        <v>408326.01503176242</v>
      </c>
      <c r="K93" s="5">
        <f t="shared" si="5"/>
        <v>3.8627306756742974E-2</v>
      </c>
    </row>
    <row r="94" spans="1:17" x14ac:dyDescent="0.2">
      <c r="A94" s="3">
        <v>40391</v>
      </c>
      <c r="B94" s="59">
        <v>11251146</v>
      </c>
      <c r="C94" s="216">
        <f>+'Purchased Power Model '!C94</f>
        <v>3.2</v>
      </c>
      <c r="D94" s="216">
        <f>+'Purchased Power Model '!D94</f>
        <v>96.8</v>
      </c>
      <c r="E94" s="126">
        <f>+'Purchased Power Model '!E94</f>
        <v>0.10400000000000001</v>
      </c>
      <c r="F94" s="57">
        <f>+'Purchased Power Model '!F94</f>
        <v>31</v>
      </c>
      <c r="G94" s="57">
        <f>+'Purchased Power Model '!G94</f>
        <v>0</v>
      </c>
      <c r="H94" s="42">
        <v>3927</v>
      </c>
      <c r="I94" s="222">
        <f t="shared" si="3"/>
        <v>10773480.951948907</v>
      </c>
      <c r="J94" s="36">
        <f t="shared" si="4"/>
        <v>-477665.04805109277</v>
      </c>
      <c r="K94" s="5">
        <f t="shared" si="5"/>
        <v>-4.2454790654311375E-2</v>
      </c>
    </row>
    <row r="95" spans="1:17" x14ac:dyDescent="0.2">
      <c r="A95" s="3">
        <v>40422</v>
      </c>
      <c r="B95" s="59">
        <v>11729543</v>
      </c>
      <c r="C95" s="216">
        <f>+'Purchased Power Model '!C95</f>
        <v>85.5</v>
      </c>
      <c r="D95" s="216">
        <f>+'Purchased Power Model '!D95</f>
        <v>18.5</v>
      </c>
      <c r="E95" s="126">
        <f>+'Purchased Power Model '!E95</f>
        <v>0.10400000000000001</v>
      </c>
      <c r="F95" s="57">
        <f>+'Purchased Power Model '!F95</f>
        <v>30</v>
      </c>
      <c r="G95" s="57">
        <f>+'Purchased Power Model '!G95</f>
        <v>1</v>
      </c>
      <c r="H95" s="42">
        <v>3943</v>
      </c>
      <c r="I95" s="222">
        <f t="shared" si="3"/>
        <v>10734162.672521407</v>
      </c>
      <c r="J95" s="36">
        <f t="shared" si="4"/>
        <v>-995380.32747859322</v>
      </c>
      <c r="K95" s="5">
        <f t="shared" si="5"/>
        <v>-8.4860964103937661E-2</v>
      </c>
    </row>
    <row r="96" spans="1:17" x14ac:dyDescent="0.2">
      <c r="A96" s="3">
        <v>40452</v>
      </c>
      <c r="B96" s="59">
        <v>10513628</v>
      </c>
      <c r="C96" s="216">
        <f>+'Purchased Power Model '!C96</f>
        <v>247.8</v>
      </c>
      <c r="D96" s="216">
        <f>+'Purchased Power Model '!D96</f>
        <v>0</v>
      </c>
      <c r="E96" s="126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42">
        <v>3951</v>
      </c>
      <c r="I96" s="222">
        <f t="shared" si="3"/>
        <v>10640939.913438739</v>
      </c>
      <c r="J96" s="36">
        <f t="shared" si="4"/>
        <v>127311.91343873926</v>
      </c>
      <c r="K96" s="5">
        <f t="shared" si="5"/>
        <v>1.2109227512970713E-2</v>
      </c>
    </row>
    <row r="97" spans="1:11" x14ac:dyDescent="0.2">
      <c r="A97" s="3">
        <v>40483</v>
      </c>
      <c r="B97" s="59">
        <v>10081406</v>
      </c>
      <c r="C97" s="216">
        <f>+'Purchased Power Model '!C97</f>
        <v>389.2</v>
      </c>
      <c r="D97" s="216">
        <f>+'Purchased Power Model '!D97</f>
        <v>0</v>
      </c>
      <c r="E97" s="126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42">
        <v>3954</v>
      </c>
      <c r="I97" s="222">
        <f t="shared" si="3"/>
        <v>11230122.242746869</v>
      </c>
      <c r="J97" s="36">
        <f t="shared" si="4"/>
        <v>1148716.2427468691</v>
      </c>
      <c r="K97" s="5">
        <f t="shared" si="5"/>
        <v>0.11394405133042644</v>
      </c>
    </row>
    <row r="98" spans="1:11" x14ac:dyDescent="0.2">
      <c r="A98" s="3">
        <v>40513</v>
      </c>
      <c r="B98" s="59">
        <v>10201617</v>
      </c>
      <c r="C98" s="216">
        <f>+'Purchased Power Model '!C98</f>
        <v>628.70000000000005</v>
      </c>
      <c r="D98" s="216">
        <f>+'Purchased Power Model '!D98</f>
        <v>0</v>
      </c>
      <c r="E98" s="126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42">
        <v>3961</v>
      </c>
      <c r="I98" s="222">
        <f t="shared" si="3"/>
        <v>11341183.254152305</v>
      </c>
      <c r="J98" s="36">
        <f t="shared" si="4"/>
        <v>1139566.2541523054</v>
      </c>
      <c r="K98" s="5">
        <f t="shared" si="5"/>
        <v>0.11170447333518847</v>
      </c>
    </row>
    <row r="99" spans="1:11" x14ac:dyDescent="0.2">
      <c r="A99" s="3">
        <v>40544</v>
      </c>
      <c r="B99" s="129">
        <v>11108115</v>
      </c>
      <c r="C99" s="219">
        <f>+'Purchased Power Model '!C99</f>
        <v>760.9</v>
      </c>
      <c r="D99" s="219">
        <f>+'Purchased Power Model '!D99</f>
        <v>0</v>
      </c>
      <c r="E99" s="126">
        <f>+'Purchased Power Model '!E99</f>
        <v>8.6999999999999994E-2</v>
      </c>
      <c r="F99" s="57">
        <f>+'Purchased Power Model '!F99</f>
        <v>31</v>
      </c>
      <c r="G99" s="57">
        <f>+'Purchased Power Model '!G99</f>
        <v>0</v>
      </c>
      <c r="H99" s="58">
        <v>3962</v>
      </c>
      <c r="I99" s="222">
        <f t="shared" si="3"/>
        <v>11618961.16686875</v>
      </c>
      <c r="J99" s="36">
        <f t="shared" si="4"/>
        <v>510846.16686875001</v>
      </c>
      <c r="K99" s="5">
        <f t="shared" si="5"/>
        <v>4.5988555832267672E-2</v>
      </c>
    </row>
    <row r="100" spans="1:11" x14ac:dyDescent="0.2">
      <c r="A100" s="3">
        <v>40575</v>
      </c>
      <c r="B100" s="129">
        <v>13519418</v>
      </c>
      <c r="C100" s="219">
        <f>+'Purchased Power Model '!C100</f>
        <v>634.19999999999993</v>
      </c>
      <c r="D100" s="219">
        <f>+'Purchased Power Model '!D100</f>
        <v>0</v>
      </c>
      <c r="E100" s="126">
        <f>+'Purchased Power Model '!E100</f>
        <v>8.6999999999999994E-2</v>
      </c>
      <c r="F100" s="57">
        <f>+'Purchased Power Model '!F100</f>
        <v>28</v>
      </c>
      <c r="G100" s="57">
        <f>+'Purchased Power Model '!G100</f>
        <v>0</v>
      </c>
      <c r="H100" s="58">
        <v>3963</v>
      </c>
      <c r="I100" s="222">
        <f t="shared" si="3"/>
        <v>12252720.838025274</v>
      </c>
      <c r="J100" s="36">
        <f t="shared" si="4"/>
        <v>-1266697.1619747262</v>
      </c>
      <c r="K100" s="5">
        <f t="shared" si="5"/>
        <v>-9.3694651794531847E-2</v>
      </c>
    </row>
    <row r="101" spans="1:11" x14ac:dyDescent="0.2">
      <c r="A101" s="3">
        <v>40603</v>
      </c>
      <c r="B101" s="129">
        <v>13897258</v>
      </c>
      <c r="C101" s="219">
        <f>+'Purchased Power Model '!C101</f>
        <v>559.80000000000007</v>
      </c>
      <c r="D101" s="219">
        <f>+'Purchased Power Model '!D101</f>
        <v>0</v>
      </c>
      <c r="E101" s="126">
        <f>+'Purchased Power Model '!E101</f>
        <v>8.6999999999999994E-2</v>
      </c>
      <c r="F101" s="57">
        <f>+'Purchased Power Model '!F101</f>
        <v>31</v>
      </c>
      <c r="G101" s="57">
        <f>+'Purchased Power Model '!G101</f>
        <v>1</v>
      </c>
      <c r="H101" s="58">
        <v>3966</v>
      </c>
      <c r="I101" s="222">
        <f t="shared" si="3"/>
        <v>11288757.687391093</v>
      </c>
      <c r="J101" s="36">
        <f t="shared" si="4"/>
        <v>-2608500.312608907</v>
      </c>
      <c r="K101" s="5">
        <f t="shared" si="5"/>
        <v>-0.18769891964363811</v>
      </c>
    </row>
    <row r="102" spans="1:11" x14ac:dyDescent="0.2">
      <c r="A102" s="3">
        <v>40634</v>
      </c>
      <c r="B102" s="129">
        <v>11362813</v>
      </c>
      <c r="C102" s="219">
        <f>+'Purchased Power Model '!C102</f>
        <v>350.79999999999995</v>
      </c>
      <c r="D102" s="219">
        <f>+'Purchased Power Model '!D102</f>
        <v>0</v>
      </c>
      <c r="E102" s="126">
        <f>+'Purchased Power Model '!E102</f>
        <v>9.3000000000000013E-2</v>
      </c>
      <c r="F102" s="57">
        <f>+'Purchased Power Model '!F102</f>
        <v>30</v>
      </c>
      <c r="G102" s="57">
        <f>+'Purchased Power Model '!G102</f>
        <v>1</v>
      </c>
      <c r="H102" s="58">
        <v>3969</v>
      </c>
      <c r="I102" s="222">
        <f t="shared" si="3"/>
        <v>11151092.594963448</v>
      </c>
      <c r="J102" s="36">
        <f t="shared" si="4"/>
        <v>-211720.40503655188</v>
      </c>
      <c r="K102" s="5">
        <f t="shared" si="5"/>
        <v>-1.8632745697438818E-2</v>
      </c>
    </row>
    <row r="103" spans="1:11" x14ac:dyDescent="0.2">
      <c r="A103" s="3">
        <v>40664</v>
      </c>
      <c r="B103" s="129">
        <v>10258796</v>
      </c>
      <c r="C103" s="219">
        <f>+'Purchased Power Model '!C103</f>
        <v>157.69999999999996</v>
      </c>
      <c r="D103" s="219">
        <f>+'Purchased Power Model '!D103</f>
        <v>2.8</v>
      </c>
      <c r="E103" s="126">
        <f>+'Purchased Power Model '!E103</f>
        <v>9.3000000000000013E-2</v>
      </c>
      <c r="F103" s="57">
        <f>+'Purchased Power Model '!F103</f>
        <v>31</v>
      </c>
      <c r="G103" s="57">
        <f>+'Purchased Power Model '!G103</f>
        <v>1</v>
      </c>
      <c r="H103" s="58">
        <v>3974</v>
      </c>
      <c r="I103" s="222">
        <f t="shared" si="3"/>
        <v>10476626.09812657</v>
      </c>
      <c r="J103" s="36">
        <f t="shared" si="4"/>
        <v>217830.09812656976</v>
      </c>
      <c r="K103" s="5">
        <f t="shared" si="5"/>
        <v>2.1233495443965331E-2</v>
      </c>
    </row>
    <row r="104" spans="1:11" x14ac:dyDescent="0.2">
      <c r="A104" s="3">
        <v>40695</v>
      </c>
      <c r="B104" s="129">
        <v>10532456</v>
      </c>
      <c r="C104" s="219">
        <f>+'Purchased Power Model '!C104</f>
        <v>26.699999999999996</v>
      </c>
      <c r="D104" s="219">
        <f>+'Purchased Power Model '!D104</f>
        <v>36.900000000000006</v>
      </c>
      <c r="E104" s="126">
        <f>+'Purchased Power Model '!E104</f>
        <v>9.3000000000000013E-2</v>
      </c>
      <c r="F104" s="57">
        <f>+'Purchased Power Model '!F104</f>
        <v>30</v>
      </c>
      <c r="G104" s="57">
        <f>+'Purchased Power Model '!G104</f>
        <v>0</v>
      </c>
      <c r="H104" s="58">
        <v>3812</v>
      </c>
      <c r="I104" s="222">
        <f t="shared" si="3"/>
        <v>10678702.483480763</v>
      </c>
      <c r="J104" s="36">
        <f t="shared" si="4"/>
        <v>146246.48348076269</v>
      </c>
      <c r="K104" s="5">
        <f t="shared" si="5"/>
        <v>1.3885316347940374E-2</v>
      </c>
    </row>
    <row r="105" spans="1:11" x14ac:dyDescent="0.2">
      <c r="A105" s="3">
        <v>40725</v>
      </c>
      <c r="B105" s="129">
        <v>11071076</v>
      </c>
      <c r="C105" s="219">
        <f>+'Purchased Power Model '!C105</f>
        <v>0.2</v>
      </c>
      <c r="D105" s="219">
        <f>+'Purchased Power Model '!D105</f>
        <v>141.19999999999999</v>
      </c>
      <c r="E105" s="126">
        <f>+'Purchased Power Model '!E105</f>
        <v>7.2000000000000008E-2</v>
      </c>
      <c r="F105" s="57">
        <f>+'Purchased Power Model '!F105</f>
        <v>31</v>
      </c>
      <c r="G105" s="57">
        <f>+'Purchased Power Model '!G105</f>
        <v>0</v>
      </c>
      <c r="H105" s="58">
        <v>3811</v>
      </c>
      <c r="I105" s="222">
        <f t="shared" si="3"/>
        <v>11132583.648427874</v>
      </c>
      <c r="J105" s="36">
        <f t="shared" si="4"/>
        <v>61507.64842787385</v>
      </c>
      <c r="K105" s="5">
        <f t="shared" si="5"/>
        <v>5.5557064577890936E-3</v>
      </c>
    </row>
    <row r="106" spans="1:11" x14ac:dyDescent="0.2">
      <c r="A106" s="3">
        <v>40756</v>
      </c>
      <c r="B106" s="129">
        <v>10992419</v>
      </c>
      <c r="C106" s="219">
        <f>+'Purchased Power Model '!C106</f>
        <v>3.7</v>
      </c>
      <c r="D106" s="219">
        <f>+'Purchased Power Model '!D106</f>
        <v>80.499999999999957</v>
      </c>
      <c r="E106" s="126">
        <f>+'Purchased Power Model '!E106</f>
        <v>7.2000000000000008E-2</v>
      </c>
      <c r="F106" s="57">
        <f>+'Purchased Power Model '!F106</f>
        <v>31</v>
      </c>
      <c r="G106" s="57">
        <f>+'Purchased Power Model '!G106</f>
        <v>0</v>
      </c>
      <c r="H106" s="58">
        <v>3810</v>
      </c>
      <c r="I106" s="222">
        <f t="shared" si="3"/>
        <v>10681984.695491057</v>
      </c>
      <c r="J106" s="36">
        <f t="shared" si="4"/>
        <v>-310434.30450894311</v>
      </c>
      <c r="K106" s="5">
        <f t="shared" si="5"/>
        <v>-2.8240763430591856E-2</v>
      </c>
    </row>
    <row r="107" spans="1:11" x14ac:dyDescent="0.2">
      <c r="A107" s="3">
        <v>40787</v>
      </c>
      <c r="B107" s="129">
        <v>12046598</v>
      </c>
      <c r="C107" s="219">
        <f>+'Purchased Power Model '!C107</f>
        <v>48.900000000000006</v>
      </c>
      <c r="D107" s="219">
        <f>+'Purchased Power Model '!D107</f>
        <v>34.6</v>
      </c>
      <c r="E107" s="126">
        <f>+'Purchased Power Model '!E107</f>
        <v>7.2000000000000008E-2</v>
      </c>
      <c r="F107" s="57">
        <f>+'Purchased Power Model '!F107</f>
        <v>30</v>
      </c>
      <c r="G107" s="57">
        <f>+'Purchased Power Model '!G107</f>
        <v>1</v>
      </c>
      <c r="H107" s="58">
        <v>3807</v>
      </c>
      <c r="I107" s="222">
        <f t="shared" si="3"/>
        <v>10810674.532923149</v>
      </c>
      <c r="J107" s="36">
        <f t="shared" si="4"/>
        <v>-1235923.4670768511</v>
      </c>
      <c r="K107" s="5">
        <f t="shared" si="5"/>
        <v>-0.10259522788731316</v>
      </c>
    </row>
    <row r="108" spans="1:11" x14ac:dyDescent="0.2">
      <c r="A108" s="3">
        <v>40817</v>
      </c>
      <c r="B108" s="129">
        <v>10380233</v>
      </c>
      <c r="C108" s="219">
        <f>+'Purchased Power Model '!C108</f>
        <v>225.29999999999998</v>
      </c>
      <c r="D108" s="219">
        <f>+'Purchased Power Model '!D108</f>
        <v>0</v>
      </c>
      <c r="E108" s="126">
        <f>+'Purchased Power Model '!E108</f>
        <v>7.2000000000000008E-2</v>
      </c>
      <c r="F108" s="57">
        <f>+'Purchased Power Model '!F108</f>
        <v>31</v>
      </c>
      <c r="G108" s="57">
        <f>+'Purchased Power Model '!G108</f>
        <v>1</v>
      </c>
      <c r="H108" s="58">
        <v>3810</v>
      </c>
      <c r="I108" s="222">
        <f t="shared" si="3"/>
        <v>10614590.079182873</v>
      </c>
      <c r="J108" s="36">
        <f t="shared" si="4"/>
        <v>234357.07918287255</v>
      </c>
      <c r="K108" s="5">
        <f t="shared" si="5"/>
        <v>2.2577246501390917E-2</v>
      </c>
    </row>
    <row r="109" spans="1:11" x14ac:dyDescent="0.2">
      <c r="A109" s="3">
        <v>40848</v>
      </c>
      <c r="B109" s="129">
        <v>9987001</v>
      </c>
      <c r="C109" s="219">
        <f>+'Purchased Power Model '!C109</f>
        <v>349.69999999999993</v>
      </c>
      <c r="D109" s="219">
        <f>+'Purchased Power Model '!D109</f>
        <v>0</v>
      </c>
      <c r="E109" s="126">
        <f>+'Purchased Power Model '!E109</f>
        <v>7.2000000000000008E-2</v>
      </c>
      <c r="F109" s="57">
        <f>+'Purchased Power Model '!F109</f>
        <v>30</v>
      </c>
      <c r="G109" s="57">
        <f>+'Purchased Power Model '!G109</f>
        <v>1</v>
      </c>
      <c r="H109" s="58">
        <v>3811</v>
      </c>
      <c r="I109" s="222">
        <f t="shared" si="3"/>
        <v>11168785.324836886</v>
      </c>
      <c r="J109" s="36">
        <f t="shared" si="4"/>
        <v>1181784.3248368856</v>
      </c>
      <c r="K109" s="5">
        <f t="shared" si="5"/>
        <v>0.11833225257881576</v>
      </c>
    </row>
    <row r="110" spans="1:11" x14ac:dyDescent="0.2">
      <c r="A110" s="3">
        <v>40878</v>
      </c>
      <c r="B110" s="129">
        <v>10539695</v>
      </c>
      <c r="C110" s="219">
        <f>+'Purchased Power Model '!C110</f>
        <v>531.20000000000005</v>
      </c>
      <c r="D110" s="219">
        <f>+'Purchased Power Model '!D110</f>
        <v>0</v>
      </c>
      <c r="E110" s="126">
        <f>+'Purchased Power Model '!E110</f>
        <v>7.2000000000000008E-2</v>
      </c>
      <c r="F110" s="57">
        <f>+'Purchased Power Model '!F110</f>
        <v>31</v>
      </c>
      <c r="G110" s="57">
        <f>+'Purchased Power Model '!G110</f>
        <v>0</v>
      </c>
      <c r="H110" s="58">
        <v>3816</v>
      </c>
      <c r="I110" s="222">
        <f t="shared" si="3"/>
        <v>11160478.639069449</v>
      </c>
      <c r="J110" s="36">
        <f t="shared" si="4"/>
        <v>620783.63906944916</v>
      </c>
      <c r="K110" s="5">
        <f t="shared" si="5"/>
        <v>5.8899582869281243E-2</v>
      </c>
    </row>
    <row r="111" spans="1:11" x14ac:dyDescent="0.2">
      <c r="A111" s="3">
        <v>40909</v>
      </c>
      <c r="B111" s="129">
        <v>9452959</v>
      </c>
      <c r="C111" s="219">
        <f>+'Purchased Power Model '!C111</f>
        <v>611</v>
      </c>
      <c r="D111" s="219">
        <f>+'Purchased Power Model '!D111</f>
        <v>0</v>
      </c>
      <c r="E111" s="126">
        <f>+'Purchased Power Model '!E111</f>
        <v>0.08</v>
      </c>
      <c r="F111" s="57">
        <f>+'Purchased Power Model '!F111</f>
        <v>31</v>
      </c>
      <c r="G111" s="57">
        <f>+'Purchased Power Model '!G111</f>
        <v>0</v>
      </c>
      <c r="H111" s="58">
        <v>3819</v>
      </c>
      <c r="I111" s="222">
        <f t="shared" si="3"/>
        <v>11317109.611586612</v>
      </c>
      <c r="J111" s="36">
        <f t="shared" si="4"/>
        <v>1864150.6115866117</v>
      </c>
      <c r="K111" s="5">
        <f t="shared" si="5"/>
        <v>0.19720286648726729</v>
      </c>
    </row>
    <row r="112" spans="1:11" x14ac:dyDescent="0.2">
      <c r="A112" s="3">
        <v>40940</v>
      </c>
      <c r="B112" s="129">
        <v>14357372</v>
      </c>
      <c r="C112" s="219">
        <f>+'Purchased Power Model '!C112</f>
        <v>536.20000000000005</v>
      </c>
      <c r="D112" s="219">
        <f>+'Purchased Power Model '!D112</f>
        <v>0</v>
      </c>
      <c r="E112" s="126">
        <f>+'Purchased Power Model '!E112</f>
        <v>0.08</v>
      </c>
      <c r="F112" s="57">
        <f>+'Purchased Power Model '!F112</f>
        <v>29</v>
      </c>
      <c r="G112" s="57">
        <f>+'Purchased Power Model '!G112</f>
        <v>0</v>
      </c>
      <c r="H112" s="58">
        <v>3835</v>
      </c>
      <c r="I112" s="222">
        <f t="shared" si="3"/>
        <v>11759510.675219772</v>
      </c>
      <c r="J112" s="36">
        <f t="shared" si="4"/>
        <v>-2597861.3247802276</v>
      </c>
      <c r="K112" s="5">
        <f t="shared" si="5"/>
        <v>-0.18094267702893174</v>
      </c>
    </row>
    <row r="113" spans="1:11" x14ac:dyDescent="0.2">
      <c r="A113" s="3">
        <v>40969</v>
      </c>
      <c r="B113" s="129">
        <v>10772984</v>
      </c>
      <c r="C113" s="219">
        <f>+'Purchased Power Model '!C113</f>
        <v>399.39999999999992</v>
      </c>
      <c r="D113" s="219">
        <f>+'Purchased Power Model '!D113</f>
        <v>0</v>
      </c>
      <c r="E113" s="126">
        <f>+'Purchased Power Model '!E113</f>
        <v>0.08</v>
      </c>
      <c r="F113" s="57">
        <f>+'Purchased Power Model '!F113</f>
        <v>31</v>
      </c>
      <c r="G113" s="57">
        <f>+'Purchased Power Model '!G113</f>
        <v>1</v>
      </c>
      <c r="H113" s="58">
        <v>3838</v>
      </c>
      <c r="I113" s="222">
        <f t="shared" si="3"/>
        <v>10965296.462793177</v>
      </c>
      <c r="J113" s="36">
        <f t="shared" si="4"/>
        <v>192312.46279317699</v>
      </c>
      <c r="K113" s="5">
        <f t="shared" si="5"/>
        <v>1.7851364375290727E-2</v>
      </c>
    </row>
    <row r="114" spans="1:11" x14ac:dyDescent="0.2">
      <c r="A114" s="3">
        <v>41000</v>
      </c>
      <c r="B114" s="129">
        <v>11133490</v>
      </c>
      <c r="C114" s="219">
        <f>+'Purchased Power Model '!C114</f>
        <v>336.89999999999992</v>
      </c>
      <c r="D114" s="219">
        <f>+'Purchased Power Model '!D114</f>
        <v>0</v>
      </c>
      <c r="E114" s="126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58">
        <v>3845</v>
      </c>
      <c r="I114" s="222">
        <f t="shared" si="3"/>
        <v>11131038.337484946</v>
      </c>
      <c r="J114" s="36">
        <f t="shared" si="4"/>
        <v>-2451.6625150535256</v>
      </c>
      <c r="K114" s="5">
        <f t="shared" si="5"/>
        <v>-2.2020610923021672E-4</v>
      </c>
    </row>
    <row r="115" spans="1:11" x14ac:dyDescent="0.2">
      <c r="A115" s="3">
        <v>41030</v>
      </c>
      <c r="B115" s="129">
        <v>8931520</v>
      </c>
      <c r="C115" s="219">
        <f>+'Purchased Power Model '!C115</f>
        <v>109.30000000000001</v>
      </c>
      <c r="D115" s="219">
        <f>+'Purchased Power Model '!D115</f>
        <v>21.8</v>
      </c>
      <c r="E115" s="126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58">
        <v>3864</v>
      </c>
      <c r="I115" s="222">
        <f t="shared" si="3"/>
        <v>10528867.510409983</v>
      </c>
      <c r="J115" s="36">
        <f t="shared" si="4"/>
        <v>1597347.5104099829</v>
      </c>
      <c r="K115" s="5">
        <f t="shared" si="5"/>
        <v>0.17884385976966774</v>
      </c>
    </row>
    <row r="116" spans="1:11" x14ac:dyDescent="0.2">
      <c r="A116" s="3">
        <v>41061</v>
      </c>
      <c r="B116" s="129">
        <v>8356542</v>
      </c>
      <c r="C116" s="219">
        <f>+'Purchased Power Model '!C116</f>
        <v>28.2</v>
      </c>
      <c r="D116" s="219">
        <f>+'Purchased Power Model '!D116</f>
        <v>64.3</v>
      </c>
      <c r="E116" s="126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58">
        <v>3865</v>
      </c>
      <c r="I116" s="222">
        <f t="shared" si="3"/>
        <v>10896994.460771713</v>
      </c>
      <c r="J116" s="36">
        <f t="shared" si="4"/>
        <v>2540452.4607717134</v>
      </c>
      <c r="K116" s="5">
        <f t="shared" si="5"/>
        <v>0.30400762190529451</v>
      </c>
    </row>
    <row r="117" spans="1:11" x14ac:dyDescent="0.2">
      <c r="A117" s="3">
        <v>41091</v>
      </c>
      <c r="B117" s="129">
        <v>9843844</v>
      </c>
      <c r="C117" s="219">
        <f>+'Purchased Power Model '!C117</f>
        <v>0</v>
      </c>
      <c r="D117" s="219">
        <f>+'Purchased Power Model '!D117</f>
        <v>155.30000000000001</v>
      </c>
      <c r="E117" s="126">
        <f>+'Purchased Power Model '!E117</f>
        <v>9.3000000000000013E-2</v>
      </c>
      <c r="F117" s="57">
        <f>+'Purchased Power Model '!F117</f>
        <v>31</v>
      </c>
      <c r="G117" s="57">
        <f>+'Purchased Power Model '!G117</f>
        <v>0</v>
      </c>
      <c r="H117" s="58">
        <v>3864</v>
      </c>
      <c r="I117" s="222">
        <f t="shared" si="3"/>
        <v>11218558.280533444</v>
      </c>
      <c r="J117" s="36">
        <f t="shared" si="4"/>
        <v>1374714.2805334441</v>
      </c>
      <c r="K117" s="5">
        <f t="shared" si="5"/>
        <v>0.1396521806454312</v>
      </c>
    </row>
    <row r="118" spans="1:11" x14ac:dyDescent="0.2">
      <c r="A118" s="3">
        <v>41122</v>
      </c>
      <c r="B118" s="129">
        <v>12271242</v>
      </c>
      <c r="C118" s="219">
        <f>+'Purchased Power Model '!C118</f>
        <v>4.4000000000000004</v>
      </c>
      <c r="D118" s="219">
        <f>+'Purchased Power Model '!D118</f>
        <v>102.79999999999998</v>
      </c>
      <c r="E118" s="126">
        <f>+'Purchased Power Model '!E118</f>
        <v>9.3000000000000013E-2</v>
      </c>
      <c r="F118" s="57">
        <f>+'Purchased Power Model '!F118</f>
        <v>31</v>
      </c>
      <c r="G118" s="57">
        <f>+'Purchased Power Model '!G118</f>
        <v>0</v>
      </c>
      <c r="H118" s="58">
        <v>3866</v>
      </c>
      <c r="I118" s="222">
        <f t="shared" si="3"/>
        <v>10831656.359983768</v>
      </c>
      <c r="J118" s="36">
        <f t="shared" si="4"/>
        <v>-1439585.6400162317</v>
      </c>
      <c r="K118" s="5">
        <f t="shared" si="5"/>
        <v>-0.11731376824091903</v>
      </c>
    </row>
    <row r="119" spans="1:11" x14ac:dyDescent="0.2">
      <c r="A119" s="3">
        <v>41153</v>
      </c>
      <c r="B119" s="129">
        <v>12813803</v>
      </c>
      <c r="C119" s="219">
        <f>+'Purchased Power Model '!C119</f>
        <v>84</v>
      </c>
      <c r="D119" s="219">
        <f>+'Purchased Power Model '!D119</f>
        <v>24.400000000000002</v>
      </c>
      <c r="E119" s="126">
        <f>+'Purchased Power Model '!E119</f>
        <v>9.3000000000000013E-2</v>
      </c>
      <c r="F119" s="57">
        <f>+'Purchased Power Model '!F119</f>
        <v>30</v>
      </c>
      <c r="G119" s="57">
        <f>+'Purchased Power Model '!G119</f>
        <v>1</v>
      </c>
      <c r="H119" s="58">
        <v>3868</v>
      </c>
      <c r="I119" s="222">
        <f t="shared" si="3"/>
        <v>10786027.103873117</v>
      </c>
      <c r="J119" s="36">
        <f t="shared" si="4"/>
        <v>-2027775.8961268831</v>
      </c>
      <c r="K119" s="5">
        <f t="shared" si="5"/>
        <v>-0.15824934222313883</v>
      </c>
    </row>
    <row r="120" spans="1:11" x14ac:dyDescent="0.2">
      <c r="A120" s="3">
        <v>41183</v>
      </c>
      <c r="B120" s="129">
        <v>11998690</v>
      </c>
      <c r="C120" s="219">
        <f>+'Purchased Power Model '!C120</f>
        <v>228.99999999999994</v>
      </c>
      <c r="D120" s="219">
        <f>+'Purchased Power Model '!D120</f>
        <v>0</v>
      </c>
      <c r="E120" s="126">
        <f>+'Purchased Power Model '!E120</f>
        <v>9.4E-2</v>
      </c>
      <c r="F120" s="57">
        <f>+'Purchased Power Model '!F120</f>
        <v>31</v>
      </c>
      <c r="G120" s="57">
        <f>+'Purchased Power Model '!G120</f>
        <v>1</v>
      </c>
      <c r="H120" s="58">
        <v>3870</v>
      </c>
      <c r="I120" s="222">
        <f t="shared" si="3"/>
        <v>10601298.000759428</v>
      </c>
      <c r="J120" s="36">
        <f t="shared" si="4"/>
        <v>-1397391.9992405716</v>
      </c>
      <c r="K120" s="5">
        <f t="shared" si="5"/>
        <v>-0.11646204704351655</v>
      </c>
    </row>
    <row r="121" spans="1:11" x14ac:dyDescent="0.2">
      <c r="A121" s="3">
        <v>41214</v>
      </c>
      <c r="B121" s="129">
        <v>10009126</v>
      </c>
      <c r="C121" s="219">
        <f>+'Purchased Power Model '!C121</f>
        <v>427.89999999999992</v>
      </c>
      <c r="D121" s="219">
        <f>+'Purchased Power Model '!D121</f>
        <v>0</v>
      </c>
      <c r="E121" s="126">
        <f>+'Purchased Power Model '!E121</f>
        <v>9.4E-2</v>
      </c>
      <c r="F121" s="57">
        <f>+'Purchased Power Model '!F121</f>
        <v>30</v>
      </c>
      <c r="G121" s="57">
        <f>+'Purchased Power Model '!G121</f>
        <v>1</v>
      </c>
      <c r="H121" s="58">
        <v>3876</v>
      </c>
      <c r="I121" s="222">
        <f t="shared" si="3"/>
        <v>11308818.995368255</v>
      </c>
      <c r="J121" s="36">
        <f t="shared" si="4"/>
        <v>1299692.9953682553</v>
      </c>
      <c r="K121" s="5">
        <f t="shared" si="5"/>
        <v>0.12985079769884555</v>
      </c>
    </row>
    <row r="122" spans="1:11" x14ac:dyDescent="0.2">
      <c r="A122" s="3">
        <v>41244</v>
      </c>
      <c r="B122" s="129">
        <v>11649229</v>
      </c>
      <c r="C122" s="219">
        <f>+'Purchased Power Model '!C122</f>
        <v>451.09999999999997</v>
      </c>
      <c r="D122" s="219">
        <f>+'Purchased Power Model '!D122</f>
        <v>0</v>
      </c>
      <c r="E122" s="126">
        <f>+'Purchased Power Model '!E122</f>
        <v>9.4E-2</v>
      </c>
      <c r="F122" s="57">
        <f>+'Purchased Power Model '!F122</f>
        <v>31</v>
      </c>
      <c r="G122" s="57">
        <f>+'Purchased Power Model '!G122</f>
        <v>0</v>
      </c>
      <c r="H122" s="58">
        <v>3885</v>
      </c>
      <c r="I122" s="222">
        <f t="shared" si="3"/>
        <v>10974720.818868645</v>
      </c>
      <c r="J122" s="36">
        <f t="shared" si="4"/>
        <v>-674508.18113135546</v>
      </c>
      <c r="K122" s="5">
        <f t="shared" si="5"/>
        <v>-5.7901529889347651E-2</v>
      </c>
    </row>
    <row r="123" spans="1:11" x14ac:dyDescent="0.2">
      <c r="A123" s="3">
        <v>41275</v>
      </c>
      <c r="B123" s="129">
        <v>11710408</v>
      </c>
      <c r="C123" s="219">
        <f>+'Purchased Power Model '!C123</f>
        <v>615.40000000000009</v>
      </c>
      <c r="D123" s="219">
        <f>+'Purchased Power Model '!D123</f>
        <v>0</v>
      </c>
      <c r="E123" s="126">
        <f>+'Purchased Power Model '!E123</f>
        <v>8.4000000000000005E-2</v>
      </c>
      <c r="F123" s="57">
        <f>+'Purchased Power Model '!F123</f>
        <v>31</v>
      </c>
      <c r="G123" s="57">
        <f>+'Purchased Power Model '!G123</f>
        <v>0</v>
      </c>
      <c r="H123" s="58">
        <v>3896</v>
      </c>
      <c r="I123" s="222">
        <f t="shared" si="3"/>
        <v>11322363.834920418</v>
      </c>
      <c r="J123" s="36">
        <f t="shared" si="4"/>
        <v>-388044.16507958248</v>
      </c>
      <c r="K123" s="5">
        <f t="shared" si="5"/>
        <v>-3.3136690461987528E-2</v>
      </c>
    </row>
    <row r="124" spans="1:11" x14ac:dyDescent="0.2">
      <c r="A124" s="3">
        <v>41306</v>
      </c>
      <c r="B124" s="129">
        <v>11135515</v>
      </c>
      <c r="C124" s="219">
        <f>+'Purchased Power Model '!C124</f>
        <v>611.5</v>
      </c>
      <c r="D124" s="219">
        <f>+'Purchased Power Model '!D124</f>
        <v>0</v>
      </c>
      <c r="E124" s="126">
        <f>+'Purchased Power Model '!E124</f>
        <v>8.4000000000000005E-2</v>
      </c>
      <c r="F124" s="57">
        <f>+'Purchased Power Model '!F124</f>
        <v>28</v>
      </c>
      <c r="G124" s="57">
        <f>+'Purchased Power Model '!G124</f>
        <v>0</v>
      </c>
      <c r="H124" s="58">
        <v>3895</v>
      </c>
      <c r="I124" s="222">
        <f t="shared" si="3"/>
        <v>12208853.733884336</v>
      </c>
      <c r="J124" s="36">
        <f t="shared" si="4"/>
        <v>1073338.7338843364</v>
      </c>
      <c r="K124" s="5">
        <f t="shared" si="5"/>
        <v>9.6388782547043084E-2</v>
      </c>
    </row>
    <row r="125" spans="1:11" x14ac:dyDescent="0.2">
      <c r="A125" s="3">
        <v>41334</v>
      </c>
      <c r="B125" s="129">
        <v>12239097</v>
      </c>
      <c r="C125" s="219">
        <f>+'Purchased Power Model '!C125</f>
        <v>545</v>
      </c>
      <c r="D125" s="219">
        <f>+'Purchased Power Model '!D125</f>
        <v>0</v>
      </c>
      <c r="E125" s="126">
        <f>+'Purchased Power Model '!E125</f>
        <v>8.4000000000000005E-2</v>
      </c>
      <c r="F125" s="57">
        <f>+'Purchased Power Model '!F125</f>
        <v>31</v>
      </c>
      <c r="G125" s="57">
        <f>+'Purchased Power Model '!G125</f>
        <v>1</v>
      </c>
      <c r="H125" s="58">
        <v>3902</v>
      </c>
      <c r="I125" s="222">
        <f t="shared" si="3"/>
        <v>11261149.286830598</v>
      </c>
      <c r="J125" s="36">
        <f t="shared" si="4"/>
        <v>-977947.71316940151</v>
      </c>
      <c r="K125" s="5">
        <f t="shared" si="5"/>
        <v>-7.9903583832157024E-2</v>
      </c>
    </row>
    <row r="126" spans="1:11" x14ac:dyDescent="0.2">
      <c r="A126" s="3">
        <v>41365</v>
      </c>
      <c r="B126" s="129">
        <v>11909221</v>
      </c>
      <c r="C126" s="219">
        <f>+'Purchased Power Model '!C126</f>
        <v>366.49999999999994</v>
      </c>
      <c r="D126" s="219">
        <f>+'Purchased Power Model '!D126</f>
        <v>0</v>
      </c>
      <c r="E126" s="126">
        <f>+'Purchased Power Model '!E126</f>
        <v>7.0999999999999994E-2</v>
      </c>
      <c r="F126" s="57">
        <f>+'Purchased Power Model '!F126</f>
        <v>30</v>
      </c>
      <c r="G126" s="57">
        <f>+'Purchased Power Model '!G126</f>
        <v>1</v>
      </c>
      <c r="H126" s="58">
        <v>3913</v>
      </c>
      <c r="I126" s="222">
        <f t="shared" si="3"/>
        <v>11204311.110027475</v>
      </c>
      <c r="J126" s="36">
        <f t="shared" si="4"/>
        <v>-704909.88997252472</v>
      </c>
      <c r="K126" s="5">
        <f t="shared" si="5"/>
        <v>-5.9190260217064132E-2</v>
      </c>
    </row>
    <row r="127" spans="1:11" x14ac:dyDescent="0.2">
      <c r="A127" s="3">
        <v>41395</v>
      </c>
      <c r="B127" s="129">
        <v>10706718</v>
      </c>
      <c r="C127" s="219">
        <f>+'Purchased Power Model '!C127</f>
        <v>133.4</v>
      </c>
      <c r="D127" s="219">
        <f>+'Purchased Power Model '!D127</f>
        <v>3</v>
      </c>
      <c r="E127" s="126">
        <f>+'Purchased Power Model '!E127</f>
        <v>7.0999999999999994E-2</v>
      </c>
      <c r="F127" s="57">
        <f>+'Purchased Power Model '!F127</f>
        <v>31</v>
      </c>
      <c r="G127" s="57">
        <f>+'Purchased Power Model '!G127</f>
        <v>1</v>
      </c>
      <c r="H127" s="58">
        <v>3916</v>
      </c>
      <c r="I127" s="222">
        <f t="shared" si="3"/>
        <v>10449030.472562963</v>
      </c>
      <c r="J127" s="36">
        <f t="shared" si="4"/>
        <v>-257687.52743703686</v>
      </c>
      <c r="K127" s="5">
        <f t="shared" si="5"/>
        <v>-2.4067835487685103E-2</v>
      </c>
    </row>
    <row r="128" spans="1:11" x14ac:dyDescent="0.2">
      <c r="A128" s="3">
        <v>41426</v>
      </c>
      <c r="B128" s="129">
        <v>10139279</v>
      </c>
      <c r="C128" s="219">
        <f>+'Purchased Power Model '!C128</f>
        <v>42.900000000000006</v>
      </c>
      <c r="D128" s="219">
        <f>+'Purchased Power Model '!D128</f>
        <v>32.200000000000003</v>
      </c>
      <c r="E128" s="126">
        <f>+'Purchased Power Model '!E128</f>
        <v>7.0999999999999994E-2</v>
      </c>
      <c r="F128" s="57">
        <f>+'Purchased Power Model '!F128</f>
        <v>30</v>
      </c>
      <c r="G128" s="57">
        <f>+'Purchased Power Model '!G128</f>
        <v>0</v>
      </c>
      <c r="H128" s="58">
        <v>3914</v>
      </c>
      <c r="I128" s="222">
        <f t="shared" si="3"/>
        <v>10697502.415468074</v>
      </c>
      <c r="J128" s="36">
        <f t="shared" si="4"/>
        <v>558223.41546807438</v>
      </c>
      <c r="K128" s="5">
        <f t="shared" si="5"/>
        <v>5.5055533580649511E-2</v>
      </c>
    </row>
    <row r="129" spans="1:11" x14ac:dyDescent="0.2">
      <c r="A129" s="3">
        <v>41456</v>
      </c>
      <c r="B129" s="129">
        <v>10246768</v>
      </c>
      <c r="C129" s="219">
        <f>+'Purchased Power Model '!C129</f>
        <v>4.4000000000000004</v>
      </c>
      <c r="D129" s="219">
        <f>+'Purchased Power Model '!D129</f>
        <v>109.99999999999999</v>
      </c>
      <c r="E129" s="126">
        <f>+'Purchased Power Model '!E129</f>
        <v>6.3E-2</v>
      </c>
      <c r="F129" s="57">
        <f>+'Purchased Power Model '!F129</f>
        <v>31</v>
      </c>
      <c r="G129" s="57">
        <f>+'Purchased Power Model '!G129</f>
        <v>0</v>
      </c>
      <c r="H129" s="58">
        <v>3908</v>
      </c>
      <c r="I129" s="222">
        <f t="shared" si="3"/>
        <v>10914468.517827507</v>
      </c>
      <c r="J129" s="36">
        <f t="shared" si="4"/>
        <v>667700.51782750711</v>
      </c>
      <c r="K129" s="5">
        <f t="shared" si="5"/>
        <v>6.5162060644635172E-2</v>
      </c>
    </row>
    <row r="130" spans="1:11" x14ac:dyDescent="0.2">
      <c r="A130" s="3">
        <v>41487</v>
      </c>
      <c r="B130" s="129">
        <v>11967647</v>
      </c>
      <c r="C130" s="219">
        <f>+'Purchased Power Model '!C130</f>
        <v>11</v>
      </c>
      <c r="D130" s="219">
        <f>+'Purchased Power Model '!D130</f>
        <v>57.899999999999991</v>
      </c>
      <c r="E130" s="126">
        <f>+'Purchased Power Model '!E130</f>
        <v>6.3E-2</v>
      </c>
      <c r="F130" s="57">
        <f>+'Purchased Power Model '!F130</f>
        <v>31</v>
      </c>
      <c r="G130" s="57">
        <f>+'Purchased Power Model '!G130</f>
        <v>0</v>
      </c>
      <c r="H130" s="58">
        <v>3911</v>
      </c>
      <c r="I130" s="222">
        <f t="shared" si="3"/>
        <v>10535111.155808944</v>
      </c>
      <c r="J130" s="36">
        <f t="shared" si="4"/>
        <v>-1432535.8441910557</v>
      </c>
      <c r="K130" s="5">
        <f t="shared" si="5"/>
        <v>-0.11970071010542471</v>
      </c>
    </row>
    <row r="131" spans="1:11" x14ac:dyDescent="0.2">
      <c r="A131" s="3">
        <v>41518</v>
      </c>
      <c r="B131" s="129">
        <v>11151803</v>
      </c>
      <c r="C131" s="219">
        <f>+'Purchased Power Model '!C131</f>
        <v>96.600000000000009</v>
      </c>
      <c r="D131" s="219">
        <f>+'Purchased Power Model '!D131</f>
        <v>15.700000000000001</v>
      </c>
      <c r="E131" s="126">
        <f>+'Purchased Power Model '!E131</f>
        <v>6.3E-2</v>
      </c>
      <c r="F131" s="57">
        <f>+'Purchased Power Model '!F131</f>
        <v>30</v>
      </c>
      <c r="G131" s="57">
        <f>+'Purchased Power Model '!G131</f>
        <v>1</v>
      </c>
      <c r="H131" s="58">
        <v>3914</v>
      </c>
      <c r="I131" s="222">
        <f t="shared" si="3"/>
        <v>10774852.337728264</v>
      </c>
      <c r="J131" s="36">
        <f t="shared" si="4"/>
        <v>-376950.66227173619</v>
      </c>
      <c r="K131" s="5">
        <f t="shared" si="5"/>
        <v>-3.3801768402090336E-2</v>
      </c>
    </row>
    <row r="132" spans="1:11" x14ac:dyDescent="0.2">
      <c r="A132" s="3">
        <v>41548</v>
      </c>
      <c r="B132" s="129">
        <v>10054279</v>
      </c>
      <c r="C132" s="219">
        <f>+'Purchased Power Model '!C132</f>
        <v>221</v>
      </c>
      <c r="D132" s="219">
        <f>+'Purchased Power Model '!D132</f>
        <v>3</v>
      </c>
      <c r="E132" s="126">
        <f>+'Purchased Power Model '!E132</f>
        <v>7.0000000000000007E-2</v>
      </c>
      <c r="F132" s="57">
        <f>+'Purchased Power Model '!F132</f>
        <v>31</v>
      </c>
      <c r="G132" s="57">
        <f>+'Purchased Power Model '!G132</f>
        <v>1</v>
      </c>
      <c r="H132" s="58">
        <v>3914</v>
      </c>
      <c r="I132" s="222">
        <f t="shared" ref="I132:I195" si="6">$N$18+C132*$N$19+D132*$N$20+E132*$N$21+F132*$N$22+G132*$N$23</f>
        <v>10630267.170854235</v>
      </c>
      <c r="J132" s="36">
        <f t="shared" ref="J132:J133" si="7">I132-B132</f>
        <v>575988.17085423507</v>
      </c>
      <c r="K132" s="5">
        <f t="shared" ref="K132:K133" si="8">J132/B132</f>
        <v>5.7287864286860855E-2</v>
      </c>
    </row>
    <row r="133" spans="1:11" x14ac:dyDescent="0.2">
      <c r="A133" s="3">
        <v>41579</v>
      </c>
      <c r="B133" s="129">
        <v>10066610</v>
      </c>
      <c r="C133" s="219">
        <f>+'Purchased Power Model '!C133</f>
        <v>458.6</v>
      </c>
      <c r="D133" s="219">
        <f>+'Purchased Power Model '!D133</f>
        <v>0</v>
      </c>
      <c r="E133" s="126">
        <f>+'Purchased Power Model '!E133</f>
        <v>7.0000000000000007E-2</v>
      </c>
      <c r="F133" s="57">
        <f>+'Purchased Power Model '!F133</f>
        <v>30</v>
      </c>
      <c r="G133" s="57">
        <f>+'Purchased Power Model '!G133</f>
        <v>1</v>
      </c>
      <c r="H133" s="58">
        <v>3919</v>
      </c>
      <c r="I133" s="222">
        <f t="shared" si="6"/>
        <v>11394809.095168369</v>
      </c>
      <c r="J133" s="36">
        <f t="shared" si="7"/>
        <v>1328199.0951683689</v>
      </c>
      <c r="K133" s="5">
        <f t="shared" si="8"/>
        <v>0.1319410501815774</v>
      </c>
    </row>
    <row r="134" spans="1:11" x14ac:dyDescent="0.2">
      <c r="A134" s="3">
        <v>41609</v>
      </c>
      <c r="B134" s="129">
        <v>11054783</v>
      </c>
      <c r="C134" s="219">
        <f>+'Purchased Power Model '!C134</f>
        <v>472.8</v>
      </c>
      <c r="D134" s="219">
        <f ca="1">+'Purchased Power Model '!D134</f>
        <v>0</v>
      </c>
      <c r="E134" s="126">
        <f>+'Purchased Power Model '!E134</f>
        <v>7.0000000000000007E-2</v>
      </c>
      <c r="F134" s="57">
        <f>+'Purchased Power Model '!F134</f>
        <v>31</v>
      </c>
      <c r="G134" s="57">
        <f>+'Purchased Power Model '!G134</f>
        <v>0</v>
      </c>
      <c r="H134" s="58">
        <v>3924</v>
      </c>
      <c r="I134" s="222">
        <f t="shared" ca="1" si="6"/>
        <v>11042188.344969518</v>
      </c>
      <c r="J134" s="36">
        <f t="shared" ref="J134" ca="1" si="9">I134-B134</f>
        <v>-12594.655030481517</v>
      </c>
      <c r="K134" s="5">
        <f t="shared" ref="K134" ca="1" si="10">J134/B134</f>
        <v>-1.1392946411052588E-3</v>
      </c>
    </row>
    <row r="135" spans="1:11" x14ac:dyDescent="0.2">
      <c r="A135" s="3">
        <v>41640</v>
      </c>
      <c r="B135" s="6">
        <v>12354311</v>
      </c>
      <c r="C135" s="217">
        <f>+'Purchased Power Model '!C135</f>
        <v>771.3</v>
      </c>
      <c r="D135" s="217">
        <f>+'Purchased Power Model '!D135</f>
        <v>0</v>
      </c>
      <c r="E135" s="126">
        <f>+'Purchased Power Model '!E135</f>
        <v>7.0999869999999993E-2</v>
      </c>
      <c r="F135" s="57">
        <f>+'Purchased Power Model '!F135</f>
        <v>31</v>
      </c>
      <c r="G135" s="57">
        <f>+'Purchased Power Model '!G135</f>
        <v>0</v>
      </c>
      <c r="H135" s="220">
        <v>3922</v>
      </c>
      <c r="I135" s="222">
        <f t="shared" si="6"/>
        <v>11655570.18191646</v>
      </c>
      <c r="J135" s="36"/>
      <c r="K135" s="5"/>
    </row>
    <row r="136" spans="1:11" x14ac:dyDescent="0.2">
      <c r="A136" s="3">
        <v>41671</v>
      </c>
      <c r="B136" s="6">
        <v>13443741</v>
      </c>
      <c r="C136" s="217">
        <f>+'Purchased Power Model '!C136</f>
        <v>690.84999999999991</v>
      </c>
      <c r="D136" s="217">
        <f>+'Purchased Power Model '!D136</f>
        <v>0</v>
      </c>
      <c r="E136" s="126">
        <f>+'Purchased Power Model '!E136</f>
        <v>7.0999869999999993E-2</v>
      </c>
      <c r="F136" s="57">
        <f>+'Purchased Power Model '!F136</f>
        <v>28</v>
      </c>
      <c r="G136" s="57">
        <f>+'Purchased Power Model '!G136</f>
        <v>0</v>
      </c>
      <c r="H136" s="220">
        <v>3917</v>
      </c>
      <c r="I136" s="222">
        <f t="shared" si="6"/>
        <v>12384515.301249629</v>
      </c>
      <c r="J136" s="36"/>
      <c r="K136" s="5"/>
    </row>
    <row r="137" spans="1:11" x14ac:dyDescent="0.2">
      <c r="A137" s="3">
        <v>41699</v>
      </c>
      <c r="B137" s="6">
        <v>11985513</v>
      </c>
      <c r="C137" s="217">
        <f>+'Purchased Power Model '!C137</f>
        <v>677.95</v>
      </c>
      <c r="D137" s="217">
        <f>+'Purchased Power Model '!D137</f>
        <v>0</v>
      </c>
      <c r="E137" s="126">
        <f>+'Purchased Power Model '!E137</f>
        <v>7.0999869999999993E-2</v>
      </c>
      <c r="F137" s="57">
        <f>+'Purchased Power Model '!F137</f>
        <v>31</v>
      </c>
      <c r="G137" s="57">
        <f>+'Purchased Power Model '!G137</f>
        <v>1</v>
      </c>
      <c r="H137" s="220">
        <v>3919</v>
      </c>
      <c r="I137" s="222">
        <f t="shared" si="6"/>
        <v>11547123.070893584</v>
      </c>
      <c r="J137" s="36"/>
      <c r="K137" s="5"/>
    </row>
    <row r="138" spans="1:11" x14ac:dyDescent="0.2">
      <c r="A138" s="3">
        <v>41730</v>
      </c>
      <c r="B138" s="6">
        <v>12615272</v>
      </c>
      <c r="C138" s="217">
        <f>+'Purchased Power Model '!C138</f>
        <v>371.2999999999999</v>
      </c>
      <c r="D138" s="217">
        <f>+'Purchased Power Model '!D138</f>
        <v>0</v>
      </c>
      <c r="E138" s="126">
        <f>+'Purchased Power Model '!E138</f>
        <v>7.2000069999999999E-2</v>
      </c>
      <c r="F138" s="57">
        <f>+'Purchased Power Model '!F138</f>
        <v>30</v>
      </c>
      <c r="G138" s="57">
        <f>+'Purchased Power Model '!G138</f>
        <v>1</v>
      </c>
      <c r="H138" s="220">
        <v>3921</v>
      </c>
      <c r="I138" s="222">
        <f t="shared" si="6"/>
        <v>11213239.43519306</v>
      </c>
      <c r="J138" s="36"/>
      <c r="K138" s="5"/>
    </row>
    <row r="139" spans="1:11" x14ac:dyDescent="0.2">
      <c r="A139" s="3">
        <v>41760</v>
      </c>
      <c r="B139" s="6">
        <v>10327397</v>
      </c>
      <c r="C139" s="217">
        <f>+'Purchased Power Model '!C139</f>
        <v>160.49999999999994</v>
      </c>
      <c r="D139" s="217">
        <f>+'Purchased Power Model '!D139</f>
        <v>1.3</v>
      </c>
      <c r="E139" s="126">
        <f>+'Purchased Power Model '!E139</f>
        <v>7.2000069999999999E-2</v>
      </c>
      <c r="F139" s="57">
        <f>+'Purchased Power Model '!F139</f>
        <v>31</v>
      </c>
      <c r="G139" s="57">
        <f>+'Purchased Power Model '!G139</f>
        <v>1</v>
      </c>
      <c r="H139" s="220">
        <v>3927</v>
      </c>
      <c r="I139" s="222">
        <f t="shared" si="6"/>
        <v>10491032.141480299</v>
      </c>
      <c r="J139" s="36"/>
      <c r="K139" s="5"/>
    </row>
    <row r="140" spans="1:11" x14ac:dyDescent="0.2">
      <c r="A140" s="3">
        <v>41791</v>
      </c>
      <c r="B140" s="6">
        <v>10160622</v>
      </c>
      <c r="C140" s="217">
        <f>+'Purchased Power Model '!C140</f>
        <v>26.9</v>
      </c>
      <c r="D140" s="217">
        <f>+'Purchased Power Model '!D140</f>
        <v>40.1</v>
      </c>
      <c r="E140" s="126">
        <f>+'Purchased Power Model '!E140</f>
        <v>7.2000069999999999E-2</v>
      </c>
      <c r="F140" s="57">
        <f>+'Purchased Power Model '!F140</f>
        <v>30</v>
      </c>
      <c r="G140" s="57">
        <f>+'Purchased Power Model '!G140</f>
        <v>0</v>
      </c>
      <c r="H140" s="220">
        <v>3933</v>
      </c>
      <c r="I140" s="222">
        <f t="shared" si="6"/>
        <v>10723205.176048048</v>
      </c>
      <c r="J140" s="36"/>
      <c r="K140" s="5"/>
    </row>
    <row r="141" spans="1:11" x14ac:dyDescent="0.2">
      <c r="A141" s="3">
        <v>41821</v>
      </c>
      <c r="B141" s="6">
        <v>10305554</v>
      </c>
      <c r="C141" s="217">
        <f>+'Purchased Power Model '!C141</f>
        <v>9.5999999999999979</v>
      </c>
      <c r="D141" s="217">
        <f>+'Purchased Power Model '!D141</f>
        <v>54.599999999999994</v>
      </c>
      <c r="E141" s="126">
        <f>+'Purchased Power Model '!E141</f>
        <v>7.6999829999999991E-2</v>
      </c>
      <c r="F141" s="57">
        <f>+'Purchased Power Model '!F141</f>
        <v>31</v>
      </c>
      <c r="G141" s="57">
        <f>+'Purchased Power Model '!G141</f>
        <v>0</v>
      </c>
      <c r="H141" s="220">
        <v>3934</v>
      </c>
      <c r="I141" s="222">
        <f t="shared" si="6"/>
        <v>10494036.877203885</v>
      </c>
      <c r="J141" s="36"/>
      <c r="K141" s="5"/>
    </row>
    <row r="142" spans="1:11" x14ac:dyDescent="0.2">
      <c r="A142" s="3">
        <v>41852</v>
      </c>
      <c r="B142" s="6">
        <v>10932603</v>
      </c>
      <c r="C142" s="217">
        <f>+'Purchased Power Model '!C142</f>
        <v>12.7</v>
      </c>
      <c r="D142" s="217">
        <f>+'Purchased Power Model '!D142</f>
        <v>58</v>
      </c>
      <c r="E142" s="126">
        <f>+'Purchased Power Model '!E142</f>
        <v>7.6999829999999991E-2</v>
      </c>
      <c r="F142" s="57">
        <f>+'Purchased Power Model '!F142</f>
        <v>31</v>
      </c>
      <c r="G142" s="57">
        <f>+'Purchased Power Model '!G142</f>
        <v>0</v>
      </c>
      <c r="H142" s="220">
        <v>3945</v>
      </c>
      <c r="I142" s="222">
        <f t="shared" si="6"/>
        <v>10526059.830306347</v>
      </c>
      <c r="J142" s="36"/>
      <c r="K142" s="5"/>
    </row>
    <row r="143" spans="1:11" x14ac:dyDescent="0.2">
      <c r="A143" s="3">
        <v>41883</v>
      </c>
      <c r="B143" s="6">
        <v>10524907</v>
      </c>
      <c r="C143" s="217">
        <f>+'Purchased Power Model '!C143</f>
        <v>77.400000000000006</v>
      </c>
      <c r="D143" s="217">
        <f>+'Purchased Power Model '!D143</f>
        <v>22.5</v>
      </c>
      <c r="E143" s="126">
        <f>+'Purchased Power Model '!E143</f>
        <v>7.6999829999999991E-2</v>
      </c>
      <c r="F143" s="57">
        <f>+'Purchased Power Model '!F143</f>
        <v>30</v>
      </c>
      <c r="G143" s="57">
        <f>+'Purchased Power Model '!G143</f>
        <v>1</v>
      </c>
      <c r="H143" s="220">
        <v>3952</v>
      </c>
      <c r="I143" s="222">
        <f t="shared" si="6"/>
        <v>10773319.186385045</v>
      </c>
      <c r="J143" s="36"/>
      <c r="K143" s="5"/>
    </row>
    <row r="144" spans="1:11" x14ac:dyDescent="0.2">
      <c r="A144" s="3">
        <v>41913</v>
      </c>
      <c r="B144" s="6">
        <v>10042926</v>
      </c>
      <c r="C144" s="217">
        <f>+'Purchased Power Model '!C144</f>
        <v>216.29999999999998</v>
      </c>
      <c r="D144" s="217">
        <f>+'Purchased Power Model '!D144</f>
        <v>0.5</v>
      </c>
      <c r="E144" s="126">
        <f>+'Purchased Power Model '!E144</f>
        <v>7.3406150000000003E-2</v>
      </c>
      <c r="F144" s="57">
        <f>+'Purchased Power Model '!F144</f>
        <v>31</v>
      </c>
      <c r="G144" s="57">
        <f>+'Purchased Power Model '!G144</f>
        <v>1</v>
      </c>
      <c r="H144" s="220">
        <v>3960</v>
      </c>
      <c r="I144" s="222">
        <f t="shared" si="6"/>
        <v>10598502.243918205</v>
      </c>
      <c r="J144" s="36"/>
      <c r="K144" s="5"/>
    </row>
    <row r="145" spans="1:11" x14ac:dyDescent="0.2">
      <c r="A145" s="3">
        <v>41944</v>
      </c>
      <c r="B145" s="6">
        <v>9975710</v>
      </c>
      <c r="C145" s="217">
        <f>+'Purchased Power Model '!C145</f>
        <v>407.30000000000013</v>
      </c>
      <c r="D145" s="217">
        <f>+'Purchased Power Model '!D145</f>
        <v>0</v>
      </c>
      <c r="E145" s="126">
        <f>+'Purchased Power Model '!E145</f>
        <v>7.3406150000000003E-2</v>
      </c>
      <c r="F145" s="57">
        <f>+'Purchased Power Model '!F145</f>
        <v>30</v>
      </c>
      <c r="G145" s="57">
        <f>+'Purchased Power Model '!G145</f>
        <v>1</v>
      </c>
      <c r="H145" s="220">
        <v>3973</v>
      </c>
      <c r="I145" s="222">
        <f t="shared" si="6"/>
        <v>11285993.51207968</v>
      </c>
      <c r="J145" s="36"/>
      <c r="K145" s="5"/>
    </row>
    <row r="146" spans="1:11" x14ac:dyDescent="0.2">
      <c r="A146" s="3">
        <v>41974</v>
      </c>
      <c r="B146" s="6">
        <v>11060526</v>
      </c>
      <c r="C146" s="217">
        <f>+'Purchased Power Model '!C146</f>
        <v>551.79999999999995</v>
      </c>
      <c r="D146" s="217">
        <f>+'Purchased Power Model '!D146</f>
        <v>0</v>
      </c>
      <c r="E146" s="126">
        <f>+'Purchased Power Model '!E146</f>
        <v>7.3406150000000003E-2</v>
      </c>
      <c r="F146" s="57">
        <f>+'Purchased Power Model '!F146</f>
        <v>31</v>
      </c>
      <c r="G146" s="57">
        <f>+'Purchased Power Model '!G146</f>
        <v>0</v>
      </c>
      <c r="H146" s="220">
        <v>3981</v>
      </c>
      <c r="I146" s="222">
        <f t="shared" si="6"/>
        <v>11201538.467770927</v>
      </c>
      <c r="J146" s="36"/>
      <c r="K146" s="5"/>
    </row>
    <row r="147" spans="1:11" x14ac:dyDescent="0.2">
      <c r="A147" s="3">
        <v>42005</v>
      </c>
      <c r="C147" s="217">
        <f>+'Purchased Power Model '!C147</f>
        <v>665.29813270224599</v>
      </c>
      <c r="D147" s="217">
        <f ca="1">+'Purchased Power Model '!D147</f>
        <v>0</v>
      </c>
      <c r="E147" s="126">
        <f>+'Purchased Power Model '!E147</f>
        <v>7.3406150000000003E-2</v>
      </c>
      <c r="F147" s="57">
        <f>+'Purchased Power Model '!F147</f>
        <v>31</v>
      </c>
      <c r="G147" s="57">
        <f>+'Purchased Power Model '!G147</f>
        <v>0</v>
      </c>
      <c r="H147" s="220"/>
      <c r="I147" s="222">
        <f t="shared" ca="1" si="6"/>
        <v>11435124.859737966</v>
      </c>
      <c r="J147" s="36"/>
      <c r="K147" s="5"/>
    </row>
    <row r="148" spans="1:11" x14ac:dyDescent="0.2">
      <c r="A148" s="3">
        <v>42036</v>
      </c>
      <c r="C148" s="217">
        <f>+'Purchased Power Model '!C148</f>
        <v>595.90459610702271</v>
      </c>
      <c r="D148" s="217">
        <f ca="1">+'Purchased Power Model '!D148</f>
        <v>0</v>
      </c>
      <c r="E148" s="126">
        <f>+'Purchased Power Model '!E148</f>
        <v>7.3406150000000003E-2</v>
      </c>
      <c r="F148" s="57">
        <f>+'Purchased Power Model '!F148</f>
        <v>28</v>
      </c>
      <c r="G148" s="57">
        <f>+'Purchased Power Model '!G148</f>
        <v>0</v>
      </c>
      <c r="H148" s="220"/>
      <c r="I148" s="222">
        <f t="shared" ca="1" si="6"/>
        <v>12186824.885545349</v>
      </c>
      <c r="J148" s="36"/>
      <c r="K148" s="5"/>
    </row>
    <row r="149" spans="1:11" x14ac:dyDescent="0.2">
      <c r="A149" s="3">
        <v>42064</v>
      </c>
      <c r="C149" s="217">
        <f>+'Purchased Power Model '!C149</f>
        <v>584.77747836832327</v>
      </c>
      <c r="D149" s="217">
        <f ca="1">+'Purchased Power Model '!D149</f>
        <v>0</v>
      </c>
      <c r="E149" s="126">
        <f>+'Purchased Power Model '!E149</f>
        <v>7.3406150000000003E-2</v>
      </c>
      <c r="F149" s="57">
        <f>+'Purchased Power Model '!F149</f>
        <v>31</v>
      </c>
      <c r="G149" s="57">
        <f>+'Purchased Power Model '!G149</f>
        <v>1</v>
      </c>
      <c r="H149" s="220"/>
      <c r="I149" s="222">
        <f t="shared" ca="1" si="6"/>
        <v>11353081.359894304</v>
      </c>
      <c r="J149" s="36"/>
      <c r="K149" s="5"/>
    </row>
    <row r="150" spans="1:11" x14ac:dyDescent="0.2">
      <c r="A150" s="3">
        <v>42095</v>
      </c>
      <c r="C150" s="217">
        <f>+'Purchased Power Model '!C150</f>
        <v>320.27122607590286</v>
      </c>
      <c r="D150" s="217">
        <f ca="1">+'Purchased Power Model '!D150</f>
        <v>0</v>
      </c>
      <c r="E150" s="126">
        <f>+'Purchased Power Model '!E150</f>
        <v>7.3406150000000003E-2</v>
      </c>
      <c r="F150" s="57">
        <f>+'Purchased Power Model '!F150</f>
        <v>30</v>
      </c>
      <c r="G150" s="57">
        <f>+'Purchased Power Model '!G150</f>
        <v>1</v>
      </c>
      <c r="H150" s="220"/>
      <c r="I150" s="222">
        <f t="shared" ca="1" si="6"/>
        <v>11106882.747750403</v>
      </c>
      <c r="J150" s="36"/>
      <c r="K150" s="5"/>
    </row>
    <row r="151" spans="1:11" x14ac:dyDescent="0.2">
      <c r="A151" s="3">
        <v>42125</v>
      </c>
      <c r="C151" s="217">
        <f>+'Purchased Power Model '!C151</f>
        <v>138.4420462838201</v>
      </c>
      <c r="D151" s="217">
        <f ca="1">+'Purchased Power Model '!D151</f>
        <v>1.8457952405410045</v>
      </c>
      <c r="E151" s="126">
        <f>+'Purchased Power Model '!E151</f>
        <v>7.3406150000000003E-2</v>
      </c>
      <c r="F151" s="57">
        <f>+'Purchased Power Model '!F151</f>
        <v>31</v>
      </c>
      <c r="G151" s="57">
        <f>+'Purchased Power Model '!G151</f>
        <v>1</v>
      </c>
      <c r="H151" s="220"/>
      <c r="I151" s="222">
        <f t="shared" ca="1" si="6"/>
        <v>10448415.661417382</v>
      </c>
      <c r="J151" s="36"/>
      <c r="K151" s="5"/>
    </row>
    <row r="152" spans="1:11" x14ac:dyDescent="0.2">
      <c r="A152" s="3">
        <v>42156</v>
      </c>
      <c r="C152" s="217">
        <f>+'Purchased Power Model '!C152</f>
        <v>23.203059470621568</v>
      </c>
      <c r="D152" s="217">
        <f ca="1">+'Purchased Power Model '!D152</f>
        <v>56.93568395822637</v>
      </c>
      <c r="E152" s="126">
        <f>+'Purchased Power Model '!E152</f>
        <v>7.3406150000000003E-2</v>
      </c>
      <c r="F152" s="57">
        <f>+'Purchased Power Model '!F152</f>
        <v>30</v>
      </c>
      <c r="G152" s="57">
        <f>+'Purchased Power Model '!G152</f>
        <v>0</v>
      </c>
      <c r="H152" s="220"/>
      <c r="I152" s="222">
        <f t="shared" ca="1" si="6"/>
        <v>10841235.917242005</v>
      </c>
      <c r="J152" s="36"/>
      <c r="K152" s="5"/>
    </row>
    <row r="153" spans="1:11" x14ac:dyDescent="0.2">
      <c r="A153" s="3">
        <v>42186</v>
      </c>
      <c r="C153" s="217">
        <f>+'Purchased Power Model '!C153</f>
        <v>8.2806457590322324</v>
      </c>
      <c r="D153" s="217">
        <f ca="1">+'Purchased Power Model '!D153</f>
        <v>77.523400102722178</v>
      </c>
      <c r="E153" s="126">
        <f>+'Purchased Power Model '!E153</f>
        <v>7.3406150000000003E-2</v>
      </c>
      <c r="F153" s="57">
        <f>+'Purchased Power Model '!F153</f>
        <v>31</v>
      </c>
      <c r="G153" s="57">
        <f>+'Purchased Power Model '!G153</f>
        <v>0</v>
      </c>
      <c r="H153" s="220"/>
      <c r="I153" s="222">
        <f t="shared" ca="1" si="6"/>
        <v>10667626.019464623</v>
      </c>
      <c r="J153" s="36"/>
      <c r="K153" s="5"/>
    </row>
    <row r="154" spans="1:11" x14ac:dyDescent="0.2">
      <c r="A154" s="3">
        <v>42217</v>
      </c>
      <c r="C154" s="217">
        <f>+'Purchased Power Model '!C154</f>
        <v>10.954604285386392</v>
      </c>
      <c r="D154" s="217">
        <f ca="1">+'Purchased Power Model '!D154</f>
        <v>82.350864577983273</v>
      </c>
      <c r="E154" s="126">
        <f>+'Purchased Power Model '!E154</f>
        <v>7.3406150000000003E-2</v>
      </c>
      <c r="F154" s="57">
        <f>+'Purchased Power Model '!F154</f>
        <v>31</v>
      </c>
      <c r="G154" s="57">
        <f>+'Purchased Power Model '!G154</f>
        <v>0</v>
      </c>
      <c r="H154" s="220"/>
      <c r="I154" s="222">
        <f t="shared" ca="1" si="6"/>
        <v>10709538.154412385</v>
      </c>
      <c r="J154" s="36"/>
      <c r="K154" s="5"/>
    </row>
    <row r="155" spans="1:11" x14ac:dyDescent="0.2">
      <c r="A155" s="3">
        <v>42248</v>
      </c>
      <c r="C155" s="217">
        <f>+'Purchased Power Model '!C155</f>
        <v>66.76270643219739</v>
      </c>
      <c r="D155" s="217">
        <f ca="1">+'Purchased Power Model '!D155</f>
        <v>31.946456086286616</v>
      </c>
      <c r="E155" s="126">
        <f>+'Purchased Power Model '!E155</f>
        <v>7.3406150000000003E-2</v>
      </c>
      <c r="F155" s="57">
        <f>+'Purchased Power Model '!F155</f>
        <v>30</v>
      </c>
      <c r="G155" s="57">
        <f>+'Purchased Power Model '!G155</f>
        <v>1</v>
      </c>
      <c r="H155" s="220"/>
      <c r="I155" s="222">
        <f t="shared" ca="1" si="6"/>
        <v>10826087.687421171</v>
      </c>
      <c r="J155" s="36"/>
      <c r="K155" s="5"/>
    </row>
    <row r="156" spans="1:11" x14ac:dyDescent="0.2">
      <c r="A156" s="3">
        <v>42278</v>
      </c>
      <c r="C156" s="217">
        <f>+'Purchased Power Model '!C156</f>
        <v>186.57329975819502</v>
      </c>
      <c r="D156" s="217">
        <f ca="1">+'Purchased Power Model '!D156</f>
        <v>0.70992124636192477</v>
      </c>
      <c r="E156" s="126">
        <f>+'Purchased Power Model '!E156</f>
        <v>7.3406150000000003E-2</v>
      </c>
      <c r="F156" s="57">
        <f>+'Purchased Power Model '!F156</f>
        <v>31</v>
      </c>
      <c r="G156" s="57">
        <f>+'Purchased Power Model '!G156</f>
        <v>1</v>
      </c>
      <c r="H156" s="220"/>
      <c r="I156" s="222">
        <f t="shared" ca="1" si="6"/>
        <v>10538906.03555165</v>
      </c>
      <c r="J156" s="36"/>
      <c r="K156" s="5"/>
    </row>
    <row r="157" spans="1:11" x14ac:dyDescent="0.2">
      <c r="A157" s="3">
        <v>42309</v>
      </c>
      <c r="C157" s="217">
        <f>+'Purchased Power Model '!C157</f>
        <v>351.32364767227392</v>
      </c>
      <c r="D157" s="217">
        <f ca="1">+'Purchased Power Model '!D157</f>
        <v>0</v>
      </c>
      <c r="E157" s="126">
        <f>+'Purchased Power Model '!E157</f>
        <v>7.3406150000000003E-2</v>
      </c>
      <c r="F157" s="57">
        <f>+'Purchased Power Model '!F157</f>
        <v>30</v>
      </c>
      <c r="G157" s="57">
        <f>+'Purchased Power Model '!G157</f>
        <v>1</v>
      </c>
      <c r="H157" s="220"/>
      <c r="I157" s="222">
        <f t="shared" ca="1" si="6"/>
        <v>11170790.610812472</v>
      </c>
      <c r="J157" s="36"/>
      <c r="K157" s="5"/>
    </row>
    <row r="158" spans="1:11" x14ac:dyDescent="0.2">
      <c r="A158" s="3">
        <v>42339</v>
      </c>
      <c r="C158" s="217">
        <f>+'Purchased Power Model '!C158</f>
        <v>475.96461769104019</v>
      </c>
      <c r="D158" s="217">
        <f ca="1">+'Purchased Power Model '!D158</f>
        <v>0</v>
      </c>
      <c r="E158" s="126">
        <f>+'Purchased Power Model '!E158</f>
        <v>7.3406150000000003E-2</v>
      </c>
      <c r="F158" s="57">
        <f>+'Purchased Power Model '!F158</f>
        <v>31</v>
      </c>
      <c r="G158" s="57">
        <f>+'Purchased Power Model '!G158</f>
        <v>0</v>
      </c>
      <c r="H158" s="220"/>
      <c r="I158" s="222">
        <f t="shared" ca="1" si="6"/>
        <v>11045464.416901182</v>
      </c>
      <c r="J158" s="36"/>
      <c r="K158" s="5"/>
    </row>
    <row r="159" spans="1:11" x14ac:dyDescent="0.2">
      <c r="A159" s="3">
        <v>42370</v>
      </c>
      <c r="C159" s="217">
        <f>+'Purchased Power Model '!C159</f>
        <v>663.68561281945165</v>
      </c>
      <c r="D159" s="217">
        <f ca="1">+'Purchased Power Model '!D159</f>
        <v>0</v>
      </c>
      <c r="E159" s="126">
        <f>+'Purchased Power Model '!E159</f>
        <v>7.3406150000000003E-2</v>
      </c>
      <c r="F159" s="57">
        <f>+'Purchased Power Model '!F159</f>
        <v>31</v>
      </c>
      <c r="G159" s="57">
        <f>+'Purchased Power Model '!G159</f>
        <v>0</v>
      </c>
      <c r="H159" s="220"/>
      <c r="I159" s="222">
        <f t="shared" ca="1" si="6"/>
        <v>11431806.19103013</v>
      </c>
      <c r="J159" s="36"/>
      <c r="K159" s="5"/>
    </row>
    <row r="160" spans="1:11" x14ac:dyDescent="0.2">
      <c r="A160" s="3">
        <v>42401</v>
      </c>
      <c r="C160" s="217">
        <f>+'Purchased Power Model '!C160</f>
        <v>594.4602691771272</v>
      </c>
      <c r="D160" s="217">
        <f ca="1">+'Purchased Power Model '!D160</f>
        <v>0</v>
      </c>
      <c r="E160" s="126">
        <f>+'Purchased Power Model '!E160</f>
        <v>7.3406150000000003E-2</v>
      </c>
      <c r="F160" s="57">
        <f>+'Purchased Power Model '!F160</f>
        <v>29</v>
      </c>
      <c r="G160" s="57">
        <f>+'Purchased Power Model '!G160</f>
        <v>0</v>
      </c>
      <c r="H160" s="220"/>
      <c r="I160" s="222">
        <f t="shared" ca="1" si="6"/>
        <v>11885680.252800288</v>
      </c>
      <c r="J160" s="36"/>
      <c r="K160" s="5"/>
    </row>
    <row r="161" spans="1:11" x14ac:dyDescent="0.2">
      <c r="A161" s="3">
        <v>42430</v>
      </c>
      <c r="C161" s="217">
        <f>+'Purchased Power Model '!C161</f>
        <v>583.36012084914728</v>
      </c>
      <c r="D161" s="217">
        <f ca="1">+'Purchased Power Model '!D161</f>
        <v>0</v>
      </c>
      <c r="E161" s="126">
        <f>+'Purchased Power Model '!E161</f>
        <v>7.3406150000000003E-2</v>
      </c>
      <c r="F161" s="57">
        <f>+'Purchased Power Model '!F161</f>
        <v>31</v>
      </c>
      <c r="G161" s="57">
        <f>+'Purchased Power Model '!G161</f>
        <v>1</v>
      </c>
      <c r="H161" s="220"/>
      <c r="I161" s="222">
        <f t="shared" ca="1" si="6"/>
        <v>11350164.347771293</v>
      </c>
      <c r="J161" s="36"/>
      <c r="K161" s="5"/>
    </row>
    <row r="162" spans="1:11" x14ac:dyDescent="0.2">
      <c r="A162" s="3">
        <v>42461</v>
      </c>
      <c r="C162" s="217">
        <f>+'Purchased Power Model '!C162</f>
        <v>319.49496699061632</v>
      </c>
      <c r="D162" s="217">
        <f ca="1">+'Purchased Power Model '!D162</f>
        <v>0</v>
      </c>
      <c r="E162" s="126">
        <f>+'Purchased Power Model '!E162</f>
        <v>7.3406150000000003E-2</v>
      </c>
      <c r="F162" s="57">
        <f>+'Purchased Power Model '!F162</f>
        <v>30</v>
      </c>
      <c r="G162" s="57">
        <f>+'Purchased Power Model '!G162</f>
        <v>1</v>
      </c>
      <c r="H162" s="220"/>
      <c r="I162" s="222">
        <f t="shared" ca="1" si="6"/>
        <v>11105285.157070743</v>
      </c>
      <c r="J162" s="36"/>
      <c r="K162" s="5"/>
    </row>
    <row r="163" spans="1:11" x14ac:dyDescent="0.2">
      <c r="A163" s="3">
        <v>42491</v>
      </c>
      <c r="C163" s="217">
        <f>+'Purchased Power Model '!C163</f>
        <v>138.10649663882012</v>
      </c>
      <c r="D163" s="217">
        <f ca="1">+'Purchased Power Model '!D163</f>
        <v>1.8640104434172213</v>
      </c>
      <c r="E163" s="126">
        <f>+'Purchased Power Model '!E163</f>
        <v>7.3406150000000003E-2</v>
      </c>
      <c r="F163" s="57">
        <f>+'Purchased Power Model '!F163</f>
        <v>31</v>
      </c>
      <c r="G163" s="57">
        <f>+'Purchased Power Model '!G163</f>
        <v>1</v>
      </c>
      <c r="H163" s="220"/>
      <c r="I163" s="222">
        <f t="shared" ca="1" si="6"/>
        <v>10447862.458751718</v>
      </c>
      <c r="J163" s="36"/>
      <c r="K163" s="5"/>
    </row>
    <row r="164" spans="1:11" x14ac:dyDescent="0.2">
      <c r="A164" s="3">
        <v>42522</v>
      </c>
      <c r="C164" s="217">
        <f>+'Purchased Power Model '!C164</f>
        <v>23.146820931989172</v>
      </c>
      <c r="D164" s="217">
        <f ca="1">+'Purchased Power Model '!D164</f>
        <v>57.497552908485055</v>
      </c>
      <c r="E164" s="126">
        <f>+'Purchased Power Model '!E164</f>
        <v>7.3406150000000003E-2</v>
      </c>
      <c r="F164" s="57">
        <f>+'Purchased Power Model '!F164</f>
        <v>30</v>
      </c>
      <c r="G164" s="57">
        <f>+'Purchased Power Model '!G164</f>
        <v>0</v>
      </c>
      <c r="H164" s="220"/>
      <c r="I164" s="222">
        <f t="shared" ca="1" si="6"/>
        <v>10845357.81606387</v>
      </c>
      <c r="J164" s="36"/>
      <c r="K164" s="5"/>
    </row>
    <row r="165" spans="1:11" x14ac:dyDescent="0.2">
      <c r="A165" s="3">
        <v>42552</v>
      </c>
      <c r="C165" s="217">
        <f>+'Purchased Power Model '!C165</f>
        <v>8.2605754998920471</v>
      </c>
      <c r="D165" s="217">
        <f ca="1">+'Purchased Power Model '!D165</f>
        <v>78.288438623523277</v>
      </c>
      <c r="E165" s="126">
        <f>+'Purchased Power Model '!E165</f>
        <v>7.3406150000000003E-2</v>
      </c>
      <c r="F165" s="57">
        <f>+'Purchased Power Model '!F165</f>
        <v>31</v>
      </c>
      <c r="G165" s="57">
        <f>+'Purchased Power Model '!G165</f>
        <v>0</v>
      </c>
      <c r="H165" s="220"/>
      <c r="I165" s="222">
        <f t="shared" ca="1" si="6"/>
        <v>10673354.669103954</v>
      </c>
      <c r="J165" s="36"/>
      <c r="K165" s="5"/>
    </row>
    <row r="166" spans="1:11" x14ac:dyDescent="0.2">
      <c r="A166" s="3">
        <v>42583</v>
      </c>
      <c r="C166" s="217">
        <f>+'Purchased Power Model '!C166</f>
        <v>10.92805300506552</v>
      </c>
      <c r="D166" s="217">
        <f ca="1">+'Purchased Power Model '!D166</f>
        <v>83.163542860152944</v>
      </c>
      <c r="E166" s="126">
        <f>+'Purchased Power Model '!E166</f>
        <v>7.3406150000000003E-2</v>
      </c>
      <c r="F166" s="57">
        <f>+'Purchased Power Model '!F166</f>
        <v>31</v>
      </c>
      <c r="G166" s="57">
        <f>+'Purchased Power Model '!G166</f>
        <v>0</v>
      </c>
      <c r="H166" s="220"/>
      <c r="I166" s="222">
        <f t="shared" ca="1" si="6"/>
        <v>10715612.766955987</v>
      </c>
      <c r="J166" s="36"/>
      <c r="K166" s="5"/>
    </row>
    <row r="167" spans="1:11" x14ac:dyDescent="0.2">
      <c r="A167" s="3">
        <v>42614</v>
      </c>
      <c r="C167" s="217">
        <f>+'Purchased Power Model '!C167</f>
        <v>66.600889967879638</v>
      </c>
      <c r="D167" s="217">
        <f ca="1">+'Purchased Power Model '!D167</f>
        <v>32.261719212990371</v>
      </c>
      <c r="E167" s="126">
        <f>+'Purchased Power Model '!E167</f>
        <v>7.3406150000000003E-2</v>
      </c>
      <c r="F167" s="57">
        <f>+'Purchased Power Model '!F167</f>
        <v>30</v>
      </c>
      <c r="G167" s="57">
        <f>+'Purchased Power Model '!G167</f>
        <v>1</v>
      </c>
      <c r="H167" s="220"/>
      <c r="I167" s="222">
        <f t="shared" ca="1" si="6"/>
        <v>10828132.387742499</v>
      </c>
      <c r="J167" s="36"/>
      <c r="K167" s="5"/>
    </row>
    <row r="168" spans="1:11" x14ac:dyDescent="0.2">
      <c r="A168" s="3">
        <v>42644</v>
      </c>
      <c r="C168" s="217">
        <f>+'Purchased Power Model '!C168</f>
        <v>186.1210917319427</v>
      </c>
      <c r="D168" s="217">
        <f ca="1">+'Purchased Power Model '!D168</f>
        <v>0.71692709362200813</v>
      </c>
      <c r="E168" s="126">
        <f>+'Purchased Power Model '!E168</f>
        <v>7.3406150000000003E-2</v>
      </c>
      <c r="F168" s="57">
        <f>+'Purchased Power Model '!F168</f>
        <v>31</v>
      </c>
      <c r="G168" s="57">
        <f>+'Purchased Power Model '!G168</f>
        <v>1</v>
      </c>
      <c r="H168" s="220"/>
      <c r="I168" s="222">
        <f t="shared" ca="1" si="6"/>
        <v>10538028.201028349</v>
      </c>
      <c r="J168" s="36"/>
      <c r="K168" s="5"/>
    </row>
    <row r="169" spans="1:11" x14ac:dyDescent="0.2">
      <c r="A169" s="3">
        <v>42675</v>
      </c>
      <c r="C169" s="217">
        <f>+'Purchased Power Model '!C169</f>
        <v>350.47212511521167</v>
      </c>
      <c r="D169" s="217">
        <f ca="1">+'Purchased Power Model '!D169</f>
        <v>0</v>
      </c>
      <c r="E169" s="126">
        <f>+'Purchased Power Model '!E169</f>
        <v>7.3406150000000003E-2</v>
      </c>
      <c r="F169" s="57">
        <f>+'Purchased Power Model '!F169</f>
        <v>30</v>
      </c>
      <c r="G169" s="57">
        <f>+'Purchased Power Model '!G169</f>
        <v>1</v>
      </c>
      <c r="H169" s="220"/>
      <c r="I169" s="222">
        <f t="shared" ca="1" si="6"/>
        <v>11169038.123110278</v>
      </c>
      <c r="J169" s="36"/>
      <c r="K169" s="5"/>
    </row>
    <row r="170" spans="1:11" x14ac:dyDescent="0.2">
      <c r="A170" s="3">
        <v>42705</v>
      </c>
      <c r="C170" s="217">
        <f>+'Purchased Power Model '!C170</f>
        <v>474.81099592087827</v>
      </c>
      <c r="D170" s="217">
        <f ca="1">+'Purchased Power Model '!D170</f>
        <v>0</v>
      </c>
      <c r="E170" s="126">
        <f>+'Purchased Power Model '!E170</f>
        <v>7.3406150000000003E-2</v>
      </c>
      <c r="F170" s="57">
        <f>+'Purchased Power Model '!F170</f>
        <v>31</v>
      </c>
      <c r="G170" s="57">
        <f>+'Purchased Power Model '!G170</f>
        <v>0</v>
      </c>
      <c r="H170" s="220"/>
      <c r="I170" s="222">
        <f t="shared" ca="1" si="6"/>
        <v>11043090.189761311</v>
      </c>
      <c r="J170" s="36"/>
      <c r="K170" s="5"/>
    </row>
    <row r="171" spans="1:11" x14ac:dyDescent="0.2">
      <c r="A171" s="3">
        <v>42736</v>
      </c>
      <c r="C171" s="217">
        <f>+'Purchased Power Model '!C171</f>
        <v>662.07309293665651</v>
      </c>
      <c r="D171" s="217">
        <f ca="1">+'Purchased Power Model '!D171</f>
        <v>0</v>
      </c>
      <c r="E171" s="126">
        <f>+'Purchased Power Model '!E171</f>
        <v>7.3406150000000003E-2</v>
      </c>
      <c r="F171" s="57">
        <f>+'Purchased Power Model '!F171</f>
        <v>31</v>
      </c>
      <c r="G171" s="57">
        <f>+'Purchased Power Model '!G171</f>
        <v>0</v>
      </c>
      <c r="H171" s="220"/>
      <c r="I171" s="222">
        <f t="shared" ca="1" si="6"/>
        <v>11428487.52232229</v>
      </c>
      <c r="J171" s="36"/>
      <c r="K171" s="5"/>
    </row>
    <row r="172" spans="1:11" x14ac:dyDescent="0.2">
      <c r="A172" s="3">
        <v>42767</v>
      </c>
      <c r="C172" s="217">
        <f>+'Purchased Power Model '!C172</f>
        <v>593.0159422472309</v>
      </c>
      <c r="D172" s="217">
        <f ca="1">+'Purchased Power Model '!D172</f>
        <v>0</v>
      </c>
      <c r="E172" s="126">
        <f>+'Purchased Power Model '!E172</f>
        <v>7.3406150000000003E-2</v>
      </c>
      <c r="F172" s="57">
        <f>+'Purchased Power Model '!F172</f>
        <v>28</v>
      </c>
      <c r="G172" s="57">
        <f>+'Purchased Power Model '!G172</f>
        <v>0</v>
      </c>
      <c r="H172" s="220"/>
      <c r="I172" s="222">
        <f t="shared" ca="1" si="6"/>
        <v>12180879.851766506</v>
      </c>
      <c r="J172" s="36"/>
      <c r="K172" s="5"/>
    </row>
    <row r="173" spans="1:11" x14ac:dyDescent="0.2">
      <c r="A173" s="3">
        <v>42795</v>
      </c>
      <c r="C173" s="217">
        <f>+'Purchased Power Model '!C173</f>
        <v>581.9427633299706</v>
      </c>
      <c r="D173" s="217">
        <f ca="1">+'Purchased Power Model '!D173</f>
        <v>0</v>
      </c>
      <c r="E173" s="126">
        <f>+'Purchased Power Model '!E173</f>
        <v>7.3406150000000003E-2</v>
      </c>
      <c r="F173" s="57">
        <f>+'Purchased Power Model '!F173</f>
        <v>31</v>
      </c>
      <c r="G173" s="57">
        <f>+'Purchased Power Model '!G173</f>
        <v>1</v>
      </c>
      <c r="H173" s="220"/>
      <c r="I173" s="222">
        <f t="shared" ca="1" si="6"/>
        <v>11347247.335648278</v>
      </c>
      <c r="J173" s="36"/>
      <c r="K173" s="5"/>
    </row>
    <row r="174" spans="1:11" x14ac:dyDescent="0.2">
      <c r="A174" s="3">
        <v>42826</v>
      </c>
      <c r="C174" s="217">
        <f>+'Purchased Power Model '!C174</f>
        <v>318.71870790532938</v>
      </c>
      <c r="D174" s="217">
        <f ca="1">+'Purchased Power Model '!D174</f>
        <v>0</v>
      </c>
      <c r="E174" s="126">
        <f>+'Purchased Power Model '!E174</f>
        <v>7.3406150000000003E-2</v>
      </c>
      <c r="F174" s="57">
        <f>+'Purchased Power Model '!F174</f>
        <v>30</v>
      </c>
      <c r="G174" s="57">
        <f>+'Purchased Power Model '!G174</f>
        <v>1</v>
      </c>
      <c r="H174" s="220"/>
      <c r="I174" s="222">
        <f t="shared" ca="1" si="6"/>
        <v>11103687.566391086</v>
      </c>
      <c r="J174" s="36"/>
      <c r="K174" s="5"/>
    </row>
    <row r="175" spans="1:11" x14ac:dyDescent="0.2">
      <c r="A175" s="3">
        <v>42856</v>
      </c>
      <c r="C175" s="217">
        <f>+'Purchased Power Model '!C175</f>
        <v>137.77094699381996</v>
      </c>
      <c r="D175" s="217">
        <f ca="1">+'Purchased Power Model '!D175</f>
        <v>1.8822256462934444</v>
      </c>
      <c r="E175" s="126">
        <f>+'Purchased Power Model '!E175</f>
        <v>7.3406150000000003E-2</v>
      </c>
      <c r="F175" s="57">
        <f>+'Purchased Power Model '!F175</f>
        <v>31</v>
      </c>
      <c r="G175" s="57">
        <f>+'Purchased Power Model '!G175</f>
        <v>1</v>
      </c>
      <c r="H175" s="220"/>
      <c r="I175" s="222">
        <f t="shared" ca="1" si="6"/>
        <v>10447309.256086053</v>
      </c>
      <c r="J175" s="36"/>
      <c r="K175" s="5"/>
    </row>
    <row r="176" spans="1:11" x14ac:dyDescent="0.2">
      <c r="A176" s="3">
        <v>42887</v>
      </c>
      <c r="C176" s="217">
        <f>+'Purchased Power Model '!C176</f>
        <v>23.090582393356748</v>
      </c>
      <c r="D176" s="217">
        <f ca="1">+'Purchased Power Model '!D176</f>
        <v>58.059421858743939</v>
      </c>
      <c r="E176" s="126">
        <f>+'Purchased Power Model '!E176</f>
        <v>7.3406150000000003E-2</v>
      </c>
      <c r="F176" s="57">
        <f>+'Purchased Power Model '!F176</f>
        <v>30</v>
      </c>
      <c r="G176" s="57">
        <f>+'Purchased Power Model '!G176</f>
        <v>0</v>
      </c>
      <c r="H176" s="220"/>
      <c r="I176" s="222">
        <f t="shared" ca="1" si="6"/>
        <v>10849479.71488573</v>
      </c>
      <c r="J176" s="36"/>
      <c r="K176" s="5"/>
    </row>
    <row r="177" spans="1:11" x14ac:dyDescent="0.2">
      <c r="A177" s="3">
        <v>42917</v>
      </c>
      <c r="C177" s="217">
        <f>+'Purchased Power Model '!C177</f>
        <v>8.2405052407518511</v>
      </c>
      <c r="D177" s="217">
        <f ca="1">+'Purchased Power Model '!D177</f>
        <v>79.053477144324646</v>
      </c>
      <c r="E177" s="126">
        <f>+'Purchased Power Model '!E177</f>
        <v>7.3406150000000003E-2</v>
      </c>
      <c r="F177" s="57">
        <f>+'Purchased Power Model '!F177</f>
        <v>31</v>
      </c>
      <c r="G177" s="57">
        <f>+'Purchased Power Model '!G177</f>
        <v>0</v>
      </c>
      <c r="H177" s="220"/>
      <c r="I177" s="222">
        <f t="shared" ca="1" si="6"/>
        <v>10679083.318743289</v>
      </c>
      <c r="J177" s="36"/>
      <c r="K177" s="5"/>
    </row>
    <row r="178" spans="1:11" x14ac:dyDescent="0.2">
      <c r="A178" s="3">
        <v>42948</v>
      </c>
      <c r="C178" s="217">
        <f>+'Purchased Power Model '!C178</f>
        <v>10.901501724744636</v>
      </c>
      <c r="D178" s="217">
        <f ca="1">+'Purchased Power Model '!D178</f>
        <v>83.976221142322899</v>
      </c>
      <c r="E178" s="126">
        <f>+'Purchased Power Model '!E178</f>
        <v>7.3406150000000003E-2</v>
      </c>
      <c r="F178" s="57">
        <f>+'Purchased Power Model '!F178</f>
        <v>31</v>
      </c>
      <c r="G178" s="57">
        <f>+'Purchased Power Model '!G178</f>
        <v>0</v>
      </c>
      <c r="H178" s="220"/>
      <c r="I178" s="222">
        <f t="shared" ca="1" si="6"/>
        <v>10721687.379499588</v>
      </c>
      <c r="J178" s="36"/>
      <c r="K178" s="5"/>
    </row>
    <row r="179" spans="1:11" x14ac:dyDescent="0.2">
      <c r="A179" s="3">
        <v>42979</v>
      </c>
      <c r="C179" s="217">
        <f>+'Purchased Power Model '!C179</f>
        <v>66.439073503561801</v>
      </c>
      <c r="D179" s="217">
        <f ca="1">+'Purchased Power Model '!D179</f>
        <v>32.576982339694233</v>
      </c>
      <c r="E179" s="126">
        <f>+'Purchased Power Model '!E179</f>
        <v>7.3406150000000003E-2</v>
      </c>
      <c r="F179" s="57">
        <f>+'Purchased Power Model '!F179</f>
        <v>30</v>
      </c>
      <c r="G179" s="57">
        <f>+'Purchased Power Model '!G179</f>
        <v>1</v>
      </c>
      <c r="H179" s="220"/>
      <c r="I179" s="222">
        <f t="shared" ca="1" si="6"/>
        <v>10830177.088063827</v>
      </c>
      <c r="J179" s="36"/>
      <c r="K179" s="5"/>
    </row>
    <row r="180" spans="1:11" x14ac:dyDescent="0.2">
      <c r="A180" s="3">
        <v>43009</v>
      </c>
      <c r="C180" s="217">
        <f>+'Purchased Power Model '!C180</f>
        <v>185.66888370569015</v>
      </c>
      <c r="D180" s="217">
        <f ca="1">+'Purchased Power Model '!D180</f>
        <v>0.72393294088209392</v>
      </c>
      <c r="E180" s="126">
        <f>+'Purchased Power Model '!E180</f>
        <v>7.3406150000000003E-2</v>
      </c>
      <c r="F180" s="57">
        <f>+'Purchased Power Model '!F180</f>
        <v>31</v>
      </c>
      <c r="G180" s="57">
        <f>+'Purchased Power Model '!G180</f>
        <v>1</v>
      </c>
      <c r="H180" s="220"/>
      <c r="I180" s="222">
        <f t="shared" ca="1" si="6"/>
        <v>10537150.366505051</v>
      </c>
      <c r="J180" s="36"/>
      <c r="K180" s="5"/>
    </row>
    <row r="181" spans="1:11" x14ac:dyDescent="0.2">
      <c r="A181" s="3">
        <v>43040</v>
      </c>
      <c r="C181" s="217">
        <f>+'Purchased Power Model '!C181</f>
        <v>349.62060255814896</v>
      </c>
      <c r="D181" s="217">
        <f ca="1">+'Purchased Power Model '!D181</f>
        <v>0</v>
      </c>
      <c r="E181" s="126">
        <f>+'Purchased Power Model '!E181</f>
        <v>7.3406150000000003E-2</v>
      </c>
      <c r="F181" s="57">
        <f>+'Purchased Power Model '!F181</f>
        <v>30</v>
      </c>
      <c r="G181" s="57">
        <f>+'Purchased Power Model '!G181</f>
        <v>1</v>
      </c>
      <c r="H181" s="220"/>
      <c r="I181" s="222">
        <f t="shared" ca="1" si="6"/>
        <v>11167285.635408083</v>
      </c>
      <c r="J181" s="36"/>
      <c r="K181" s="5"/>
    </row>
    <row r="182" spans="1:11" x14ac:dyDescent="0.2">
      <c r="A182" s="3">
        <v>43070</v>
      </c>
      <c r="C182" s="217">
        <f>+'Purchased Power Model '!C182</f>
        <v>473.65737415071578</v>
      </c>
      <c r="D182" s="217">
        <f ca="1">+'Purchased Power Model '!D182</f>
        <v>0</v>
      </c>
      <c r="E182" s="126">
        <f>+'Purchased Power Model '!E182</f>
        <v>7.3406150000000003E-2</v>
      </c>
      <c r="F182" s="57">
        <f>+'Purchased Power Model '!F182</f>
        <v>31</v>
      </c>
      <c r="G182" s="57">
        <f>+'Purchased Power Model '!G182</f>
        <v>0</v>
      </c>
      <c r="H182" s="220"/>
      <c r="I182" s="222">
        <f t="shared" ca="1" si="6"/>
        <v>11040715.962621432</v>
      </c>
      <c r="J182" s="36"/>
      <c r="K182" s="5"/>
    </row>
    <row r="183" spans="1:11" x14ac:dyDescent="0.2">
      <c r="A183" s="3">
        <v>43101</v>
      </c>
      <c r="C183" s="217">
        <f>+'Purchased Power Model '!C183</f>
        <v>660.46057305386228</v>
      </c>
      <c r="D183" s="217">
        <f ca="1">+'Purchased Power Model '!D183</f>
        <v>0</v>
      </c>
      <c r="E183" s="126">
        <f>+'Purchased Power Model '!E183</f>
        <v>7.3406150000000003E-2</v>
      </c>
      <c r="F183" s="57">
        <f>+'Purchased Power Model '!F183</f>
        <v>31</v>
      </c>
      <c r="G183" s="57">
        <f>+'Purchased Power Model '!G183</f>
        <v>0</v>
      </c>
      <c r="H183" s="220"/>
      <c r="I183" s="222">
        <f t="shared" ca="1" si="6"/>
        <v>11425168.85361445</v>
      </c>
      <c r="J183" s="36"/>
      <c r="K183" s="5"/>
    </row>
    <row r="184" spans="1:11" x14ac:dyDescent="0.2">
      <c r="A184" s="3">
        <v>43132</v>
      </c>
      <c r="C184" s="217">
        <f>+'Purchased Power Model '!C184</f>
        <v>591.57161531733539</v>
      </c>
      <c r="D184" s="217">
        <f ca="1">+'Purchased Power Model '!D184</f>
        <v>0</v>
      </c>
      <c r="E184" s="126">
        <f>+'Purchased Power Model '!E184</f>
        <v>7.3406150000000003E-2</v>
      </c>
      <c r="F184" s="57">
        <f>+'Purchased Power Model '!F184</f>
        <v>28</v>
      </c>
      <c r="G184" s="57">
        <f>+'Purchased Power Model '!G184</f>
        <v>0</v>
      </c>
      <c r="H184" s="220"/>
      <c r="I184" s="222">
        <f t="shared" ca="1" si="6"/>
        <v>12177907.334877087</v>
      </c>
      <c r="J184" s="36"/>
      <c r="K184" s="5"/>
    </row>
    <row r="185" spans="1:11" x14ac:dyDescent="0.2">
      <c r="A185" s="3">
        <v>43160</v>
      </c>
      <c r="C185" s="217">
        <f>+'Purchased Power Model '!C185</f>
        <v>580.52540581079472</v>
      </c>
      <c r="D185" s="217">
        <f ca="1">+'Purchased Power Model '!D185</f>
        <v>0</v>
      </c>
      <c r="E185" s="126">
        <f>+'Purchased Power Model '!E185</f>
        <v>7.3406150000000003E-2</v>
      </c>
      <c r="F185" s="57">
        <f>+'Purchased Power Model '!F185</f>
        <v>31</v>
      </c>
      <c r="G185" s="57">
        <f>+'Purchased Power Model '!G185</f>
        <v>1</v>
      </c>
      <c r="H185" s="220"/>
      <c r="I185" s="222">
        <f t="shared" ca="1" si="6"/>
        <v>11344330.323525267</v>
      </c>
      <c r="J185" s="36"/>
      <c r="K185" s="5"/>
    </row>
    <row r="186" spans="1:11" x14ac:dyDescent="0.2">
      <c r="A186" s="3">
        <v>43191</v>
      </c>
      <c r="C186" s="217">
        <f>+'Purchased Power Model '!C186</f>
        <v>317.94244882004284</v>
      </c>
      <c r="D186" s="217">
        <f ca="1">+'Purchased Power Model '!D186</f>
        <v>0</v>
      </c>
      <c r="E186" s="126">
        <f>+'Purchased Power Model '!E186</f>
        <v>7.3406150000000003E-2</v>
      </c>
      <c r="F186" s="57">
        <f>+'Purchased Power Model '!F186</f>
        <v>30</v>
      </c>
      <c r="G186" s="57">
        <f>+'Purchased Power Model '!G186</f>
        <v>1</v>
      </c>
      <c r="H186" s="220"/>
      <c r="I186" s="222">
        <f t="shared" ca="1" si="6"/>
        <v>11102089.975711426</v>
      </c>
      <c r="J186" s="36"/>
      <c r="K186" s="5"/>
    </row>
    <row r="187" spans="1:11" x14ac:dyDescent="0.2">
      <c r="A187" s="3">
        <v>43221</v>
      </c>
      <c r="C187" s="217">
        <f>+'Purchased Power Model '!C187</f>
        <v>137.43539734882</v>
      </c>
      <c r="D187" s="217">
        <f ca="1">+'Purchased Power Model '!D187</f>
        <v>1.9004408491696605</v>
      </c>
      <c r="E187" s="126">
        <f>+'Purchased Power Model '!E187</f>
        <v>7.3406150000000003E-2</v>
      </c>
      <c r="F187" s="57">
        <f>+'Purchased Power Model '!F187</f>
        <v>31</v>
      </c>
      <c r="G187" s="57">
        <f>+'Purchased Power Model '!G187</f>
        <v>1</v>
      </c>
      <c r="H187" s="220"/>
      <c r="I187" s="222">
        <f t="shared" ca="1" si="6"/>
        <v>10446756.053420389</v>
      </c>
      <c r="J187" s="36"/>
      <c r="K187" s="5"/>
    </row>
    <row r="188" spans="1:11" x14ac:dyDescent="0.2">
      <c r="A188" s="3">
        <v>43252</v>
      </c>
      <c r="C188" s="217">
        <f>+'Purchased Power Model '!C188</f>
        <v>23.034343854724352</v>
      </c>
      <c r="D188" s="217">
        <f ca="1">+'Purchased Power Model '!D188</f>
        <v>58.621290809002602</v>
      </c>
      <c r="E188" s="126">
        <f>+'Purchased Power Model '!E188</f>
        <v>7.3406150000000003E-2</v>
      </c>
      <c r="F188" s="57">
        <f>+'Purchased Power Model '!F188</f>
        <v>30</v>
      </c>
      <c r="G188" s="57">
        <f>+'Purchased Power Model '!G188</f>
        <v>0</v>
      </c>
      <c r="H188" s="220"/>
      <c r="I188" s="222">
        <f t="shared" ca="1" si="6"/>
        <v>10853601.613707595</v>
      </c>
      <c r="J188" s="36"/>
      <c r="K188" s="5"/>
    </row>
    <row r="189" spans="1:11" x14ac:dyDescent="0.2">
      <c r="A189" s="3">
        <v>43282</v>
      </c>
      <c r="C189" s="217">
        <f>+'Purchased Power Model '!C189</f>
        <v>8.2204349816116657</v>
      </c>
      <c r="D189" s="217">
        <f ca="1">+'Purchased Power Model '!D189</f>
        <v>79.81851566512573</v>
      </c>
      <c r="E189" s="126">
        <f>+'Purchased Power Model '!E189</f>
        <v>7.3406150000000003E-2</v>
      </c>
      <c r="F189" s="57">
        <f>+'Purchased Power Model '!F189</f>
        <v>31</v>
      </c>
      <c r="G189" s="57">
        <f>+'Purchased Power Model '!G189</f>
        <v>0</v>
      </c>
      <c r="H189" s="220"/>
      <c r="I189" s="222">
        <f t="shared" ca="1" si="6"/>
        <v>10684811.968382616</v>
      </c>
      <c r="J189" s="36"/>
      <c r="K189" s="5"/>
    </row>
    <row r="190" spans="1:11" x14ac:dyDescent="0.2">
      <c r="A190" s="3">
        <v>43313</v>
      </c>
      <c r="C190" s="217">
        <f>+'Purchased Power Model '!C190</f>
        <v>10.874950444423765</v>
      </c>
      <c r="D190" s="217">
        <f ca="1">+'Purchased Power Model '!D190</f>
        <v>84.788899424492527</v>
      </c>
      <c r="E190" s="126">
        <f>+'Purchased Power Model '!E190</f>
        <v>7.3406150000000003E-2</v>
      </c>
      <c r="F190" s="57">
        <f>+'Purchased Power Model '!F190</f>
        <v>31</v>
      </c>
      <c r="G190" s="57">
        <f>+'Purchased Power Model '!G190</f>
        <v>0</v>
      </c>
      <c r="H190" s="220"/>
      <c r="I190" s="222">
        <f t="shared" ca="1" si="6"/>
        <v>10727761.99204319</v>
      </c>
      <c r="J190" s="36"/>
      <c r="K190" s="5"/>
    </row>
    <row r="191" spans="1:11" x14ac:dyDescent="0.2">
      <c r="A191" s="3">
        <v>43344</v>
      </c>
      <c r="C191" s="217">
        <f>+'Purchased Power Model '!C191</f>
        <v>66.277257039244049</v>
      </c>
      <c r="D191" s="217">
        <f ca="1">+'Purchased Power Model '!D191</f>
        <v>32.892245466397974</v>
      </c>
      <c r="E191" s="126">
        <f>+'Purchased Power Model '!E191</f>
        <v>7.3406150000000003E-2</v>
      </c>
      <c r="F191" s="57">
        <f>+'Purchased Power Model '!F191</f>
        <v>30</v>
      </c>
      <c r="G191" s="57">
        <f>+'Purchased Power Model '!G191</f>
        <v>1</v>
      </c>
      <c r="H191" s="220"/>
      <c r="I191" s="222">
        <f t="shared" ca="1" si="6"/>
        <v>10832221.788385162</v>
      </c>
      <c r="J191" s="36"/>
      <c r="K191" s="5"/>
    </row>
    <row r="192" spans="1:11" x14ac:dyDescent="0.2">
      <c r="A192" s="3">
        <v>43374</v>
      </c>
      <c r="C192" s="217">
        <f>+'Purchased Power Model '!C192</f>
        <v>185.21667567943786</v>
      </c>
      <c r="D192" s="217">
        <f ca="1">+'Purchased Power Model '!D192</f>
        <v>0.73093878814217705</v>
      </c>
      <c r="E192" s="126">
        <f>+'Purchased Power Model '!E192</f>
        <v>7.3406150000000003E-2</v>
      </c>
      <c r="F192" s="57">
        <f>+'Purchased Power Model '!F192</f>
        <v>31</v>
      </c>
      <c r="G192" s="57">
        <f>+'Purchased Power Model '!G192</f>
        <v>1</v>
      </c>
      <c r="H192" s="220"/>
      <c r="I192" s="222">
        <f t="shared" ca="1" si="6"/>
        <v>10536272.531981753</v>
      </c>
      <c r="J192" s="36"/>
      <c r="K192" s="5"/>
    </row>
    <row r="193" spans="1:11" x14ac:dyDescent="0.2">
      <c r="A193" s="3">
        <v>43405</v>
      </c>
      <c r="C193" s="217">
        <f>+'Purchased Power Model '!C193</f>
        <v>348.76908000108671</v>
      </c>
      <c r="D193" s="217">
        <f ca="1">+'Purchased Power Model '!D193</f>
        <v>0</v>
      </c>
      <c r="E193" s="126">
        <f>+'Purchased Power Model '!E193</f>
        <v>7.3406150000000003E-2</v>
      </c>
      <c r="F193" s="57">
        <f>+'Purchased Power Model '!F193</f>
        <v>30</v>
      </c>
      <c r="G193" s="57">
        <f>+'Purchased Power Model '!G193</f>
        <v>1</v>
      </c>
      <c r="H193" s="220"/>
      <c r="I193" s="222">
        <f t="shared" ca="1" si="6"/>
        <v>11165533.147705888</v>
      </c>
      <c r="J193" s="36"/>
      <c r="K193" s="5"/>
    </row>
    <row r="194" spans="1:11" x14ac:dyDescent="0.2">
      <c r="A194" s="3">
        <v>43435</v>
      </c>
      <c r="C194" s="217">
        <f>+'Purchased Power Model '!C194</f>
        <v>472.50375238055386</v>
      </c>
      <c r="D194" s="217">
        <f ca="1">+'Purchased Power Model '!D194</f>
        <v>0</v>
      </c>
      <c r="E194" s="126">
        <f>+'Purchased Power Model '!E194</f>
        <v>7.3406150000000003E-2</v>
      </c>
      <c r="F194" s="57">
        <f>+'Purchased Power Model '!F194</f>
        <v>31</v>
      </c>
      <c r="G194" s="57">
        <f>+'Purchased Power Model '!G194</f>
        <v>0</v>
      </c>
      <c r="H194" s="220"/>
      <c r="I194" s="222">
        <f t="shared" ca="1" si="6"/>
        <v>11038341.73548156</v>
      </c>
      <c r="J194" s="36"/>
      <c r="K194" s="5"/>
    </row>
    <row r="195" spans="1:11" x14ac:dyDescent="0.2">
      <c r="A195" s="3">
        <v>43466</v>
      </c>
      <c r="C195" s="217">
        <f>+'Purchased Power Model '!C195</f>
        <v>658.84805317106725</v>
      </c>
      <c r="D195" s="217">
        <f ca="1">+'Purchased Power Model '!D195</f>
        <v>0</v>
      </c>
      <c r="E195" s="126">
        <f>+'Purchased Power Model '!E195</f>
        <v>7.3406150000000003E-2</v>
      </c>
      <c r="F195" s="57">
        <f>+'Purchased Power Model '!F195</f>
        <v>31</v>
      </c>
      <c r="G195" s="57">
        <f>+'Purchased Power Model '!G195</f>
        <v>0</v>
      </c>
      <c r="H195" s="220"/>
      <c r="I195" s="222">
        <f t="shared" ca="1" si="6"/>
        <v>11421850.184906609</v>
      </c>
      <c r="J195" s="36"/>
      <c r="K195" s="5"/>
    </row>
    <row r="196" spans="1:11" x14ac:dyDescent="0.2">
      <c r="A196" s="3">
        <v>43497</v>
      </c>
      <c r="C196" s="217">
        <f>+'Purchased Power Model '!C196</f>
        <v>590.12728838743919</v>
      </c>
      <c r="D196" s="217">
        <f ca="1">+'Purchased Power Model '!D196</f>
        <v>0</v>
      </c>
      <c r="E196" s="126">
        <f>+'Purchased Power Model '!E196</f>
        <v>7.3406150000000003E-2</v>
      </c>
      <c r="F196" s="57">
        <f>+'Purchased Power Model '!F196</f>
        <v>28</v>
      </c>
      <c r="G196" s="57">
        <f>+'Purchased Power Model '!G196</f>
        <v>0</v>
      </c>
      <c r="H196" s="220"/>
      <c r="I196" s="222">
        <f t="shared" ref="I196:I206" ca="1" si="11">$N$18+C196*$N$19+D196*$N$20+E196*$N$21+F196*$N$22+G196*$N$23</f>
        <v>12174934.817987664</v>
      </c>
      <c r="J196" s="36"/>
      <c r="K196" s="5"/>
    </row>
    <row r="197" spans="1:11" x14ac:dyDescent="0.2">
      <c r="A197" s="3">
        <v>43525</v>
      </c>
      <c r="C197" s="217">
        <f>+'Purchased Power Model '!C197</f>
        <v>579.10804829161816</v>
      </c>
      <c r="D197" s="217">
        <f ca="1">+'Purchased Power Model '!D197</f>
        <v>0</v>
      </c>
      <c r="E197" s="126">
        <f>+'Purchased Power Model '!E197</f>
        <v>7.3406150000000003E-2</v>
      </c>
      <c r="F197" s="57">
        <f>+'Purchased Power Model '!F197</f>
        <v>31</v>
      </c>
      <c r="G197" s="57">
        <f>+'Purchased Power Model '!G197</f>
        <v>1</v>
      </c>
      <c r="H197" s="220"/>
      <c r="I197" s="222">
        <f t="shared" ca="1" si="11"/>
        <v>11341413.311402252</v>
      </c>
      <c r="J197" s="36"/>
      <c r="K197" s="5"/>
    </row>
    <row r="198" spans="1:11" x14ac:dyDescent="0.2">
      <c r="A198" s="3">
        <v>43556</v>
      </c>
      <c r="C198" s="217">
        <f>+'Purchased Power Model '!C198</f>
        <v>317.1661897347559</v>
      </c>
      <c r="D198" s="217">
        <f ca="1">+'Purchased Power Model '!D198</f>
        <v>0</v>
      </c>
      <c r="E198" s="126">
        <f>+'Purchased Power Model '!E198</f>
        <v>7.3406150000000003E-2</v>
      </c>
      <c r="F198" s="57">
        <f>+'Purchased Power Model '!F198</f>
        <v>30</v>
      </c>
      <c r="G198" s="57">
        <f>+'Purchased Power Model '!G198</f>
        <v>1</v>
      </c>
      <c r="H198" s="220"/>
      <c r="I198" s="222">
        <f t="shared" ca="1" si="11"/>
        <v>11100492.385031769</v>
      </c>
      <c r="J198" s="36"/>
      <c r="K198" s="5"/>
    </row>
    <row r="199" spans="1:11" x14ac:dyDescent="0.2">
      <c r="A199" s="3">
        <v>43586</v>
      </c>
      <c r="C199" s="217">
        <f>+'Purchased Power Model '!C199</f>
        <v>137.09984770381988</v>
      </c>
      <c r="D199" s="217">
        <f ca="1">+'Purchased Power Model '!D199</f>
        <v>1.9186560520458842</v>
      </c>
      <c r="E199" s="126">
        <f>+'Purchased Power Model '!E199</f>
        <v>7.3406150000000003E-2</v>
      </c>
      <c r="F199" s="57">
        <f>+'Purchased Power Model '!F199</f>
        <v>31</v>
      </c>
      <c r="G199" s="57">
        <f>+'Purchased Power Model '!G199</f>
        <v>1</v>
      </c>
      <c r="H199" s="220"/>
      <c r="I199" s="222">
        <f t="shared" ca="1" si="11"/>
        <v>10446202.850754721</v>
      </c>
      <c r="J199" s="36"/>
      <c r="K199" s="5"/>
    </row>
    <row r="200" spans="1:11" x14ac:dyDescent="0.2">
      <c r="A200" s="3">
        <v>43617</v>
      </c>
      <c r="C200" s="217">
        <f>+'Purchased Power Model '!C200</f>
        <v>22.978105316091931</v>
      </c>
      <c r="D200" s="217">
        <f ca="1">+'Purchased Power Model '!D200</f>
        <v>59.1831597592615</v>
      </c>
      <c r="E200" s="126">
        <f>+'Purchased Power Model '!E200</f>
        <v>7.3406150000000003E-2</v>
      </c>
      <c r="F200" s="57">
        <f>+'Purchased Power Model '!F200</f>
        <v>30</v>
      </c>
      <c r="G200" s="57">
        <f>+'Purchased Power Model '!G200</f>
        <v>0</v>
      </c>
      <c r="H200" s="220"/>
      <c r="I200" s="222">
        <f t="shared" ca="1" si="11"/>
        <v>10857723.512529459</v>
      </c>
      <c r="J200" s="36"/>
      <c r="K200" s="5"/>
    </row>
    <row r="201" spans="1:11" x14ac:dyDescent="0.2">
      <c r="A201" s="3">
        <v>43647</v>
      </c>
      <c r="C201" s="217">
        <f>+'Purchased Power Model '!C201</f>
        <v>8.2003647224714715</v>
      </c>
      <c r="D201" s="217">
        <f ca="1">+'Purchased Power Model '!D201</f>
        <v>80.583554185927127</v>
      </c>
      <c r="E201" s="126">
        <f>+'Purchased Power Model '!E201</f>
        <v>7.3406150000000003E-2</v>
      </c>
      <c r="F201" s="57">
        <f>+'Purchased Power Model '!F201</f>
        <v>31</v>
      </c>
      <c r="G201" s="57">
        <f>+'Purchased Power Model '!G201</f>
        <v>0</v>
      </c>
      <c r="H201" s="220"/>
      <c r="I201" s="222">
        <f t="shared" ca="1" si="11"/>
        <v>10690540.61802195</v>
      </c>
      <c r="J201" s="36"/>
      <c r="K201" s="5"/>
    </row>
    <row r="202" spans="1:11" x14ac:dyDescent="0.2">
      <c r="A202" s="3">
        <v>43678</v>
      </c>
      <c r="C202" s="217">
        <f>+'Purchased Power Model '!C202</f>
        <v>10.848399164102883</v>
      </c>
      <c r="D202" s="217">
        <f ca="1">+'Purchased Power Model '!D202</f>
        <v>85.601577706662511</v>
      </c>
      <c r="E202" s="126">
        <f>+'Purchased Power Model '!E202</f>
        <v>7.3406150000000003E-2</v>
      </c>
      <c r="F202" s="57">
        <f>+'Purchased Power Model '!F202</f>
        <v>31</v>
      </c>
      <c r="G202" s="57">
        <f>+'Purchased Power Model '!G202</f>
        <v>0</v>
      </c>
      <c r="H202" s="220"/>
      <c r="I202" s="222">
        <f t="shared" ca="1" si="11"/>
        <v>10733836.604586788</v>
      </c>
      <c r="J202" s="36"/>
      <c r="K202" s="5"/>
    </row>
    <row r="203" spans="1:11" x14ac:dyDescent="0.2">
      <c r="A203" s="3">
        <v>43709</v>
      </c>
      <c r="C203" s="217">
        <f>+'Purchased Power Model '!C203</f>
        <v>66.115440574926225</v>
      </c>
      <c r="D203" s="217">
        <f ca="1">+'Purchased Power Model '!D203</f>
        <v>33.207508593101842</v>
      </c>
      <c r="E203" s="126">
        <f>+'Purchased Power Model '!E203</f>
        <v>7.3406150000000003E-2</v>
      </c>
      <c r="F203" s="57">
        <f>+'Purchased Power Model '!F203</f>
        <v>30</v>
      </c>
      <c r="G203" s="57">
        <f>+'Purchased Power Model '!G203</f>
        <v>1</v>
      </c>
      <c r="H203" s="220"/>
      <c r="I203" s="222">
        <f t="shared" ca="1" si="11"/>
        <v>10834266.48870649</v>
      </c>
      <c r="J203" s="36"/>
      <c r="K203" s="5"/>
    </row>
    <row r="204" spans="1:11" x14ac:dyDescent="0.2">
      <c r="A204" s="3">
        <v>43739</v>
      </c>
      <c r="C204" s="217">
        <f>+'Purchased Power Model '!C204</f>
        <v>184.76446765318536</v>
      </c>
      <c r="D204" s="217">
        <f ca="1">+'Purchased Power Model '!D204</f>
        <v>0.73794463540226296</v>
      </c>
      <c r="E204" s="126">
        <f>+'Purchased Power Model '!E204</f>
        <v>7.3406150000000003E-2</v>
      </c>
      <c r="F204" s="57">
        <f>+'Purchased Power Model '!F204</f>
        <v>31</v>
      </c>
      <c r="G204" s="57">
        <f>+'Purchased Power Model '!G204</f>
        <v>1</v>
      </c>
      <c r="H204" s="220"/>
      <c r="I204" s="222">
        <f t="shared" ca="1" si="11"/>
        <v>10535394.697458452</v>
      </c>
      <c r="J204" s="36"/>
      <c r="K204" s="5"/>
    </row>
    <row r="205" spans="1:11" x14ac:dyDescent="0.2">
      <c r="A205" s="3">
        <v>43770</v>
      </c>
      <c r="C205" s="217">
        <f>+'Purchased Power Model '!C205</f>
        <v>347.91755744402406</v>
      </c>
      <c r="D205" s="217">
        <f ca="1">+'Purchased Power Model '!D205</f>
        <v>0</v>
      </c>
      <c r="E205" s="126">
        <f>+'Purchased Power Model '!E205</f>
        <v>7.3406150000000003E-2</v>
      </c>
      <c r="F205" s="57">
        <f>+'Purchased Power Model '!F205</f>
        <v>30</v>
      </c>
      <c r="G205" s="57">
        <f>+'Purchased Power Model '!G205</f>
        <v>1</v>
      </c>
      <c r="H205" s="220"/>
      <c r="I205" s="222">
        <f t="shared" ca="1" si="11"/>
        <v>11163780.660003694</v>
      </c>
      <c r="J205" s="36"/>
      <c r="K205" s="5"/>
    </row>
    <row r="206" spans="1:11" x14ac:dyDescent="0.2">
      <c r="A206" s="3">
        <v>43800</v>
      </c>
      <c r="C206" s="217">
        <f>+'Purchased Power Model '!C206</f>
        <v>471.35013061039143</v>
      </c>
      <c r="D206" s="217">
        <f ca="1">+'Purchased Power Model '!D206</f>
        <v>0</v>
      </c>
      <c r="E206" s="126">
        <f>+'Purchased Power Model '!E206</f>
        <v>7.3406150000000003E-2</v>
      </c>
      <c r="F206" s="57">
        <f>+'Purchased Power Model '!F206</f>
        <v>31</v>
      </c>
      <c r="G206" s="57">
        <f>+'Purchased Power Model '!G206</f>
        <v>0</v>
      </c>
      <c r="H206" s="220"/>
      <c r="I206" s="222">
        <f t="shared" ca="1" si="11"/>
        <v>11035967.508341685</v>
      </c>
      <c r="J206" s="36"/>
      <c r="K206" s="5"/>
    </row>
    <row r="207" spans="1:11" x14ac:dyDescent="0.2">
      <c r="A207" s="3"/>
      <c r="E207" s="33"/>
      <c r="F207" s="10"/>
      <c r="G207" s="10"/>
      <c r="H207" s="17"/>
    </row>
    <row r="208" spans="1:11" x14ac:dyDescent="0.2">
      <c r="A208" s="3"/>
      <c r="C208" s="18"/>
      <c r="D208" s="63" t="s">
        <v>60</v>
      </c>
      <c r="I208" s="47">
        <f ca="1">SUM(I3:I206)</f>
        <v>2248379241.8738499</v>
      </c>
    </row>
    <row r="209" spans="1:11" x14ac:dyDescent="0.2">
      <c r="A209" s="3"/>
      <c r="C209" s="23"/>
      <c r="D209" s="23"/>
      <c r="F209" s="209"/>
      <c r="G209" s="209"/>
      <c r="H209"/>
      <c r="I209" s="209"/>
      <c r="J209" s="36"/>
      <c r="K209" s="5" t="s">
        <v>201</v>
      </c>
    </row>
    <row r="210" spans="1:11" x14ac:dyDescent="0.2">
      <c r="A210" s="16">
        <v>2003</v>
      </c>
      <c r="B210" s="6">
        <f>SUM(B3:B14)</f>
        <v>124144653</v>
      </c>
      <c r="C210" s="131"/>
      <c r="D210" s="23" t="s">
        <v>200</v>
      </c>
      <c r="E210" s="132" t="s">
        <v>112</v>
      </c>
      <c r="F210" s="209"/>
      <c r="G210" s="209"/>
      <c r="H210"/>
      <c r="I210" s="6">
        <f>SUM(I3:I14)</f>
        <v>133432708.73359838</v>
      </c>
      <c r="J210" s="36">
        <f>I210-B210</f>
        <v>9288055.7335983813</v>
      </c>
      <c r="K210" s="5">
        <f>J210/B210</f>
        <v>7.4816397719508557E-2</v>
      </c>
    </row>
    <row r="211" spans="1:11" x14ac:dyDescent="0.2">
      <c r="A211">
        <v>2004</v>
      </c>
      <c r="B211" s="6">
        <f>SUM(B15:B26)</f>
        <v>132938490</v>
      </c>
      <c r="C211" s="131">
        <f>+B211-B210</f>
        <v>8793837</v>
      </c>
      <c r="D211" s="133">
        <f>+C211/B210</f>
        <v>7.0835406821750102E-2</v>
      </c>
      <c r="E211" s="133">
        <f>RATE(1,0,-B$210,B211)</f>
        <v>7.0835406821750047E-2</v>
      </c>
      <c r="F211" s="209"/>
      <c r="G211" s="209"/>
      <c r="H211"/>
      <c r="I211" s="6">
        <f>SUM(I15:I26)</f>
        <v>132446545.86247578</v>
      </c>
      <c r="J211" s="36">
        <f t="shared" ref="J211:J226" si="12">I211-B211</f>
        <v>-491944.13752421737</v>
      </c>
      <c r="K211" s="5">
        <f t="shared" ref="K211:K226" si="13">J211/B211</f>
        <v>-3.7005395316602242E-3</v>
      </c>
    </row>
    <row r="212" spans="1:11" x14ac:dyDescent="0.2">
      <c r="A212" s="16">
        <v>2005</v>
      </c>
      <c r="B212" s="6">
        <f>SUM(B27:B38)</f>
        <v>138859028</v>
      </c>
      <c r="C212" s="131">
        <f t="shared" ref="C212:C226" si="14">+B212-B211</f>
        <v>5920538</v>
      </c>
      <c r="D212" s="133">
        <f t="shared" ref="D212:D226" si="15">+C212/B211</f>
        <v>4.4535920334283927E-2</v>
      </c>
      <c r="E212" s="133">
        <f>RATE(2,0,-B$210,B212)</f>
        <v>5.7603917915915265E-2</v>
      </c>
      <c r="F212" s="209"/>
      <c r="G212" s="209"/>
      <c r="H212"/>
      <c r="I212" s="6">
        <f>SUM(I27:I38)</f>
        <v>134133298.78747334</v>
      </c>
      <c r="J212" s="36">
        <f t="shared" si="12"/>
        <v>-4725729.2125266641</v>
      </c>
      <c r="K212" s="5">
        <f t="shared" si="13"/>
        <v>-3.4032567277704581E-2</v>
      </c>
    </row>
    <row r="213" spans="1:11" x14ac:dyDescent="0.2">
      <c r="A213">
        <v>2006</v>
      </c>
      <c r="B213" s="6">
        <f>SUM(B39:B50)</f>
        <v>134155770</v>
      </c>
      <c r="C213" s="131">
        <f t="shared" si="14"/>
        <v>-4703258</v>
      </c>
      <c r="D213" s="133">
        <f t="shared" si="15"/>
        <v>-3.3870739754854107E-2</v>
      </c>
      <c r="E213" s="133">
        <f>RATE(3,0,-B$210,B213)</f>
        <v>2.6188426843453606E-2</v>
      </c>
      <c r="F213" s="209"/>
      <c r="G213" s="209"/>
      <c r="H213"/>
      <c r="I213" s="6">
        <f>SUM(I39:I50)</f>
        <v>132315946.25860479</v>
      </c>
      <c r="J213" s="36">
        <f t="shared" si="12"/>
        <v>-1839823.7413952053</v>
      </c>
      <c r="K213" s="5">
        <f t="shared" si="13"/>
        <v>-1.371408580782776E-2</v>
      </c>
    </row>
    <row r="214" spans="1:11" x14ac:dyDescent="0.2">
      <c r="A214" s="16">
        <v>2007</v>
      </c>
      <c r="B214" s="6">
        <f>SUM(B51:B62)</f>
        <v>132346004</v>
      </c>
      <c r="C214" s="131">
        <f t="shared" si="14"/>
        <v>-1809766</v>
      </c>
      <c r="D214" s="133">
        <f t="shared" si="15"/>
        <v>-1.349003475586626E-2</v>
      </c>
      <c r="E214" s="133">
        <f>RATE(4,0,-B$210,B214)</f>
        <v>1.6121647059656956E-2</v>
      </c>
      <c r="F214" s="209"/>
      <c r="G214" s="209"/>
      <c r="H214"/>
      <c r="I214" s="6">
        <f>SUM(I51:I62)</f>
        <v>130805288.77016509</v>
      </c>
      <c r="J214" s="36">
        <f t="shared" si="12"/>
        <v>-1540715.2298349142</v>
      </c>
      <c r="K214" s="5">
        <f t="shared" si="13"/>
        <v>-1.1641569698129415E-2</v>
      </c>
    </row>
    <row r="215" spans="1:11" x14ac:dyDescent="0.2">
      <c r="A215">
        <v>2008</v>
      </c>
      <c r="B215" s="6">
        <f>SUM(B63:B74)</f>
        <v>131868017</v>
      </c>
      <c r="C215" s="131">
        <f t="shared" si="14"/>
        <v>-477987</v>
      </c>
      <c r="D215" s="133">
        <f t="shared" si="15"/>
        <v>-3.6116466349826477E-3</v>
      </c>
      <c r="E215" s="133">
        <f>RATE(5,0,-B$210,B215)</f>
        <v>1.2143968187770533E-2</v>
      </c>
      <c r="F215" s="209"/>
      <c r="G215" s="209"/>
      <c r="H215"/>
      <c r="I215" s="6">
        <f>SUM(I63:I74)</f>
        <v>129044170.58400086</v>
      </c>
      <c r="J215" s="36">
        <f t="shared" si="12"/>
        <v>-2823846.4159991443</v>
      </c>
      <c r="K215" s="5">
        <f t="shared" si="13"/>
        <v>-2.141418730820184E-2</v>
      </c>
    </row>
    <row r="216" spans="1:11" x14ac:dyDescent="0.2">
      <c r="A216" s="16">
        <v>2009</v>
      </c>
      <c r="B216" s="6">
        <f>SUM(B75:B86)</f>
        <v>128019505</v>
      </c>
      <c r="C216" s="131">
        <f t="shared" si="14"/>
        <v>-3848512</v>
      </c>
      <c r="D216" s="133">
        <f t="shared" si="15"/>
        <v>-2.9184574755529994E-2</v>
      </c>
      <c r="E216" s="133">
        <f>RATE(6,0,-B$210,B216)</f>
        <v>5.1356747601914686E-3</v>
      </c>
      <c r="F216" s="209"/>
      <c r="G216" s="209"/>
      <c r="H216"/>
      <c r="I216" s="6">
        <f>SUM(I75:I86)</f>
        <v>131662739.49860603</v>
      </c>
      <c r="J216" s="36">
        <f t="shared" si="12"/>
        <v>3643234.4986060262</v>
      </c>
      <c r="K216" s="5">
        <f t="shared" si="13"/>
        <v>2.8458432944308183E-2</v>
      </c>
    </row>
    <row r="217" spans="1:11" x14ac:dyDescent="0.2">
      <c r="A217">
        <v>2010</v>
      </c>
      <c r="B217" s="6">
        <f>SUM(B87:B98)</f>
        <v>131282103</v>
      </c>
      <c r="C217" s="131">
        <f t="shared" si="14"/>
        <v>3262598</v>
      </c>
      <c r="D217" s="133">
        <f t="shared" si="15"/>
        <v>2.5485163374128029E-2</v>
      </c>
      <c r="E217" s="133">
        <f>RATE(7,0,-B$210,B217)</f>
        <v>8.0178325628356955E-3</v>
      </c>
      <c r="F217" s="209"/>
      <c r="G217" s="209"/>
      <c r="H217"/>
      <c r="I217" s="6">
        <f>SUM(I87:I98)</f>
        <v>132485863.19813991</v>
      </c>
      <c r="J217" s="36">
        <f t="shared" si="12"/>
        <v>1203760.1981399059</v>
      </c>
      <c r="K217" s="5">
        <f t="shared" si="13"/>
        <v>9.1692635220804314E-3</v>
      </c>
    </row>
    <row r="218" spans="1:11" x14ac:dyDescent="0.2">
      <c r="A218">
        <v>2011</v>
      </c>
      <c r="B218" s="6">
        <f>SUM(B99:B110)</f>
        <v>135695878</v>
      </c>
      <c r="C218" s="131">
        <f t="shared" si="14"/>
        <v>4413775</v>
      </c>
      <c r="D218" s="133">
        <f t="shared" si="15"/>
        <v>3.3620538513158951E-2</v>
      </c>
      <c r="E218" s="133">
        <f>RATE(8,0,-B$210,B218)</f>
        <v>1.1183162789080017E-2</v>
      </c>
      <c r="F218" s="209"/>
      <c r="G218" s="209"/>
      <c r="H218"/>
      <c r="I218" s="6">
        <f>SUM(I99:I110)</f>
        <v>133035957.78878719</v>
      </c>
      <c r="J218" s="36">
        <f t="shared" si="12"/>
        <v>-2659920.2112128139</v>
      </c>
      <c r="K218" s="5">
        <f t="shared" si="13"/>
        <v>-1.9602070824972399E-2</v>
      </c>
    </row>
    <row r="219" spans="1:11" x14ac:dyDescent="0.2">
      <c r="A219">
        <v>2012</v>
      </c>
      <c r="B219" s="6">
        <f>SUM(B111:B122)</f>
        <v>131590801</v>
      </c>
      <c r="C219" s="131">
        <f t="shared" si="14"/>
        <v>-4105077</v>
      </c>
      <c r="D219" s="133">
        <f t="shared" si="15"/>
        <v>-3.025203904867324E-2</v>
      </c>
      <c r="E219" s="133">
        <f>RATE(9,0,-B$210,B219)</f>
        <v>6.493175751213668E-3</v>
      </c>
      <c r="F219" s="209"/>
      <c r="G219" s="209"/>
      <c r="H219"/>
      <c r="I219" s="6">
        <f>SUM(I111:I122)</f>
        <v>132319896.61765286</v>
      </c>
      <c r="J219" s="36">
        <f t="shared" si="12"/>
        <v>729095.61765286326</v>
      </c>
      <c r="K219" s="5">
        <f t="shared" si="13"/>
        <v>5.5406275523230781E-3</v>
      </c>
    </row>
    <row r="220" spans="1:11" x14ac:dyDescent="0.2">
      <c r="A220">
        <v>2013</v>
      </c>
      <c r="B220" s="6">
        <f>SUM(B123:B134)</f>
        <v>132382128</v>
      </c>
      <c r="C220" s="131">
        <f t="shared" si="14"/>
        <v>791327</v>
      </c>
      <c r="D220" s="133">
        <f t="shared" si="15"/>
        <v>6.0135434543027062E-3</v>
      </c>
      <c r="E220" s="133">
        <f>RATE(10,0,-B$210,B220)</f>
        <v>6.4452022330804253E-3</v>
      </c>
      <c r="F220" s="209"/>
      <c r="G220" s="209"/>
      <c r="H220"/>
      <c r="I220" s="6">
        <f ca="1">SUM(I123:I134)</f>
        <v>132434907.4760507</v>
      </c>
      <c r="J220" s="36">
        <f t="shared" ca="1" si="12"/>
        <v>52779.476050704718</v>
      </c>
      <c r="K220" s="5">
        <f t="shared" ca="1" si="13"/>
        <v>3.9869034323654866E-4</v>
      </c>
    </row>
    <row r="221" spans="1:11" x14ac:dyDescent="0.2">
      <c r="A221">
        <v>2014</v>
      </c>
      <c r="B221" s="6">
        <f>SUM(B135:B146)</f>
        <v>133729082</v>
      </c>
      <c r="C221" s="131">
        <f t="shared" ref="C221" si="16">+B221-B220</f>
        <v>1346954</v>
      </c>
      <c r="D221" s="133">
        <f t="shared" ref="D221" si="17">+C221/B220</f>
        <v>1.0174742016535647E-2</v>
      </c>
      <c r="E221" s="133">
        <f>RATE(10,0,-B$210,B221)</f>
        <v>7.4645755866290337E-3</v>
      </c>
      <c r="F221" s="126"/>
      <c r="G221" s="209"/>
      <c r="H221"/>
      <c r="I221" s="6">
        <f>SUM(I135:I146)</f>
        <v>132894135.42444518</v>
      </c>
      <c r="J221" s="36">
        <f t="shared" si="12"/>
        <v>-834946.57555481791</v>
      </c>
      <c r="K221" s="5">
        <f t="shared" si="13"/>
        <v>-6.2435676897476793E-3</v>
      </c>
    </row>
    <row r="222" spans="1:11" x14ac:dyDescent="0.2">
      <c r="A222">
        <v>2015</v>
      </c>
      <c r="B222" s="6">
        <f t="shared" ref="B222:B226" ca="1" si="18">+I222</f>
        <v>132329978.3561509</v>
      </c>
      <c r="C222" s="131">
        <f t="shared" ca="1" si="14"/>
        <v>-1399103.6438491046</v>
      </c>
      <c r="D222" s="133">
        <f t="shared" ca="1" si="15"/>
        <v>-1.0462224244155842E-2</v>
      </c>
      <c r="E222" s="133">
        <f ca="1">RATE(12,0,-B$210,B222)</f>
        <v>5.3351143948137999E-3</v>
      </c>
      <c r="F222" s="126"/>
      <c r="G222" s="209"/>
      <c r="H222"/>
      <c r="I222" s="6">
        <f ca="1">SUM(I147:I158)</f>
        <v>132329978.3561509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t="shared" ca="1" si="18"/>
        <v>132033412.56119041</v>
      </c>
      <c r="C223" s="131">
        <f t="shared" ca="1" si="14"/>
        <v>-296565.79496048391</v>
      </c>
      <c r="D223" s="133">
        <f t="shared" ca="1" si="15"/>
        <v>-2.2411081649413652E-3</v>
      </c>
      <c r="E223" s="133">
        <f ca="1">RATE(13,0,-B$210,B223)</f>
        <v>4.7502911725310843E-3</v>
      </c>
      <c r="F223" s="126"/>
      <c r="G223" s="209"/>
      <c r="H223"/>
      <c r="I223" s="6">
        <f ca="1">SUM(I159:I170)</f>
        <v>132033412.56119041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t="shared" ca="1" si="18"/>
        <v>132333190.99794121</v>
      </c>
      <c r="C224" s="131">
        <f t="shared" ca="1" si="14"/>
        <v>299778.43675079942</v>
      </c>
      <c r="D224" s="133">
        <f t="shared" ca="1" si="15"/>
        <v>2.2704740484676043E-3</v>
      </c>
      <c r="E224" s="133">
        <f ca="1">RATE(14,0,-B$210,B224)</f>
        <v>4.572958082242882E-3</v>
      </c>
      <c r="F224" s="126"/>
      <c r="G224" s="209"/>
      <c r="H224"/>
      <c r="I224" s="6">
        <f ca="1">SUM(I171:I182)</f>
        <v>132333190.99794121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132334797.31883636</v>
      </c>
      <c r="C225" s="131">
        <f t="shared" ca="1" si="14"/>
        <v>1606.3208951503038</v>
      </c>
      <c r="D225" s="133">
        <f t="shared" ca="1" si="15"/>
        <v>1.2138458107424421E-5</v>
      </c>
      <c r="E225" s="133">
        <f ca="1">RATE(15,0,-B$210,B225)</f>
        <v>4.2682573508479029E-3</v>
      </c>
      <c r="F225" s="126"/>
      <c r="G225" s="209"/>
      <c r="H225"/>
      <c r="I225" s="6">
        <f ca="1">SUM(I183:I194)</f>
        <v>132334797.31883636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132336403.63973153</v>
      </c>
      <c r="C226" s="131">
        <f t="shared" ca="1" si="14"/>
        <v>1606.320895165205</v>
      </c>
      <c r="D226" s="133">
        <f t="shared" ca="1" si="15"/>
        <v>1.2138310767160282E-5</v>
      </c>
      <c r="E226" s="133">
        <f ca="1">RATE(16,0,-B$210,B226)</f>
        <v>4.0017200157920277E-3</v>
      </c>
      <c r="F226" s="126"/>
      <c r="G226" s="209"/>
      <c r="H226"/>
      <c r="I226" s="6">
        <f ca="1">SUM(I195:I206)</f>
        <v>132336403.63973153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24"/>
      <c r="D227" s="209"/>
      <c r="F227" s="209"/>
      <c r="G227" s="209"/>
      <c r="H227"/>
      <c r="J227" s="209"/>
      <c r="K227" s="209"/>
    </row>
    <row r="228" spans="1:11" x14ac:dyDescent="0.2">
      <c r="A228" t="s">
        <v>9</v>
      </c>
      <c r="B228" s="6">
        <f ca="1">SUM(B210:B226)</f>
        <v>2248379241.8738503</v>
      </c>
      <c r="C228" s="124"/>
      <c r="D228" s="209"/>
      <c r="F228" s="209"/>
      <c r="G228" s="209"/>
      <c r="H228"/>
      <c r="I228" s="6">
        <f ca="1">SUM(I210:I226)</f>
        <v>2248379241.8738503</v>
      </c>
      <c r="J228" s="213">
        <f ca="1">I228-B228</f>
        <v>0</v>
      </c>
      <c r="K228" s="209"/>
    </row>
    <row r="229" spans="1:11" x14ac:dyDescent="0.2">
      <c r="C229" s="209"/>
      <c r="D229" s="209"/>
      <c r="F229" s="209"/>
      <c r="G229" s="209"/>
      <c r="H229"/>
      <c r="I229" s="209"/>
      <c r="J229" s="62"/>
      <c r="K229" s="209"/>
    </row>
    <row r="230" spans="1:11" x14ac:dyDescent="0.2">
      <c r="C230" s="209"/>
      <c r="D230" s="209"/>
      <c r="F230" s="209"/>
      <c r="G230" s="209"/>
      <c r="H230"/>
      <c r="I230" s="6">
        <f ca="1">SUM(I210:I226)</f>
        <v>2248379241.8738503</v>
      </c>
      <c r="J230" s="213">
        <f ca="1">I208-I230</f>
        <v>0</v>
      </c>
      <c r="K230" s="209"/>
    </row>
    <row r="231" spans="1:11" x14ac:dyDescent="0.2">
      <c r="C231" s="209"/>
      <c r="D231" s="209"/>
      <c r="F231" s="209"/>
      <c r="G231" s="209"/>
      <c r="H231"/>
      <c r="I231" s="23"/>
      <c r="J231" s="214" t="s">
        <v>69</v>
      </c>
      <c r="K231" s="18"/>
    </row>
    <row r="232" spans="1:11" x14ac:dyDescent="0.2">
      <c r="I232" s="11"/>
      <c r="J232" s="11"/>
      <c r="K232" s="11"/>
    </row>
    <row r="244" spans="9:11" x14ac:dyDescent="0.2">
      <c r="I244" s="11"/>
      <c r="J244" s="11"/>
      <c r="K244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3"/>
  <sheetViews>
    <sheetView workbookViewId="0"/>
  </sheetViews>
  <sheetFormatPr defaultRowHeight="12.75" x14ac:dyDescent="0.2"/>
  <cols>
    <col min="1" max="1" width="11.85546875" customWidth="1"/>
    <col min="2" max="2" width="18" style="6" customWidth="1"/>
    <col min="3" max="3" width="12.28515625" style="1" bestFit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4" style="6" bestFit="1" customWidth="1"/>
    <col min="10" max="10" width="21.5703125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4.28515625" style="6" bestFit="1" customWidth="1"/>
    <col min="15" max="15" width="24.42578125" style="6" bestFit="1" customWidth="1"/>
    <col min="16" max="16" width="22.85546875" style="6" bestFit="1" customWidth="1"/>
    <col min="17" max="17" width="9.7109375" style="6" bestFit="1" customWidth="1"/>
    <col min="18" max="18" width="14.5703125" bestFit="1" customWidth="1"/>
    <col min="19" max="19" width="15" bestFit="1" customWidth="1"/>
    <col min="20" max="20" width="14.5703125" bestFit="1" customWidth="1"/>
    <col min="21" max="21" width="15" bestFit="1" customWidth="1"/>
  </cols>
  <sheetData>
    <row r="2" spans="1:18" ht="42" customHeight="1" x14ac:dyDescent="0.2">
      <c r="B2" s="7" t="s">
        <v>199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20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41">
        <v>23662140</v>
      </c>
      <c r="C3" s="215">
        <f>+'Purchased Power Model '!C3</f>
        <v>786</v>
      </c>
      <c r="D3" s="215">
        <f>+'Purchased Power Model '!D3</f>
        <v>0</v>
      </c>
      <c r="E3" s="126">
        <f>+'Purchased Power Model '!E3</f>
        <v>4.7E-2</v>
      </c>
      <c r="F3" s="57">
        <f>+'Purchased Power Model '!F3</f>
        <v>31</v>
      </c>
      <c r="G3" s="57">
        <f>+'Purchased Power Model '!G3</f>
        <v>0</v>
      </c>
      <c r="H3" s="42">
        <v>570.66666666666663</v>
      </c>
      <c r="I3" s="222">
        <f>$N$18+C3*$N$19+D3*$N$20+E3*$N$21+F3*$N$22+G3*$N$23</f>
        <v>32532031.180641804</v>
      </c>
      <c r="J3" s="36">
        <f>I3-B3</f>
        <v>8869891.1806418039</v>
      </c>
      <c r="K3" s="5">
        <f>J3/B3</f>
        <v>0.37485583217079282</v>
      </c>
      <c r="M3"/>
      <c r="N3"/>
      <c r="O3"/>
      <c r="P3"/>
      <c r="Q3"/>
    </row>
    <row r="4" spans="1:18" x14ac:dyDescent="0.2">
      <c r="A4" s="3">
        <v>37653</v>
      </c>
      <c r="B4" s="41">
        <v>28617624</v>
      </c>
      <c r="C4" s="215">
        <f>+'Purchased Power Model '!C4</f>
        <v>686.5</v>
      </c>
      <c r="D4" s="215">
        <f>+'Purchased Power Model '!D4</f>
        <v>0</v>
      </c>
      <c r="E4" s="126">
        <f>+'Purchased Power Model '!E4</f>
        <v>4.7E-2</v>
      </c>
      <c r="F4" s="57">
        <f>+'Purchased Power Model '!F4</f>
        <v>28</v>
      </c>
      <c r="G4" s="57">
        <f>+'Purchased Power Model '!G4</f>
        <v>0</v>
      </c>
      <c r="H4" s="42">
        <v>568.33333333333326</v>
      </c>
      <c r="I4" s="222">
        <f t="shared" ref="I4:I67" si="0">$N$18+C4*$N$19+D4*$N$20+E4*$N$21+F4*$N$22+G4*$N$23</f>
        <v>33442495.809460416</v>
      </c>
      <c r="J4" s="36">
        <f t="shared" ref="J4:J67" si="1">I4-B4</f>
        <v>4824871.8094604164</v>
      </c>
      <c r="K4" s="5">
        <f t="shared" ref="K4:K67" si="2">J4/B4</f>
        <v>0.16859791747422556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41">
        <v>27305059</v>
      </c>
      <c r="C5" s="215">
        <f>+'Purchased Power Model '!C5</f>
        <v>572.5</v>
      </c>
      <c r="D5" s="215">
        <f>+'Purchased Power Model '!D5</f>
        <v>0</v>
      </c>
      <c r="E5" s="126">
        <f>+'Purchased Power Model '!E5</f>
        <v>4.7E-2</v>
      </c>
      <c r="F5" s="57">
        <f>+'Purchased Power Model '!F5</f>
        <v>31</v>
      </c>
      <c r="G5" s="57">
        <f>+'Purchased Power Model '!G5</f>
        <v>1</v>
      </c>
      <c r="H5" s="42">
        <v>565.99999999999989</v>
      </c>
      <c r="I5" s="222">
        <f t="shared" si="0"/>
        <v>30098399.982732348</v>
      </c>
      <c r="J5" s="36">
        <f t="shared" si="1"/>
        <v>2793340.9827323481</v>
      </c>
      <c r="K5" s="5">
        <f t="shared" si="2"/>
        <v>0.10230122493902497</v>
      </c>
      <c r="M5" s="35" t="s">
        <v>20</v>
      </c>
      <c r="N5" s="118">
        <v>0.6067706368462833</v>
      </c>
      <c r="O5"/>
      <c r="P5"/>
      <c r="Q5"/>
    </row>
    <row r="6" spans="1:18" x14ac:dyDescent="0.2">
      <c r="A6" s="3">
        <v>37712</v>
      </c>
      <c r="B6" s="41">
        <v>26547174</v>
      </c>
      <c r="C6" s="215">
        <f>+'Purchased Power Model '!C6</f>
        <v>403.9</v>
      </c>
      <c r="D6" s="215">
        <f>+'Purchased Power Model '!D6</f>
        <v>0</v>
      </c>
      <c r="E6" s="126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42">
        <v>563.66666666666652</v>
      </c>
      <c r="I6" s="222">
        <f t="shared" si="0"/>
        <v>29223320.197168067</v>
      </c>
      <c r="J6" s="36">
        <f t="shared" si="1"/>
        <v>2676146.1971680671</v>
      </c>
      <c r="K6" s="5">
        <f t="shared" si="2"/>
        <v>0.10080719692303471</v>
      </c>
      <c r="M6" s="35" t="s">
        <v>21</v>
      </c>
      <c r="N6" s="118">
        <v>0.36817060573884425</v>
      </c>
      <c r="O6"/>
      <c r="P6"/>
      <c r="Q6"/>
    </row>
    <row r="7" spans="1:18" x14ac:dyDescent="0.2">
      <c r="A7" s="3">
        <v>37742</v>
      </c>
      <c r="B7" s="41">
        <v>25198381</v>
      </c>
      <c r="C7" s="215">
        <f>+'Purchased Power Model '!C7</f>
        <v>192</v>
      </c>
      <c r="D7" s="215">
        <f>+'Purchased Power Model '!D7</f>
        <v>0</v>
      </c>
      <c r="E7" s="126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42">
        <v>561.33333333333314</v>
      </c>
      <c r="I7" s="222">
        <f t="shared" si="0"/>
        <v>26252823.424074329</v>
      </c>
      <c r="J7" s="36">
        <f t="shared" si="1"/>
        <v>1054442.4240743294</v>
      </c>
      <c r="K7" s="5">
        <f t="shared" si="2"/>
        <v>4.1845641752711389E-2</v>
      </c>
      <c r="M7" s="35" t="s">
        <v>22</v>
      </c>
      <c r="N7" s="118">
        <v>0.34527823638155603</v>
      </c>
      <c r="O7"/>
      <c r="P7"/>
      <c r="Q7"/>
    </row>
    <row r="8" spans="1:18" x14ac:dyDescent="0.2">
      <c r="A8" s="3">
        <v>37773</v>
      </c>
      <c r="B8" s="41">
        <v>16128368</v>
      </c>
      <c r="C8" s="215">
        <f>+'Purchased Power Model '!C8</f>
        <v>55.1</v>
      </c>
      <c r="D8" s="215">
        <f>+'Purchased Power Model '!D8</f>
        <v>31</v>
      </c>
      <c r="E8" s="126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42">
        <v>558.99999999999977</v>
      </c>
      <c r="I8" s="222">
        <f t="shared" si="0"/>
        <v>26343621.592579994</v>
      </c>
      <c r="J8" s="36">
        <f t="shared" si="1"/>
        <v>10215253.592579994</v>
      </c>
      <c r="K8" s="5">
        <f t="shared" si="2"/>
        <v>0.63337180752448075</v>
      </c>
      <c r="M8" s="35" t="s">
        <v>23</v>
      </c>
      <c r="N8" s="68">
        <v>3197894.1772489422</v>
      </c>
      <c r="O8"/>
      <c r="P8"/>
      <c r="Q8"/>
    </row>
    <row r="9" spans="1:18" ht="13.5" thickBot="1" x14ac:dyDescent="0.25">
      <c r="A9" s="3">
        <v>37803</v>
      </c>
      <c r="B9" s="41">
        <v>18871062</v>
      </c>
      <c r="C9" s="215">
        <f>+'Purchased Power Model '!C9</f>
        <v>5.7</v>
      </c>
      <c r="D9" s="215">
        <f>+'Purchased Power Model '!D9</f>
        <v>59.1</v>
      </c>
      <c r="E9" s="126">
        <f>+'Purchased Power Model '!E9</f>
        <v>5.2000000000000005E-2</v>
      </c>
      <c r="F9" s="57">
        <f>+'Purchased Power Model '!F9</f>
        <v>31</v>
      </c>
      <c r="G9" s="57">
        <f>+'Purchased Power Model '!G9</f>
        <v>0</v>
      </c>
      <c r="H9" s="42">
        <v>556.6666666666664</v>
      </c>
      <c r="I9" s="222">
        <f t="shared" si="0"/>
        <v>25740978.703947406</v>
      </c>
      <c r="J9" s="36">
        <f t="shared" si="1"/>
        <v>6869916.7039474063</v>
      </c>
      <c r="K9" s="5">
        <f t="shared" si="2"/>
        <v>0.36404504971407575</v>
      </c>
      <c r="M9" s="51" t="s">
        <v>24</v>
      </c>
      <c r="N9" s="69">
        <v>144</v>
      </c>
      <c r="O9"/>
      <c r="P9"/>
      <c r="Q9"/>
    </row>
    <row r="10" spans="1:18" x14ac:dyDescent="0.2">
      <c r="A10" s="3">
        <v>37834</v>
      </c>
      <c r="B10" s="41">
        <v>20660581</v>
      </c>
      <c r="C10" s="215">
        <f>+'Purchased Power Model '!C10</f>
        <v>10.4</v>
      </c>
      <c r="D10" s="215">
        <f>+'Purchased Power Model '!D10</f>
        <v>106.5</v>
      </c>
      <c r="E10" s="126">
        <f>+'Purchased Power Model '!E10</f>
        <v>5.2000000000000005E-2</v>
      </c>
      <c r="F10" s="57">
        <f>+'Purchased Power Model '!F10</f>
        <v>31</v>
      </c>
      <c r="G10" s="57">
        <f>+'Purchased Power Model '!G10</f>
        <v>0</v>
      </c>
      <c r="H10" s="42">
        <v>554.33333333333303</v>
      </c>
      <c r="I10" s="222">
        <f t="shared" si="0"/>
        <v>27024622.383778859</v>
      </c>
      <c r="J10" s="36">
        <f t="shared" si="1"/>
        <v>6364041.3837788589</v>
      </c>
      <c r="K10" s="5">
        <f t="shared" si="2"/>
        <v>0.30802819067764159</v>
      </c>
      <c r="M10"/>
      <c r="N10"/>
      <c r="O10"/>
      <c r="P10"/>
      <c r="Q10"/>
    </row>
    <row r="11" spans="1:18" ht="13.5" thickBot="1" x14ac:dyDescent="0.25">
      <c r="A11" s="3">
        <v>37865</v>
      </c>
      <c r="B11" s="41">
        <v>19684349</v>
      </c>
      <c r="C11" s="215">
        <f>+'Purchased Power Model '!C11</f>
        <v>55.2</v>
      </c>
      <c r="D11" s="215">
        <f>+'Purchased Power Model '!D11</f>
        <v>12.1</v>
      </c>
      <c r="E11" s="126">
        <f>+'Purchased Power Model '!E11</f>
        <v>5.2000000000000005E-2</v>
      </c>
      <c r="F11" s="57">
        <f>+'Purchased Power Model '!F11</f>
        <v>30</v>
      </c>
      <c r="G11" s="57">
        <f>+'Purchased Power Model '!G11</f>
        <v>1</v>
      </c>
      <c r="H11" s="42">
        <v>551.99999999999966</v>
      </c>
      <c r="I11" s="222">
        <f t="shared" si="0"/>
        <v>25611860.964236818</v>
      </c>
      <c r="J11" s="36">
        <f t="shared" si="1"/>
        <v>5927511.9642368183</v>
      </c>
      <c r="K11" s="5">
        <f t="shared" si="2"/>
        <v>0.30112816858900532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41">
        <v>23357580</v>
      </c>
      <c r="C12" s="215">
        <f>+'Purchased Power Model '!C12</f>
        <v>289.7</v>
      </c>
      <c r="D12" s="215">
        <f>+'Purchased Power Model '!D12</f>
        <v>0</v>
      </c>
      <c r="E12" s="126">
        <f>+'Purchased Power Model '!E12</f>
        <v>4.7E-2</v>
      </c>
      <c r="F12" s="57">
        <f>+'Purchased Power Model '!F12</f>
        <v>31</v>
      </c>
      <c r="G12" s="57">
        <f>+'Purchased Power Model '!G12</f>
        <v>1</v>
      </c>
      <c r="H12" s="42">
        <v>549.66666666666629</v>
      </c>
      <c r="I12" s="222">
        <f t="shared" si="0"/>
        <v>27020747.554464094</v>
      </c>
      <c r="J12" s="36">
        <f t="shared" si="1"/>
        <v>3663167.5544640943</v>
      </c>
      <c r="K12" s="5">
        <f t="shared" si="2"/>
        <v>0.15682992649341645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41">
        <v>25075881</v>
      </c>
      <c r="C13" s="215">
        <f>+'Purchased Power Model '!C13</f>
        <v>387.6</v>
      </c>
      <c r="D13" s="215">
        <f>+'Purchased Power Model '!D13</f>
        <v>0</v>
      </c>
      <c r="E13" s="126">
        <f>+'Purchased Power Model '!E13</f>
        <v>4.7E-2</v>
      </c>
      <c r="F13" s="57">
        <f>+'Purchased Power Model '!F13</f>
        <v>30</v>
      </c>
      <c r="G13" s="57">
        <f>+'Purchased Power Model '!G13</f>
        <v>1</v>
      </c>
      <c r="H13" s="42">
        <v>547.33333333333292</v>
      </c>
      <c r="I13" s="222">
        <f t="shared" si="0"/>
        <v>28750606.502866954</v>
      </c>
      <c r="J13" s="36">
        <f t="shared" si="1"/>
        <v>3674725.5028669536</v>
      </c>
      <c r="K13" s="5">
        <f t="shared" si="2"/>
        <v>0.14654422322657193</v>
      </c>
      <c r="M13" s="35" t="s">
        <v>26</v>
      </c>
      <c r="N13" s="68">
        <v>5</v>
      </c>
      <c r="O13" s="68">
        <v>822349719159495.75</v>
      </c>
      <c r="P13" s="68">
        <v>164469943831899.16</v>
      </c>
      <c r="Q13" s="68">
        <v>16.08267803094963</v>
      </c>
      <c r="R13" s="68">
        <v>1.7891893520161221E-12</v>
      </c>
    </row>
    <row r="14" spans="1:18" x14ac:dyDescent="0.2">
      <c r="A14" s="3">
        <v>37956</v>
      </c>
      <c r="B14" s="41">
        <v>26135926.5</v>
      </c>
      <c r="C14" s="215">
        <f>+'Purchased Power Model '!C14</f>
        <v>548.20000000000005</v>
      </c>
      <c r="D14" s="215">
        <f>+'Purchased Power Model '!D14</f>
        <v>0</v>
      </c>
      <c r="E14" s="126">
        <f>+'Purchased Power Model '!E14</f>
        <v>4.7E-2</v>
      </c>
      <c r="F14" s="57">
        <f>+'Purchased Power Model '!F14</f>
        <v>31</v>
      </c>
      <c r="G14" s="57">
        <f>+'Purchased Power Model '!G14</f>
        <v>0</v>
      </c>
      <c r="H14" s="42">
        <v>545</v>
      </c>
      <c r="I14" s="222">
        <f t="shared" si="0"/>
        <v>29944104.209488366</v>
      </c>
      <c r="J14" s="36">
        <f t="shared" si="1"/>
        <v>3808177.7094883658</v>
      </c>
      <c r="K14" s="5">
        <f t="shared" si="2"/>
        <v>0.14570662759892464</v>
      </c>
      <c r="M14" s="35" t="s">
        <v>27</v>
      </c>
      <c r="N14" s="68">
        <v>138</v>
      </c>
      <c r="O14" s="68">
        <v>1411260749305811.2</v>
      </c>
      <c r="P14" s="68">
        <v>10226527168882.689</v>
      </c>
      <c r="Q14" s="68"/>
      <c r="R14" s="68"/>
    </row>
    <row r="15" spans="1:18" ht="13.5" thickBot="1" x14ac:dyDescent="0.25">
      <c r="A15" s="3">
        <v>37987</v>
      </c>
      <c r="B15" s="41">
        <v>31050925</v>
      </c>
      <c r="C15" s="215">
        <f>+'Purchased Power Model '!C15</f>
        <v>828.8</v>
      </c>
      <c r="D15" s="215">
        <f>+'Purchased Power Model '!D15</f>
        <v>0</v>
      </c>
      <c r="E15" s="126">
        <f>+'Purchased Power Model '!E15</f>
        <v>0.05</v>
      </c>
      <c r="F15" s="57">
        <f>+'Purchased Power Model '!F15</f>
        <v>31</v>
      </c>
      <c r="G15" s="57">
        <f>+'Purchased Power Model '!G15</f>
        <v>0</v>
      </c>
      <c r="H15" s="42">
        <v>546</v>
      </c>
      <c r="I15" s="222">
        <f t="shared" si="0"/>
        <v>33096255.92127974</v>
      </c>
      <c r="J15" s="36">
        <f t="shared" si="1"/>
        <v>2045330.9212797396</v>
      </c>
      <c r="K15" s="5">
        <f t="shared" si="2"/>
        <v>6.5870209060752277E-2</v>
      </c>
      <c r="M15" s="51" t="s">
        <v>9</v>
      </c>
      <c r="N15" s="69">
        <v>143</v>
      </c>
      <c r="O15" s="69">
        <v>2233610468465307</v>
      </c>
      <c r="P15" s="69"/>
      <c r="Q15" s="69"/>
      <c r="R15" s="69"/>
    </row>
    <row r="16" spans="1:18" ht="13.5" thickBot="1" x14ac:dyDescent="0.25">
      <c r="A16" s="3">
        <v>38018</v>
      </c>
      <c r="B16" s="41">
        <v>36406043</v>
      </c>
      <c r="C16" s="215">
        <f>+'Purchased Power Model '!C16</f>
        <v>615.6</v>
      </c>
      <c r="D16" s="215">
        <f>+'Purchased Power Model '!D16</f>
        <v>0</v>
      </c>
      <c r="E16" s="126">
        <f>+'Purchased Power Model '!E16</f>
        <v>0.05</v>
      </c>
      <c r="F16" s="57">
        <f>+'Purchased Power Model '!F16</f>
        <v>29</v>
      </c>
      <c r="G16" s="57">
        <f>+'Purchased Power Model '!G16</f>
        <v>0</v>
      </c>
      <c r="H16" s="42">
        <v>513</v>
      </c>
      <c r="I16" s="222">
        <f t="shared" si="0"/>
        <v>32104913.552308515</v>
      </c>
      <c r="J16" s="36">
        <f t="shared" si="1"/>
        <v>-4301129.4476914853</v>
      </c>
      <c r="K16" s="5">
        <f t="shared" si="2"/>
        <v>-0.11814328318217625</v>
      </c>
      <c r="M16"/>
      <c r="N16"/>
      <c r="O16"/>
      <c r="P16"/>
      <c r="Q16"/>
    </row>
    <row r="17" spans="1:21" x14ac:dyDescent="0.2">
      <c r="A17" s="3">
        <v>38047</v>
      </c>
      <c r="B17" s="41">
        <v>38126322</v>
      </c>
      <c r="C17" s="215">
        <f>+'Purchased Power Model '!C17</f>
        <v>487.1</v>
      </c>
      <c r="D17" s="215">
        <f>+'Purchased Power Model '!D17</f>
        <v>0</v>
      </c>
      <c r="E17" s="126">
        <f>+'Purchased Power Model '!E17</f>
        <v>0.05</v>
      </c>
      <c r="F17" s="57">
        <f>+'Purchased Power Model '!F17</f>
        <v>31</v>
      </c>
      <c r="G17" s="57">
        <f>+'Purchased Power Model '!G17</f>
        <v>1</v>
      </c>
      <c r="H17" s="42">
        <v>511</v>
      </c>
      <c r="I17" s="222">
        <f t="shared" si="0"/>
        <v>29267451.30998984</v>
      </c>
      <c r="J17" s="36">
        <f t="shared" si="1"/>
        <v>-8858870.6900101602</v>
      </c>
      <c r="K17" s="5">
        <f t="shared" si="2"/>
        <v>-0.2323557643459592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41">
        <v>33666701.487578265</v>
      </c>
      <c r="C18" s="215">
        <f>+'Purchased Power Model '!C18</f>
        <v>345</v>
      </c>
      <c r="D18" s="215">
        <f>+'Purchased Power Model '!D18</f>
        <v>0</v>
      </c>
      <c r="E18" s="126">
        <f>+'Purchased Power Model '!E18</f>
        <v>5.4000000000000006E-2</v>
      </c>
      <c r="F18" s="57">
        <f>+'Purchased Power Model '!F18</f>
        <v>30</v>
      </c>
      <c r="G18" s="57">
        <f>+'Purchased Power Model '!G18</f>
        <v>1</v>
      </c>
      <c r="H18" s="42">
        <v>505</v>
      </c>
      <c r="I18" s="222">
        <f t="shared" si="0"/>
        <v>28516696.376423068</v>
      </c>
      <c r="J18" s="36">
        <f t="shared" si="1"/>
        <v>-5150005.111155197</v>
      </c>
      <c r="K18" s="5">
        <f t="shared" si="2"/>
        <v>-0.15297029063139297</v>
      </c>
      <c r="M18" s="35" t="s">
        <v>28</v>
      </c>
      <c r="N18" s="68">
        <v>43033365.290855296</v>
      </c>
      <c r="O18" s="68">
        <v>10444447.241342215</v>
      </c>
      <c r="P18" s="68">
        <v>4.1202147223757803</v>
      </c>
      <c r="Q18" s="68">
        <v>6.4931480787554319E-5</v>
      </c>
      <c r="R18" s="68">
        <v>22381522.766028371</v>
      </c>
      <c r="S18" s="68">
        <v>63685207.815682217</v>
      </c>
      <c r="T18" s="68">
        <v>22381522.766028371</v>
      </c>
      <c r="U18" s="68">
        <v>63685207.815682217</v>
      </c>
    </row>
    <row r="19" spans="1:21" x14ac:dyDescent="0.2">
      <c r="A19" s="3">
        <v>38108</v>
      </c>
      <c r="B19" s="41">
        <v>28864544.396351375</v>
      </c>
      <c r="C19" s="215">
        <f>+'Purchased Power Model '!C19</f>
        <v>177.5</v>
      </c>
      <c r="D19" s="215">
        <f>+'Purchased Power Model '!D19</f>
        <v>0</v>
      </c>
      <c r="E19" s="126">
        <f>+'Purchased Power Model '!E19</f>
        <v>5.4000000000000006E-2</v>
      </c>
      <c r="F19" s="57">
        <f>+'Purchased Power Model '!F19</f>
        <v>31</v>
      </c>
      <c r="G19" s="57">
        <f>+'Purchased Power Model '!G19</f>
        <v>1</v>
      </c>
      <c r="H19" s="42">
        <v>504</v>
      </c>
      <c r="I19" s="222">
        <f t="shared" si="0"/>
        <v>26029395.387682617</v>
      </c>
      <c r="J19" s="36">
        <f t="shared" si="1"/>
        <v>-2835149.008668758</v>
      </c>
      <c r="K19" s="5">
        <f t="shared" si="2"/>
        <v>-9.8222544923561486E-2</v>
      </c>
      <c r="M19" s="35" t="s">
        <v>3</v>
      </c>
      <c r="N19" s="68">
        <v>10882.787935884917</v>
      </c>
      <c r="O19" s="68">
        <v>1627.6225433407067</v>
      </c>
      <c r="P19" s="68">
        <v>6.6863094151718485</v>
      </c>
      <c r="Q19" s="68">
        <v>5.2286908044066084E-10</v>
      </c>
      <c r="R19" s="68">
        <v>7664.4841158532781</v>
      </c>
      <c r="S19" s="68">
        <v>14101.091755916555</v>
      </c>
      <c r="T19" s="68">
        <v>7664.4841158532781</v>
      </c>
      <c r="U19" s="68">
        <v>14101.091755916555</v>
      </c>
    </row>
    <row r="20" spans="1:21" x14ac:dyDescent="0.2">
      <c r="A20" s="3">
        <v>38139</v>
      </c>
      <c r="B20" s="41">
        <v>28787116.822719466</v>
      </c>
      <c r="C20" s="215">
        <f>+'Purchased Power Model '!C20</f>
        <v>73.2</v>
      </c>
      <c r="D20" s="215">
        <f>+'Purchased Power Model '!D20</f>
        <v>15.6</v>
      </c>
      <c r="E20" s="126">
        <f>+'Purchased Power Model '!E20</f>
        <v>5.4000000000000006E-2</v>
      </c>
      <c r="F20" s="57">
        <f>+'Purchased Power Model '!F20</f>
        <v>30</v>
      </c>
      <c r="G20" s="57">
        <f>+'Purchased Power Model '!G20</f>
        <v>0</v>
      </c>
      <c r="H20" s="42">
        <v>506</v>
      </c>
      <c r="I20" s="222">
        <f t="shared" si="0"/>
        <v>26074541.715501402</v>
      </c>
      <c r="J20" s="36">
        <f t="shared" si="1"/>
        <v>-2712575.1072180644</v>
      </c>
      <c r="K20" s="5">
        <f t="shared" si="2"/>
        <v>-9.4228787270465256E-2</v>
      </c>
      <c r="M20" s="35" t="s">
        <v>4</v>
      </c>
      <c r="N20" s="68">
        <v>26001.995285501984</v>
      </c>
      <c r="O20" s="68">
        <v>12611.426983816726</v>
      </c>
      <c r="P20" s="68">
        <v>2.0617805835032263</v>
      </c>
      <c r="Q20" s="68">
        <v>4.1105093160740507E-2</v>
      </c>
      <c r="R20" s="68">
        <v>1065.3760403780325</v>
      </c>
      <c r="S20" s="68">
        <v>50938.614530625935</v>
      </c>
      <c r="T20" s="68">
        <v>1065.3760403780325</v>
      </c>
      <c r="U20" s="68">
        <v>50938.614530625935</v>
      </c>
    </row>
    <row r="21" spans="1:21" x14ac:dyDescent="0.2">
      <c r="A21" s="3">
        <v>38169</v>
      </c>
      <c r="B21" s="41">
        <v>29929744.994740829</v>
      </c>
      <c r="C21" s="215">
        <f>+'Purchased Power Model '!C21</f>
        <v>2</v>
      </c>
      <c r="D21" s="215">
        <f>+'Purchased Power Model '!D21</f>
        <v>69.3</v>
      </c>
      <c r="E21" s="126">
        <f>+'Purchased Power Model '!E21</f>
        <v>5.5E-2</v>
      </c>
      <c r="F21" s="57">
        <f>+'Purchased Power Model '!F21</f>
        <v>31</v>
      </c>
      <c r="G21" s="57">
        <f>+'Purchased Power Model '!G21</f>
        <v>0</v>
      </c>
      <c r="H21" s="42">
        <v>512</v>
      </c>
      <c r="I21" s="222">
        <f t="shared" si="0"/>
        <v>26064374.157478821</v>
      </c>
      <c r="J21" s="36">
        <f t="shared" si="1"/>
        <v>-3865370.8372620083</v>
      </c>
      <c r="K21" s="5">
        <f t="shared" si="2"/>
        <v>-0.12914813801257646</v>
      </c>
      <c r="M21" s="35" t="s">
        <v>223</v>
      </c>
      <c r="N21" s="68">
        <v>32813805.660688002</v>
      </c>
      <c r="O21" s="68">
        <v>17753368.328840688</v>
      </c>
      <c r="P21" s="68">
        <v>1.8483143622599969</v>
      </c>
      <c r="Q21" s="68">
        <v>6.6697332498430989E-2</v>
      </c>
      <c r="R21" s="68">
        <v>-2289992.4188502766</v>
      </c>
      <c r="S21" s="68">
        <v>67917603.740226284</v>
      </c>
      <c r="T21" s="68">
        <v>-2289992.4188502766</v>
      </c>
      <c r="U21" s="68">
        <v>67917603.740226284</v>
      </c>
    </row>
    <row r="22" spans="1:21" x14ac:dyDescent="0.2">
      <c r="A22" s="3">
        <v>38200</v>
      </c>
      <c r="B22" s="41">
        <v>32499982.567717485</v>
      </c>
      <c r="C22" s="215">
        <f>+'Purchased Power Model '!C22</f>
        <v>19.600000000000001</v>
      </c>
      <c r="D22" s="215">
        <f>+'Purchased Power Model '!D22</f>
        <v>53.6</v>
      </c>
      <c r="E22" s="126">
        <f>+'Purchased Power Model '!E22</f>
        <v>5.5E-2</v>
      </c>
      <c r="F22" s="57">
        <f>+'Purchased Power Model '!F22</f>
        <v>31</v>
      </c>
      <c r="G22" s="57">
        <f>+'Purchased Power Model '!G22</f>
        <v>0</v>
      </c>
      <c r="H22" s="42">
        <v>512</v>
      </c>
      <c r="I22" s="222">
        <f t="shared" si="0"/>
        <v>25847679.899168018</v>
      </c>
      <c r="J22" s="36">
        <f t="shared" si="1"/>
        <v>-6652302.6685494669</v>
      </c>
      <c r="K22" s="5">
        <f t="shared" si="2"/>
        <v>-0.20468634574460531</v>
      </c>
      <c r="M22" s="35" t="s">
        <v>5</v>
      </c>
      <c r="N22" s="68">
        <v>-664434.00947972178</v>
      </c>
      <c r="O22" s="68">
        <v>341644.40891460795</v>
      </c>
      <c r="P22" s="68">
        <v>-1.9448115998461817</v>
      </c>
      <c r="Q22" s="68">
        <v>5.3831282801849553E-2</v>
      </c>
      <c r="R22" s="68">
        <v>-1339968.7093405204</v>
      </c>
      <c r="S22" s="68">
        <v>11100.690381076885</v>
      </c>
      <c r="T22" s="68">
        <v>-1339968.7093405204</v>
      </c>
      <c r="U22" s="68">
        <v>11100.690381076885</v>
      </c>
    </row>
    <row r="23" spans="1:21" ht="13.5" thickBot="1" x14ac:dyDescent="0.25">
      <c r="A23" s="3">
        <v>38231</v>
      </c>
      <c r="B23" s="41">
        <v>29189627.730892576</v>
      </c>
      <c r="C23" s="215">
        <f>+'Purchased Power Model '!C23</f>
        <v>41.7</v>
      </c>
      <c r="D23" s="215">
        <f>+'Purchased Power Model '!D23</f>
        <v>26.7</v>
      </c>
      <c r="E23" s="126">
        <f>+'Purchased Power Model '!E23</f>
        <v>5.5E-2</v>
      </c>
      <c r="F23" s="57">
        <f>+'Purchased Power Model '!F23</f>
        <v>30</v>
      </c>
      <c r="G23" s="57">
        <f>+'Purchased Power Model '!G23</f>
        <v>1</v>
      </c>
      <c r="H23" s="42">
        <v>515</v>
      </c>
      <c r="I23" s="222">
        <f t="shared" si="0"/>
        <v>25943013.875252768</v>
      </c>
      <c r="J23" s="36">
        <f t="shared" si="1"/>
        <v>-3246613.8556398079</v>
      </c>
      <c r="K23" s="5">
        <f t="shared" si="2"/>
        <v>-0.11122491473927856</v>
      </c>
      <c r="M23" s="51" t="s">
        <v>17</v>
      </c>
      <c r="N23" s="69">
        <v>-110155.97359802325</v>
      </c>
      <c r="O23" s="69">
        <v>689065.80678017007</v>
      </c>
      <c r="P23" s="69">
        <v>-0.1598627772763159</v>
      </c>
      <c r="Q23" s="69">
        <v>0.87322292214745667</v>
      </c>
      <c r="R23" s="69">
        <v>-1472648.2340345969</v>
      </c>
      <c r="S23" s="69">
        <v>1252336.2868385506</v>
      </c>
      <c r="T23" s="69">
        <v>-1472648.2340345969</v>
      </c>
      <c r="U23" s="69">
        <v>1252336.2868385506</v>
      </c>
    </row>
    <row r="24" spans="1:21" x14ac:dyDescent="0.2">
      <c r="A24" s="3">
        <v>38261</v>
      </c>
      <c r="B24" s="41">
        <v>15440536</v>
      </c>
      <c r="C24" s="215">
        <f>+'Purchased Power Model '!C24</f>
        <v>235</v>
      </c>
      <c r="D24" s="215">
        <f>+'Purchased Power Model '!D24</f>
        <v>0</v>
      </c>
      <c r="E24" s="126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42">
        <v>515</v>
      </c>
      <c r="I24" s="222">
        <f t="shared" si="0"/>
        <v>26786410.916638762</v>
      </c>
      <c r="J24" s="36">
        <f t="shared" si="1"/>
        <v>11345874.916638762</v>
      </c>
      <c r="K24" s="5">
        <f t="shared" si="2"/>
        <v>0.73481094935038271</v>
      </c>
      <c r="M24"/>
      <c r="N24"/>
      <c r="O24"/>
      <c r="P24"/>
      <c r="Q24"/>
    </row>
    <row r="25" spans="1:21" x14ac:dyDescent="0.2">
      <c r="A25" s="3">
        <v>38292</v>
      </c>
      <c r="B25" s="41">
        <v>25555031</v>
      </c>
      <c r="C25" s="215">
        <f>+'Purchased Power Model '!C25</f>
        <v>385.7</v>
      </c>
      <c r="D25" s="215">
        <f>+'Purchased Power Model '!D25</f>
        <v>0</v>
      </c>
      <c r="E25" s="126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42">
        <v>513</v>
      </c>
      <c r="I25" s="222">
        <f t="shared" si="0"/>
        <v>29090881.068056338</v>
      </c>
      <c r="J25" s="36">
        <f t="shared" si="1"/>
        <v>3535850.0680563375</v>
      </c>
      <c r="K25" s="5">
        <f t="shared" si="2"/>
        <v>0.13836219052351523</v>
      </c>
      <c r="M25"/>
      <c r="N25"/>
      <c r="O25"/>
      <c r="P25"/>
      <c r="Q25"/>
    </row>
    <row r="26" spans="1:21" x14ac:dyDescent="0.2">
      <c r="A26" s="3">
        <v>38322</v>
      </c>
      <c r="B26" s="41">
        <v>31115405</v>
      </c>
      <c r="C26" s="215">
        <f>+'Purchased Power Model '!C26</f>
        <v>627.5</v>
      </c>
      <c r="D26" s="215">
        <f>+'Purchased Power Model '!D26</f>
        <v>0</v>
      </c>
      <c r="E26" s="126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42">
        <v>515</v>
      </c>
      <c r="I26" s="222">
        <f t="shared" si="0"/>
        <v>31168061.155071612</v>
      </c>
      <c r="J26" s="36">
        <f t="shared" si="1"/>
        <v>52656.155071612448</v>
      </c>
      <c r="K26" s="5">
        <f t="shared" si="2"/>
        <v>1.6922857045123612E-3</v>
      </c>
      <c r="M26"/>
      <c r="N26"/>
      <c r="O26"/>
      <c r="P26"/>
      <c r="Q26"/>
    </row>
    <row r="27" spans="1:21" x14ac:dyDescent="0.2">
      <c r="A27" s="3">
        <v>38353</v>
      </c>
      <c r="B27" s="41">
        <v>37040836</v>
      </c>
      <c r="C27" s="215">
        <f>+'Purchased Power Model '!C27</f>
        <v>745.5</v>
      </c>
      <c r="D27" s="215">
        <f>+'Purchased Power Model '!D27</f>
        <v>0</v>
      </c>
      <c r="E27" s="126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42">
        <v>515</v>
      </c>
      <c r="I27" s="222">
        <f t="shared" si="0"/>
        <v>32911623.41075566</v>
      </c>
      <c r="J27" s="36">
        <f t="shared" si="1"/>
        <v>-4129212.5892443396</v>
      </c>
      <c r="K27" s="5">
        <f t="shared" si="2"/>
        <v>-0.11147730545942158</v>
      </c>
      <c r="M27"/>
      <c r="N27"/>
      <c r="O27"/>
      <c r="P27"/>
      <c r="Q27"/>
    </row>
    <row r="28" spans="1:21" x14ac:dyDescent="0.2">
      <c r="A28" s="3">
        <v>38384</v>
      </c>
      <c r="B28" s="41">
        <v>34565800</v>
      </c>
      <c r="C28" s="215">
        <f>+'Purchased Power Model '!C28</f>
        <v>589.5</v>
      </c>
      <c r="D28" s="215">
        <f>+'Purchased Power Model '!D28</f>
        <v>0</v>
      </c>
      <c r="E28" s="126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42">
        <v>520</v>
      </c>
      <c r="I28" s="222">
        <f t="shared" si="0"/>
        <v>33207210.521196783</v>
      </c>
      <c r="J28" s="36">
        <f t="shared" si="1"/>
        <v>-1358589.4788032174</v>
      </c>
      <c r="K28" s="5">
        <f t="shared" si="2"/>
        <v>-3.9304441928241715E-2</v>
      </c>
    </row>
    <row r="29" spans="1:21" x14ac:dyDescent="0.2">
      <c r="A29" s="3">
        <v>38412</v>
      </c>
      <c r="B29" s="41">
        <v>32449972</v>
      </c>
      <c r="C29" s="215">
        <f>+'Purchased Power Model '!C29</f>
        <v>578.29999999999995</v>
      </c>
      <c r="D29" s="215">
        <f>+'Purchased Power Model '!D29</f>
        <v>0</v>
      </c>
      <c r="E29" s="126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42">
        <v>512</v>
      </c>
      <c r="I29" s="222">
        <f t="shared" si="0"/>
        <v>30981865.294277683</v>
      </c>
      <c r="J29" s="36">
        <f t="shared" si="1"/>
        <v>-1468106.7057223171</v>
      </c>
      <c r="K29" s="5">
        <f t="shared" si="2"/>
        <v>-4.5242156317494425E-2</v>
      </c>
    </row>
    <row r="30" spans="1:21" x14ac:dyDescent="0.2">
      <c r="A30" s="3">
        <v>38443</v>
      </c>
      <c r="B30" s="41">
        <v>30732659</v>
      </c>
      <c r="C30" s="215">
        <f>+'Purchased Power Model '!C30</f>
        <v>325.3</v>
      </c>
      <c r="D30" s="215">
        <f>+'Purchased Power Model '!D30</f>
        <v>0</v>
      </c>
      <c r="E30" s="126">
        <f>+'Purchased Power Model '!E30</f>
        <v>6.4000000000000001E-2</v>
      </c>
      <c r="F30" s="57">
        <f>+'Purchased Power Model '!F30</f>
        <v>30</v>
      </c>
      <c r="G30" s="57">
        <f>+'Purchased Power Model '!G30</f>
        <v>1</v>
      </c>
      <c r="H30" s="42">
        <v>511</v>
      </c>
      <c r="I30" s="222">
        <f t="shared" si="0"/>
        <v>28630443.510693014</v>
      </c>
      <c r="J30" s="36">
        <f t="shared" si="1"/>
        <v>-2102215.4893069863</v>
      </c>
      <c r="K30" s="5">
        <f t="shared" si="2"/>
        <v>-6.8403306375376963E-2</v>
      </c>
    </row>
    <row r="31" spans="1:21" x14ac:dyDescent="0.2">
      <c r="A31" s="3">
        <v>38473</v>
      </c>
      <c r="B31" s="41">
        <v>26655787</v>
      </c>
      <c r="C31" s="215">
        <f>+'Purchased Power Model '!C31</f>
        <v>216.1</v>
      </c>
      <c r="D31" s="215">
        <f>+'Purchased Power Model '!D31</f>
        <v>0.3</v>
      </c>
      <c r="E31" s="126">
        <f>+'Purchased Power Model '!E31</f>
        <v>6.4000000000000001E-2</v>
      </c>
      <c r="F31" s="57">
        <f>+'Purchased Power Model '!F31</f>
        <v>31</v>
      </c>
      <c r="G31" s="57">
        <f>+'Purchased Power Model '!G31</f>
        <v>1</v>
      </c>
      <c r="H31" s="42">
        <v>513</v>
      </c>
      <c r="I31" s="222">
        <f t="shared" si="0"/>
        <v>26785409.657200307</v>
      </c>
      <c r="J31" s="36">
        <f t="shared" si="1"/>
        <v>129622.65720030665</v>
      </c>
      <c r="K31" s="5">
        <f t="shared" si="2"/>
        <v>4.8628336203431792E-3</v>
      </c>
    </row>
    <row r="32" spans="1:21" x14ac:dyDescent="0.2">
      <c r="A32" s="3">
        <v>38504</v>
      </c>
      <c r="B32" s="41">
        <v>27616081</v>
      </c>
      <c r="C32" s="215">
        <f>+'Purchased Power Model '!C32</f>
        <v>13.7</v>
      </c>
      <c r="D32" s="215">
        <f>+'Purchased Power Model '!D32</f>
        <v>89.9</v>
      </c>
      <c r="E32" s="126">
        <f>+'Purchased Power Model '!E32</f>
        <v>6.4000000000000001E-2</v>
      </c>
      <c r="F32" s="57">
        <f>+'Purchased Power Model '!F32</f>
        <v>30</v>
      </c>
      <c r="G32" s="57">
        <f>+'Purchased Power Model '!G32</f>
        <v>0</v>
      </c>
      <c r="H32" s="42">
        <v>513</v>
      </c>
      <c r="I32" s="222">
        <f t="shared" si="0"/>
        <v>27687102.139635924</v>
      </c>
      <c r="J32" s="36">
        <f t="shared" si="1"/>
        <v>71021.13963592425</v>
      </c>
      <c r="K32" s="5">
        <f t="shared" si="2"/>
        <v>2.5717312907622284E-3</v>
      </c>
    </row>
    <row r="33" spans="1:11" x14ac:dyDescent="0.2">
      <c r="A33" s="3">
        <v>38534</v>
      </c>
      <c r="B33" s="41">
        <v>27395622</v>
      </c>
      <c r="C33" s="215">
        <f>+'Purchased Power Model '!C33</f>
        <v>2.2000000000000002</v>
      </c>
      <c r="D33" s="215">
        <f>+'Purchased Power Model '!D33</f>
        <v>153</v>
      </c>
      <c r="E33" s="126">
        <f>+'Purchased Power Model '!E33</f>
        <v>5.7999999999999996E-2</v>
      </c>
      <c r="F33" s="57">
        <f>+'Purchased Power Model '!F33</f>
        <v>31</v>
      </c>
      <c r="G33" s="57">
        <f>+'Purchased Power Model '!G33</f>
        <v>0</v>
      </c>
      <c r="H33" s="42">
        <v>518</v>
      </c>
      <c r="I33" s="222">
        <f t="shared" si="0"/>
        <v>28341359.137444574</v>
      </c>
      <c r="J33" s="36">
        <f t="shared" si="1"/>
        <v>945737.13744457439</v>
      </c>
      <c r="K33" s="5">
        <f t="shared" si="2"/>
        <v>3.452146979705642E-2</v>
      </c>
    </row>
    <row r="34" spans="1:11" x14ac:dyDescent="0.2">
      <c r="A34" s="3">
        <v>38565</v>
      </c>
      <c r="B34" s="41">
        <v>31319034</v>
      </c>
      <c r="C34" s="215">
        <f>+'Purchased Power Model '!C34</f>
        <v>0</v>
      </c>
      <c r="D34" s="215">
        <f>+'Purchased Power Model '!D34</f>
        <v>108</v>
      </c>
      <c r="E34" s="126">
        <f>+'Purchased Power Model '!E34</f>
        <v>5.7999999999999996E-2</v>
      </c>
      <c r="F34" s="57">
        <f>+'Purchased Power Model '!F34</f>
        <v>31</v>
      </c>
      <c r="G34" s="57">
        <f>+'Purchased Power Model '!G34</f>
        <v>0</v>
      </c>
      <c r="H34" s="42">
        <v>521</v>
      </c>
      <c r="I34" s="222">
        <f t="shared" si="0"/>
        <v>27147327.216138039</v>
      </c>
      <c r="J34" s="36">
        <f t="shared" si="1"/>
        <v>-4171706.7838619612</v>
      </c>
      <c r="K34" s="5">
        <f t="shared" si="2"/>
        <v>-0.13320036575399999</v>
      </c>
    </row>
    <row r="35" spans="1:11" x14ac:dyDescent="0.2">
      <c r="A35" s="3">
        <v>38596</v>
      </c>
      <c r="B35" s="41">
        <v>26590568</v>
      </c>
      <c r="C35" s="215">
        <f>+'Purchased Power Model '!C35</f>
        <v>36.700000000000003</v>
      </c>
      <c r="D35" s="215">
        <f>+'Purchased Power Model '!D35</f>
        <v>32.799999999999997</v>
      </c>
      <c r="E35" s="126">
        <f>+'Purchased Power Model '!E35</f>
        <v>5.7999999999999996E-2</v>
      </c>
      <c r="F35" s="57">
        <f>+'Purchased Power Model '!F35</f>
        <v>30</v>
      </c>
      <c r="G35" s="57">
        <f>+'Purchased Power Model '!G35</f>
        <v>1</v>
      </c>
      <c r="H35" s="42">
        <v>523</v>
      </c>
      <c r="I35" s="222">
        <f t="shared" si="0"/>
        <v>26145653.523796968</v>
      </c>
      <c r="J35" s="36">
        <f t="shared" si="1"/>
        <v>-444914.47620303184</v>
      </c>
      <c r="K35" s="5">
        <f t="shared" si="2"/>
        <v>-1.6732041083252974E-2</v>
      </c>
    </row>
    <row r="36" spans="1:11" x14ac:dyDescent="0.2">
      <c r="A36" s="3">
        <v>38626</v>
      </c>
      <c r="B36" s="41">
        <v>22998757</v>
      </c>
      <c r="C36" s="215">
        <f>+'Purchased Power Model '!C36</f>
        <v>223.8</v>
      </c>
      <c r="D36" s="215">
        <f>+'Purchased Power Model '!D36</f>
        <v>0.5</v>
      </c>
      <c r="E36" s="126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42">
        <v>523</v>
      </c>
      <c r="I36" s="222">
        <f t="shared" si="0"/>
        <v>26972848.940345787</v>
      </c>
      <c r="J36" s="36">
        <f t="shared" si="1"/>
        <v>3974091.9403457865</v>
      </c>
      <c r="K36" s="5">
        <f t="shared" si="2"/>
        <v>0.17279594459586606</v>
      </c>
    </row>
    <row r="37" spans="1:11" x14ac:dyDescent="0.2">
      <c r="A37" s="3">
        <v>38657</v>
      </c>
      <c r="B37" s="41">
        <v>33595008</v>
      </c>
      <c r="C37" s="215">
        <f>+'Purchased Power Model '!C37</f>
        <v>398.5</v>
      </c>
      <c r="D37" s="215">
        <f>+'Purchased Power Model '!D37</f>
        <v>0</v>
      </c>
      <c r="E37" s="126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42">
        <v>526</v>
      </c>
      <c r="I37" s="222">
        <f t="shared" si="0"/>
        <v>29525505.004581861</v>
      </c>
      <c r="J37" s="36">
        <f t="shared" si="1"/>
        <v>-4069502.9954181388</v>
      </c>
      <c r="K37" s="5">
        <f t="shared" si="2"/>
        <v>-0.12113415765277206</v>
      </c>
    </row>
    <row r="38" spans="1:11" x14ac:dyDescent="0.2">
      <c r="A38" s="3">
        <v>38687</v>
      </c>
      <c r="B38" s="41">
        <v>31002545</v>
      </c>
      <c r="C38" s="215">
        <f>+'Purchased Power Model '!C38</f>
        <v>641.1</v>
      </c>
      <c r="D38" s="215">
        <f>+'Purchased Power Model '!D38</f>
        <v>0</v>
      </c>
      <c r="E38" s="126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42">
        <v>528</v>
      </c>
      <c r="I38" s="222">
        <f t="shared" si="0"/>
        <v>31611391.321945842</v>
      </c>
      <c r="J38" s="36">
        <f t="shared" si="1"/>
        <v>608846.32194584236</v>
      </c>
      <c r="K38" s="5">
        <f t="shared" si="2"/>
        <v>1.9638591668711146E-2</v>
      </c>
    </row>
    <row r="39" spans="1:11" x14ac:dyDescent="0.2">
      <c r="A39" s="3">
        <v>38718</v>
      </c>
      <c r="B39" s="38">
        <v>36089373</v>
      </c>
      <c r="C39" s="215">
        <f>+'Purchased Power Model '!C39</f>
        <v>558.20000000000005</v>
      </c>
      <c r="D39" s="215">
        <f>+'Purchased Power Model '!D39</f>
        <v>0</v>
      </c>
      <c r="E39" s="126">
        <f>+'Purchased Power Model '!E39</f>
        <v>6.6000000000000003E-2</v>
      </c>
      <c r="F39" s="57">
        <f>+'Purchased Power Model '!F39</f>
        <v>31</v>
      </c>
      <c r="G39" s="57">
        <f>+'Purchased Power Model '!G39</f>
        <v>0</v>
      </c>
      <c r="H39" s="42">
        <v>529</v>
      </c>
      <c r="I39" s="222">
        <f t="shared" si="0"/>
        <v>30676394.396400284</v>
      </c>
      <c r="J39" s="36">
        <f t="shared" si="1"/>
        <v>-5412978.603599716</v>
      </c>
      <c r="K39" s="5">
        <f t="shared" si="2"/>
        <v>-0.14998815866376278</v>
      </c>
    </row>
    <row r="40" spans="1:11" x14ac:dyDescent="0.2">
      <c r="A40" s="3">
        <v>38749</v>
      </c>
      <c r="B40" s="38">
        <v>33765775</v>
      </c>
      <c r="C40" s="215">
        <f>+'Purchased Power Model '!C40</f>
        <v>608.79999999999995</v>
      </c>
      <c r="D40" s="215">
        <f>+'Purchased Power Model '!D40</f>
        <v>0</v>
      </c>
      <c r="E40" s="126">
        <f>+'Purchased Power Model '!E40</f>
        <v>6.6000000000000003E-2</v>
      </c>
      <c r="F40" s="57">
        <f>+'Purchased Power Model '!F40</f>
        <v>28</v>
      </c>
      <c r="G40" s="57">
        <f>+'Purchased Power Model '!G40</f>
        <v>0</v>
      </c>
      <c r="H40" s="42">
        <v>529</v>
      </c>
      <c r="I40" s="222">
        <f t="shared" si="0"/>
        <v>33220365.494395226</v>
      </c>
      <c r="J40" s="36">
        <f t="shared" si="1"/>
        <v>-545409.50560477376</v>
      </c>
      <c r="K40" s="5">
        <f t="shared" si="2"/>
        <v>-1.6152731741083205E-2</v>
      </c>
    </row>
    <row r="41" spans="1:11" x14ac:dyDescent="0.2">
      <c r="A41" s="3">
        <v>38777</v>
      </c>
      <c r="B41" s="38">
        <v>33429399</v>
      </c>
      <c r="C41" s="215">
        <f>+'Purchased Power Model '!C41</f>
        <v>534</v>
      </c>
      <c r="D41" s="215">
        <f>+'Purchased Power Model '!D41</f>
        <v>0</v>
      </c>
      <c r="E41" s="126">
        <f>+'Purchased Power Model '!E41</f>
        <v>6.6000000000000003E-2</v>
      </c>
      <c r="F41" s="57">
        <f>+'Purchased Power Model '!F41</f>
        <v>31</v>
      </c>
      <c r="G41" s="57">
        <f>+'Purchased Power Model '!G41</f>
        <v>1</v>
      </c>
      <c r="H41" s="42">
        <v>530</v>
      </c>
      <c r="I41" s="222">
        <f t="shared" si="0"/>
        <v>30302874.954753846</v>
      </c>
      <c r="J41" s="36">
        <f t="shared" si="1"/>
        <v>-3126524.0452461541</v>
      </c>
      <c r="K41" s="5">
        <f t="shared" si="2"/>
        <v>-9.3526181707489095E-2</v>
      </c>
    </row>
    <row r="42" spans="1:11" x14ac:dyDescent="0.2">
      <c r="A42" s="3">
        <v>38808</v>
      </c>
      <c r="B42" s="38">
        <v>29947160</v>
      </c>
      <c r="C42" s="215">
        <f>+'Purchased Power Model '!C42</f>
        <v>323.60000000000002</v>
      </c>
      <c r="D42" s="215">
        <f>+'Purchased Power Model '!D42</f>
        <v>0</v>
      </c>
      <c r="E42" s="126">
        <f>+'Purchased Power Model '!E42</f>
        <v>6.5000000000000002E-2</v>
      </c>
      <c r="F42" s="57">
        <f>+'Purchased Power Model '!F42</f>
        <v>30</v>
      </c>
      <c r="G42" s="57">
        <f>+'Purchased Power Model '!G42</f>
        <v>1</v>
      </c>
      <c r="H42" s="42">
        <v>518</v>
      </c>
      <c r="I42" s="222">
        <f t="shared" si="0"/>
        <v>28644756.5768627</v>
      </c>
      <c r="J42" s="36">
        <f t="shared" si="1"/>
        <v>-1302403.4231372997</v>
      </c>
      <c r="K42" s="5">
        <f t="shared" si="2"/>
        <v>-4.3490047908960307E-2</v>
      </c>
    </row>
    <row r="43" spans="1:11" x14ac:dyDescent="0.2">
      <c r="A43" s="3">
        <v>38838</v>
      </c>
      <c r="B43" s="38">
        <v>27235513</v>
      </c>
      <c r="C43" s="215">
        <f>+'Purchased Power Model '!C43</f>
        <v>172.6</v>
      </c>
      <c r="D43" s="215">
        <f>+'Purchased Power Model '!D43</f>
        <v>12.8</v>
      </c>
      <c r="E43" s="126">
        <f>+'Purchased Power Model '!E43</f>
        <v>6.5000000000000002E-2</v>
      </c>
      <c r="F43" s="57">
        <f>+'Purchased Power Model '!F43</f>
        <v>31</v>
      </c>
      <c r="G43" s="57">
        <f>+'Purchased Power Model '!G43</f>
        <v>1</v>
      </c>
      <c r="H43" s="42">
        <v>532</v>
      </c>
      <c r="I43" s="222">
        <f t="shared" si="0"/>
        <v>26669847.128718778</v>
      </c>
      <c r="J43" s="36">
        <f t="shared" si="1"/>
        <v>-565665.87128122151</v>
      </c>
      <c r="K43" s="5">
        <f t="shared" si="2"/>
        <v>-2.0769422308337702E-2</v>
      </c>
    </row>
    <row r="44" spans="1:11" x14ac:dyDescent="0.2">
      <c r="A44" s="3">
        <v>38869</v>
      </c>
      <c r="B44" s="38">
        <v>26536703</v>
      </c>
      <c r="C44" s="215">
        <f>+'Purchased Power Model '!C44</f>
        <v>22.6</v>
      </c>
      <c r="D44" s="215">
        <f>+'Purchased Power Model '!D44</f>
        <v>36.200000000000003</v>
      </c>
      <c r="E44" s="126">
        <f>+'Purchased Power Model '!E44</f>
        <v>6.5000000000000002E-2</v>
      </c>
      <c r="F44" s="57">
        <f>+'Purchased Power Model '!F44</f>
        <v>30</v>
      </c>
      <c r="G44" s="57">
        <f>+'Purchased Power Model '!G44</f>
        <v>0</v>
      </c>
      <c r="H44" s="42">
        <v>529</v>
      </c>
      <c r="I44" s="222">
        <f t="shared" si="0"/>
        <v>26420465.611094531</v>
      </c>
      <c r="J44" s="36">
        <f t="shared" si="1"/>
        <v>-116237.38890546933</v>
      </c>
      <c r="K44" s="5">
        <f t="shared" si="2"/>
        <v>-4.3802498338044978E-3</v>
      </c>
    </row>
    <row r="45" spans="1:11" x14ac:dyDescent="0.2">
      <c r="A45" s="3">
        <v>38899</v>
      </c>
      <c r="B45" s="38">
        <v>28103154</v>
      </c>
      <c r="C45" s="215">
        <f>+'Purchased Power Model '!C45</f>
        <v>1.7</v>
      </c>
      <c r="D45" s="215">
        <f>+'Purchased Power Model '!D45</f>
        <v>107.6</v>
      </c>
      <c r="E45" s="126">
        <f>+'Purchased Power Model '!E45</f>
        <v>6.7000000000000004E-2</v>
      </c>
      <c r="F45" s="57">
        <f>+'Purchased Power Model '!F45</f>
        <v>31</v>
      </c>
      <c r="G45" s="57">
        <f>+'Purchased Power Model '!G45</f>
        <v>0</v>
      </c>
      <c r="H45" s="42">
        <v>520</v>
      </c>
      <c r="I45" s="222">
        <f t="shared" si="0"/>
        <v>27450751.408461031</v>
      </c>
      <c r="J45" s="36">
        <f t="shared" si="1"/>
        <v>-652402.59153896943</v>
      </c>
      <c r="K45" s="5">
        <f t="shared" si="2"/>
        <v>-2.3214568426695788E-2</v>
      </c>
    </row>
    <row r="46" spans="1:11" x14ac:dyDescent="0.2">
      <c r="A46" s="3">
        <v>38930</v>
      </c>
      <c r="B46" s="38">
        <v>29283938</v>
      </c>
      <c r="C46" s="215">
        <f>+'Purchased Power Model '!C46</f>
        <v>4.4000000000000004</v>
      </c>
      <c r="D46" s="215">
        <f>+'Purchased Power Model '!D46</f>
        <v>82.1</v>
      </c>
      <c r="E46" s="126">
        <f>+'Purchased Power Model '!E46</f>
        <v>6.7000000000000004E-2</v>
      </c>
      <c r="F46" s="57">
        <f>+'Purchased Power Model '!F46</f>
        <v>31</v>
      </c>
      <c r="G46" s="57">
        <f>+'Purchased Power Model '!G46</f>
        <v>0</v>
      </c>
      <c r="H46" s="42">
        <v>521</v>
      </c>
      <c r="I46" s="222">
        <f t="shared" si="0"/>
        <v>26817084.056107622</v>
      </c>
      <c r="J46" s="36">
        <f t="shared" si="1"/>
        <v>-2466853.9438923784</v>
      </c>
      <c r="K46" s="5">
        <f t="shared" si="2"/>
        <v>-8.4239146520948729E-2</v>
      </c>
    </row>
    <row r="47" spans="1:11" x14ac:dyDescent="0.2">
      <c r="A47" s="3">
        <v>38961</v>
      </c>
      <c r="B47" s="38">
        <v>27098995</v>
      </c>
      <c r="C47" s="215">
        <f>+'Purchased Power Model '!C47</f>
        <v>70.7</v>
      </c>
      <c r="D47" s="215">
        <f>+'Purchased Power Model '!D47</f>
        <v>5.0999999999999996</v>
      </c>
      <c r="E47" s="126">
        <f>+'Purchased Power Model '!E47</f>
        <v>6.7000000000000004E-2</v>
      </c>
      <c r="F47" s="57">
        <f>+'Purchased Power Model '!F47</f>
        <v>30</v>
      </c>
      <c r="G47" s="57">
        <f>+'Purchased Power Model '!G47</f>
        <v>1</v>
      </c>
      <c r="H47" s="42">
        <v>517</v>
      </c>
      <c r="I47" s="222">
        <f t="shared" si="0"/>
        <v>26090737.295154847</v>
      </c>
      <c r="J47" s="36">
        <f t="shared" si="1"/>
        <v>-1008257.7048451528</v>
      </c>
      <c r="K47" s="5">
        <f t="shared" si="2"/>
        <v>-3.720646115640646E-2</v>
      </c>
    </row>
    <row r="48" spans="1:11" x14ac:dyDescent="0.2">
      <c r="A48" s="3">
        <v>38991</v>
      </c>
      <c r="B48" s="38">
        <v>27332663</v>
      </c>
      <c r="C48" s="215">
        <f>+'Purchased Power Model '!C48</f>
        <v>274.60000000000002</v>
      </c>
      <c r="D48" s="215">
        <f>+'Purchased Power Model '!D48</f>
        <v>0</v>
      </c>
      <c r="E48" s="126">
        <f>+'Purchased Power Model '!E48</f>
        <v>6.8000000000000005E-2</v>
      </c>
      <c r="F48" s="57">
        <f>+'Purchased Power Model '!F48</f>
        <v>31</v>
      </c>
      <c r="G48" s="57">
        <f>+'Purchased Power Model '!G48</f>
        <v>1</v>
      </c>
      <c r="H48" s="42">
        <v>520</v>
      </c>
      <c r="I48" s="222">
        <f t="shared" si="0"/>
        <v>27545507.375506684</v>
      </c>
      <c r="J48" s="36">
        <f t="shared" si="1"/>
        <v>212844.37550668418</v>
      </c>
      <c r="K48" s="5">
        <f t="shared" si="2"/>
        <v>7.7871803236546763E-3</v>
      </c>
    </row>
    <row r="49" spans="1:11" x14ac:dyDescent="0.2">
      <c r="A49" s="3">
        <v>39022</v>
      </c>
      <c r="B49" s="38">
        <v>29112228</v>
      </c>
      <c r="C49" s="215">
        <f>+'Purchased Power Model '!C49</f>
        <v>367.5</v>
      </c>
      <c r="D49" s="215">
        <f>+'Purchased Power Model '!D49</f>
        <v>0</v>
      </c>
      <c r="E49" s="126">
        <f>+'Purchased Power Model '!E49</f>
        <v>6.8000000000000005E-2</v>
      </c>
      <c r="F49" s="57">
        <f>+'Purchased Power Model '!F49</f>
        <v>30</v>
      </c>
      <c r="G49" s="57">
        <f>+'Purchased Power Model '!G49</f>
        <v>1</v>
      </c>
      <c r="H49" s="42">
        <v>522</v>
      </c>
      <c r="I49" s="222">
        <f t="shared" si="0"/>
        <v>29220952.384230115</v>
      </c>
      <c r="J49" s="36">
        <f t="shared" si="1"/>
        <v>108724.38423011452</v>
      </c>
      <c r="K49" s="5">
        <f t="shared" si="2"/>
        <v>3.7346638062230935E-3</v>
      </c>
    </row>
    <row r="50" spans="1:11" x14ac:dyDescent="0.2">
      <c r="A50" s="3">
        <v>39052</v>
      </c>
      <c r="B50" s="38">
        <v>29151692</v>
      </c>
      <c r="C50" s="215">
        <f>+'Purchased Power Model '!C50</f>
        <v>471.5</v>
      </c>
      <c r="D50" s="215">
        <f>+'Purchased Power Model '!D50</f>
        <v>0</v>
      </c>
      <c r="E50" s="126">
        <f>+'Purchased Power Model '!E50</f>
        <v>6.8000000000000005E-2</v>
      </c>
      <c r="F50" s="57">
        <f>+'Purchased Power Model '!F50</f>
        <v>31</v>
      </c>
      <c r="G50" s="57">
        <f>+'Purchased Power Model '!G50</f>
        <v>0</v>
      </c>
      <c r="H50" s="42">
        <v>522</v>
      </c>
      <c r="I50" s="222">
        <f t="shared" si="0"/>
        <v>29798484.293680441</v>
      </c>
      <c r="J50" s="36">
        <f t="shared" si="1"/>
        <v>646792.29368044063</v>
      </c>
      <c r="K50" s="5">
        <f t="shared" si="2"/>
        <v>2.2187127034699758E-2</v>
      </c>
    </row>
    <row r="51" spans="1:11" x14ac:dyDescent="0.2">
      <c r="A51" s="3">
        <v>39083</v>
      </c>
      <c r="B51" s="38">
        <v>33465918</v>
      </c>
      <c r="C51" s="215">
        <f>+'Purchased Power Model '!C51</f>
        <v>573.1</v>
      </c>
      <c r="D51" s="215">
        <f>+'Purchased Power Model '!D51</f>
        <v>0</v>
      </c>
      <c r="E51" s="126">
        <f>+'Purchased Power Model '!E51</f>
        <v>6.0999999999999999E-2</v>
      </c>
      <c r="F51" s="57">
        <f>+'Purchased Power Model '!F51</f>
        <v>31</v>
      </c>
      <c r="G51" s="57">
        <f>+'Purchased Power Model '!G51</f>
        <v>0</v>
      </c>
      <c r="H51" s="42">
        <v>524</v>
      </c>
      <c r="I51" s="222">
        <f t="shared" si="0"/>
        <v>30674478.908341531</v>
      </c>
      <c r="J51" s="36">
        <f t="shared" si="1"/>
        <v>-2791439.0916584693</v>
      </c>
      <c r="K51" s="5">
        <f t="shared" si="2"/>
        <v>-8.3411400567540664E-2</v>
      </c>
    </row>
    <row r="52" spans="1:11" x14ac:dyDescent="0.2">
      <c r="A52" s="3">
        <v>39114</v>
      </c>
      <c r="B52" s="38">
        <v>35336054</v>
      </c>
      <c r="C52" s="215">
        <f>+'Purchased Power Model '!C52</f>
        <v>693.5</v>
      </c>
      <c r="D52" s="215">
        <f>+'Purchased Power Model '!D52</f>
        <v>0</v>
      </c>
      <c r="E52" s="126">
        <f>+'Purchased Power Model '!E52</f>
        <v>6.0999999999999999E-2</v>
      </c>
      <c r="F52" s="57">
        <f>+'Purchased Power Model '!F52</f>
        <v>28</v>
      </c>
      <c r="G52" s="57">
        <f>+'Purchased Power Model '!G52</f>
        <v>0</v>
      </c>
      <c r="H52" s="42">
        <v>525</v>
      </c>
      <c r="I52" s="222">
        <f t="shared" si="0"/>
        <v>33978068.604261242</v>
      </c>
      <c r="J52" s="36">
        <f t="shared" si="1"/>
        <v>-1357985.3957387581</v>
      </c>
      <c r="K52" s="5">
        <f t="shared" si="2"/>
        <v>-3.8430589780589483E-2</v>
      </c>
    </row>
    <row r="53" spans="1:11" x14ac:dyDescent="0.2">
      <c r="A53" s="3">
        <v>39142</v>
      </c>
      <c r="B53" s="38">
        <v>34240683</v>
      </c>
      <c r="C53" s="215">
        <f>+'Purchased Power Model '!C53</f>
        <v>477.9</v>
      </c>
      <c r="D53" s="215">
        <f>+'Purchased Power Model '!D53</f>
        <v>0</v>
      </c>
      <c r="E53" s="126">
        <f>+'Purchased Power Model '!E53</f>
        <v>6.0999999999999999E-2</v>
      </c>
      <c r="F53" s="57">
        <f>+'Purchased Power Model '!F53</f>
        <v>31</v>
      </c>
      <c r="G53" s="57">
        <f>+'Purchased Power Model '!G53</f>
        <v>1</v>
      </c>
      <c r="H53" s="42">
        <v>526</v>
      </c>
      <c r="I53" s="222">
        <f t="shared" si="0"/>
        <v>29528281.523247264</v>
      </c>
      <c r="J53" s="36">
        <f t="shared" si="1"/>
        <v>-4712401.4767527357</v>
      </c>
      <c r="K53" s="5">
        <f t="shared" si="2"/>
        <v>-0.13762580252130882</v>
      </c>
    </row>
    <row r="54" spans="1:11" x14ac:dyDescent="0.2">
      <c r="A54" s="3">
        <v>39173</v>
      </c>
      <c r="B54" s="38">
        <v>33142335</v>
      </c>
      <c r="C54" s="215">
        <f>+'Purchased Power Model '!C54</f>
        <v>280.39999999999998</v>
      </c>
      <c r="D54" s="215">
        <f>+'Purchased Power Model '!D54</f>
        <v>0</v>
      </c>
      <c r="E54" s="126">
        <f>+'Purchased Power Model '!E54</f>
        <v>0.06</v>
      </c>
      <c r="F54" s="57">
        <f>+'Purchased Power Model '!F54</f>
        <v>30</v>
      </c>
      <c r="G54" s="57">
        <f>+'Purchased Power Model '!G54</f>
        <v>1</v>
      </c>
      <c r="H54" s="42">
        <v>525</v>
      </c>
      <c r="I54" s="222">
        <f t="shared" si="0"/>
        <v>28010551.109729029</v>
      </c>
      <c r="J54" s="36">
        <f t="shared" si="1"/>
        <v>-5131783.8902709708</v>
      </c>
      <c r="K54" s="5">
        <f t="shared" si="2"/>
        <v>-0.15484074644321141</v>
      </c>
    </row>
    <row r="55" spans="1:11" x14ac:dyDescent="0.2">
      <c r="A55" s="3">
        <v>39203</v>
      </c>
      <c r="B55" s="38">
        <v>26518433</v>
      </c>
      <c r="C55" s="215">
        <f>+'Purchased Power Model '!C55</f>
        <v>72.8</v>
      </c>
      <c r="D55" s="215">
        <f>+'Purchased Power Model '!D55</f>
        <v>4.5</v>
      </c>
      <c r="E55" s="126">
        <f>+'Purchased Power Model '!E55</f>
        <v>0.06</v>
      </c>
      <c r="F55" s="57">
        <f>+'Purchased Power Model '!F55</f>
        <v>31</v>
      </c>
      <c r="G55" s="57">
        <f>+'Purchased Power Model '!G55</f>
        <v>1</v>
      </c>
      <c r="H55" s="42">
        <v>528</v>
      </c>
      <c r="I55" s="222">
        <f t="shared" si="0"/>
        <v>25203859.303544365</v>
      </c>
      <c r="J55" s="36">
        <f t="shared" si="1"/>
        <v>-1314573.6964556351</v>
      </c>
      <c r="K55" s="5">
        <f t="shared" si="2"/>
        <v>-4.9572072997512151E-2</v>
      </c>
    </row>
    <row r="56" spans="1:11" x14ac:dyDescent="0.2">
      <c r="A56" s="3">
        <v>39234</v>
      </c>
      <c r="B56" s="38">
        <v>26047050</v>
      </c>
      <c r="C56" s="215">
        <f>+'Purchased Power Model '!C56</f>
        <v>6.2</v>
      </c>
      <c r="D56" s="215">
        <f>+'Purchased Power Model '!D56</f>
        <v>32.799999999999997</v>
      </c>
      <c r="E56" s="126">
        <f>+'Purchased Power Model '!E56</f>
        <v>0.06</v>
      </c>
      <c r="F56" s="57">
        <f>+'Purchased Power Model '!F56</f>
        <v>30</v>
      </c>
      <c r="G56" s="57">
        <f>+'Purchased Power Model '!G56</f>
        <v>0</v>
      </c>
      <c r="H56" s="42">
        <v>530</v>
      </c>
      <c r="I56" s="222">
        <f t="shared" si="0"/>
        <v>25989512.07667188</v>
      </c>
      <c r="J56" s="36">
        <f t="shared" si="1"/>
        <v>-57537.923328120261</v>
      </c>
      <c r="K56" s="5">
        <f t="shared" si="2"/>
        <v>-2.2089996114001494E-3</v>
      </c>
    </row>
    <row r="57" spans="1:11" x14ac:dyDescent="0.2">
      <c r="A57" s="3">
        <v>39264</v>
      </c>
      <c r="B57" s="38">
        <v>27882022</v>
      </c>
      <c r="C57" s="215">
        <f>+'Purchased Power Model '!C57</f>
        <v>8.6999999999999993</v>
      </c>
      <c r="D57" s="215">
        <f>+'Purchased Power Model '!D57</f>
        <v>41.6</v>
      </c>
      <c r="E57" s="126">
        <f>+'Purchased Power Model '!E57</f>
        <v>6.5000000000000002E-2</v>
      </c>
      <c r="F57" s="57">
        <f>+'Purchased Power Model '!F57</f>
        <v>31</v>
      </c>
      <c r="G57" s="57">
        <f>+'Purchased Power Model '!G57</f>
        <v>0</v>
      </c>
      <c r="H57" s="42">
        <v>514</v>
      </c>
      <c r="I57" s="222">
        <f t="shared" si="0"/>
        <v>25745171.623847712</v>
      </c>
      <c r="J57" s="36">
        <f t="shared" si="1"/>
        <v>-2136850.3761522882</v>
      </c>
      <c r="K57" s="5">
        <f t="shared" si="2"/>
        <v>-7.6639003302998901E-2</v>
      </c>
    </row>
    <row r="58" spans="1:11" x14ac:dyDescent="0.2">
      <c r="A58" s="3">
        <v>39295</v>
      </c>
      <c r="B58" s="38">
        <v>29951980</v>
      </c>
      <c r="C58" s="215">
        <f>+'Purchased Power Model '!C58</f>
        <v>4</v>
      </c>
      <c r="D58" s="215">
        <f>+'Purchased Power Model '!D58</f>
        <v>87.8</v>
      </c>
      <c r="E58" s="126">
        <f>+'Purchased Power Model '!E58</f>
        <v>6.5000000000000002E-2</v>
      </c>
      <c r="F58" s="57">
        <f>+'Purchased Power Model '!F58</f>
        <v>31</v>
      </c>
      <c r="G58" s="57">
        <f>+'Purchased Power Model '!G58</f>
        <v>0</v>
      </c>
      <c r="H58" s="42">
        <v>515</v>
      </c>
      <c r="I58" s="222">
        <f t="shared" si="0"/>
        <v>26895314.70273925</v>
      </c>
      <c r="J58" s="36">
        <f t="shared" si="1"/>
        <v>-3056665.2972607501</v>
      </c>
      <c r="K58" s="5">
        <f t="shared" si="2"/>
        <v>-0.1020521947884831</v>
      </c>
    </row>
    <row r="59" spans="1:11" x14ac:dyDescent="0.2">
      <c r="A59" s="3">
        <v>39326</v>
      </c>
      <c r="B59" s="38">
        <v>27635468</v>
      </c>
      <c r="C59" s="215">
        <f>+'Purchased Power Model '!C59</f>
        <v>20.100000000000001</v>
      </c>
      <c r="D59" s="215">
        <f>+'Purchased Power Model '!D59</f>
        <v>12.3</v>
      </c>
      <c r="E59" s="126">
        <f>+'Purchased Power Model '!E59</f>
        <v>6.5000000000000002E-2</v>
      </c>
      <c r="F59" s="57">
        <f>+'Purchased Power Model '!F59</f>
        <v>30</v>
      </c>
      <c r="G59" s="57">
        <f>+'Purchased Power Model '!G59</f>
        <v>1</v>
      </c>
      <c r="H59" s="42">
        <v>520</v>
      </c>
      <c r="I59" s="222">
        <f t="shared" si="0"/>
        <v>25661654.980333298</v>
      </c>
      <c r="J59" s="36">
        <f t="shared" si="1"/>
        <v>-1973813.0196667016</v>
      </c>
      <c r="K59" s="5">
        <f t="shared" si="2"/>
        <v>-7.1423180518119023E-2</v>
      </c>
    </row>
    <row r="60" spans="1:11" x14ac:dyDescent="0.2">
      <c r="A60" s="3">
        <v>39356</v>
      </c>
      <c r="B60" s="38">
        <v>26870323</v>
      </c>
      <c r="C60" s="215">
        <f>+'Purchased Power Model '!C60</f>
        <v>101.5</v>
      </c>
      <c r="D60" s="215">
        <f>+'Purchased Power Model '!D60</f>
        <v>0</v>
      </c>
      <c r="E60" s="126">
        <f>+'Purchased Power Model '!E60</f>
        <v>6.3E-2</v>
      </c>
      <c r="F60" s="57">
        <f>+'Purchased Power Model '!F60</f>
        <v>31</v>
      </c>
      <c r="G60" s="57">
        <f>+'Purchased Power Model '!G60</f>
        <v>1</v>
      </c>
      <c r="H60" s="42">
        <v>521</v>
      </c>
      <c r="I60" s="222">
        <f t="shared" si="0"/>
        <v>25497627.755501561</v>
      </c>
      <c r="J60" s="36">
        <f t="shared" si="1"/>
        <v>-1372695.2444984391</v>
      </c>
      <c r="K60" s="5">
        <f t="shared" si="2"/>
        <v>-5.1085922729638911E-2</v>
      </c>
    </row>
    <row r="61" spans="1:11" x14ac:dyDescent="0.2">
      <c r="A61" s="3">
        <v>39387</v>
      </c>
      <c r="B61" s="38">
        <v>28419439</v>
      </c>
      <c r="C61" s="215">
        <f>+'Purchased Power Model '!C61</f>
        <v>314.10000000000002</v>
      </c>
      <c r="D61" s="215">
        <f>+'Purchased Power Model '!D61</f>
        <v>0</v>
      </c>
      <c r="E61" s="126">
        <f>+'Purchased Power Model '!E61</f>
        <v>6.3E-2</v>
      </c>
      <c r="F61" s="57">
        <f>+'Purchased Power Model '!F61</f>
        <v>30</v>
      </c>
      <c r="G61" s="57">
        <f>+'Purchased Power Model '!G61</f>
        <v>1</v>
      </c>
      <c r="H61" s="42">
        <v>522</v>
      </c>
      <c r="I61" s="222">
        <f t="shared" si="0"/>
        <v>28475742.480150416</v>
      </c>
      <c r="J61" s="36">
        <f t="shared" si="1"/>
        <v>56303.480150416493</v>
      </c>
      <c r="K61" s="5">
        <f t="shared" si="2"/>
        <v>1.9811608579049182E-3</v>
      </c>
    </row>
    <row r="62" spans="1:11" x14ac:dyDescent="0.2">
      <c r="A62" s="3">
        <v>39417</v>
      </c>
      <c r="B62" s="38">
        <v>29635015</v>
      </c>
      <c r="C62" s="215">
        <f>+'Purchased Power Model '!C62</f>
        <v>337.8</v>
      </c>
      <c r="D62" s="215">
        <f>+'Purchased Power Model '!D62</f>
        <v>0</v>
      </c>
      <c r="E62" s="126">
        <f>+'Purchased Power Model '!E62</f>
        <v>6.3E-2</v>
      </c>
      <c r="F62" s="57">
        <f>+'Purchased Power Model '!F62</f>
        <v>31</v>
      </c>
      <c r="G62" s="57">
        <f>+'Purchased Power Model '!G62</f>
        <v>0</v>
      </c>
      <c r="H62" s="42">
        <v>524</v>
      </c>
      <c r="I62" s="222">
        <f t="shared" si="0"/>
        <v>28179386.518349189</v>
      </c>
      <c r="J62" s="36">
        <f t="shared" si="1"/>
        <v>-1455628.4816508107</v>
      </c>
      <c r="K62" s="5">
        <f t="shared" si="2"/>
        <v>-4.9118533655232187E-2</v>
      </c>
    </row>
    <row r="63" spans="1:11" x14ac:dyDescent="0.2">
      <c r="A63" s="3">
        <v>39448</v>
      </c>
      <c r="B63" s="42">
        <v>36162351</v>
      </c>
      <c r="C63" s="216">
        <f>+'Purchased Power Model '!C63</f>
        <v>432.8</v>
      </c>
      <c r="D63" s="216">
        <f>+'Purchased Power Model '!D63</f>
        <v>0</v>
      </c>
      <c r="E63" s="126">
        <f>+'Purchased Power Model '!E63</f>
        <v>6.4000000000000001E-2</v>
      </c>
      <c r="F63" s="57">
        <f>+'Purchased Power Model '!F63</f>
        <v>31</v>
      </c>
      <c r="G63" s="57">
        <f>+'Purchased Power Model '!G63</f>
        <v>0</v>
      </c>
      <c r="H63" s="42">
        <v>523</v>
      </c>
      <c r="I63" s="222">
        <f t="shared" si="0"/>
        <v>29246065.177918945</v>
      </c>
      <c r="J63" s="36">
        <f t="shared" si="1"/>
        <v>-6916285.8220810555</v>
      </c>
      <c r="K63" s="5">
        <f t="shared" si="2"/>
        <v>-0.19125653147056329</v>
      </c>
    </row>
    <row r="64" spans="1:11" x14ac:dyDescent="0.2">
      <c r="A64" s="3">
        <v>39479</v>
      </c>
      <c r="B64" s="42">
        <v>33275078</v>
      </c>
      <c r="C64" s="216">
        <f>+'Purchased Power Model '!C64</f>
        <v>317.60000000000002</v>
      </c>
      <c r="D64" s="216">
        <f>+'Purchased Power Model '!D64</f>
        <v>0</v>
      </c>
      <c r="E64" s="126">
        <f>+'Purchased Power Model '!E64</f>
        <v>6.4000000000000001E-2</v>
      </c>
      <c r="F64" s="57">
        <f>+'Purchased Power Model '!F64</f>
        <v>29</v>
      </c>
      <c r="G64" s="57">
        <f>+'Purchased Power Model '!G64</f>
        <v>0</v>
      </c>
      <c r="H64" s="42">
        <v>524</v>
      </c>
      <c r="I64" s="222">
        <f t="shared" si="0"/>
        <v>29321236.026664443</v>
      </c>
      <c r="J64" s="36">
        <f t="shared" si="1"/>
        <v>-3953841.9733355567</v>
      </c>
      <c r="K64" s="5">
        <f t="shared" si="2"/>
        <v>-0.11882292126664756</v>
      </c>
    </row>
    <row r="65" spans="1:17" x14ac:dyDescent="0.2">
      <c r="A65" s="3">
        <v>39508</v>
      </c>
      <c r="B65" s="42">
        <v>31871980</v>
      </c>
      <c r="C65" s="216">
        <f>+'Purchased Power Model '!C65</f>
        <v>430</v>
      </c>
      <c r="D65" s="216">
        <f>+'Purchased Power Model '!D65</f>
        <v>0</v>
      </c>
      <c r="E65" s="126">
        <f>+'Purchased Power Model '!E65</f>
        <v>6.4000000000000001E-2</v>
      </c>
      <c r="F65" s="57">
        <f>+'Purchased Power Model '!F65</f>
        <v>31</v>
      </c>
      <c r="G65" s="57">
        <f>+'Purchased Power Model '!G65</f>
        <v>1</v>
      </c>
      <c r="H65" s="42">
        <v>525</v>
      </c>
      <c r="I65" s="222">
        <f t="shared" si="0"/>
        <v>29105437.398100443</v>
      </c>
      <c r="J65" s="36">
        <f t="shared" si="1"/>
        <v>-2766542.6018995568</v>
      </c>
      <c r="K65" s="5">
        <f t="shared" si="2"/>
        <v>-8.6801717430155162E-2</v>
      </c>
    </row>
    <row r="66" spans="1:17" x14ac:dyDescent="0.2">
      <c r="A66" s="3">
        <v>39539</v>
      </c>
      <c r="B66" s="42">
        <v>33186256</v>
      </c>
      <c r="C66" s="216">
        <f>+'Purchased Power Model '!C66</f>
        <v>144.6</v>
      </c>
      <c r="D66" s="216">
        <f>+'Purchased Power Model '!D66</f>
        <v>0</v>
      </c>
      <c r="E66" s="126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42">
        <v>526</v>
      </c>
      <c r="I66" s="222">
        <f t="shared" si="0"/>
        <v>26992061.787285492</v>
      </c>
      <c r="J66" s="36">
        <f t="shared" si="1"/>
        <v>-6194194.2127145082</v>
      </c>
      <c r="K66" s="5">
        <f t="shared" si="2"/>
        <v>-0.18664938318786273</v>
      </c>
    </row>
    <row r="67" spans="1:17" x14ac:dyDescent="0.2">
      <c r="A67" s="3">
        <v>39569</v>
      </c>
      <c r="B67" s="42">
        <v>24969219</v>
      </c>
      <c r="C67" s="216">
        <f>+'Purchased Power Model '!C67</f>
        <v>151</v>
      </c>
      <c r="D67" s="216">
        <f>+'Purchased Power Model '!D67</f>
        <v>0</v>
      </c>
      <c r="E67" s="126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42">
        <v>528</v>
      </c>
      <c r="I67" s="222">
        <f t="shared" si="0"/>
        <v>26397277.620595433</v>
      </c>
      <c r="J67" s="36">
        <f t="shared" si="1"/>
        <v>1428058.6205954328</v>
      </c>
      <c r="K67" s="5">
        <f t="shared" si="2"/>
        <v>5.7192762841137834E-2</v>
      </c>
    </row>
    <row r="68" spans="1:17" x14ac:dyDescent="0.2">
      <c r="A68" s="3">
        <v>39600</v>
      </c>
      <c r="B68" s="42">
        <v>25615398</v>
      </c>
      <c r="C68" s="216">
        <f>+'Purchased Power Model '!C68</f>
        <v>15.5</v>
      </c>
      <c r="D68" s="216">
        <f>+'Purchased Power Model '!D68</f>
        <v>23.6</v>
      </c>
      <c r="E68" s="126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42">
        <v>530</v>
      </c>
      <c r="I68" s="222">
        <f t="shared" ref="I68:I131" si="3">$N$18+C68*$N$19+D68*$N$20+E68*$N$21+F68*$N$22+G68*$N$23</f>
        <v>26310896.927098613</v>
      </c>
      <c r="J68" s="36">
        <f t="shared" ref="J68:J131" si="4">I68-B68</f>
        <v>695498.92709861323</v>
      </c>
      <c r="K68" s="5">
        <f t="shared" ref="K68:K131" si="5">J68/B68</f>
        <v>2.7151595579292316E-2</v>
      </c>
    </row>
    <row r="69" spans="1:17" x14ac:dyDescent="0.2">
      <c r="A69" s="3">
        <v>39630</v>
      </c>
      <c r="B69" s="42">
        <v>27378180</v>
      </c>
      <c r="C69" s="216">
        <f>+'Purchased Power Model '!C69</f>
        <v>1</v>
      </c>
      <c r="D69" s="216">
        <f>+'Purchased Power Model '!D69</f>
        <v>61.4</v>
      </c>
      <c r="E69" s="126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42">
        <v>533</v>
      </c>
      <c r="I69" s="222">
        <f t="shared" si="3"/>
        <v>26274655.080376413</v>
      </c>
      <c r="J69" s="36">
        <f t="shared" si="4"/>
        <v>-1103524.9196235873</v>
      </c>
      <c r="K69" s="5">
        <f t="shared" si="5"/>
        <v>-4.0306730382501224E-2</v>
      </c>
    </row>
    <row r="70" spans="1:17" x14ac:dyDescent="0.2">
      <c r="A70" s="3">
        <v>39661</v>
      </c>
      <c r="B70" s="42">
        <v>28971090</v>
      </c>
      <c r="C70" s="216">
        <f>+'Purchased Power Model '!C70</f>
        <v>13.8</v>
      </c>
      <c r="D70" s="216">
        <f>+'Purchased Power Model '!D70</f>
        <v>29.9</v>
      </c>
      <c r="E70" s="126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42">
        <v>530</v>
      </c>
      <c r="I70" s="222">
        <f t="shared" si="3"/>
        <v>25594891.914462429</v>
      </c>
      <c r="J70" s="36">
        <f t="shared" si="4"/>
        <v>-3376198.0855375715</v>
      </c>
      <c r="K70" s="5">
        <f t="shared" si="5"/>
        <v>-0.11653679877207145</v>
      </c>
    </row>
    <row r="71" spans="1:17" x14ac:dyDescent="0.2">
      <c r="A71" s="3">
        <v>39692</v>
      </c>
      <c r="B71" s="42">
        <v>26602363</v>
      </c>
      <c r="C71" s="216">
        <f>+'Purchased Power Model '!C71</f>
        <v>51.6</v>
      </c>
      <c r="D71" s="216">
        <f>+'Purchased Power Model '!D71</f>
        <v>15.1</v>
      </c>
      <c r="E71" s="126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42">
        <v>532</v>
      </c>
      <c r="I71" s="222">
        <f t="shared" si="3"/>
        <v>26175709.804095149</v>
      </c>
      <c r="J71" s="36">
        <f t="shared" si="4"/>
        <v>-426653.19590485096</v>
      </c>
      <c r="K71" s="5">
        <f t="shared" si="5"/>
        <v>-1.6038169086890926E-2</v>
      </c>
    </row>
    <row r="72" spans="1:17" x14ac:dyDescent="0.2">
      <c r="A72" s="3">
        <v>39722</v>
      </c>
      <c r="B72" s="42">
        <v>26492711</v>
      </c>
      <c r="C72" s="216">
        <f>+'Purchased Power Model '!C72</f>
        <v>203.1</v>
      </c>
      <c r="D72" s="216">
        <f>+'Purchased Power Model '!D72</f>
        <v>0</v>
      </c>
      <c r="E72" s="126">
        <f>+'Purchased Power Model '!E72</f>
        <v>7.9000000000000001E-2</v>
      </c>
      <c r="F72" s="57">
        <f>+'Purchased Power Model '!F72</f>
        <v>31</v>
      </c>
      <c r="G72" s="57">
        <f>+'Purchased Power Model '!G72</f>
        <v>1</v>
      </c>
      <c r="H72" s="42">
        <v>543</v>
      </c>
      <c r="I72" s="222">
        <f t="shared" si="3"/>
        <v>27128339.900358476</v>
      </c>
      <c r="J72" s="36">
        <f t="shared" si="4"/>
        <v>635628.90035847574</v>
      </c>
      <c r="K72" s="5">
        <f t="shared" si="5"/>
        <v>2.3992595561793419E-2</v>
      </c>
    </row>
    <row r="73" spans="1:17" x14ac:dyDescent="0.2">
      <c r="A73" s="3">
        <v>39753</v>
      </c>
      <c r="B73" s="42">
        <v>27491261</v>
      </c>
      <c r="C73" s="216">
        <f>+'Purchased Power Model '!C73</f>
        <v>268.8</v>
      </c>
      <c r="D73" s="216">
        <f>+'Purchased Power Model '!D73</f>
        <v>0</v>
      </c>
      <c r="E73" s="126">
        <f>+'Purchased Power Model '!E73</f>
        <v>7.9000000000000001E-2</v>
      </c>
      <c r="F73" s="57">
        <f>+'Purchased Power Model '!F73</f>
        <v>30</v>
      </c>
      <c r="G73" s="57">
        <f>+'Purchased Power Model '!G73</f>
        <v>1</v>
      </c>
      <c r="H73" s="42">
        <v>543</v>
      </c>
      <c r="I73" s="222">
        <f t="shared" si="3"/>
        <v>28507773.077225834</v>
      </c>
      <c r="J73" s="36">
        <f t="shared" si="4"/>
        <v>1016512.0772258341</v>
      </c>
      <c r="K73" s="5">
        <f t="shared" si="5"/>
        <v>3.6975825780630217E-2</v>
      </c>
    </row>
    <row r="74" spans="1:17" x14ac:dyDescent="0.2">
      <c r="A74" s="3">
        <v>39783</v>
      </c>
      <c r="B74" s="42">
        <v>30616263</v>
      </c>
      <c r="C74" s="216">
        <f>+'Purchased Power Model '!C74</f>
        <v>378.9</v>
      </c>
      <c r="D74" s="216">
        <f>+'Purchased Power Model '!D74</f>
        <v>0</v>
      </c>
      <c r="E74" s="126">
        <f>+'Purchased Power Model '!E74</f>
        <v>7.9000000000000001E-2</v>
      </c>
      <c r="F74" s="57">
        <f>+'Purchased Power Model '!F74</f>
        <v>31</v>
      </c>
      <c r="G74" s="57">
        <f>+'Purchased Power Model '!G74</f>
        <v>0</v>
      </c>
      <c r="H74" s="42">
        <v>543</v>
      </c>
      <c r="I74" s="222">
        <f t="shared" si="3"/>
        <v>29151689.993085068</v>
      </c>
      <c r="J74" s="36">
        <f t="shared" si="4"/>
        <v>-1464573.0069149323</v>
      </c>
      <c r="K74" s="5">
        <f t="shared" si="5"/>
        <v>-4.7836439310536764E-2</v>
      </c>
    </row>
    <row r="75" spans="1:17" s="14" customFormat="1" x14ac:dyDescent="0.2">
      <c r="A75" s="3">
        <v>39814</v>
      </c>
      <c r="B75" s="42">
        <v>36093357</v>
      </c>
      <c r="C75" s="216">
        <f>+'Purchased Power Model '!C75</f>
        <v>684.3</v>
      </c>
      <c r="D75" s="216">
        <f>+'Purchased Power Model '!D75</f>
        <v>0</v>
      </c>
      <c r="E75" s="126">
        <f>+'Purchased Power Model '!E75</f>
        <v>8.5000000000000006E-2</v>
      </c>
      <c r="F75" s="57">
        <f>+'Purchased Power Model '!F75</f>
        <v>31</v>
      </c>
      <c r="G75" s="57">
        <f>+'Purchased Power Model '!G75</f>
        <v>0</v>
      </c>
      <c r="H75" s="42">
        <v>543</v>
      </c>
      <c r="I75" s="222">
        <f t="shared" si="3"/>
        <v>32672176.262668449</v>
      </c>
      <c r="J75" s="36">
        <f t="shared" si="4"/>
        <v>-3421180.7373315506</v>
      </c>
      <c r="K75" s="5">
        <f t="shared" si="5"/>
        <v>-9.4786991892484546E-2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42">
        <v>35456866</v>
      </c>
      <c r="C76" s="216">
        <f>+'Purchased Power Model '!C76</f>
        <v>595.29999999999995</v>
      </c>
      <c r="D76" s="216">
        <f>+'Purchased Power Model '!D76</f>
        <v>0</v>
      </c>
      <c r="E76" s="126">
        <f>+'Purchased Power Model '!E76</f>
        <v>8.5000000000000006E-2</v>
      </c>
      <c r="F76" s="57">
        <f>+'Purchased Power Model '!F76</f>
        <v>28</v>
      </c>
      <c r="G76" s="57">
        <f>+'Purchased Power Model '!G76</f>
        <v>0</v>
      </c>
      <c r="H76" s="42">
        <v>544</v>
      </c>
      <c r="I76" s="222">
        <f t="shared" si="3"/>
        <v>33696910.164813861</v>
      </c>
      <c r="J76" s="36">
        <f t="shared" si="4"/>
        <v>-1759955.8351861387</v>
      </c>
      <c r="K76" s="5">
        <f t="shared" si="5"/>
        <v>-4.9636531192185425E-2</v>
      </c>
    </row>
    <row r="77" spans="1:17" x14ac:dyDescent="0.2">
      <c r="A77" s="3">
        <v>39873</v>
      </c>
      <c r="B77" s="42">
        <v>31646160</v>
      </c>
      <c r="C77" s="216">
        <f>+'Purchased Power Model '!C77</f>
        <v>442.2</v>
      </c>
      <c r="D77" s="216">
        <f>+'Purchased Power Model '!D77</f>
        <v>0</v>
      </c>
      <c r="E77" s="126">
        <f>+'Purchased Power Model '!E77</f>
        <v>8.5000000000000006E-2</v>
      </c>
      <c r="F77" s="57">
        <f>+'Purchased Power Model '!F77</f>
        <v>31</v>
      </c>
      <c r="G77" s="57">
        <f>+'Purchased Power Model '!G77</f>
        <v>1</v>
      </c>
      <c r="H77" s="42">
        <v>544</v>
      </c>
      <c r="I77" s="222">
        <f t="shared" si="3"/>
        <v>29927297.329792686</v>
      </c>
      <c r="J77" s="36">
        <f t="shared" si="4"/>
        <v>-1718862.6702073142</v>
      </c>
      <c r="K77" s="5">
        <f t="shared" si="5"/>
        <v>-5.4315047077032858E-2</v>
      </c>
    </row>
    <row r="78" spans="1:17" x14ac:dyDescent="0.2">
      <c r="A78" s="3">
        <v>39904</v>
      </c>
      <c r="B78" s="42">
        <v>28531933</v>
      </c>
      <c r="C78" s="216">
        <f>+'Purchased Power Model '!C78</f>
        <v>313.8</v>
      </c>
      <c r="D78" s="216">
        <f>+'Purchased Power Model '!D78</f>
        <v>0</v>
      </c>
      <c r="E78" s="126">
        <f>+'Purchased Power Model '!E78</f>
        <v>8.6999999999999994E-2</v>
      </c>
      <c r="F78" s="57">
        <f>+'Purchased Power Model '!F78</f>
        <v>30</v>
      </c>
      <c r="G78" s="57">
        <f>+'Purchased Power Model '!G78</f>
        <v>1</v>
      </c>
      <c r="H78" s="42">
        <v>544</v>
      </c>
      <c r="I78" s="222">
        <f t="shared" si="3"/>
        <v>29260008.979626164</v>
      </c>
      <c r="J78" s="36">
        <f t="shared" si="4"/>
        <v>728075.97962616384</v>
      </c>
      <c r="K78" s="5">
        <f t="shared" si="5"/>
        <v>2.5517933875218474E-2</v>
      </c>
    </row>
    <row r="79" spans="1:17" x14ac:dyDescent="0.2">
      <c r="A79" s="3">
        <v>39934</v>
      </c>
      <c r="B79" s="42">
        <v>28009980</v>
      </c>
      <c r="C79" s="216">
        <f>+'Purchased Power Model '!C79</f>
        <v>170.1</v>
      </c>
      <c r="D79" s="216">
        <f>+'Purchased Power Model '!D79</f>
        <v>0</v>
      </c>
      <c r="E79" s="126">
        <f>+'Purchased Power Model '!E79</f>
        <v>8.6999999999999994E-2</v>
      </c>
      <c r="F79" s="57">
        <f>+'Purchased Power Model '!F79</f>
        <v>31</v>
      </c>
      <c r="G79" s="57">
        <f>+'Purchased Power Model '!G79</f>
        <v>1</v>
      </c>
      <c r="H79" s="42">
        <v>546</v>
      </c>
      <c r="I79" s="222">
        <f t="shared" si="3"/>
        <v>27031718.343759775</v>
      </c>
      <c r="J79" s="36">
        <f t="shared" si="4"/>
        <v>-978261.65624022484</v>
      </c>
      <c r="K79" s="5">
        <f t="shared" si="5"/>
        <v>-3.4925467859678046E-2</v>
      </c>
    </row>
    <row r="80" spans="1:17" x14ac:dyDescent="0.2">
      <c r="A80" s="3">
        <v>39965</v>
      </c>
      <c r="B80" s="42">
        <v>25073792</v>
      </c>
      <c r="C80" s="216">
        <f>+'Purchased Power Model '!C80</f>
        <v>57.9</v>
      </c>
      <c r="D80" s="216">
        <f>+'Purchased Power Model '!D80</f>
        <v>26.3</v>
      </c>
      <c r="E80" s="126">
        <f>+'Purchased Power Model '!E80</f>
        <v>8.6999999999999994E-2</v>
      </c>
      <c r="F80" s="57">
        <f>+'Purchased Power Model '!F80</f>
        <v>30</v>
      </c>
      <c r="G80" s="57">
        <f>+'Purchased Power Model '!G80</f>
        <v>0</v>
      </c>
      <c r="H80" s="42">
        <v>548</v>
      </c>
      <c r="I80" s="222">
        <f t="shared" si="3"/>
        <v>27269111.996439938</v>
      </c>
      <c r="J80" s="36">
        <f t="shared" si="4"/>
        <v>2195319.9964399375</v>
      </c>
      <c r="K80" s="5">
        <f t="shared" si="5"/>
        <v>8.7554367382481971E-2</v>
      </c>
    </row>
    <row r="81" spans="1:17" x14ac:dyDescent="0.2">
      <c r="A81" s="3">
        <v>39995</v>
      </c>
      <c r="B81" s="42">
        <v>26726887</v>
      </c>
      <c r="C81" s="216">
        <f>+'Purchased Power Model '!C81</f>
        <v>16.8</v>
      </c>
      <c r="D81" s="216">
        <f>+'Purchased Power Model '!D81</f>
        <v>25.6</v>
      </c>
      <c r="E81" s="126">
        <f>+'Purchased Power Model '!E81</f>
        <v>9.1999999999999998E-2</v>
      </c>
      <c r="F81" s="57">
        <f>+'Purchased Power Model '!F81</f>
        <v>31</v>
      </c>
      <c r="G81" s="57">
        <f>+'Purchased Power Model '!G81</f>
        <v>0</v>
      </c>
      <c r="H81" s="42">
        <v>550</v>
      </c>
      <c r="I81" s="222">
        <f t="shared" si="3"/>
        <v>26303263.034398939</v>
      </c>
      <c r="J81" s="36">
        <f t="shared" si="4"/>
        <v>-423623.96560106054</v>
      </c>
      <c r="K81" s="5">
        <f t="shared" si="5"/>
        <v>-1.5850105012269501E-2</v>
      </c>
    </row>
    <row r="82" spans="1:17" x14ac:dyDescent="0.2">
      <c r="A82" s="3">
        <v>40026</v>
      </c>
      <c r="B82" s="42">
        <v>26947368</v>
      </c>
      <c r="C82" s="216">
        <f>+'Purchased Power Model '!C82</f>
        <v>13.1</v>
      </c>
      <c r="D82" s="216">
        <f>+'Purchased Power Model '!D82</f>
        <v>77.7</v>
      </c>
      <c r="E82" s="126">
        <f>+'Purchased Power Model '!E82</f>
        <v>9.1999999999999998E-2</v>
      </c>
      <c r="F82" s="57">
        <f>+'Purchased Power Model '!F82</f>
        <v>31</v>
      </c>
      <c r="G82" s="57">
        <f>+'Purchased Power Model '!G82</f>
        <v>0</v>
      </c>
      <c r="H82" s="42">
        <v>551</v>
      </c>
      <c r="I82" s="222">
        <f t="shared" si="3"/>
        <v>27617700.673410814</v>
      </c>
      <c r="J82" s="36">
        <f t="shared" si="4"/>
        <v>670332.67341081426</v>
      </c>
      <c r="K82" s="5">
        <f t="shared" si="5"/>
        <v>2.4875626941036105E-2</v>
      </c>
    </row>
    <row r="83" spans="1:17" x14ac:dyDescent="0.2">
      <c r="A83" s="3">
        <v>40057</v>
      </c>
      <c r="B83" s="42">
        <v>27865737</v>
      </c>
      <c r="C83" s="216">
        <f>+'Purchased Power Model '!C83</f>
        <v>64.8</v>
      </c>
      <c r="D83" s="216">
        <f>+'Purchased Power Model '!D83</f>
        <v>9</v>
      </c>
      <c r="E83" s="126">
        <f>+'Purchased Power Model '!E83</f>
        <v>9.1999999999999998E-2</v>
      </c>
      <c r="F83" s="57">
        <f>+'Purchased Power Model '!F83</f>
        <v>30</v>
      </c>
      <c r="G83" s="57">
        <f>+'Purchased Power Model '!G83</f>
        <v>1</v>
      </c>
      <c r="H83" s="42">
        <v>545</v>
      </c>
      <c r="I83" s="222">
        <f t="shared" si="3"/>
        <v>26948281.769463778</v>
      </c>
      <c r="J83" s="36">
        <f t="shared" si="4"/>
        <v>-917455.23053622246</v>
      </c>
      <c r="K83" s="5">
        <f t="shared" si="5"/>
        <v>-3.292413297865484E-2</v>
      </c>
    </row>
    <row r="84" spans="1:17" x14ac:dyDescent="0.2">
      <c r="A84" s="3">
        <v>40087</v>
      </c>
      <c r="B84" s="42">
        <v>27561545</v>
      </c>
      <c r="C84" s="216">
        <f>+'Purchased Power Model '!C84</f>
        <v>287.89999999999998</v>
      </c>
      <c r="D84" s="216">
        <f>+'Purchased Power Model '!D84</f>
        <v>0</v>
      </c>
      <c r="E84" s="126">
        <f>+'Purchased Power Model '!E84</f>
        <v>9.9000000000000005E-2</v>
      </c>
      <c r="F84" s="57">
        <f>+'Purchased Power Model '!F84</f>
        <v>31</v>
      </c>
      <c r="G84" s="57">
        <f>+'Purchased Power Model '!G84</f>
        <v>1</v>
      </c>
      <c r="H84" s="42">
        <v>546</v>
      </c>
      <c r="I84" s="222">
        <f t="shared" si="3"/>
        <v>28707476.430535272</v>
      </c>
      <c r="J84" s="36">
        <f t="shared" si="4"/>
        <v>1145931.4305352718</v>
      </c>
      <c r="K84" s="5">
        <f t="shared" si="5"/>
        <v>4.1577184099631272E-2</v>
      </c>
    </row>
    <row r="85" spans="1:17" x14ac:dyDescent="0.2">
      <c r="A85" s="3">
        <v>40118</v>
      </c>
      <c r="B85" s="42">
        <v>27322370</v>
      </c>
      <c r="C85" s="216">
        <f>+'Purchased Power Model '!C85</f>
        <v>347.4</v>
      </c>
      <c r="D85" s="216">
        <f>+'Purchased Power Model '!D85</f>
        <v>0</v>
      </c>
      <c r="E85" s="126">
        <f>+'Purchased Power Model '!E85</f>
        <v>9.9000000000000005E-2</v>
      </c>
      <c r="F85" s="57">
        <f>+'Purchased Power Model '!F85</f>
        <v>30</v>
      </c>
      <c r="G85" s="57">
        <f>+'Purchased Power Model '!G85</f>
        <v>1</v>
      </c>
      <c r="H85" s="42">
        <v>524</v>
      </c>
      <c r="I85" s="222">
        <f t="shared" si="3"/>
        <v>30019436.322200149</v>
      </c>
      <c r="J85" s="36">
        <f t="shared" si="4"/>
        <v>2697066.3222001493</v>
      </c>
      <c r="K85" s="5">
        <f t="shared" si="5"/>
        <v>9.8712751573166946E-2</v>
      </c>
    </row>
    <row r="86" spans="1:17" s="31" customFormat="1" x14ac:dyDescent="0.2">
      <c r="A86" s="3">
        <v>40148</v>
      </c>
      <c r="B86" s="42">
        <v>28548306</v>
      </c>
      <c r="C86" s="216">
        <f>+'Purchased Power Model '!C86</f>
        <v>619.1</v>
      </c>
      <c r="D86" s="216">
        <f>+'Purchased Power Model '!D86</f>
        <v>0</v>
      </c>
      <c r="E86" s="126">
        <f>+'Purchased Power Model '!E86</f>
        <v>9.9000000000000005E-2</v>
      </c>
      <c r="F86" s="57">
        <f>+'Purchased Power Model '!F86</f>
        <v>31</v>
      </c>
      <c r="G86" s="57">
        <f>+'Purchased Power Model '!G86</f>
        <v>0</v>
      </c>
      <c r="H86" s="42">
        <v>507</v>
      </c>
      <c r="I86" s="222">
        <f t="shared" si="3"/>
        <v>32422011.76849838</v>
      </c>
      <c r="J86" s="36">
        <f t="shared" si="4"/>
        <v>3873705.7684983797</v>
      </c>
      <c r="K86" s="5">
        <f t="shared" si="5"/>
        <v>0.13568951406428037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41">
        <v>36972449</v>
      </c>
      <c r="C87" s="216">
        <f>+'Purchased Power Model '!C87</f>
        <v>699.9</v>
      </c>
      <c r="D87" s="216">
        <f>+'Purchased Power Model '!D87</f>
        <v>0</v>
      </c>
      <c r="E87" s="126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42">
        <v>508</v>
      </c>
      <c r="I87" s="222">
        <f t="shared" si="3"/>
        <v>33432596.256360639</v>
      </c>
      <c r="J87" s="36">
        <f t="shared" si="4"/>
        <v>-3539852.7436393611</v>
      </c>
      <c r="K87" s="5">
        <f t="shared" si="5"/>
        <v>-9.5742988073074659E-2</v>
      </c>
    </row>
    <row r="88" spans="1:17" x14ac:dyDescent="0.2">
      <c r="A88" s="3">
        <v>40210</v>
      </c>
      <c r="B88" s="41">
        <v>33008442</v>
      </c>
      <c r="C88" s="216">
        <f>+'Purchased Power Model '!C88</f>
        <v>583.79999999999995</v>
      </c>
      <c r="D88" s="216">
        <f>+'Purchased Power Model '!D88</f>
        <v>0</v>
      </c>
      <c r="E88" s="126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42">
        <v>506</v>
      </c>
      <c r="I88" s="222">
        <f t="shared" si="3"/>
        <v>34162406.605443567</v>
      </c>
      <c r="J88" s="36">
        <f t="shared" si="4"/>
        <v>1153964.605443567</v>
      </c>
      <c r="K88" s="5">
        <f t="shared" si="5"/>
        <v>3.4959681085328626E-2</v>
      </c>
    </row>
    <row r="89" spans="1:17" x14ac:dyDescent="0.2">
      <c r="A89" s="3">
        <v>40238</v>
      </c>
      <c r="B89" s="41">
        <v>33147432</v>
      </c>
      <c r="C89" s="216">
        <f>+'Purchased Power Model '!C89</f>
        <v>411</v>
      </c>
      <c r="D89" s="216">
        <f>+'Purchased Power Model '!D89</f>
        <v>0</v>
      </c>
      <c r="E89" s="126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42">
        <v>508</v>
      </c>
      <c r="I89" s="222">
        <f t="shared" si="3"/>
        <v>30178402.848085463</v>
      </c>
      <c r="J89" s="36">
        <f t="shared" si="4"/>
        <v>-2969029.151914537</v>
      </c>
      <c r="K89" s="5">
        <f t="shared" si="5"/>
        <v>-8.9570412329815982E-2</v>
      </c>
    </row>
    <row r="90" spans="1:17" x14ac:dyDescent="0.2">
      <c r="A90" s="3">
        <v>40269</v>
      </c>
      <c r="B90" s="41">
        <v>29422410</v>
      </c>
      <c r="C90" s="216">
        <f>+'Purchased Power Model '!C90</f>
        <v>244</v>
      </c>
      <c r="D90" s="216">
        <f>+'Purchased Power Model '!D90</f>
        <v>0</v>
      </c>
      <c r="E90" s="126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42">
        <v>509</v>
      </c>
      <c r="I90" s="222">
        <f t="shared" si="3"/>
        <v>28894156.049629651</v>
      </c>
      <c r="J90" s="36">
        <f t="shared" si="4"/>
        <v>-528253.95037034899</v>
      </c>
      <c r="K90" s="5">
        <f t="shared" si="5"/>
        <v>-1.7954135992610702E-2</v>
      </c>
    </row>
    <row r="91" spans="1:17" x14ac:dyDescent="0.2">
      <c r="A91" s="3">
        <v>40299</v>
      </c>
      <c r="B91" s="41">
        <v>25425541</v>
      </c>
      <c r="C91" s="216">
        <f>+'Purchased Power Model '!C91</f>
        <v>121.7</v>
      </c>
      <c r="D91" s="216">
        <f>+'Purchased Power Model '!D91</f>
        <v>23.2</v>
      </c>
      <c r="E91" s="126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42">
        <v>509</v>
      </c>
      <c r="I91" s="222">
        <f t="shared" si="3"/>
        <v>27502003.366214842</v>
      </c>
      <c r="J91" s="36">
        <f t="shared" si="4"/>
        <v>2076462.3662148416</v>
      </c>
      <c r="K91" s="5">
        <f t="shared" si="5"/>
        <v>8.1668365137828991E-2</v>
      </c>
    </row>
    <row r="92" spans="1:17" x14ac:dyDescent="0.2">
      <c r="A92" s="3">
        <v>40330</v>
      </c>
      <c r="B92" s="41">
        <v>27254989</v>
      </c>
      <c r="C92" s="216">
        <f>+'Purchased Power Model '!C92</f>
        <v>19.399999999999999</v>
      </c>
      <c r="D92" s="216">
        <f>+'Purchased Power Model '!D92</f>
        <v>46.6</v>
      </c>
      <c r="E92" s="126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42">
        <v>510</v>
      </c>
      <c r="I92" s="222">
        <f t="shared" si="3"/>
        <v>27771730.833132308</v>
      </c>
      <c r="J92" s="36">
        <f t="shared" si="4"/>
        <v>516741.83313230798</v>
      </c>
      <c r="K92" s="5">
        <f t="shared" si="5"/>
        <v>1.8959531890924922E-2</v>
      </c>
    </row>
    <row r="93" spans="1:17" x14ac:dyDescent="0.2">
      <c r="A93" s="3">
        <v>40360</v>
      </c>
      <c r="B93" s="41">
        <v>27961321</v>
      </c>
      <c r="C93" s="216">
        <f>+'Purchased Power Model '!C93</f>
        <v>3.5</v>
      </c>
      <c r="D93" s="216">
        <f>+'Purchased Power Model '!D93</f>
        <v>124</v>
      </c>
      <c r="E93" s="126">
        <f>+'Purchased Power Model '!E93</f>
        <v>0.10400000000000001</v>
      </c>
      <c r="F93" s="57">
        <f>+'Purchased Power Model '!F93</f>
        <v>31</v>
      </c>
      <c r="G93" s="57">
        <f>+'Purchased Power Model '!G93</f>
        <v>0</v>
      </c>
      <c r="H93" s="42">
        <v>510</v>
      </c>
      <c r="I93" s="222">
        <f t="shared" si="3"/>
        <v>29110883.95887332</v>
      </c>
      <c r="J93" s="36">
        <f t="shared" si="4"/>
        <v>1149562.9588733204</v>
      </c>
      <c r="K93" s="5">
        <f t="shared" si="5"/>
        <v>4.1112612629185884E-2</v>
      </c>
    </row>
    <row r="94" spans="1:17" x14ac:dyDescent="0.2">
      <c r="A94" s="3">
        <v>40391</v>
      </c>
      <c r="B94" s="41">
        <v>29923295</v>
      </c>
      <c r="C94" s="216">
        <f>+'Purchased Power Model '!C94</f>
        <v>3.2</v>
      </c>
      <c r="D94" s="216">
        <f>+'Purchased Power Model '!D94</f>
        <v>96.8</v>
      </c>
      <c r="E94" s="126">
        <f>+'Purchased Power Model '!E94</f>
        <v>0.10400000000000001</v>
      </c>
      <c r="F94" s="57">
        <f>+'Purchased Power Model '!F94</f>
        <v>31</v>
      </c>
      <c r="G94" s="57">
        <f>+'Purchased Power Model '!G94</f>
        <v>0</v>
      </c>
      <c r="H94" s="42">
        <v>512</v>
      </c>
      <c r="I94" s="222">
        <f t="shared" si="3"/>
        <v>28400364.850726899</v>
      </c>
      <c r="J94" s="36">
        <f t="shared" si="4"/>
        <v>-1522930.1492731012</v>
      </c>
      <c r="K94" s="5">
        <f t="shared" si="5"/>
        <v>-5.0894466978756894E-2</v>
      </c>
    </row>
    <row r="95" spans="1:17" x14ac:dyDescent="0.2">
      <c r="A95" s="3">
        <v>40422</v>
      </c>
      <c r="B95" s="41">
        <v>28913713</v>
      </c>
      <c r="C95" s="216">
        <f>+'Purchased Power Model '!C95</f>
        <v>85.5</v>
      </c>
      <c r="D95" s="216">
        <f>+'Purchased Power Model '!D95</f>
        <v>18.5</v>
      </c>
      <c r="E95" s="126">
        <f>+'Purchased Power Model '!E95</f>
        <v>0.10400000000000001</v>
      </c>
      <c r="F95" s="57">
        <f>+'Purchased Power Model '!F95</f>
        <v>30</v>
      </c>
      <c r="G95" s="57">
        <f>+'Purchased Power Model '!G95</f>
        <v>1</v>
      </c>
      <c r="H95" s="42">
        <v>512</v>
      </c>
      <c r="I95" s="222">
        <f t="shared" si="3"/>
        <v>27814340.102877125</v>
      </c>
      <c r="J95" s="36">
        <f t="shared" si="4"/>
        <v>-1099372.8971228749</v>
      </c>
      <c r="K95" s="5">
        <f t="shared" si="5"/>
        <v>-3.802254304464027E-2</v>
      </c>
    </row>
    <row r="96" spans="1:17" x14ac:dyDescent="0.2">
      <c r="A96" s="3">
        <v>40452</v>
      </c>
      <c r="B96" s="41">
        <v>26962766</v>
      </c>
      <c r="C96" s="216">
        <f>+'Purchased Power Model '!C96</f>
        <v>247.8</v>
      </c>
      <c r="D96" s="216">
        <f>+'Purchased Power Model '!D96</f>
        <v>0</v>
      </c>
      <c r="E96" s="126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42">
        <v>514</v>
      </c>
      <c r="I96" s="222">
        <f t="shared" si="3"/>
        <v>28074193.800342165</v>
      </c>
      <c r="J96" s="36">
        <f t="shared" si="4"/>
        <v>1111427.8003421649</v>
      </c>
      <c r="K96" s="5">
        <f t="shared" si="5"/>
        <v>4.1220837667105999E-2</v>
      </c>
    </row>
    <row r="97" spans="1:11" x14ac:dyDescent="0.2">
      <c r="A97" s="3">
        <v>40483</v>
      </c>
      <c r="B97" s="41">
        <v>27407704</v>
      </c>
      <c r="C97" s="216">
        <f>+'Purchased Power Model '!C97</f>
        <v>389.2</v>
      </c>
      <c r="D97" s="216">
        <f>+'Purchased Power Model '!D97</f>
        <v>0</v>
      </c>
      <c r="E97" s="126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42">
        <v>515</v>
      </c>
      <c r="I97" s="222">
        <f t="shared" si="3"/>
        <v>30277454.023956016</v>
      </c>
      <c r="J97" s="36">
        <f t="shared" si="4"/>
        <v>2869750.0239560157</v>
      </c>
      <c r="K97" s="5">
        <f t="shared" si="5"/>
        <v>0.10470596238035904</v>
      </c>
    </row>
    <row r="98" spans="1:11" x14ac:dyDescent="0.2">
      <c r="A98" s="3">
        <v>40513</v>
      </c>
      <c r="B98" s="41">
        <v>28834162</v>
      </c>
      <c r="C98" s="216">
        <f>+'Purchased Power Model '!C98</f>
        <v>628.70000000000005</v>
      </c>
      <c r="D98" s="216">
        <f>+'Purchased Power Model '!D98</f>
        <v>0</v>
      </c>
      <c r="E98" s="126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42">
        <v>518</v>
      </c>
      <c r="I98" s="222">
        <f t="shared" si="3"/>
        <v>32329603.698718753</v>
      </c>
      <c r="J98" s="36">
        <f t="shared" si="4"/>
        <v>3495441.6987187527</v>
      </c>
      <c r="K98" s="5">
        <f t="shared" si="5"/>
        <v>0.12122570785024904</v>
      </c>
    </row>
    <row r="99" spans="1:11" x14ac:dyDescent="0.2">
      <c r="A99" s="3">
        <v>40544</v>
      </c>
      <c r="B99" s="129">
        <v>35867354</v>
      </c>
      <c r="C99" s="219">
        <f>+'Purchased Power Model '!C99</f>
        <v>760.9</v>
      </c>
      <c r="D99" s="219">
        <f>+'Purchased Power Model '!D99</f>
        <v>0</v>
      </c>
      <c r="E99" s="126">
        <f>+'Purchased Power Model '!E99</f>
        <v>8.6999999999999994E-2</v>
      </c>
      <c r="F99" s="57">
        <f>+'Purchased Power Model '!F99</f>
        <v>31</v>
      </c>
      <c r="G99" s="57">
        <f>+'Purchased Power Model '!G99</f>
        <v>0</v>
      </c>
      <c r="H99" s="58">
        <v>521</v>
      </c>
      <c r="I99" s="222">
        <f t="shared" si="3"/>
        <v>33571425.429878607</v>
      </c>
      <c r="J99" s="36">
        <f t="shared" si="4"/>
        <v>-2295928.5701213926</v>
      </c>
      <c r="K99" s="5">
        <f t="shared" si="5"/>
        <v>-6.4011651657420635E-2</v>
      </c>
    </row>
    <row r="100" spans="1:11" x14ac:dyDescent="0.2">
      <c r="A100" s="3">
        <v>40575</v>
      </c>
      <c r="B100" s="129">
        <v>34706133</v>
      </c>
      <c r="C100" s="219">
        <f>+'Purchased Power Model '!C100</f>
        <v>634.19999999999993</v>
      </c>
      <c r="D100" s="219">
        <f>+'Purchased Power Model '!D100</f>
        <v>0</v>
      </c>
      <c r="E100" s="126">
        <f>+'Purchased Power Model '!E100</f>
        <v>8.6999999999999994E-2</v>
      </c>
      <c r="F100" s="57">
        <f>+'Purchased Power Model '!F100</f>
        <v>28</v>
      </c>
      <c r="G100" s="57">
        <f>+'Purchased Power Model '!G100</f>
        <v>0</v>
      </c>
      <c r="H100" s="58">
        <v>522</v>
      </c>
      <c r="I100" s="222">
        <f t="shared" si="3"/>
        <v>34185878.226841152</v>
      </c>
      <c r="J100" s="36">
        <f t="shared" si="4"/>
        <v>-520254.77315884829</v>
      </c>
      <c r="K100" s="5">
        <f t="shared" si="5"/>
        <v>-1.499028350864812E-2</v>
      </c>
    </row>
    <row r="101" spans="1:11" x14ac:dyDescent="0.2">
      <c r="A101" s="3">
        <v>40603</v>
      </c>
      <c r="B101" s="129">
        <v>34195997</v>
      </c>
      <c r="C101" s="219">
        <f>+'Purchased Power Model '!C101</f>
        <v>559.80000000000007</v>
      </c>
      <c r="D101" s="219">
        <f>+'Purchased Power Model '!D101</f>
        <v>0</v>
      </c>
      <c r="E101" s="126">
        <f>+'Purchased Power Model '!E101</f>
        <v>8.6999999999999994E-2</v>
      </c>
      <c r="F101" s="57">
        <f>+'Purchased Power Model '!F101</f>
        <v>31</v>
      </c>
      <c r="G101" s="57">
        <f>+'Purchased Power Model '!G101</f>
        <v>1</v>
      </c>
      <c r="H101" s="58">
        <v>523</v>
      </c>
      <c r="I101" s="222">
        <f t="shared" si="3"/>
        <v>31272740.802374132</v>
      </c>
      <c r="J101" s="36">
        <f t="shared" si="4"/>
        <v>-2923256.197625868</v>
      </c>
      <c r="K101" s="5">
        <f t="shared" si="5"/>
        <v>-8.5485333199259203E-2</v>
      </c>
    </row>
    <row r="102" spans="1:11" x14ac:dyDescent="0.2">
      <c r="A102" s="3">
        <v>40634</v>
      </c>
      <c r="B102" s="129">
        <v>30758731</v>
      </c>
      <c r="C102" s="219">
        <f>+'Purchased Power Model '!C102</f>
        <v>350.79999999999995</v>
      </c>
      <c r="D102" s="219">
        <f>+'Purchased Power Model '!D102</f>
        <v>0</v>
      </c>
      <c r="E102" s="126">
        <f>+'Purchased Power Model '!E102</f>
        <v>9.3000000000000013E-2</v>
      </c>
      <c r="F102" s="57">
        <f>+'Purchased Power Model '!F102</f>
        <v>30</v>
      </c>
      <c r="G102" s="57">
        <f>+'Purchased Power Model '!G102</f>
        <v>1</v>
      </c>
      <c r="H102" s="58">
        <v>524</v>
      </c>
      <c r="I102" s="222">
        <f t="shared" si="3"/>
        <v>29859554.967218034</v>
      </c>
      <c r="J102" s="36">
        <f t="shared" si="4"/>
        <v>-899176.03278196603</v>
      </c>
      <c r="K102" s="5">
        <f t="shared" si="5"/>
        <v>-2.9233196674530105E-2</v>
      </c>
    </row>
    <row r="103" spans="1:11" x14ac:dyDescent="0.2">
      <c r="A103" s="3">
        <v>40664</v>
      </c>
      <c r="B103" s="129">
        <v>27997717</v>
      </c>
      <c r="C103" s="219">
        <f>+'Purchased Power Model '!C103</f>
        <v>157.69999999999996</v>
      </c>
      <c r="D103" s="219">
        <f>+'Purchased Power Model '!D103</f>
        <v>2.8</v>
      </c>
      <c r="E103" s="126">
        <f>+'Purchased Power Model '!E103</f>
        <v>9.3000000000000013E-2</v>
      </c>
      <c r="F103" s="57">
        <f>+'Purchased Power Model '!F103</f>
        <v>31</v>
      </c>
      <c r="G103" s="57">
        <f>+'Purchased Power Model '!G103</f>
        <v>1</v>
      </c>
      <c r="H103" s="58">
        <v>524</v>
      </c>
      <c r="I103" s="222">
        <f t="shared" si="3"/>
        <v>27166460.194118343</v>
      </c>
      <c r="J103" s="36">
        <f t="shared" si="4"/>
        <v>-831256.80588165671</v>
      </c>
      <c r="K103" s="5">
        <f t="shared" si="5"/>
        <v>-2.9690163875920907E-2</v>
      </c>
    </row>
    <row r="104" spans="1:11" x14ac:dyDescent="0.2">
      <c r="A104" s="3">
        <v>40695</v>
      </c>
      <c r="B104" s="129">
        <v>26350046</v>
      </c>
      <c r="C104" s="219">
        <f>+'Purchased Power Model '!C104</f>
        <v>26.699999999999996</v>
      </c>
      <c r="D104" s="219">
        <f>+'Purchased Power Model '!D104</f>
        <v>36.900000000000006</v>
      </c>
      <c r="E104" s="126">
        <f>+'Purchased Power Model '!E104</f>
        <v>9.3000000000000013E-2</v>
      </c>
      <c r="F104" s="57">
        <f>+'Purchased Power Model '!F104</f>
        <v>30</v>
      </c>
      <c r="G104" s="57">
        <f>+'Purchased Power Model '!G104</f>
        <v>0</v>
      </c>
      <c r="H104" s="58">
        <v>520</v>
      </c>
      <c r="I104" s="222">
        <f t="shared" si="3"/>
        <v>27402072.99683078</v>
      </c>
      <c r="J104" s="36">
        <f t="shared" si="4"/>
        <v>1052026.9968307801</v>
      </c>
      <c r="K104" s="5">
        <f t="shared" si="5"/>
        <v>3.9925053520998788E-2</v>
      </c>
    </row>
    <row r="105" spans="1:11" x14ac:dyDescent="0.2">
      <c r="A105" s="3">
        <v>40725</v>
      </c>
      <c r="B105" s="129">
        <v>27247765</v>
      </c>
      <c r="C105" s="219">
        <f>+'Purchased Power Model '!C105</f>
        <v>0.2</v>
      </c>
      <c r="D105" s="219">
        <f>+'Purchased Power Model '!D105</f>
        <v>141.19999999999999</v>
      </c>
      <c r="E105" s="126">
        <f>+'Purchased Power Model '!E105</f>
        <v>7.2000000000000008E-2</v>
      </c>
      <c r="F105" s="57">
        <f>+'Purchased Power Model '!F105</f>
        <v>31</v>
      </c>
      <c r="G105" s="57">
        <f>+'Purchased Power Model '!G105</f>
        <v>0</v>
      </c>
      <c r="H105" s="58">
        <v>520</v>
      </c>
      <c r="I105" s="222">
        <f t="shared" si="3"/>
        <v>28472163.296453509</v>
      </c>
      <c r="J105" s="36">
        <f t="shared" si="4"/>
        <v>1224398.2964535095</v>
      </c>
      <c r="K105" s="5">
        <f t="shared" si="5"/>
        <v>4.4935733130901177E-2</v>
      </c>
    </row>
    <row r="106" spans="1:11" x14ac:dyDescent="0.2">
      <c r="A106" s="3">
        <v>40756</v>
      </c>
      <c r="B106" s="129">
        <v>30637032</v>
      </c>
      <c r="C106" s="219">
        <f>+'Purchased Power Model '!C106</f>
        <v>3.7</v>
      </c>
      <c r="D106" s="219">
        <f>+'Purchased Power Model '!D106</f>
        <v>80.499999999999957</v>
      </c>
      <c r="E106" s="126">
        <f>+'Purchased Power Model '!E106</f>
        <v>7.2000000000000008E-2</v>
      </c>
      <c r="F106" s="57">
        <f>+'Purchased Power Model '!F106</f>
        <v>31</v>
      </c>
      <c r="G106" s="57">
        <f>+'Purchased Power Model '!G106</f>
        <v>0</v>
      </c>
      <c r="H106" s="58">
        <v>520</v>
      </c>
      <c r="I106" s="222">
        <f t="shared" si="3"/>
        <v>26931931.940399136</v>
      </c>
      <c r="J106" s="36">
        <f t="shared" si="4"/>
        <v>-3705100.0596008636</v>
      </c>
      <c r="K106" s="5">
        <f t="shared" si="5"/>
        <v>-0.12093534581289936</v>
      </c>
    </row>
    <row r="107" spans="1:11" x14ac:dyDescent="0.2">
      <c r="A107" s="3">
        <v>40787</v>
      </c>
      <c r="B107" s="129">
        <v>28868459</v>
      </c>
      <c r="C107" s="219">
        <f>+'Purchased Power Model '!C107</f>
        <v>48.900000000000006</v>
      </c>
      <c r="D107" s="219">
        <f>+'Purchased Power Model '!D107</f>
        <v>34.6</v>
      </c>
      <c r="E107" s="126">
        <f>+'Purchased Power Model '!E107</f>
        <v>7.2000000000000008E-2</v>
      </c>
      <c r="F107" s="57">
        <f>+'Purchased Power Model '!F107</f>
        <v>30</v>
      </c>
      <c r="G107" s="57">
        <f>+'Purchased Power Model '!G107</f>
        <v>1</v>
      </c>
      <c r="H107" s="58">
        <v>520</v>
      </c>
      <c r="I107" s="222">
        <f t="shared" si="3"/>
        <v>26784620.407378301</v>
      </c>
      <c r="J107" s="36">
        <f t="shared" si="4"/>
        <v>-2083838.592621699</v>
      </c>
      <c r="K107" s="5">
        <f t="shared" si="5"/>
        <v>-7.2183921996726561E-2</v>
      </c>
    </row>
    <row r="108" spans="1:11" x14ac:dyDescent="0.2">
      <c r="A108" s="3">
        <v>40817</v>
      </c>
      <c r="B108" s="129">
        <v>25351951</v>
      </c>
      <c r="C108" s="219">
        <f>+'Purchased Power Model '!C108</f>
        <v>225.29999999999998</v>
      </c>
      <c r="D108" s="219">
        <f>+'Purchased Power Model '!D108</f>
        <v>0</v>
      </c>
      <c r="E108" s="126">
        <f>+'Purchased Power Model '!E108</f>
        <v>7.2000000000000008E-2</v>
      </c>
      <c r="F108" s="57">
        <f>+'Purchased Power Model '!F108</f>
        <v>31</v>
      </c>
      <c r="G108" s="57">
        <f>+'Purchased Power Model '!G108</f>
        <v>1</v>
      </c>
      <c r="H108" s="58">
        <v>522</v>
      </c>
      <c r="I108" s="222">
        <f t="shared" si="3"/>
        <v>27140241.152910307</v>
      </c>
      <c r="J108" s="36">
        <f t="shared" si="4"/>
        <v>1788290.152910307</v>
      </c>
      <c r="K108" s="5">
        <f t="shared" si="5"/>
        <v>7.053856142709912E-2</v>
      </c>
    </row>
    <row r="109" spans="1:11" x14ac:dyDescent="0.2">
      <c r="A109" s="3">
        <v>40848</v>
      </c>
      <c r="B109" s="129">
        <v>28367772</v>
      </c>
      <c r="C109" s="219">
        <f>+'Purchased Power Model '!C109</f>
        <v>349.69999999999993</v>
      </c>
      <c r="D109" s="219">
        <f>+'Purchased Power Model '!D109</f>
        <v>0</v>
      </c>
      <c r="E109" s="126">
        <f>+'Purchased Power Model '!E109</f>
        <v>7.2000000000000008E-2</v>
      </c>
      <c r="F109" s="57">
        <f>+'Purchased Power Model '!F109</f>
        <v>30</v>
      </c>
      <c r="G109" s="57">
        <f>+'Purchased Power Model '!G109</f>
        <v>1</v>
      </c>
      <c r="H109" s="58">
        <v>522</v>
      </c>
      <c r="I109" s="222">
        <f t="shared" si="3"/>
        <v>29158493.981614113</v>
      </c>
      <c r="J109" s="36">
        <f t="shared" si="4"/>
        <v>790721.98161411285</v>
      </c>
      <c r="K109" s="5">
        <f t="shared" si="5"/>
        <v>2.7873954345590229E-2</v>
      </c>
    </row>
    <row r="110" spans="1:11" x14ac:dyDescent="0.2">
      <c r="A110" s="3">
        <v>40878</v>
      </c>
      <c r="B110" s="129">
        <v>29185418</v>
      </c>
      <c r="C110" s="219">
        <f>+'Purchased Power Model '!C110</f>
        <v>531.20000000000005</v>
      </c>
      <c r="D110" s="219">
        <f>+'Purchased Power Model '!D110</f>
        <v>0</v>
      </c>
      <c r="E110" s="126">
        <f>+'Purchased Power Model '!E110</f>
        <v>7.2000000000000008E-2</v>
      </c>
      <c r="F110" s="57">
        <f>+'Purchased Power Model '!F110</f>
        <v>31</v>
      </c>
      <c r="G110" s="57">
        <f>+'Purchased Power Model '!G110</f>
        <v>0</v>
      </c>
      <c r="H110" s="58">
        <v>523</v>
      </c>
      <c r="I110" s="222">
        <f t="shared" si="3"/>
        <v>30579441.956095528</v>
      </c>
      <c r="J110" s="36">
        <f t="shared" si="4"/>
        <v>1394023.9560955279</v>
      </c>
      <c r="K110" s="5">
        <f t="shared" si="5"/>
        <v>4.776439919741865E-2</v>
      </c>
    </row>
    <row r="111" spans="1:11" x14ac:dyDescent="0.2">
      <c r="A111" s="3">
        <v>40909</v>
      </c>
      <c r="B111" s="129">
        <v>28235023</v>
      </c>
      <c r="C111" s="219">
        <f>+'Purchased Power Model '!C111</f>
        <v>611</v>
      </c>
      <c r="D111" s="219">
        <f>+'Purchased Power Model '!D111</f>
        <v>0</v>
      </c>
      <c r="E111" s="126">
        <f>+'Purchased Power Model '!E111</f>
        <v>0.08</v>
      </c>
      <c r="F111" s="57">
        <f>+'Purchased Power Model '!F111</f>
        <v>31</v>
      </c>
      <c r="G111" s="57">
        <f>+'Purchased Power Model '!G111</f>
        <v>0</v>
      </c>
      <c r="H111" s="58">
        <v>522</v>
      </c>
      <c r="I111" s="222">
        <f t="shared" si="3"/>
        <v>31710398.878664646</v>
      </c>
      <c r="J111" s="36">
        <f t="shared" si="4"/>
        <v>3475375.8786646463</v>
      </c>
      <c r="K111" s="5">
        <f t="shared" si="5"/>
        <v>0.12308741093161661</v>
      </c>
    </row>
    <row r="112" spans="1:11" x14ac:dyDescent="0.2">
      <c r="A112" s="3">
        <v>40940</v>
      </c>
      <c r="B112" s="129">
        <v>35079314</v>
      </c>
      <c r="C112" s="219">
        <f>+'Purchased Power Model '!C112</f>
        <v>536.20000000000005</v>
      </c>
      <c r="D112" s="219">
        <f>+'Purchased Power Model '!D112</f>
        <v>0</v>
      </c>
      <c r="E112" s="126">
        <f>+'Purchased Power Model '!E112</f>
        <v>0.08</v>
      </c>
      <c r="F112" s="57">
        <f>+'Purchased Power Model '!F112</f>
        <v>29</v>
      </c>
      <c r="G112" s="57">
        <f>+'Purchased Power Model '!G112</f>
        <v>0</v>
      </c>
      <c r="H112" s="58">
        <v>513</v>
      </c>
      <c r="I112" s="222">
        <f t="shared" si="3"/>
        <v>32225234.3600199</v>
      </c>
      <c r="J112" s="36">
        <f t="shared" si="4"/>
        <v>-2854079.6399801001</v>
      </c>
      <c r="K112" s="5">
        <f t="shared" si="5"/>
        <v>-8.1360759790801498E-2</v>
      </c>
    </row>
    <row r="113" spans="1:11" x14ac:dyDescent="0.2">
      <c r="A113" s="3">
        <v>40969</v>
      </c>
      <c r="B113" s="129">
        <v>30413589</v>
      </c>
      <c r="C113" s="219">
        <f>+'Purchased Power Model '!C113</f>
        <v>399.39999999999992</v>
      </c>
      <c r="D113" s="219">
        <f>+'Purchased Power Model '!D113</f>
        <v>0</v>
      </c>
      <c r="E113" s="126">
        <f>+'Purchased Power Model '!E113</f>
        <v>0.08</v>
      </c>
      <c r="F113" s="57">
        <f>+'Purchased Power Model '!F113</f>
        <v>31</v>
      </c>
      <c r="G113" s="57">
        <f>+'Purchased Power Model '!G113</f>
        <v>1</v>
      </c>
      <c r="H113" s="58">
        <v>512</v>
      </c>
      <c r="I113" s="222">
        <f t="shared" si="3"/>
        <v>29297444.977833375</v>
      </c>
      <c r="J113" s="36">
        <f t="shared" si="4"/>
        <v>-1116144.0221666247</v>
      </c>
      <c r="K113" s="5">
        <f t="shared" si="5"/>
        <v>-3.6698859255532935E-2</v>
      </c>
    </row>
    <row r="114" spans="1:11" x14ac:dyDescent="0.2">
      <c r="A114" s="3">
        <v>41000</v>
      </c>
      <c r="B114" s="129">
        <v>29345737</v>
      </c>
      <c r="C114" s="219">
        <f>+'Purchased Power Model '!C114</f>
        <v>336.89999999999992</v>
      </c>
      <c r="D114" s="219">
        <f>+'Purchased Power Model '!D114</f>
        <v>0</v>
      </c>
      <c r="E114" s="126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58">
        <v>508</v>
      </c>
      <c r="I114" s="222">
        <f t="shared" si="3"/>
        <v>29412959.963963039</v>
      </c>
      <c r="J114" s="36">
        <f t="shared" si="4"/>
        <v>67222.963963039219</v>
      </c>
      <c r="K114" s="5">
        <f t="shared" si="5"/>
        <v>2.290723315725184E-3</v>
      </c>
    </row>
    <row r="115" spans="1:11" x14ac:dyDescent="0.2">
      <c r="A115" s="3">
        <v>41030</v>
      </c>
      <c r="B115" s="129">
        <v>26730719</v>
      </c>
      <c r="C115" s="219">
        <f>+'Purchased Power Model '!C115</f>
        <v>109.30000000000001</v>
      </c>
      <c r="D115" s="219">
        <f>+'Purchased Power Model '!D115</f>
        <v>21.8</v>
      </c>
      <c r="E115" s="126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58">
        <v>497</v>
      </c>
      <c r="I115" s="222">
        <f t="shared" si="3"/>
        <v>26838446.917499855</v>
      </c>
      <c r="J115" s="36">
        <f t="shared" si="4"/>
        <v>107727.91749985516</v>
      </c>
      <c r="K115" s="5">
        <f t="shared" si="5"/>
        <v>4.0301167170196644E-3</v>
      </c>
    </row>
    <row r="116" spans="1:11" x14ac:dyDescent="0.2">
      <c r="A116" s="3">
        <v>41061</v>
      </c>
      <c r="B116" s="129">
        <v>25449891</v>
      </c>
      <c r="C116" s="219">
        <f>+'Purchased Power Model '!C116</f>
        <v>28.2</v>
      </c>
      <c r="D116" s="219">
        <f>+'Purchased Power Model '!D116</f>
        <v>64.3</v>
      </c>
      <c r="E116" s="126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58">
        <v>496</v>
      </c>
      <c r="I116" s="222">
        <f t="shared" si="3"/>
        <v>27835527.598611165</v>
      </c>
      <c r="J116" s="36">
        <f t="shared" si="4"/>
        <v>2385636.5986111648</v>
      </c>
      <c r="K116" s="5">
        <f t="shared" si="5"/>
        <v>9.3738578236392631E-2</v>
      </c>
    </row>
    <row r="117" spans="1:11" x14ac:dyDescent="0.2">
      <c r="A117" s="3">
        <v>41091</v>
      </c>
      <c r="B117" s="129">
        <v>28494354</v>
      </c>
      <c r="C117" s="219">
        <f>+'Purchased Power Model '!C117</f>
        <v>0</v>
      </c>
      <c r="D117" s="219">
        <f>+'Purchased Power Model '!D117</f>
        <v>155.30000000000001</v>
      </c>
      <c r="E117" s="126">
        <f>+'Purchased Power Model '!E117</f>
        <v>9.3000000000000013E-2</v>
      </c>
      <c r="F117" s="57">
        <f>+'Purchased Power Model '!F117</f>
        <v>31</v>
      </c>
      <c r="G117" s="57">
        <f>+'Purchased Power Model '!G117</f>
        <v>0</v>
      </c>
      <c r="H117" s="58">
        <v>495</v>
      </c>
      <c r="I117" s="222">
        <f t="shared" si="3"/>
        <v>29525704.791266363</v>
      </c>
      <c r="J117" s="36">
        <f t="shared" si="4"/>
        <v>1031350.7912663631</v>
      </c>
      <c r="K117" s="5">
        <f t="shared" si="5"/>
        <v>3.6194917465627162E-2</v>
      </c>
    </row>
    <row r="118" spans="1:11" x14ac:dyDescent="0.2">
      <c r="A118" s="3">
        <v>41122</v>
      </c>
      <c r="B118" s="129">
        <v>28711488</v>
      </c>
      <c r="C118" s="219">
        <f>+'Purchased Power Model '!C118</f>
        <v>4.4000000000000004</v>
      </c>
      <c r="D118" s="219">
        <f>+'Purchased Power Model '!D118</f>
        <v>102.79999999999998</v>
      </c>
      <c r="E118" s="126">
        <f>+'Purchased Power Model '!E118</f>
        <v>9.3000000000000013E-2</v>
      </c>
      <c r="F118" s="57">
        <f>+'Purchased Power Model '!F118</f>
        <v>31</v>
      </c>
      <c r="G118" s="57">
        <f>+'Purchased Power Model '!G118</f>
        <v>0</v>
      </c>
      <c r="H118" s="58">
        <v>496</v>
      </c>
      <c r="I118" s="222">
        <f t="shared" si="3"/>
        <v>28208484.305695403</v>
      </c>
      <c r="J118" s="36">
        <f t="shared" si="4"/>
        <v>-503003.69430459663</v>
      </c>
      <c r="K118" s="5">
        <f t="shared" si="5"/>
        <v>-1.7519248542764369E-2</v>
      </c>
    </row>
    <row r="119" spans="1:11" x14ac:dyDescent="0.2">
      <c r="A119" s="3">
        <v>41153</v>
      </c>
      <c r="B119" s="129">
        <v>30540135</v>
      </c>
      <c r="C119" s="219">
        <f>+'Purchased Power Model '!C119</f>
        <v>84</v>
      </c>
      <c r="D119" s="219">
        <f>+'Purchased Power Model '!D119</f>
        <v>24.400000000000002</v>
      </c>
      <c r="E119" s="126">
        <f>+'Purchased Power Model '!E119</f>
        <v>9.3000000000000013E-2</v>
      </c>
      <c r="F119" s="57">
        <f>+'Purchased Power Model '!F119</f>
        <v>30</v>
      </c>
      <c r="G119" s="57">
        <f>+'Purchased Power Model '!G119</f>
        <v>1</v>
      </c>
      <c r="H119" s="58">
        <v>497</v>
      </c>
      <c r="I119" s="222">
        <f t="shared" si="3"/>
        <v>27590475.830890194</v>
      </c>
      <c r="J119" s="36">
        <f t="shared" si="4"/>
        <v>-2949659.1691098064</v>
      </c>
      <c r="K119" s="5">
        <f t="shared" si="5"/>
        <v>-9.6583042907629799E-2</v>
      </c>
    </row>
    <row r="120" spans="1:11" x14ac:dyDescent="0.2">
      <c r="A120" s="3">
        <v>41183</v>
      </c>
      <c r="B120" s="129">
        <v>24133158</v>
      </c>
      <c r="C120" s="219">
        <f>+'Purchased Power Model '!C120</f>
        <v>228.99999999999994</v>
      </c>
      <c r="D120" s="219">
        <f>+'Purchased Power Model '!D120</f>
        <v>0</v>
      </c>
      <c r="E120" s="126">
        <f>+'Purchased Power Model '!E120</f>
        <v>9.4E-2</v>
      </c>
      <c r="F120" s="57">
        <f>+'Purchased Power Model '!F120</f>
        <v>31</v>
      </c>
      <c r="G120" s="57">
        <f>+'Purchased Power Model '!G120</f>
        <v>1</v>
      </c>
      <c r="H120" s="58">
        <v>499</v>
      </c>
      <c r="I120" s="222">
        <f t="shared" si="3"/>
        <v>27902411.192808218</v>
      </c>
      <c r="J120" s="36">
        <f t="shared" si="4"/>
        <v>3769253.1928082183</v>
      </c>
      <c r="K120" s="5">
        <f t="shared" si="5"/>
        <v>0.1561856592828928</v>
      </c>
    </row>
    <row r="121" spans="1:11" x14ac:dyDescent="0.2">
      <c r="A121" s="3">
        <v>41214</v>
      </c>
      <c r="B121" s="129">
        <v>26089243</v>
      </c>
      <c r="C121" s="219">
        <f>+'Purchased Power Model '!C121</f>
        <v>427.89999999999992</v>
      </c>
      <c r="D121" s="219">
        <f>+'Purchased Power Model '!D121</f>
        <v>0</v>
      </c>
      <c r="E121" s="126">
        <f>+'Purchased Power Model '!E121</f>
        <v>9.4E-2</v>
      </c>
      <c r="F121" s="57">
        <f>+'Purchased Power Model '!F121</f>
        <v>30</v>
      </c>
      <c r="G121" s="57">
        <f>+'Purchased Power Model '!G121</f>
        <v>1</v>
      </c>
      <c r="H121" s="58">
        <v>501</v>
      </c>
      <c r="I121" s="222">
        <f t="shared" si="3"/>
        <v>30731431.72273545</v>
      </c>
      <c r="J121" s="36">
        <f t="shared" si="4"/>
        <v>4642188.7227354497</v>
      </c>
      <c r="K121" s="5">
        <f t="shared" si="5"/>
        <v>0.17793497200112129</v>
      </c>
    </row>
    <row r="122" spans="1:11" x14ac:dyDescent="0.2">
      <c r="A122" s="3">
        <v>41244</v>
      </c>
      <c r="B122" s="129">
        <v>25119856</v>
      </c>
      <c r="C122" s="219">
        <f>+'Purchased Power Model '!C122</f>
        <v>451.09999999999997</v>
      </c>
      <c r="D122" s="219">
        <f>+'Purchased Power Model '!D122</f>
        <v>0</v>
      </c>
      <c r="E122" s="126">
        <f>+'Purchased Power Model '!E122</f>
        <v>9.4E-2</v>
      </c>
      <c r="F122" s="57">
        <f>+'Purchased Power Model '!F122</f>
        <v>31</v>
      </c>
      <c r="G122" s="57">
        <f>+'Purchased Power Model '!G122</f>
        <v>0</v>
      </c>
      <c r="H122" s="58">
        <v>500</v>
      </c>
      <c r="I122" s="222">
        <f t="shared" si="3"/>
        <v>30429634.366966281</v>
      </c>
      <c r="J122" s="36">
        <f t="shared" si="4"/>
        <v>5309778.3669662811</v>
      </c>
      <c r="K122" s="5">
        <f t="shared" si="5"/>
        <v>0.21137773906690713</v>
      </c>
    </row>
    <row r="123" spans="1:11" x14ac:dyDescent="0.2">
      <c r="A123" s="3">
        <v>41275</v>
      </c>
      <c r="B123" s="129">
        <v>34418610</v>
      </c>
      <c r="C123" s="219">
        <f>+'Purchased Power Model '!C123</f>
        <v>615.40000000000009</v>
      </c>
      <c r="D123" s="219">
        <f>+'Purchased Power Model '!D123</f>
        <v>0</v>
      </c>
      <c r="E123" s="126">
        <f>+'Purchased Power Model '!E123</f>
        <v>8.4000000000000005E-2</v>
      </c>
      <c r="F123" s="57">
        <f>+'Purchased Power Model '!F123</f>
        <v>31</v>
      </c>
      <c r="G123" s="57">
        <f>+'Purchased Power Model '!G123</f>
        <v>0</v>
      </c>
      <c r="H123" s="58">
        <v>501</v>
      </c>
      <c r="I123" s="222">
        <f t="shared" si="3"/>
        <v>31889538.368225288</v>
      </c>
      <c r="J123" s="36">
        <f t="shared" si="4"/>
        <v>-2529071.6317747124</v>
      </c>
      <c r="K123" s="5">
        <f t="shared" si="5"/>
        <v>-7.3479772477003352E-2</v>
      </c>
    </row>
    <row r="124" spans="1:11" x14ac:dyDescent="0.2">
      <c r="A124" s="3">
        <v>41306</v>
      </c>
      <c r="B124" s="129">
        <v>32211539</v>
      </c>
      <c r="C124" s="219">
        <f>+'Purchased Power Model '!C124</f>
        <v>611.5</v>
      </c>
      <c r="D124" s="219">
        <f>+'Purchased Power Model '!D124</f>
        <v>0</v>
      </c>
      <c r="E124" s="126">
        <f>+'Purchased Power Model '!E124</f>
        <v>8.4000000000000005E-2</v>
      </c>
      <c r="F124" s="57">
        <f>+'Purchased Power Model '!F124</f>
        <v>28</v>
      </c>
      <c r="G124" s="57">
        <f>+'Purchased Power Model '!G124</f>
        <v>0</v>
      </c>
      <c r="H124" s="58">
        <v>502</v>
      </c>
      <c r="I124" s="222">
        <f t="shared" si="3"/>
        <v>33840397.523714505</v>
      </c>
      <c r="J124" s="36">
        <f t="shared" si="4"/>
        <v>1628858.5237145051</v>
      </c>
      <c r="K124" s="5">
        <f t="shared" si="5"/>
        <v>5.0567547353589815E-2</v>
      </c>
    </row>
    <row r="125" spans="1:11" x14ac:dyDescent="0.2">
      <c r="A125" s="3">
        <v>41334</v>
      </c>
      <c r="B125" s="129">
        <v>30830480</v>
      </c>
      <c r="C125" s="219">
        <f>+'Purchased Power Model '!C125</f>
        <v>545</v>
      </c>
      <c r="D125" s="219">
        <f>+'Purchased Power Model '!D125</f>
        <v>0</v>
      </c>
      <c r="E125" s="126">
        <f>+'Purchased Power Model '!E125</f>
        <v>8.4000000000000005E-2</v>
      </c>
      <c r="F125" s="57">
        <f>+'Purchased Power Model '!F125</f>
        <v>31</v>
      </c>
      <c r="G125" s="57">
        <f>+'Purchased Power Model '!G125</f>
        <v>1</v>
      </c>
      <c r="H125" s="58">
        <v>500</v>
      </c>
      <c r="I125" s="222">
        <f t="shared" si="3"/>
        <v>31013234.123940967</v>
      </c>
      <c r="J125" s="36">
        <f t="shared" si="4"/>
        <v>182754.12394096702</v>
      </c>
      <c r="K125" s="5">
        <f t="shared" si="5"/>
        <v>5.9277093298893508E-3</v>
      </c>
    </row>
    <row r="126" spans="1:11" x14ac:dyDescent="0.2">
      <c r="A126" s="3">
        <v>41365</v>
      </c>
      <c r="B126" s="129">
        <v>29348080</v>
      </c>
      <c r="C126" s="219">
        <f>+'Purchased Power Model '!C126</f>
        <v>366.49999999999994</v>
      </c>
      <c r="D126" s="219">
        <f>+'Purchased Power Model '!D126</f>
        <v>0</v>
      </c>
      <c r="E126" s="126">
        <f>+'Purchased Power Model '!E126</f>
        <v>7.0999999999999994E-2</v>
      </c>
      <c r="F126" s="57">
        <f>+'Purchased Power Model '!F126</f>
        <v>30</v>
      </c>
      <c r="G126" s="57">
        <f>+'Purchased Power Model '!G126</f>
        <v>1</v>
      </c>
      <c r="H126" s="58">
        <v>500</v>
      </c>
      <c r="I126" s="222">
        <f t="shared" si="3"/>
        <v>29308511.013276294</v>
      </c>
      <c r="J126" s="36">
        <f t="shared" si="4"/>
        <v>-39568.986723706126</v>
      </c>
      <c r="K126" s="5">
        <f t="shared" si="5"/>
        <v>-1.3482649196712741E-3</v>
      </c>
    </row>
    <row r="127" spans="1:11" x14ac:dyDescent="0.2">
      <c r="A127" s="3">
        <v>41395</v>
      </c>
      <c r="B127" s="129">
        <v>25907262</v>
      </c>
      <c r="C127" s="219">
        <f>+'Purchased Power Model '!C127</f>
        <v>133.4</v>
      </c>
      <c r="D127" s="219">
        <f>+'Purchased Power Model '!D127</f>
        <v>3</v>
      </c>
      <c r="E127" s="126">
        <f>+'Purchased Power Model '!E127</f>
        <v>7.0999999999999994E-2</v>
      </c>
      <c r="F127" s="57">
        <f>+'Purchased Power Model '!F127</f>
        <v>31</v>
      </c>
      <c r="G127" s="57">
        <f>+'Purchased Power Model '!G127</f>
        <v>1</v>
      </c>
      <c r="H127" s="58">
        <v>499</v>
      </c>
      <c r="I127" s="222">
        <f t="shared" si="3"/>
        <v>26185305.121798299</v>
      </c>
      <c r="J127" s="36">
        <f t="shared" si="4"/>
        <v>278043.12179829925</v>
      </c>
      <c r="K127" s="5">
        <f t="shared" si="5"/>
        <v>1.0732246495144846E-2</v>
      </c>
    </row>
    <row r="128" spans="1:11" x14ac:dyDescent="0.2">
      <c r="A128" s="3">
        <v>41426</v>
      </c>
      <c r="B128" s="129">
        <v>24483469</v>
      </c>
      <c r="C128" s="219">
        <f>+'Purchased Power Model '!C128</f>
        <v>42.900000000000006</v>
      </c>
      <c r="D128" s="219">
        <f>+'Purchased Power Model '!D128</f>
        <v>32.200000000000003</v>
      </c>
      <c r="E128" s="126">
        <f>+'Purchased Power Model '!E128</f>
        <v>7.0999999999999994E-2</v>
      </c>
      <c r="F128" s="57">
        <f>+'Purchased Power Model '!F128</f>
        <v>30</v>
      </c>
      <c r="G128" s="57">
        <f>+'Purchased Power Model '!G128</f>
        <v>0</v>
      </c>
      <c r="H128" s="58">
        <v>499</v>
      </c>
      <c r="I128" s="222">
        <f t="shared" si="3"/>
        <v>26734261.059015121</v>
      </c>
      <c r="J128" s="36">
        <f t="shared" si="4"/>
        <v>2250792.0590151213</v>
      </c>
      <c r="K128" s="5">
        <f t="shared" si="5"/>
        <v>9.193109273098192E-2</v>
      </c>
    </row>
    <row r="129" spans="1:11" x14ac:dyDescent="0.2">
      <c r="A129" s="3">
        <v>41456</v>
      </c>
      <c r="B129" s="129">
        <v>26137250</v>
      </c>
      <c r="C129" s="219">
        <f>+'Purchased Power Model '!C129</f>
        <v>4.4000000000000004</v>
      </c>
      <c r="D129" s="219">
        <f>+'Purchased Power Model '!D129</f>
        <v>109.99999999999999</v>
      </c>
      <c r="E129" s="126">
        <f>+'Purchased Power Model '!E129</f>
        <v>6.3E-2</v>
      </c>
      <c r="F129" s="57">
        <f>+'Purchased Power Model '!F129</f>
        <v>31</v>
      </c>
      <c r="G129" s="57">
        <f>+'Purchased Power Model '!G129</f>
        <v>0</v>
      </c>
      <c r="H129" s="58">
        <v>497</v>
      </c>
      <c r="I129" s="222">
        <f t="shared" si="3"/>
        <v>27411284.501930375</v>
      </c>
      <c r="J129" s="36">
        <f t="shared" si="4"/>
        <v>1274034.5019303747</v>
      </c>
      <c r="K129" s="5">
        <f t="shared" si="5"/>
        <v>4.8744014842050126E-2</v>
      </c>
    </row>
    <row r="130" spans="1:11" x14ac:dyDescent="0.2">
      <c r="A130" s="3">
        <v>41487</v>
      </c>
      <c r="B130" s="129">
        <v>27890707</v>
      </c>
      <c r="C130" s="219">
        <f>+'Purchased Power Model '!C130</f>
        <v>11</v>
      </c>
      <c r="D130" s="219">
        <f>+'Purchased Power Model '!D130</f>
        <v>57.899999999999991</v>
      </c>
      <c r="E130" s="126">
        <f>+'Purchased Power Model '!E130</f>
        <v>6.3E-2</v>
      </c>
      <c r="F130" s="57">
        <f>+'Purchased Power Model '!F130</f>
        <v>31</v>
      </c>
      <c r="G130" s="57">
        <f>+'Purchased Power Model '!G130</f>
        <v>0</v>
      </c>
      <c r="H130" s="58">
        <v>497</v>
      </c>
      <c r="I130" s="222">
        <f t="shared" si="3"/>
        <v>26128406.94793256</v>
      </c>
      <c r="J130" s="36">
        <f t="shared" si="4"/>
        <v>-1762300.05206744</v>
      </c>
      <c r="K130" s="5">
        <f t="shared" si="5"/>
        <v>-6.3185922539268718E-2</v>
      </c>
    </row>
    <row r="131" spans="1:11" x14ac:dyDescent="0.2">
      <c r="A131" s="3">
        <v>41518</v>
      </c>
      <c r="B131" s="129">
        <v>26942611</v>
      </c>
      <c r="C131" s="219">
        <f>+'Purchased Power Model '!C131</f>
        <v>96.600000000000009</v>
      </c>
      <c r="D131" s="219">
        <f>+'Purchased Power Model '!D131</f>
        <v>15.700000000000001</v>
      </c>
      <c r="E131" s="126">
        <f>+'Purchased Power Model '!E131</f>
        <v>6.3E-2</v>
      </c>
      <c r="F131" s="57">
        <f>+'Purchased Power Model '!F131</f>
        <v>30</v>
      </c>
      <c r="G131" s="57">
        <f>+'Purchased Power Model '!G131</f>
        <v>1</v>
      </c>
      <c r="H131" s="58">
        <v>498</v>
      </c>
      <c r="I131" s="222">
        <f t="shared" si="3"/>
        <v>26516967.430077828</v>
      </c>
      <c r="J131" s="36">
        <f t="shared" si="4"/>
        <v>-425643.56992217153</v>
      </c>
      <c r="K131" s="5">
        <f t="shared" si="5"/>
        <v>-1.5798155936786212E-2</v>
      </c>
    </row>
    <row r="132" spans="1:11" x14ac:dyDescent="0.2">
      <c r="A132" s="3">
        <v>41548</v>
      </c>
      <c r="B132" s="129">
        <v>24270122</v>
      </c>
      <c r="C132" s="219">
        <f>+'Purchased Power Model '!C132</f>
        <v>221</v>
      </c>
      <c r="D132" s="219">
        <f>+'Purchased Power Model '!D132</f>
        <v>3</v>
      </c>
      <c r="E132" s="126">
        <f>+'Purchased Power Model '!E132</f>
        <v>7.0000000000000007E-2</v>
      </c>
      <c r="F132" s="57">
        <f>+'Purchased Power Model '!F132</f>
        <v>31</v>
      </c>
      <c r="G132" s="57">
        <f>+'Purchased Power Model '!G132</f>
        <v>1</v>
      </c>
      <c r="H132" s="58">
        <v>499</v>
      </c>
      <c r="I132" s="222">
        <f t="shared" ref="I132:I195" si="6">$N$18+C132*$N$19+D132*$N$20+E132*$N$21+F132*$N$22+G132*$N$23</f>
        <v>27105823.539321132</v>
      </c>
      <c r="J132" s="36">
        <f t="shared" ref="J132:J133" si="7">I132-B132</f>
        <v>2835701.539321132</v>
      </c>
      <c r="K132" s="5">
        <f t="shared" ref="K132:K133" si="8">J132/B132</f>
        <v>0.11683919591838607</v>
      </c>
    </row>
    <row r="133" spans="1:11" x14ac:dyDescent="0.2">
      <c r="A133" s="3">
        <v>41579</v>
      </c>
      <c r="B133" s="129">
        <v>27065074</v>
      </c>
      <c r="C133" s="219">
        <f>+'Purchased Power Model '!C133</f>
        <v>458.6</v>
      </c>
      <c r="D133" s="219">
        <f>+'Purchased Power Model '!D133</f>
        <v>0</v>
      </c>
      <c r="E133" s="126">
        <f>+'Purchased Power Model '!E133</f>
        <v>7.0000000000000007E-2</v>
      </c>
      <c r="F133" s="57">
        <f>+'Purchased Power Model '!F133</f>
        <v>30</v>
      </c>
      <c r="G133" s="57">
        <f>+'Purchased Power Model '!G133</f>
        <v>1</v>
      </c>
      <c r="H133" s="58">
        <v>500</v>
      </c>
      <c r="I133" s="222">
        <f t="shared" si="6"/>
        <v>30278001.976510607</v>
      </c>
      <c r="J133" s="36">
        <f t="shared" si="7"/>
        <v>3212927.9765106067</v>
      </c>
      <c r="K133" s="5">
        <f t="shared" si="8"/>
        <v>0.11871122083429761</v>
      </c>
    </row>
    <row r="134" spans="1:11" x14ac:dyDescent="0.2">
      <c r="A134" s="3">
        <v>41609</v>
      </c>
      <c r="B134" s="129">
        <v>27618464</v>
      </c>
      <c r="C134" s="219">
        <f>+'Purchased Power Model '!C134</f>
        <v>472.8</v>
      </c>
      <c r="D134" s="219">
        <f ca="1">+'Purchased Power Model '!D134</f>
        <v>0</v>
      </c>
      <c r="E134" s="126">
        <f>+'Purchased Power Model '!E134</f>
        <v>7.0000000000000007E-2</v>
      </c>
      <c r="F134" s="57">
        <f>+'Purchased Power Model '!F134</f>
        <v>31</v>
      </c>
      <c r="G134" s="57">
        <f>+'Purchased Power Model '!G134</f>
        <v>0</v>
      </c>
      <c r="H134" s="58">
        <v>500</v>
      </c>
      <c r="I134" s="222">
        <f t="shared" ca="1" si="6"/>
        <v>29878259.529318471</v>
      </c>
      <c r="J134" s="36">
        <f t="shared" ref="J134" ca="1" si="9">I134-B134</f>
        <v>2259795.5293184705</v>
      </c>
      <c r="K134" s="5">
        <f t="shared" ref="K134" ca="1" si="10">J134/B134</f>
        <v>8.1821911939725198E-2</v>
      </c>
    </row>
    <row r="135" spans="1:11" x14ac:dyDescent="0.2">
      <c r="A135" s="3">
        <v>41640</v>
      </c>
      <c r="B135" s="6">
        <v>33854237</v>
      </c>
      <c r="C135" s="217">
        <f>+'Purchased Power Model '!C135</f>
        <v>771.3</v>
      </c>
      <c r="D135" s="217">
        <f>+'Purchased Power Model '!D135</f>
        <v>0</v>
      </c>
      <c r="E135" s="126">
        <f>+'Purchased Power Model '!E135</f>
        <v>7.0999869999999993E-2</v>
      </c>
      <c r="F135" s="57">
        <f>+'Purchased Power Model '!F135</f>
        <v>31</v>
      </c>
      <c r="G135" s="57">
        <f>+'Purchased Power Model '!G135</f>
        <v>0</v>
      </c>
      <c r="H135" s="220">
        <v>500</v>
      </c>
      <c r="I135" s="222">
        <f t="shared" si="6"/>
        <v>33159581.268046062</v>
      </c>
      <c r="J135" s="36"/>
      <c r="K135" s="5"/>
    </row>
    <row r="136" spans="1:11" x14ac:dyDescent="0.2">
      <c r="A136" s="3">
        <v>41671</v>
      </c>
      <c r="B136" s="6">
        <v>32529286</v>
      </c>
      <c r="C136" s="217">
        <f>+'Purchased Power Model '!C136</f>
        <v>690.84999999999991</v>
      </c>
      <c r="D136" s="217">
        <f>+'Purchased Power Model '!D136</f>
        <v>0</v>
      </c>
      <c r="E136" s="126">
        <f>+'Purchased Power Model '!E136</f>
        <v>7.0999869999999993E-2</v>
      </c>
      <c r="F136" s="57">
        <f>+'Purchased Power Model '!F136</f>
        <v>28</v>
      </c>
      <c r="G136" s="57">
        <f>+'Purchased Power Model '!G136</f>
        <v>0</v>
      </c>
      <c r="H136" s="220">
        <v>502</v>
      </c>
      <c r="I136" s="222">
        <f t="shared" si="6"/>
        <v>34277363.007043295</v>
      </c>
      <c r="J136" s="36"/>
      <c r="K136" s="5"/>
    </row>
    <row r="137" spans="1:11" x14ac:dyDescent="0.2">
      <c r="A137" s="3">
        <v>41699</v>
      </c>
      <c r="B137" s="6">
        <v>31366719</v>
      </c>
      <c r="C137" s="217">
        <f>+'Purchased Power Model '!C137</f>
        <v>677.95</v>
      </c>
      <c r="D137" s="217">
        <f>+'Purchased Power Model '!D137</f>
        <v>0</v>
      </c>
      <c r="E137" s="126">
        <f>+'Purchased Power Model '!E137</f>
        <v>7.0999869999999993E-2</v>
      </c>
      <c r="F137" s="57">
        <f>+'Purchased Power Model '!F137</f>
        <v>31</v>
      </c>
      <c r="G137" s="57">
        <f>+'Purchased Power Model '!G137</f>
        <v>1</v>
      </c>
      <c r="H137" s="220">
        <v>502</v>
      </c>
      <c r="I137" s="222">
        <f t="shared" si="6"/>
        <v>32033517.040633187</v>
      </c>
      <c r="J137" s="36"/>
      <c r="K137" s="5"/>
    </row>
    <row r="138" spans="1:11" x14ac:dyDescent="0.2">
      <c r="A138" s="3">
        <v>41730</v>
      </c>
      <c r="B138" s="6">
        <v>31958118</v>
      </c>
      <c r="C138" s="217">
        <f>+'Purchased Power Model '!C138</f>
        <v>371.2999999999999</v>
      </c>
      <c r="D138" s="217">
        <f>+'Purchased Power Model '!D138</f>
        <v>0</v>
      </c>
      <c r="E138" s="126">
        <f>+'Purchased Power Model '!E138</f>
        <v>7.2000069999999999E-2</v>
      </c>
      <c r="F138" s="57">
        <f>+'Purchased Power Model '!F138</f>
        <v>30</v>
      </c>
      <c r="G138" s="57">
        <f>+'Purchased Power Model '!G138</f>
        <v>1</v>
      </c>
      <c r="H138" s="220">
        <v>502</v>
      </c>
      <c r="I138" s="222">
        <f t="shared" si="6"/>
        <v>29393564.497995622</v>
      </c>
      <c r="J138" s="36"/>
      <c r="K138" s="5"/>
    </row>
    <row r="139" spans="1:11" x14ac:dyDescent="0.2">
      <c r="A139" s="3">
        <v>41760</v>
      </c>
      <c r="B139" s="6">
        <v>24352112</v>
      </c>
      <c r="C139" s="217">
        <f>+'Purchased Power Model '!C139</f>
        <v>160.49999999999994</v>
      </c>
      <c r="D139" s="217">
        <f>+'Purchased Power Model '!D139</f>
        <v>1.3</v>
      </c>
      <c r="E139" s="126">
        <f>+'Purchased Power Model '!E139</f>
        <v>7.2000069999999999E-2</v>
      </c>
      <c r="F139" s="57">
        <f>+'Purchased Power Model '!F139</f>
        <v>31</v>
      </c>
      <c r="G139" s="57">
        <f>+'Purchased Power Model '!G139</f>
        <v>1</v>
      </c>
      <c r="H139" s="220">
        <v>503</v>
      </c>
      <c r="I139" s="222">
        <f t="shared" si="6"/>
        <v>26468841.38550251</v>
      </c>
      <c r="J139" s="36"/>
      <c r="K139" s="5"/>
    </row>
    <row r="140" spans="1:11" x14ac:dyDescent="0.2">
      <c r="A140" s="3">
        <v>41791</v>
      </c>
      <c r="B140" s="6">
        <v>25649882</v>
      </c>
      <c r="C140" s="217">
        <f>+'Purchased Power Model '!C140</f>
        <v>26.9</v>
      </c>
      <c r="D140" s="217">
        <f>+'Purchased Power Model '!D140</f>
        <v>40.1</v>
      </c>
      <c r="E140" s="126">
        <f>+'Purchased Power Model '!E140</f>
        <v>7.2000069999999999E-2</v>
      </c>
      <c r="F140" s="57">
        <f>+'Purchased Power Model '!F140</f>
        <v>30</v>
      </c>
      <c r="G140" s="57">
        <f>+'Purchased Power Model '!G140</f>
        <v>0</v>
      </c>
      <c r="H140" s="220">
        <v>504</v>
      </c>
      <c r="I140" s="222">
        <f t="shared" si="6"/>
        <v>26798368.317423511</v>
      </c>
      <c r="J140" s="36"/>
      <c r="K140" s="5"/>
    </row>
    <row r="141" spans="1:11" x14ac:dyDescent="0.2">
      <c r="A141" s="3">
        <v>41821</v>
      </c>
      <c r="B141" s="6">
        <v>25344904</v>
      </c>
      <c r="C141" s="217">
        <f>+'Purchased Power Model '!C141</f>
        <v>9.5999999999999979</v>
      </c>
      <c r="D141" s="217">
        <f>+'Purchased Power Model '!D141</f>
        <v>54.599999999999994</v>
      </c>
      <c r="E141" s="126">
        <f>+'Purchased Power Model '!E141</f>
        <v>7.6999829999999991E-2</v>
      </c>
      <c r="F141" s="57">
        <f>+'Purchased Power Model '!F141</f>
        <v>31</v>
      </c>
      <c r="G141" s="57">
        <f>+'Purchased Power Model '!G141</f>
        <v>0</v>
      </c>
      <c r="H141" s="220">
        <v>504</v>
      </c>
      <c r="I141" s="222">
        <f t="shared" si="6"/>
        <v>26486752.161282841</v>
      </c>
      <c r="J141" s="36"/>
      <c r="K141" s="5"/>
    </row>
    <row r="142" spans="1:11" x14ac:dyDescent="0.2">
      <c r="A142" s="3">
        <v>41852</v>
      </c>
      <c r="B142" s="6">
        <v>26211243</v>
      </c>
      <c r="C142" s="217">
        <f>+'Purchased Power Model '!C142</f>
        <v>12.7</v>
      </c>
      <c r="D142" s="217">
        <f>+'Purchased Power Model '!D142</f>
        <v>58</v>
      </c>
      <c r="E142" s="126">
        <f>+'Purchased Power Model '!E142</f>
        <v>7.6999829999999991E-2</v>
      </c>
      <c r="F142" s="57">
        <f>+'Purchased Power Model '!F142</f>
        <v>31</v>
      </c>
      <c r="G142" s="57">
        <f>+'Purchased Power Model '!G142</f>
        <v>0</v>
      </c>
      <c r="H142" s="220">
        <v>505</v>
      </c>
      <c r="I142" s="222">
        <f t="shared" si="6"/>
        <v>26608895.587854791</v>
      </c>
      <c r="J142" s="36"/>
      <c r="K142" s="5"/>
    </row>
    <row r="143" spans="1:11" x14ac:dyDescent="0.2">
      <c r="A143" s="3">
        <v>41883</v>
      </c>
      <c r="B143" s="6">
        <v>26381349</v>
      </c>
      <c r="C143" s="217">
        <f>+'Purchased Power Model '!C143</f>
        <v>77.400000000000006</v>
      </c>
      <c r="D143" s="217">
        <f>+'Purchased Power Model '!D143</f>
        <v>22.5</v>
      </c>
      <c r="E143" s="126">
        <f>+'Purchased Power Model '!E143</f>
        <v>7.6999829999999991E-2</v>
      </c>
      <c r="F143" s="57">
        <f>+'Purchased Power Model '!F143</f>
        <v>30</v>
      </c>
      <c r="G143" s="57">
        <f>+'Purchased Power Model '!G143</f>
        <v>1</v>
      </c>
      <c r="H143" s="220">
        <v>504</v>
      </c>
      <c r="I143" s="222">
        <f t="shared" si="6"/>
        <v>26944219.170552924</v>
      </c>
      <c r="J143" s="36"/>
      <c r="K143" s="5"/>
    </row>
    <row r="144" spans="1:11" x14ac:dyDescent="0.2">
      <c r="A144" s="3">
        <v>41913</v>
      </c>
      <c r="B144" s="6">
        <v>23993234</v>
      </c>
      <c r="C144" s="217">
        <f>+'Purchased Power Model '!C144</f>
        <v>216.29999999999998</v>
      </c>
      <c r="D144" s="217">
        <f>+'Purchased Power Model '!D144</f>
        <v>0.5</v>
      </c>
      <c r="E144" s="126">
        <f>+'Purchased Power Model '!E144</f>
        <v>7.3406150000000003E-2</v>
      </c>
      <c r="F144" s="57">
        <f>+'Purchased Power Model '!F144</f>
        <v>31</v>
      </c>
      <c r="G144" s="57">
        <f>+'Purchased Power Model '!G144</f>
        <v>1</v>
      </c>
      <c r="H144" s="220">
        <v>504</v>
      </c>
      <c r="I144" s="222">
        <f t="shared" si="6"/>
        <v>27101438.191959865</v>
      </c>
      <c r="J144" s="36"/>
      <c r="K144" s="5"/>
    </row>
    <row r="145" spans="1:11" x14ac:dyDescent="0.2">
      <c r="A145" s="3">
        <v>41944</v>
      </c>
      <c r="B145" s="6">
        <v>26707258</v>
      </c>
      <c r="C145" s="217">
        <f>+'Purchased Power Model '!C145</f>
        <v>407.30000000000013</v>
      </c>
      <c r="D145" s="217">
        <f>+'Purchased Power Model '!D145</f>
        <v>0</v>
      </c>
      <c r="E145" s="126">
        <f>+'Purchased Power Model '!E145</f>
        <v>7.3406150000000003E-2</v>
      </c>
      <c r="F145" s="57">
        <f>+'Purchased Power Model '!F145</f>
        <v>30</v>
      </c>
      <c r="G145" s="57">
        <f>+'Purchased Power Model '!G145</f>
        <v>1</v>
      </c>
      <c r="H145" s="220">
        <v>504</v>
      </c>
      <c r="I145" s="222">
        <f t="shared" si="6"/>
        <v>29831483.69955086</v>
      </c>
      <c r="J145" s="36"/>
      <c r="K145" s="5"/>
    </row>
    <row r="146" spans="1:11" x14ac:dyDescent="0.2">
      <c r="A146" s="3">
        <v>41974</v>
      </c>
      <c r="B146" s="6">
        <v>28057772</v>
      </c>
      <c r="C146" s="217">
        <f>+'Purchased Power Model '!C146</f>
        <v>551.79999999999995</v>
      </c>
      <c r="D146" s="217">
        <f>+'Purchased Power Model '!D146</f>
        <v>0</v>
      </c>
      <c r="E146" s="126">
        <f>+'Purchased Power Model '!E146</f>
        <v>7.3406150000000003E-2</v>
      </c>
      <c r="F146" s="57">
        <f>+'Purchased Power Model '!F146</f>
        <v>31</v>
      </c>
      <c r="G146" s="57">
        <f>+'Purchased Power Model '!G146</f>
        <v>0</v>
      </c>
      <c r="H146" s="220">
        <v>505</v>
      </c>
      <c r="I146" s="222">
        <f t="shared" si="6"/>
        <v>30849768.520404529</v>
      </c>
      <c r="J146" s="36"/>
      <c r="K146" s="5"/>
    </row>
    <row r="147" spans="1:11" x14ac:dyDescent="0.2">
      <c r="A147" s="3">
        <v>42005</v>
      </c>
      <c r="C147" s="217">
        <f>+'Purchased Power Model '!C147</f>
        <v>665.29813270224599</v>
      </c>
      <c r="D147" s="217">
        <f ca="1">+'Purchased Power Model '!D147</f>
        <v>0</v>
      </c>
      <c r="E147" s="126">
        <f>+'Purchased Power Model '!E147</f>
        <v>7.3406150000000003E-2</v>
      </c>
      <c r="F147" s="57">
        <f>+'Purchased Power Model '!F147</f>
        <v>31</v>
      </c>
      <c r="G147" s="57">
        <f>+'Purchased Power Model '!G147</f>
        <v>0</v>
      </c>
      <c r="H147" s="220"/>
      <c r="I147" s="222">
        <f t="shared" ca="1" si="6"/>
        <v>32084944.629722003</v>
      </c>
      <c r="J147" s="36"/>
      <c r="K147" s="5"/>
    </row>
    <row r="148" spans="1:11" x14ac:dyDescent="0.2">
      <c r="A148" s="3">
        <v>42036</v>
      </c>
      <c r="C148" s="217">
        <f>+'Purchased Power Model '!C148</f>
        <v>595.90459610702271</v>
      </c>
      <c r="D148" s="217">
        <f ca="1">+'Purchased Power Model '!D148</f>
        <v>0</v>
      </c>
      <c r="E148" s="126">
        <f>+'Purchased Power Model '!E148</f>
        <v>7.3406150000000003E-2</v>
      </c>
      <c r="F148" s="57">
        <f>+'Purchased Power Model '!F148</f>
        <v>28</v>
      </c>
      <c r="G148" s="57">
        <f>+'Purchased Power Model '!G148</f>
        <v>0</v>
      </c>
      <c r="H148" s="220"/>
      <c r="I148" s="222">
        <f t="shared" ca="1" si="6"/>
        <v>33323051.515274279</v>
      </c>
      <c r="J148" s="36"/>
      <c r="K148" s="5"/>
    </row>
    <row r="149" spans="1:11" x14ac:dyDescent="0.2">
      <c r="A149" s="3">
        <v>42064</v>
      </c>
      <c r="C149" s="217">
        <f>+'Purchased Power Model '!C149</f>
        <v>584.77747836832327</v>
      </c>
      <c r="D149" s="217">
        <f ca="1">+'Purchased Power Model '!D149</f>
        <v>0</v>
      </c>
      <c r="E149" s="126">
        <f>+'Purchased Power Model '!E149</f>
        <v>7.3406150000000003E-2</v>
      </c>
      <c r="F149" s="57">
        <f>+'Purchased Power Model '!F149</f>
        <v>31</v>
      </c>
      <c r="G149" s="57">
        <f>+'Purchased Power Model '!G149</f>
        <v>1</v>
      </c>
      <c r="H149" s="220"/>
      <c r="I149" s="222">
        <f t="shared" ca="1" si="6"/>
        <v>31098499.4505492</v>
      </c>
      <c r="J149" s="36"/>
      <c r="K149" s="5"/>
    </row>
    <row r="150" spans="1:11" x14ac:dyDescent="0.2">
      <c r="A150" s="3">
        <v>42095</v>
      </c>
      <c r="C150" s="217">
        <f>+'Purchased Power Model '!C150</f>
        <v>320.27122607590286</v>
      </c>
      <c r="D150" s="217">
        <f ca="1">+'Purchased Power Model '!D150</f>
        <v>0</v>
      </c>
      <c r="E150" s="126">
        <f>+'Purchased Power Model '!E150</f>
        <v>7.3406150000000003E-2</v>
      </c>
      <c r="F150" s="57">
        <f>+'Purchased Power Model '!F150</f>
        <v>30</v>
      </c>
      <c r="G150" s="57">
        <f>+'Purchased Power Model '!G150</f>
        <v>1</v>
      </c>
      <c r="H150" s="220"/>
      <c r="I150" s="222">
        <f t="shared" ca="1" si="6"/>
        <v>28884368.008614846</v>
      </c>
      <c r="J150" s="36"/>
      <c r="K150" s="5"/>
    </row>
    <row r="151" spans="1:11" x14ac:dyDescent="0.2">
      <c r="A151" s="3">
        <v>42125</v>
      </c>
      <c r="C151" s="217">
        <f>+'Purchased Power Model '!C151</f>
        <v>138.4420462838201</v>
      </c>
      <c r="D151" s="217">
        <f ca="1">+'Purchased Power Model '!D151</f>
        <v>1.8457952405410045</v>
      </c>
      <c r="E151" s="126">
        <f>+'Purchased Power Model '!E151</f>
        <v>7.3406150000000003E-2</v>
      </c>
      <c r="F151" s="57">
        <f>+'Purchased Power Model '!F151</f>
        <v>31</v>
      </c>
      <c r="G151" s="57">
        <f>+'Purchased Power Model '!G151</f>
        <v>1</v>
      </c>
      <c r="H151" s="220"/>
      <c r="I151" s="222">
        <f t="shared" ca="1" si="6"/>
        <v>26289119.954044543</v>
      </c>
      <c r="J151" s="36"/>
      <c r="K151" s="5"/>
    </row>
    <row r="152" spans="1:11" x14ac:dyDescent="0.2">
      <c r="A152" s="3">
        <v>42156</v>
      </c>
      <c r="C152" s="217">
        <f>+'Purchased Power Model '!C152</f>
        <v>23.203059470621568</v>
      </c>
      <c r="D152" s="217">
        <f ca="1">+'Purchased Power Model '!D152</f>
        <v>56.93568395822637</v>
      </c>
      <c r="E152" s="126">
        <f>+'Purchased Power Model '!E152</f>
        <v>7.3406150000000003E-2</v>
      </c>
      <c r="F152" s="57">
        <f>+'Purchased Power Model '!F152</f>
        <v>30</v>
      </c>
      <c r="G152" s="57">
        <f>+'Purchased Power Model '!G152</f>
        <v>0</v>
      </c>
      <c r="H152" s="220"/>
      <c r="I152" s="222">
        <f t="shared" ca="1" si="6"/>
        <v>27242035.508404087</v>
      </c>
      <c r="J152" s="36"/>
      <c r="K152" s="5"/>
    </row>
    <row r="153" spans="1:11" x14ac:dyDescent="0.2">
      <c r="A153" s="3">
        <v>42186</v>
      </c>
      <c r="C153" s="217">
        <f>+'Purchased Power Model '!C153</f>
        <v>8.2806457590322324</v>
      </c>
      <c r="D153" s="217">
        <f ca="1">+'Purchased Power Model '!D153</f>
        <v>77.523400102722178</v>
      </c>
      <c r="E153" s="126">
        <f>+'Purchased Power Model '!E153</f>
        <v>7.3406150000000003E-2</v>
      </c>
      <c r="F153" s="57">
        <f>+'Purchased Power Model '!F153</f>
        <v>31</v>
      </c>
      <c r="G153" s="57">
        <f>+'Purchased Power Model '!G153</f>
        <v>0</v>
      </c>
      <c r="H153" s="220"/>
      <c r="I153" s="222">
        <f t="shared" ca="1" si="6"/>
        <v>26950525.733138029</v>
      </c>
      <c r="J153" s="36"/>
      <c r="K153" s="5"/>
    </row>
    <row r="154" spans="1:11" x14ac:dyDescent="0.2">
      <c r="A154" s="3">
        <v>42217</v>
      </c>
      <c r="C154" s="217">
        <f>+'Purchased Power Model '!C154</f>
        <v>10.954604285386392</v>
      </c>
      <c r="D154" s="217">
        <f ca="1">+'Purchased Power Model '!D154</f>
        <v>82.350864577983273</v>
      </c>
      <c r="E154" s="126">
        <f>+'Purchased Power Model '!E154</f>
        <v>7.3406150000000003E-2</v>
      </c>
      <c r="F154" s="57">
        <f>+'Purchased Power Model '!F154</f>
        <v>31</v>
      </c>
      <c r="G154" s="57">
        <f>+'Purchased Power Model '!G154</f>
        <v>0</v>
      </c>
      <c r="H154" s="220"/>
      <c r="I154" s="222">
        <f t="shared" ca="1" si="6"/>
        <v>27105149.565256368</v>
      </c>
      <c r="J154" s="36"/>
      <c r="K154" s="5"/>
    </row>
    <row r="155" spans="1:11" x14ac:dyDescent="0.2">
      <c r="A155" s="3">
        <v>42248</v>
      </c>
      <c r="C155" s="217">
        <f>+'Purchased Power Model '!C155</f>
        <v>66.76270643219739</v>
      </c>
      <c r="D155" s="217">
        <f ca="1">+'Purchased Power Model '!D155</f>
        <v>31.946456086286616</v>
      </c>
      <c r="E155" s="126">
        <f>+'Purchased Power Model '!E155</f>
        <v>7.3406150000000003E-2</v>
      </c>
      <c r="F155" s="57">
        <f>+'Purchased Power Model '!F155</f>
        <v>30</v>
      </c>
      <c r="G155" s="57">
        <f>+'Purchased Power Model '!G155</f>
        <v>1</v>
      </c>
      <c r="H155" s="220"/>
      <c r="I155" s="222">
        <f t="shared" ca="1" si="6"/>
        <v>26956160.1499364</v>
      </c>
      <c r="J155" s="36"/>
      <c r="K155" s="5"/>
    </row>
    <row r="156" spans="1:11" x14ac:dyDescent="0.2">
      <c r="A156" s="3">
        <v>42278</v>
      </c>
      <c r="C156" s="217">
        <f>+'Purchased Power Model '!C156</f>
        <v>186.57329975819502</v>
      </c>
      <c r="D156" s="217">
        <f ca="1">+'Purchased Power Model '!D156</f>
        <v>0.70992124636192477</v>
      </c>
      <c r="E156" s="126">
        <f>+'Purchased Power Model '!E156</f>
        <v>7.3406150000000003E-2</v>
      </c>
      <c r="F156" s="57">
        <f>+'Purchased Power Model '!F156</f>
        <v>31</v>
      </c>
      <c r="G156" s="57">
        <f>+'Purchased Power Model '!G156</f>
        <v>1</v>
      </c>
      <c r="H156" s="220"/>
      <c r="I156" s="222">
        <f t="shared" ca="1" si="6"/>
        <v>26783387.188452914</v>
      </c>
      <c r="J156" s="36"/>
      <c r="K156" s="5"/>
    </row>
    <row r="157" spans="1:11" x14ac:dyDescent="0.2">
      <c r="A157" s="3">
        <v>42309</v>
      </c>
      <c r="C157" s="217">
        <f>+'Purchased Power Model '!C157</f>
        <v>351.32364767227392</v>
      </c>
      <c r="D157" s="217">
        <f ca="1">+'Purchased Power Model '!D157</f>
        <v>0</v>
      </c>
      <c r="E157" s="126">
        <f>+'Purchased Power Model '!E157</f>
        <v>7.3406150000000003E-2</v>
      </c>
      <c r="F157" s="57">
        <f>+'Purchased Power Model '!F157</f>
        <v>30</v>
      </c>
      <c r="G157" s="57">
        <f>+'Purchased Power Model '!G157</f>
        <v>1</v>
      </c>
      <c r="H157" s="220"/>
      <c r="I157" s="222">
        <f t="shared" ca="1" si="6"/>
        <v>29222304.927743845</v>
      </c>
      <c r="J157" s="36"/>
      <c r="K157" s="5"/>
    </row>
    <row r="158" spans="1:11" x14ac:dyDescent="0.2">
      <c r="A158" s="3">
        <v>42339</v>
      </c>
      <c r="C158" s="217">
        <f>+'Purchased Power Model '!C158</f>
        <v>475.96461769104019</v>
      </c>
      <c r="D158" s="217">
        <f ca="1">+'Purchased Power Model '!D158</f>
        <v>0</v>
      </c>
      <c r="E158" s="126">
        <f>+'Purchased Power Model '!E158</f>
        <v>7.3406150000000003E-2</v>
      </c>
      <c r="F158" s="57">
        <f>+'Purchased Power Model '!F158</f>
        <v>31</v>
      </c>
      <c r="G158" s="57">
        <f>+'Purchased Power Model '!G158</f>
        <v>0</v>
      </c>
      <c r="H158" s="220"/>
      <c r="I158" s="222">
        <f t="shared" ca="1" si="6"/>
        <v>30024468.13669936</v>
      </c>
      <c r="J158" s="36"/>
      <c r="K158" s="5"/>
    </row>
    <row r="159" spans="1:11" x14ac:dyDescent="0.2">
      <c r="A159" s="3">
        <v>42370</v>
      </c>
      <c r="C159" s="217">
        <f>+'Purchased Power Model '!C159</f>
        <v>663.68561281945165</v>
      </c>
      <c r="D159" s="217">
        <f ca="1">+'Purchased Power Model '!D159</f>
        <v>0</v>
      </c>
      <c r="E159" s="126">
        <f>+'Purchased Power Model '!E159</f>
        <v>7.3406150000000003E-2</v>
      </c>
      <c r="F159" s="57">
        <f>+'Purchased Power Model '!F159</f>
        <v>31</v>
      </c>
      <c r="G159" s="57">
        <f>+'Purchased Power Model '!G159</f>
        <v>0</v>
      </c>
      <c r="H159" s="220"/>
      <c r="I159" s="222">
        <f t="shared" ca="1" si="6"/>
        <v>32067395.917795148</v>
      </c>
      <c r="J159" s="36"/>
      <c r="K159" s="5"/>
    </row>
    <row r="160" spans="1:11" x14ac:dyDescent="0.2">
      <c r="A160" s="3">
        <v>42401</v>
      </c>
      <c r="C160" s="217">
        <f>+'Purchased Power Model '!C160</f>
        <v>594.4602691771272</v>
      </c>
      <c r="D160" s="217">
        <f ca="1">+'Purchased Power Model '!D160</f>
        <v>0</v>
      </c>
      <c r="E160" s="126">
        <f>+'Purchased Power Model '!E160</f>
        <v>7.3406150000000003E-2</v>
      </c>
      <c r="F160" s="57">
        <f>+'Purchased Power Model '!F160</f>
        <v>29</v>
      </c>
      <c r="G160" s="57">
        <f>+'Purchased Power Model '!G160</f>
        <v>0</v>
      </c>
      <c r="H160" s="220"/>
      <c r="I160" s="222">
        <f t="shared" ca="1" si="6"/>
        <v>32642899.202106416</v>
      </c>
      <c r="J160" s="36"/>
      <c r="K160" s="5"/>
    </row>
    <row r="161" spans="1:11" x14ac:dyDescent="0.2">
      <c r="A161" s="3">
        <v>42430</v>
      </c>
      <c r="C161" s="217">
        <f>+'Purchased Power Model '!C161</f>
        <v>583.36012084914728</v>
      </c>
      <c r="D161" s="217">
        <f ca="1">+'Purchased Power Model '!D161</f>
        <v>0</v>
      </c>
      <c r="E161" s="126">
        <f>+'Purchased Power Model '!E161</f>
        <v>7.3406150000000003E-2</v>
      </c>
      <c r="F161" s="57">
        <f>+'Purchased Power Model '!F161</f>
        <v>31</v>
      </c>
      <c r="G161" s="57">
        <f>+'Purchased Power Model '!G161</f>
        <v>1</v>
      </c>
      <c r="H161" s="220"/>
      <c r="I161" s="222">
        <f t="shared" ca="1" si="6"/>
        <v>31083074.649238676</v>
      </c>
      <c r="J161" s="36"/>
      <c r="K161" s="5"/>
    </row>
    <row r="162" spans="1:11" x14ac:dyDescent="0.2">
      <c r="A162" s="3">
        <v>42461</v>
      </c>
      <c r="C162" s="217">
        <f>+'Purchased Power Model '!C162</f>
        <v>319.49496699061632</v>
      </c>
      <c r="D162" s="217">
        <f ca="1">+'Purchased Power Model '!D162</f>
        <v>0</v>
      </c>
      <c r="E162" s="126">
        <f>+'Purchased Power Model '!E162</f>
        <v>7.3406150000000003E-2</v>
      </c>
      <c r="F162" s="57">
        <f>+'Purchased Power Model '!F162</f>
        <v>30</v>
      </c>
      <c r="G162" s="57">
        <f>+'Purchased Power Model '!G162</f>
        <v>1</v>
      </c>
      <c r="H162" s="220"/>
      <c r="I162" s="222">
        <f t="shared" ca="1" si="6"/>
        <v>28875920.145606361</v>
      </c>
      <c r="J162" s="36"/>
      <c r="K162" s="5"/>
    </row>
    <row r="163" spans="1:11" x14ac:dyDescent="0.2">
      <c r="A163" s="3">
        <v>42491</v>
      </c>
      <c r="C163" s="217">
        <f>+'Purchased Power Model '!C163</f>
        <v>138.10649663882012</v>
      </c>
      <c r="D163" s="217">
        <f ca="1">+'Purchased Power Model '!D163</f>
        <v>1.8640104434172213</v>
      </c>
      <c r="E163" s="126">
        <f>+'Purchased Power Model '!E163</f>
        <v>7.3406150000000003E-2</v>
      </c>
      <c r="F163" s="57">
        <f>+'Purchased Power Model '!F163</f>
        <v>31</v>
      </c>
      <c r="G163" s="57">
        <f>+'Purchased Power Model '!G163</f>
        <v>1</v>
      </c>
      <c r="H163" s="220"/>
      <c r="I163" s="222">
        <f t="shared" ca="1" si="6"/>
        <v>26285941.870035358</v>
      </c>
      <c r="J163" s="36"/>
      <c r="K163" s="5"/>
    </row>
    <row r="164" spans="1:11" x14ac:dyDescent="0.2">
      <c r="A164" s="3">
        <v>42522</v>
      </c>
      <c r="C164" s="217">
        <f>+'Purchased Power Model '!C164</f>
        <v>23.146820931989172</v>
      </c>
      <c r="D164" s="217">
        <f ca="1">+'Purchased Power Model '!D164</f>
        <v>57.497552908485055</v>
      </c>
      <c r="E164" s="126">
        <f>+'Purchased Power Model '!E164</f>
        <v>7.3406150000000003E-2</v>
      </c>
      <c r="F164" s="57">
        <f>+'Purchased Power Model '!F164</f>
        <v>30</v>
      </c>
      <c r="G164" s="57">
        <f>+'Purchased Power Model '!G164</f>
        <v>0</v>
      </c>
      <c r="H164" s="220"/>
      <c r="I164" s="222">
        <f t="shared" ca="1" si="6"/>
        <v>27256033.190110032</v>
      </c>
      <c r="J164" s="36"/>
      <c r="K164" s="5"/>
    </row>
    <row r="165" spans="1:11" x14ac:dyDescent="0.2">
      <c r="A165" s="3">
        <v>42552</v>
      </c>
      <c r="C165" s="217">
        <f>+'Purchased Power Model '!C165</f>
        <v>8.2605754998920471</v>
      </c>
      <c r="D165" s="217">
        <f ca="1">+'Purchased Power Model '!D165</f>
        <v>78.288438623523277</v>
      </c>
      <c r="E165" s="126">
        <f>+'Purchased Power Model '!E165</f>
        <v>7.3406150000000003E-2</v>
      </c>
      <c r="F165" s="57">
        <f>+'Purchased Power Model '!F165</f>
        <v>31</v>
      </c>
      <c r="G165" s="57">
        <f>+'Purchased Power Model '!G165</f>
        <v>0</v>
      </c>
      <c r="H165" s="220"/>
      <c r="I165" s="222">
        <f t="shared" ca="1" si="6"/>
        <v>26970199.840775091</v>
      </c>
      <c r="J165" s="36"/>
      <c r="K165" s="5"/>
    </row>
    <row r="166" spans="1:11" x14ac:dyDescent="0.2">
      <c r="A166" s="3">
        <v>42583</v>
      </c>
      <c r="C166" s="217">
        <f>+'Purchased Power Model '!C166</f>
        <v>10.92805300506552</v>
      </c>
      <c r="D166" s="217">
        <f ca="1">+'Purchased Power Model '!D166</f>
        <v>83.163542860152944</v>
      </c>
      <c r="E166" s="126">
        <f>+'Purchased Power Model '!E166</f>
        <v>7.3406150000000003E-2</v>
      </c>
      <c r="F166" s="57">
        <f>+'Purchased Power Model '!F166</f>
        <v>31</v>
      </c>
      <c r="G166" s="57">
        <f>+'Purchased Power Model '!G166</f>
        <v>0</v>
      </c>
      <c r="H166" s="220"/>
      <c r="I166" s="222">
        <f t="shared" ca="1" si="6"/>
        <v>27125991.870164815</v>
      </c>
      <c r="J166" s="36"/>
      <c r="K166" s="5"/>
    </row>
    <row r="167" spans="1:11" x14ac:dyDescent="0.2">
      <c r="A167" s="3">
        <v>42614</v>
      </c>
      <c r="C167" s="217">
        <f>+'Purchased Power Model '!C167</f>
        <v>66.600889967879638</v>
      </c>
      <c r="D167" s="217">
        <f ca="1">+'Purchased Power Model '!D167</f>
        <v>32.261719212990371</v>
      </c>
      <c r="E167" s="126">
        <f>+'Purchased Power Model '!E167</f>
        <v>7.3406150000000003E-2</v>
      </c>
      <c r="F167" s="57">
        <f>+'Purchased Power Model '!F167</f>
        <v>30</v>
      </c>
      <c r="G167" s="57">
        <f>+'Purchased Power Model '!G167</f>
        <v>1</v>
      </c>
      <c r="H167" s="220"/>
      <c r="I167" s="222">
        <f t="shared" ca="1" si="6"/>
        <v>26962596.606004938</v>
      </c>
      <c r="J167" s="36"/>
      <c r="K167" s="5"/>
    </row>
    <row r="168" spans="1:11" x14ac:dyDescent="0.2">
      <c r="A168" s="3">
        <v>42644</v>
      </c>
      <c r="C168" s="217">
        <f>+'Purchased Power Model '!C168</f>
        <v>186.1210917319427</v>
      </c>
      <c r="D168" s="217">
        <f ca="1">+'Purchased Power Model '!D168</f>
        <v>0.71692709362200813</v>
      </c>
      <c r="E168" s="126">
        <f>+'Purchased Power Model '!E168</f>
        <v>7.3406150000000003E-2</v>
      </c>
      <c r="F168" s="57">
        <f>+'Purchased Power Model '!F168</f>
        <v>31</v>
      </c>
      <c r="G168" s="57">
        <f>+'Purchased Power Model '!G168</f>
        <v>1</v>
      </c>
      <c r="H168" s="220"/>
      <c r="I168" s="222">
        <f t="shared" ca="1" si="6"/>
        <v>26778648.070407733</v>
      </c>
      <c r="J168" s="36"/>
      <c r="K168" s="5"/>
    </row>
    <row r="169" spans="1:11" x14ac:dyDescent="0.2">
      <c r="A169" s="3">
        <v>42675</v>
      </c>
      <c r="C169" s="217">
        <f>+'Purchased Power Model '!C169</f>
        <v>350.47212511521167</v>
      </c>
      <c r="D169" s="217">
        <f ca="1">+'Purchased Power Model '!D169</f>
        <v>0</v>
      </c>
      <c r="E169" s="126">
        <f>+'Purchased Power Model '!E169</f>
        <v>7.3406150000000003E-2</v>
      </c>
      <c r="F169" s="57">
        <f>+'Purchased Power Model '!F169</f>
        <v>30</v>
      </c>
      <c r="G169" s="57">
        <f>+'Purchased Power Model '!G169</f>
        <v>1</v>
      </c>
      <c r="H169" s="220"/>
      <c r="I169" s="222">
        <f t="shared" ca="1" si="6"/>
        <v>29213037.988332711</v>
      </c>
      <c r="J169" s="36"/>
      <c r="K169" s="5"/>
    </row>
    <row r="170" spans="1:11" x14ac:dyDescent="0.2">
      <c r="A170" s="3">
        <v>42705</v>
      </c>
      <c r="C170" s="217">
        <f>+'Purchased Power Model '!C170</f>
        <v>474.81099592087827</v>
      </c>
      <c r="D170" s="217">
        <f ca="1">+'Purchased Power Model '!D170</f>
        <v>0</v>
      </c>
      <c r="E170" s="126">
        <f>+'Purchased Power Model '!E170</f>
        <v>7.3406150000000003E-2</v>
      </c>
      <c r="F170" s="57">
        <f>+'Purchased Power Model '!F170</f>
        <v>31</v>
      </c>
      <c r="G170" s="57">
        <f>+'Purchased Power Model '!G170</f>
        <v>0</v>
      </c>
      <c r="H170" s="220"/>
      <c r="I170" s="222">
        <f t="shared" ca="1" si="6"/>
        <v>30011913.515616473</v>
      </c>
      <c r="J170" s="36"/>
      <c r="K170" s="5"/>
    </row>
    <row r="171" spans="1:11" x14ac:dyDescent="0.2">
      <c r="A171" s="3">
        <v>42736</v>
      </c>
      <c r="C171" s="217">
        <f>+'Purchased Power Model '!C171</f>
        <v>662.07309293665651</v>
      </c>
      <c r="D171" s="217">
        <f ca="1">+'Purchased Power Model '!D171</f>
        <v>0</v>
      </c>
      <c r="E171" s="126">
        <f>+'Purchased Power Model '!E171</f>
        <v>7.3406150000000003E-2</v>
      </c>
      <c r="F171" s="57">
        <f>+'Purchased Power Model '!F171</f>
        <v>31</v>
      </c>
      <c r="G171" s="57">
        <f>+'Purchased Power Model '!G171</f>
        <v>0</v>
      </c>
      <c r="H171" s="220"/>
      <c r="I171" s="222">
        <f t="shared" ca="1" si="6"/>
        <v>32049847.205868293</v>
      </c>
      <c r="J171" s="36"/>
      <c r="K171" s="5"/>
    </row>
    <row r="172" spans="1:11" x14ac:dyDescent="0.2">
      <c r="A172" s="3">
        <v>42767</v>
      </c>
      <c r="C172" s="217">
        <f>+'Purchased Power Model '!C172</f>
        <v>593.0159422472309</v>
      </c>
      <c r="D172" s="217">
        <f ca="1">+'Purchased Power Model '!D172</f>
        <v>0</v>
      </c>
      <c r="E172" s="126">
        <f>+'Purchased Power Model '!E172</f>
        <v>7.3406150000000003E-2</v>
      </c>
      <c r="F172" s="57">
        <f>+'Purchased Power Model '!F172</f>
        <v>28</v>
      </c>
      <c r="G172" s="57">
        <f>+'Purchased Power Model '!G172</f>
        <v>0</v>
      </c>
      <c r="H172" s="220"/>
      <c r="I172" s="222">
        <f t="shared" ca="1" si="6"/>
        <v>33291614.907897994</v>
      </c>
      <c r="J172" s="36"/>
      <c r="K172" s="5"/>
    </row>
    <row r="173" spans="1:11" x14ac:dyDescent="0.2">
      <c r="A173" s="3">
        <v>42795</v>
      </c>
      <c r="C173" s="217">
        <f>+'Purchased Power Model '!C173</f>
        <v>581.9427633299706</v>
      </c>
      <c r="D173" s="217">
        <f ca="1">+'Purchased Power Model '!D173</f>
        <v>0</v>
      </c>
      <c r="E173" s="126">
        <f>+'Purchased Power Model '!E173</f>
        <v>7.3406150000000003E-2</v>
      </c>
      <c r="F173" s="57">
        <f>+'Purchased Power Model '!F173</f>
        <v>31</v>
      </c>
      <c r="G173" s="57">
        <f>+'Purchased Power Model '!G173</f>
        <v>1</v>
      </c>
      <c r="H173" s="220"/>
      <c r="I173" s="222">
        <f t="shared" ca="1" si="6"/>
        <v>31067649.847928144</v>
      </c>
      <c r="J173" s="36"/>
      <c r="K173" s="5"/>
    </row>
    <row r="174" spans="1:11" x14ac:dyDescent="0.2">
      <c r="A174" s="3">
        <v>42826</v>
      </c>
      <c r="C174" s="217">
        <f>+'Purchased Power Model '!C174</f>
        <v>318.71870790532938</v>
      </c>
      <c r="D174" s="217">
        <f ca="1">+'Purchased Power Model '!D174</f>
        <v>0</v>
      </c>
      <c r="E174" s="126">
        <f>+'Purchased Power Model '!E174</f>
        <v>7.3406150000000003E-2</v>
      </c>
      <c r="F174" s="57">
        <f>+'Purchased Power Model '!F174</f>
        <v>30</v>
      </c>
      <c r="G174" s="57">
        <f>+'Purchased Power Model '!G174</f>
        <v>1</v>
      </c>
      <c r="H174" s="220"/>
      <c r="I174" s="222">
        <f t="shared" ca="1" si="6"/>
        <v>28867472.282597885</v>
      </c>
      <c r="J174" s="36"/>
      <c r="K174" s="5"/>
    </row>
    <row r="175" spans="1:11" x14ac:dyDescent="0.2">
      <c r="A175" s="3">
        <v>42856</v>
      </c>
      <c r="C175" s="217">
        <f>+'Purchased Power Model '!C175</f>
        <v>137.77094699381996</v>
      </c>
      <c r="D175" s="217">
        <f ca="1">+'Purchased Power Model '!D175</f>
        <v>1.8822256462934444</v>
      </c>
      <c r="E175" s="126">
        <f>+'Purchased Power Model '!E175</f>
        <v>7.3406150000000003E-2</v>
      </c>
      <c r="F175" s="57">
        <f>+'Purchased Power Model '!F175</f>
        <v>31</v>
      </c>
      <c r="G175" s="57">
        <f>+'Purchased Power Model '!G175</f>
        <v>1</v>
      </c>
      <c r="H175" s="220"/>
      <c r="I175" s="222">
        <f t="shared" ca="1" si="6"/>
        <v>26282763.786026172</v>
      </c>
      <c r="J175" s="36"/>
      <c r="K175" s="5"/>
    </row>
    <row r="176" spans="1:11" x14ac:dyDescent="0.2">
      <c r="A176" s="3">
        <v>42887</v>
      </c>
      <c r="C176" s="217">
        <f>+'Purchased Power Model '!C176</f>
        <v>23.090582393356748</v>
      </c>
      <c r="D176" s="217">
        <f ca="1">+'Purchased Power Model '!D176</f>
        <v>58.059421858743939</v>
      </c>
      <c r="E176" s="126">
        <f>+'Purchased Power Model '!E176</f>
        <v>7.3406150000000003E-2</v>
      </c>
      <c r="F176" s="57">
        <f>+'Purchased Power Model '!F176</f>
        <v>30</v>
      </c>
      <c r="G176" s="57">
        <f>+'Purchased Power Model '!G176</f>
        <v>0</v>
      </c>
      <c r="H176" s="220"/>
      <c r="I176" s="222">
        <f t="shared" ca="1" si="6"/>
        <v>27270030.871815968</v>
      </c>
      <c r="J176" s="36"/>
      <c r="K176" s="5"/>
    </row>
    <row r="177" spans="1:11" x14ac:dyDescent="0.2">
      <c r="A177" s="3">
        <v>42917</v>
      </c>
      <c r="C177" s="217">
        <f>+'Purchased Power Model '!C177</f>
        <v>8.2405052407518511</v>
      </c>
      <c r="D177" s="217">
        <f ca="1">+'Purchased Power Model '!D177</f>
        <v>79.053477144324646</v>
      </c>
      <c r="E177" s="126">
        <f>+'Purchased Power Model '!E177</f>
        <v>7.3406150000000003E-2</v>
      </c>
      <c r="F177" s="57">
        <f>+'Purchased Power Model '!F177</f>
        <v>31</v>
      </c>
      <c r="G177" s="57">
        <f>+'Purchased Power Model '!G177</f>
        <v>0</v>
      </c>
      <c r="H177" s="220"/>
      <c r="I177" s="222">
        <f t="shared" ca="1" si="6"/>
        <v>26989873.948412154</v>
      </c>
      <c r="J177" s="36"/>
      <c r="K177" s="5"/>
    </row>
    <row r="178" spans="1:11" x14ac:dyDescent="0.2">
      <c r="A178" s="3">
        <v>42948</v>
      </c>
      <c r="C178" s="217">
        <f>+'Purchased Power Model '!C178</f>
        <v>10.901501724744636</v>
      </c>
      <c r="D178" s="217">
        <f ca="1">+'Purchased Power Model '!D178</f>
        <v>83.976221142322899</v>
      </c>
      <c r="E178" s="126">
        <f>+'Purchased Power Model '!E178</f>
        <v>7.3406150000000003E-2</v>
      </c>
      <c r="F178" s="57">
        <f>+'Purchased Power Model '!F178</f>
        <v>31</v>
      </c>
      <c r="G178" s="57">
        <f>+'Purchased Power Model '!G178</f>
        <v>0</v>
      </c>
      <c r="H178" s="220"/>
      <c r="I178" s="222">
        <f t="shared" ca="1" si="6"/>
        <v>27146834.175073262</v>
      </c>
      <c r="J178" s="36"/>
      <c r="K178" s="5"/>
    </row>
    <row r="179" spans="1:11" x14ac:dyDescent="0.2">
      <c r="A179" s="3">
        <v>42979</v>
      </c>
      <c r="C179" s="217">
        <f>+'Purchased Power Model '!C179</f>
        <v>66.439073503561801</v>
      </c>
      <c r="D179" s="217">
        <f ca="1">+'Purchased Power Model '!D179</f>
        <v>32.576982339694233</v>
      </c>
      <c r="E179" s="126">
        <f>+'Purchased Power Model '!E179</f>
        <v>7.3406150000000003E-2</v>
      </c>
      <c r="F179" s="57">
        <f>+'Purchased Power Model '!F179</f>
        <v>30</v>
      </c>
      <c r="G179" s="57">
        <f>+'Purchased Power Model '!G179</f>
        <v>1</v>
      </c>
      <c r="H179" s="220"/>
      <c r="I179" s="222">
        <f t="shared" ca="1" si="6"/>
        <v>26969033.062073477</v>
      </c>
      <c r="J179" s="36"/>
      <c r="K179" s="5"/>
    </row>
    <row r="180" spans="1:11" x14ac:dyDescent="0.2">
      <c r="A180" s="3">
        <v>43009</v>
      </c>
      <c r="C180" s="217">
        <f>+'Purchased Power Model '!C180</f>
        <v>185.66888370569015</v>
      </c>
      <c r="D180" s="217">
        <f ca="1">+'Purchased Power Model '!D180</f>
        <v>0.72393294088209392</v>
      </c>
      <c r="E180" s="126">
        <f>+'Purchased Power Model '!E180</f>
        <v>7.3406150000000003E-2</v>
      </c>
      <c r="F180" s="57">
        <f>+'Purchased Power Model '!F180</f>
        <v>31</v>
      </c>
      <c r="G180" s="57">
        <f>+'Purchased Power Model '!G180</f>
        <v>1</v>
      </c>
      <c r="H180" s="220"/>
      <c r="I180" s="222">
        <f t="shared" ca="1" si="6"/>
        <v>26773908.952362552</v>
      </c>
      <c r="J180" s="36"/>
      <c r="K180" s="5"/>
    </row>
    <row r="181" spans="1:11" x14ac:dyDescent="0.2">
      <c r="A181" s="3">
        <v>43040</v>
      </c>
      <c r="C181" s="217">
        <f>+'Purchased Power Model '!C181</f>
        <v>349.62060255814896</v>
      </c>
      <c r="D181" s="217">
        <f ca="1">+'Purchased Power Model '!D181</f>
        <v>0</v>
      </c>
      <c r="E181" s="126">
        <f>+'Purchased Power Model '!E181</f>
        <v>7.3406150000000003E-2</v>
      </c>
      <c r="F181" s="57">
        <f>+'Purchased Power Model '!F181</f>
        <v>30</v>
      </c>
      <c r="G181" s="57">
        <f>+'Purchased Power Model '!G181</f>
        <v>1</v>
      </c>
      <c r="H181" s="220"/>
      <c r="I181" s="222">
        <f t="shared" ca="1" si="6"/>
        <v>29203771.048921578</v>
      </c>
      <c r="J181" s="36"/>
      <c r="K181" s="5"/>
    </row>
    <row r="182" spans="1:11" x14ac:dyDescent="0.2">
      <c r="A182" s="3">
        <v>43070</v>
      </c>
      <c r="C182" s="217">
        <f>+'Purchased Power Model '!C182</f>
        <v>473.65737415071578</v>
      </c>
      <c r="D182" s="217">
        <f ca="1">+'Purchased Power Model '!D182</f>
        <v>0</v>
      </c>
      <c r="E182" s="126">
        <f>+'Purchased Power Model '!E182</f>
        <v>7.3406150000000003E-2</v>
      </c>
      <c r="F182" s="57">
        <f>+'Purchased Power Model '!F182</f>
        <v>31</v>
      </c>
      <c r="G182" s="57">
        <f>+'Purchased Power Model '!G182</f>
        <v>0</v>
      </c>
      <c r="H182" s="220"/>
      <c r="I182" s="222">
        <f t="shared" ca="1" si="6"/>
        <v>29999358.894533571</v>
      </c>
      <c r="J182" s="36"/>
      <c r="K182" s="5"/>
    </row>
    <row r="183" spans="1:11" x14ac:dyDescent="0.2">
      <c r="A183" s="3">
        <v>43101</v>
      </c>
      <c r="C183" s="217">
        <f>+'Purchased Power Model '!C183</f>
        <v>660.46057305386228</v>
      </c>
      <c r="D183" s="217">
        <f ca="1">+'Purchased Power Model '!D183</f>
        <v>0</v>
      </c>
      <c r="E183" s="126">
        <f>+'Purchased Power Model '!E183</f>
        <v>7.3406150000000003E-2</v>
      </c>
      <c r="F183" s="57">
        <f>+'Purchased Power Model '!F183</f>
        <v>31</v>
      </c>
      <c r="G183" s="57">
        <f>+'Purchased Power Model '!G183</f>
        <v>0</v>
      </c>
      <c r="H183" s="220"/>
      <c r="I183" s="222">
        <f t="shared" ca="1" si="6"/>
        <v>32032298.493941445</v>
      </c>
      <c r="J183" s="36"/>
      <c r="K183" s="5"/>
    </row>
    <row r="184" spans="1:11" x14ac:dyDescent="0.2">
      <c r="A184" s="3">
        <v>43132</v>
      </c>
      <c r="C184" s="217">
        <f>+'Purchased Power Model '!C184</f>
        <v>591.57161531733539</v>
      </c>
      <c r="D184" s="217">
        <f ca="1">+'Purchased Power Model '!D184</f>
        <v>0</v>
      </c>
      <c r="E184" s="126">
        <f>+'Purchased Power Model '!E184</f>
        <v>7.3406150000000003E-2</v>
      </c>
      <c r="F184" s="57">
        <f>+'Purchased Power Model '!F184</f>
        <v>28</v>
      </c>
      <c r="G184" s="57">
        <f>+'Purchased Power Model '!G184</f>
        <v>0</v>
      </c>
      <c r="H184" s="220"/>
      <c r="I184" s="222">
        <f t="shared" ca="1" si="6"/>
        <v>33275896.604209855</v>
      </c>
      <c r="J184" s="36"/>
      <c r="K184" s="5"/>
    </row>
    <row r="185" spans="1:11" x14ac:dyDescent="0.2">
      <c r="A185" s="3">
        <v>43160</v>
      </c>
      <c r="C185" s="217">
        <f>+'Purchased Power Model '!C185</f>
        <v>580.52540581079472</v>
      </c>
      <c r="D185" s="217">
        <f ca="1">+'Purchased Power Model '!D185</f>
        <v>0</v>
      </c>
      <c r="E185" s="126">
        <f>+'Purchased Power Model '!E185</f>
        <v>7.3406150000000003E-2</v>
      </c>
      <c r="F185" s="57">
        <f>+'Purchased Power Model '!F185</f>
        <v>31</v>
      </c>
      <c r="G185" s="57">
        <f>+'Purchased Power Model '!G185</f>
        <v>1</v>
      </c>
      <c r="H185" s="220"/>
      <c r="I185" s="222">
        <f t="shared" ca="1" si="6"/>
        <v>31052225.046617627</v>
      </c>
      <c r="J185" s="36"/>
      <c r="K185" s="5"/>
    </row>
    <row r="186" spans="1:11" x14ac:dyDescent="0.2">
      <c r="A186" s="3">
        <v>43191</v>
      </c>
      <c r="C186" s="217">
        <f>+'Purchased Power Model '!C186</f>
        <v>317.94244882004284</v>
      </c>
      <c r="D186" s="217">
        <f ca="1">+'Purchased Power Model '!D186</f>
        <v>0</v>
      </c>
      <c r="E186" s="126">
        <f>+'Purchased Power Model '!E186</f>
        <v>7.3406150000000003E-2</v>
      </c>
      <c r="F186" s="57">
        <f>+'Purchased Power Model '!F186</f>
        <v>30</v>
      </c>
      <c r="G186" s="57">
        <f>+'Purchased Power Model '!G186</f>
        <v>1</v>
      </c>
      <c r="H186" s="220"/>
      <c r="I186" s="222">
        <f t="shared" ca="1" si="6"/>
        <v>28859024.419589408</v>
      </c>
      <c r="J186" s="36"/>
      <c r="K186" s="5"/>
    </row>
    <row r="187" spans="1:11" x14ac:dyDescent="0.2">
      <c r="A187" s="3">
        <v>43221</v>
      </c>
      <c r="C187" s="217">
        <f>+'Purchased Power Model '!C187</f>
        <v>137.43539734882</v>
      </c>
      <c r="D187" s="217">
        <f ca="1">+'Purchased Power Model '!D187</f>
        <v>1.9004408491696605</v>
      </c>
      <c r="E187" s="126">
        <f>+'Purchased Power Model '!E187</f>
        <v>7.3406150000000003E-2</v>
      </c>
      <c r="F187" s="57">
        <f>+'Purchased Power Model '!F187</f>
        <v>31</v>
      </c>
      <c r="G187" s="57">
        <f>+'Purchased Power Model '!G187</f>
        <v>1</v>
      </c>
      <c r="H187" s="220"/>
      <c r="I187" s="222">
        <f t="shared" ca="1" si="6"/>
        <v>26279585.702016987</v>
      </c>
      <c r="J187" s="36"/>
      <c r="K187" s="5"/>
    </row>
    <row r="188" spans="1:11" x14ac:dyDescent="0.2">
      <c r="A188" s="3">
        <v>43252</v>
      </c>
      <c r="C188" s="217">
        <f>+'Purchased Power Model '!C188</f>
        <v>23.034343854724352</v>
      </c>
      <c r="D188" s="217">
        <f ca="1">+'Purchased Power Model '!D188</f>
        <v>58.621290809002602</v>
      </c>
      <c r="E188" s="126">
        <f>+'Purchased Power Model '!E188</f>
        <v>7.3406150000000003E-2</v>
      </c>
      <c r="F188" s="57">
        <f>+'Purchased Power Model '!F188</f>
        <v>30</v>
      </c>
      <c r="G188" s="57">
        <f>+'Purchased Power Model '!G188</f>
        <v>0</v>
      </c>
      <c r="H188" s="220"/>
      <c r="I188" s="222">
        <f t="shared" ca="1" si="6"/>
        <v>27284028.553521898</v>
      </c>
      <c r="J188" s="36"/>
      <c r="K188" s="5"/>
    </row>
    <row r="189" spans="1:11" x14ac:dyDescent="0.2">
      <c r="A189" s="3">
        <v>43282</v>
      </c>
      <c r="C189" s="217">
        <f>+'Purchased Power Model '!C189</f>
        <v>8.2204349816116657</v>
      </c>
      <c r="D189" s="217">
        <f ca="1">+'Purchased Power Model '!D189</f>
        <v>79.81851566512573</v>
      </c>
      <c r="E189" s="126">
        <f>+'Purchased Power Model '!E189</f>
        <v>7.3406150000000003E-2</v>
      </c>
      <c r="F189" s="57">
        <f>+'Purchased Power Model '!F189</f>
        <v>31</v>
      </c>
      <c r="G189" s="57">
        <f>+'Purchased Power Model '!G189</f>
        <v>0</v>
      </c>
      <c r="H189" s="220"/>
      <c r="I189" s="222">
        <f t="shared" ca="1" si="6"/>
        <v>27009548.056049209</v>
      </c>
      <c r="J189" s="36"/>
      <c r="K189" s="5"/>
    </row>
    <row r="190" spans="1:11" x14ac:dyDescent="0.2">
      <c r="A190" s="3">
        <v>43313</v>
      </c>
      <c r="C190" s="217">
        <f>+'Purchased Power Model '!C190</f>
        <v>10.874950444423765</v>
      </c>
      <c r="D190" s="217">
        <f ca="1">+'Purchased Power Model '!D190</f>
        <v>84.788899424492527</v>
      </c>
      <c r="E190" s="126">
        <f>+'Purchased Power Model '!E190</f>
        <v>7.3406150000000003E-2</v>
      </c>
      <c r="F190" s="57">
        <f>+'Purchased Power Model '!F190</f>
        <v>31</v>
      </c>
      <c r="G190" s="57">
        <f>+'Purchased Power Model '!G190</f>
        <v>0</v>
      </c>
      <c r="H190" s="220"/>
      <c r="I190" s="222">
        <f t="shared" ca="1" si="6"/>
        <v>27167676.479981709</v>
      </c>
      <c r="J190" s="36"/>
      <c r="K190" s="5"/>
    </row>
    <row r="191" spans="1:11" x14ac:dyDescent="0.2">
      <c r="A191" s="3">
        <v>43344</v>
      </c>
      <c r="C191" s="217">
        <f>+'Purchased Power Model '!C191</f>
        <v>66.277257039244049</v>
      </c>
      <c r="D191" s="217">
        <f ca="1">+'Purchased Power Model '!D191</f>
        <v>32.892245466397974</v>
      </c>
      <c r="E191" s="126">
        <f>+'Purchased Power Model '!E191</f>
        <v>7.3406150000000003E-2</v>
      </c>
      <c r="F191" s="57">
        <f>+'Purchased Power Model '!F191</f>
        <v>30</v>
      </c>
      <c r="G191" s="57">
        <f>+'Purchased Power Model '!G191</f>
        <v>1</v>
      </c>
      <c r="H191" s="220"/>
      <c r="I191" s="222">
        <f t="shared" ca="1" si="6"/>
        <v>26975469.518142022</v>
      </c>
      <c r="J191" s="36"/>
      <c r="K191" s="5"/>
    </row>
    <row r="192" spans="1:11" x14ac:dyDescent="0.2">
      <c r="A192" s="3">
        <v>43374</v>
      </c>
      <c r="C192" s="217">
        <f>+'Purchased Power Model '!C192</f>
        <v>185.21667567943786</v>
      </c>
      <c r="D192" s="217">
        <f ca="1">+'Purchased Power Model '!D192</f>
        <v>0.73093878814217705</v>
      </c>
      <c r="E192" s="126">
        <f>+'Purchased Power Model '!E192</f>
        <v>7.3406150000000003E-2</v>
      </c>
      <c r="F192" s="57">
        <f>+'Purchased Power Model '!F192</f>
        <v>31</v>
      </c>
      <c r="G192" s="57">
        <f>+'Purchased Power Model '!G192</f>
        <v>1</v>
      </c>
      <c r="H192" s="220"/>
      <c r="I192" s="222">
        <f t="shared" ca="1" si="6"/>
        <v>26769169.834317371</v>
      </c>
      <c r="J192" s="36"/>
      <c r="K192" s="5"/>
    </row>
    <row r="193" spans="1:11" x14ac:dyDescent="0.2">
      <c r="A193" s="3">
        <v>43405</v>
      </c>
      <c r="C193" s="217">
        <f>+'Purchased Power Model '!C193</f>
        <v>348.76908000108671</v>
      </c>
      <c r="D193" s="217">
        <f ca="1">+'Purchased Power Model '!D193</f>
        <v>0</v>
      </c>
      <c r="E193" s="126">
        <f>+'Purchased Power Model '!E193</f>
        <v>7.3406150000000003E-2</v>
      </c>
      <c r="F193" s="57">
        <f>+'Purchased Power Model '!F193</f>
        <v>30</v>
      </c>
      <c r="G193" s="57">
        <f>+'Purchased Power Model '!G193</f>
        <v>1</v>
      </c>
      <c r="H193" s="220"/>
      <c r="I193" s="222">
        <f t="shared" ca="1" si="6"/>
        <v>29194504.109510444</v>
      </c>
      <c r="J193" s="36"/>
      <c r="K193" s="5"/>
    </row>
    <row r="194" spans="1:11" x14ac:dyDescent="0.2">
      <c r="A194" s="3">
        <v>43435</v>
      </c>
      <c r="C194" s="217">
        <f>+'Purchased Power Model '!C194</f>
        <v>472.50375238055386</v>
      </c>
      <c r="D194" s="217">
        <f ca="1">+'Purchased Power Model '!D194</f>
        <v>0</v>
      </c>
      <c r="E194" s="126">
        <f>+'Purchased Power Model '!E194</f>
        <v>7.3406150000000003E-2</v>
      </c>
      <c r="F194" s="57">
        <f>+'Purchased Power Model '!F194</f>
        <v>31</v>
      </c>
      <c r="G194" s="57">
        <f>+'Purchased Power Model '!G194</f>
        <v>0</v>
      </c>
      <c r="H194" s="220"/>
      <c r="I194" s="222">
        <f t="shared" ca="1" si="6"/>
        <v>29986804.273450676</v>
      </c>
      <c r="J194" s="36"/>
      <c r="K194" s="5"/>
    </row>
    <row r="195" spans="1:11" x14ac:dyDescent="0.2">
      <c r="A195" s="3">
        <v>43466</v>
      </c>
      <c r="C195" s="217">
        <f>+'Purchased Power Model '!C195</f>
        <v>658.84805317106725</v>
      </c>
      <c r="D195" s="217">
        <f ca="1">+'Purchased Power Model '!D195</f>
        <v>0</v>
      </c>
      <c r="E195" s="126">
        <f>+'Purchased Power Model '!E195</f>
        <v>7.3406150000000003E-2</v>
      </c>
      <c r="F195" s="57">
        <f>+'Purchased Power Model '!F195</f>
        <v>31</v>
      </c>
      <c r="G195" s="57">
        <f>+'Purchased Power Model '!G195</f>
        <v>0</v>
      </c>
      <c r="H195" s="220"/>
      <c r="I195" s="222">
        <f t="shared" ca="1" si="6"/>
        <v>32014749.78201459</v>
      </c>
      <c r="J195" s="36"/>
      <c r="K195" s="5"/>
    </row>
    <row r="196" spans="1:11" x14ac:dyDescent="0.2">
      <c r="A196" s="3">
        <v>43497</v>
      </c>
      <c r="C196" s="217">
        <f>+'Purchased Power Model '!C196</f>
        <v>590.12728838743919</v>
      </c>
      <c r="D196" s="217">
        <f ca="1">+'Purchased Power Model '!D196</f>
        <v>0</v>
      </c>
      <c r="E196" s="126">
        <f>+'Purchased Power Model '!E196</f>
        <v>7.3406150000000003E-2</v>
      </c>
      <c r="F196" s="57">
        <f>+'Purchased Power Model '!F196</f>
        <v>28</v>
      </c>
      <c r="G196" s="57">
        <f>+'Purchased Power Model '!G196</f>
        <v>0</v>
      </c>
      <c r="H196" s="220"/>
      <c r="I196" s="222">
        <f t="shared" ref="I196:I206" ca="1" si="11">$N$18+C196*$N$19+D196*$N$20+E196*$N$21+F196*$N$22+G196*$N$23</f>
        <v>33260178.300521702</v>
      </c>
      <c r="J196" s="36"/>
      <c r="K196" s="5"/>
    </row>
    <row r="197" spans="1:11" x14ac:dyDescent="0.2">
      <c r="A197" s="3">
        <v>43525</v>
      </c>
      <c r="C197" s="217">
        <f>+'Purchased Power Model '!C197</f>
        <v>579.10804829161816</v>
      </c>
      <c r="D197" s="217">
        <f ca="1">+'Purchased Power Model '!D197</f>
        <v>0</v>
      </c>
      <c r="E197" s="126">
        <f>+'Purchased Power Model '!E197</f>
        <v>7.3406150000000003E-2</v>
      </c>
      <c r="F197" s="57">
        <f>+'Purchased Power Model '!F197</f>
        <v>31</v>
      </c>
      <c r="G197" s="57">
        <f>+'Purchased Power Model '!G197</f>
        <v>1</v>
      </c>
      <c r="H197" s="220"/>
      <c r="I197" s="222">
        <f t="shared" ca="1" si="11"/>
        <v>31036800.245307095</v>
      </c>
      <c r="J197" s="36"/>
      <c r="K197" s="5"/>
    </row>
    <row r="198" spans="1:11" x14ac:dyDescent="0.2">
      <c r="A198" s="3">
        <v>43556</v>
      </c>
      <c r="C198" s="217">
        <f>+'Purchased Power Model '!C198</f>
        <v>317.1661897347559</v>
      </c>
      <c r="D198" s="217">
        <f ca="1">+'Purchased Power Model '!D198</f>
        <v>0</v>
      </c>
      <c r="E198" s="126">
        <f>+'Purchased Power Model '!E198</f>
        <v>7.3406150000000003E-2</v>
      </c>
      <c r="F198" s="57">
        <f>+'Purchased Power Model '!F198</f>
        <v>30</v>
      </c>
      <c r="G198" s="57">
        <f>+'Purchased Power Model '!G198</f>
        <v>1</v>
      </c>
      <c r="H198" s="220"/>
      <c r="I198" s="222">
        <f t="shared" ca="1" si="11"/>
        <v>28850576.556580923</v>
      </c>
      <c r="J198" s="36"/>
      <c r="K198" s="5"/>
    </row>
    <row r="199" spans="1:11" x14ac:dyDescent="0.2">
      <c r="A199" s="3">
        <v>43586</v>
      </c>
      <c r="C199" s="217">
        <f>+'Purchased Power Model '!C199</f>
        <v>137.09984770381988</v>
      </c>
      <c r="D199" s="217">
        <f ca="1">+'Purchased Power Model '!D199</f>
        <v>1.9186560520458842</v>
      </c>
      <c r="E199" s="126">
        <f>+'Purchased Power Model '!E199</f>
        <v>7.3406150000000003E-2</v>
      </c>
      <c r="F199" s="57">
        <f>+'Purchased Power Model '!F199</f>
        <v>31</v>
      </c>
      <c r="G199" s="57">
        <f>+'Purchased Power Model '!G199</f>
        <v>1</v>
      </c>
      <c r="H199" s="220"/>
      <c r="I199" s="222">
        <f t="shared" ca="1" si="11"/>
        <v>26276407.618007801</v>
      </c>
      <c r="J199" s="36"/>
      <c r="K199" s="5"/>
    </row>
    <row r="200" spans="1:11" x14ac:dyDescent="0.2">
      <c r="A200" s="3">
        <v>43617</v>
      </c>
      <c r="C200" s="217">
        <f>+'Purchased Power Model '!C200</f>
        <v>22.978105316091931</v>
      </c>
      <c r="D200" s="217">
        <f ca="1">+'Purchased Power Model '!D200</f>
        <v>59.1831597592615</v>
      </c>
      <c r="E200" s="126">
        <f>+'Purchased Power Model '!E200</f>
        <v>7.3406150000000003E-2</v>
      </c>
      <c r="F200" s="57">
        <f>+'Purchased Power Model '!F200</f>
        <v>30</v>
      </c>
      <c r="G200" s="57">
        <f>+'Purchased Power Model '!G200</f>
        <v>0</v>
      </c>
      <c r="H200" s="220"/>
      <c r="I200" s="222">
        <f t="shared" ca="1" si="11"/>
        <v>27298026.235227842</v>
      </c>
      <c r="J200" s="36"/>
      <c r="K200" s="5"/>
    </row>
    <row r="201" spans="1:11" x14ac:dyDescent="0.2">
      <c r="A201" s="3">
        <v>43647</v>
      </c>
      <c r="C201" s="217">
        <f>+'Purchased Power Model '!C201</f>
        <v>8.2003647224714715</v>
      </c>
      <c r="D201" s="217">
        <f ca="1">+'Purchased Power Model '!D201</f>
        <v>80.583554185927127</v>
      </c>
      <c r="E201" s="126">
        <f>+'Purchased Power Model '!E201</f>
        <v>7.3406150000000003E-2</v>
      </c>
      <c r="F201" s="57">
        <f>+'Purchased Power Model '!F201</f>
        <v>31</v>
      </c>
      <c r="G201" s="57">
        <f>+'Purchased Power Model '!G201</f>
        <v>0</v>
      </c>
      <c r="H201" s="220"/>
      <c r="I201" s="222">
        <f t="shared" ca="1" si="11"/>
        <v>27029222.163686279</v>
      </c>
      <c r="J201" s="36"/>
      <c r="K201" s="5"/>
    </row>
    <row r="202" spans="1:11" x14ac:dyDescent="0.2">
      <c r="A202" s="3">
        <v>43678</v>
      </c>
      <c r="C202" s="217">
        <f>+'Purchased Power Model '!C202</f>
        <v>10.848399164102883</v>
      </c>
      <c r="D202" s="217">
        <f ca="1">+'Purchased Power Model '!D202</f>
        <v>85.601577706662511</v>
      </c>
      <c r="E202" s="126">
        <f>+'Purchased Power Model '!E202</f>
        <v>7.3406150000000003E-2</v>
      </c>
      <c r="F202" s="57">
        <f>+'Purchased Power Model '!F202</f>
        <v>31</v>
      </c>
      <c r="G202" s="57">
        <f>+'Purchased Power Model '!G202</f>
        <v>0</v>
      </c>
      <c r="H202" s="220"/>
      <c r="I202" s="222">
        <f t="shared" ca="1" si="11"/>
        <v>27188518.784890164</v>
      </c>
      <c r="J202" s="36"/>
      <c r="K202" s="5"/>
    </row>
    <row r="203" spans="1:11" x14ac:dyDescent="0.2">
      <c r="A203" s="3">
        <v>43709</v>
      </c>
      <c r="C203" s="217">
        <f>+'Purchased Power Model '!C203</f>
        <v>66.115440574926225</v>
      </c>
      <c r="D203" s="217">
        <f ca="1">+'Purchased Power Model '!D203</f>
        <v>33.207508593101842</v>
      </c>
      <c r="E203" s="126">
        <f>+'Purchased Power Model '!E203</f>
        <v>7.3406150000000003E-2</v>
      </c>
      <c r="F203" s="57">
        <f>+'Purchased Power Model '!F203</f>
        <v>30</v>
      </c>
      <c r="G203" s="57">
        <f>+'Purchased Power Model '!G203</f>
        <v>1</v>
      </c>
      <c r="H203" s="220"/>
      <c r="I203" s="222">
        <f t="shared" ca="1" si="11"/>
        <v>26981905.974210553</v>
      </c>
      <c r="J203" s="36"/>
      <c r="K203" s="5"/>
    </row>
    <row r="204" spans="1:11" x14ac:dyDescent="0.2">
      <c r="A204" s="3">
        <v>43739</v>
      </c>
      <c r="C204" s="217">
        <f>+'Purchased Power Model '!C204</f>
        <v>184.76446765318536</v>
      </c>
      <c r="D204" s="217">
        <f ca="1">+'Purchased Power Model '!D204</f>
        <v>0.73794463540226296</v>
      </c>
      <c r="E204" s="126">
        <f>+'Purchased Power Model '!E204</f>
        <v>7.3406150000000003E-2</v>
      </c>
      <c r="F204" s="57">
        <f>+'Purchased Power Model '!F204</f>
        <v>31</v>
      </c>
      <c r="G204" s="57">
        <f>+'Purchased Power Model '!G204</f>
        <v>1</v>
      </c>
      <c r="H204" s="220"/>
      <c r="I204" s="222">
        <f t="shared" ca="1" si="11"/>
        <v>26764430.71627219</v>
      </c>
      <c r="J204" s="36"/>
      <c r="K204" s="5"/>
    </row>
    <row r="205" spans="1:11" x14ac:dyDescent="0.2">
      <c r="A205" s="3">
        <v>43770</v>
      </c>
      <c r="C205" s="217">
        <f>+'Purchased Power Model '!C205</f>
        <v>347.91755744402406</v>
      </c>
      <c r="D205" s="217">
        <f ca="1">+'Purchased Power Model '!D205</f>
        <v>0</v>
      </c>
      <c r="E205" s="126">
        <f>+'Purchased Power Model '!E205</f>
        <v>7.3406150000000003E-2</v>
      </c>
      <c r="F205" s="57">
        <f>+'Purchased Power Model '!F205</f>
        <v>30</v>
      </c>
      <c r="G205" s="57">
        <f>+'Purchased Power Model '!G205</f>
        <v>1</v>
      </c>
      <c r="H205" s="220"/>
      <c r="I205" s="222">
        <f t="shared" ca="1" si="11"/>
        <v>29185237.170099311</v>
      </c>
      <c r="J205" s="36"/>
      <c r="K205" s="5"/>
    </row>
    <row r="206" spans="1:11" x14ac:dyDescent="0.2">
      <c r="A206" s="3">
        <v>43800</v>
      </c>
      <c r="C206" s="217">
        <f>+'Purchased Power Model '!C206</f>
        <v>471.35013061039143</v>
      </c>
      <c r="D206" s="217">
        <f ca="1">+'Purchased Power Model '!D206</f>
        <v>0</v>
      </c>
      <c r="E206" s="126">
        <f>+'Purchased Power Model '!E206</f>
        <v>7.3406150000000003E-2</v>
      </c>
      <c r="F206" s="57">
        <f>+'Purchased Power Model '!F206</f>
        <v>31</v>
      </c>
      <c r="G206" s="57">
        <f>+'Purchased Power Model '!G206</f>
        <v>0</v>
      </c>
      <c r="H206" s="220"/>
      <c r="I206" s="222">
        <f t="shared" ca="1" si="11"/>
        <v>29974249.652367782</v>
      </c>
      <c r="J206" s="36"/>
      <c r="K206" s="5"/>
    </row>
    <row r="207" spans="1:11" x14ac:dyDescent="0.2">
      <c r="A207" s="3"/>
      <c r="I207" s="11"/>
      <c r="J207" s="11"/>
      <c r="K207" s="11"/>
    </row>
    <row r="208" spans="1:11" x14ac:dyDescent="0.2">
      <c r="A208" s="3"/>
      <c r="C208" s="18"/>
      <c r="D208" s="63" t="s">
        <v>60</v>
      </c>
      <c r="I208" s="47">
        <f ca="1">SUM(I3:I206)</f>
        <v>5878023787.4080734</v>
      </c>
    </row>
    <row r="209" spans="1:11" x14ac:dyDescent="0.2">
      <c r="A209" s="3"/>
      <c r="C209" s="23"/>
      <c r="D209" s="23"/>
      <c r="F209" s="209"/>
      <c r="G209" s="209"/>
      <c r="H209"/>
      <c r="I209" s="209"/>
      <c r="J209" s="36"/>
      <c r="K209" s="5" t="s">
        <v>201</v>
      </c>
    </row>
    <row r="210" spans="1:11" x14ac:dyDescent="0.2">
      <c r="A210" s="16">
        <v>2003</v>
      </c>
      <c r="B210" s="6">
        <f>SUM(B3:B14)</f>
        <v>281244125.5</v>
      </c>
      <c r="C210" s="131"/>
      <c r="D210" s="23" t="s">
        <v>200</v>
      </c>
      <c r="E210" s="132" t="s">
        <v>112</v>
      </c>
      <c r="F210" s="209"/>
      <c r="G210" s="209"/>
      <c r="H210"/>
      <c r="I210" s="6">
        <f>SUM(I3:I14)</f>
        <v>341985612.50543952</v>
      </c>
      <c r="J210" s="36">
        <f>I210-B210</f>
        <v>60741487.00543952</v>
      </c>
      <c r="K210" s="5">
        <f>J210/B210</f>
        <v>0.2159742426528995</v>
      </c>
    </row>
    <row r="211" spans="1:11" x14ac:dyDescent="0.2">
      <c r="A211">
        <v>2004</v>
      </c>
      <c r="B211" s="6">
        <f>SUM(B15:B26)</f>
        <v>360631980</v>
      </c>
      <c r="C211" s="131">
        <f>+B211-B210</f>
        <v>79387854.5</v>
      </c>
      <c r="D211" s="133">
        <f>+C211/B210</f>
        <v>0.28227382299581577</v>
      </c>
      <c r="E211" s="133">
        <f>RATE(1,0,-B$210,B211)</f>
        <v>0.28227382299581583</v>
      </c>
      <c r="F211" s="209"/>
      <c r="G211" s="209"/>
      <c r="H211"/>
      <c r="I211" s="6">
        <f>SUM(I15:I26)</f>
        <v>339989675.3348515</v>
      </c>
      <c r="J211" s="36">
        <f t="shared" ref="J211:J226" si="12">I211-B211</f>
        <v>-20642304.665148497</v>
      </c>
      <c r="K211" s="5">
        <f t="shared" ref="K211:K226" si="13">J211/B211</f>
        <v>-5.7239251674653192E-2</v>
      </c>
    </row>
    <row r="212" spans="1:11" x14ac:dyDescent="0.2">
      <c r="A212" s="16">
        <v>2005</v>
      </c>
      <c r="B212" s="6">
        <f>SUM(B27:B38)</f>
        <v>361962669</v>
      </c>
      <c r="C212" s="131">
        <f t="shared" ref="C212:C226" si="14">+B212-B211</f>
        <v>1330689</v>
      </c>
      <c r="D212" s="133">
        <f t="shared" ref="D212:D226" si="15">+C212/B211</f>
        <v>3.6898807476807797E-3</v>
      </c>
      <c r="E212" s="133">
        <f>RATE(2,0,-B$210,B212)</f>
        <v>0.13446254256742349</v>
      </c>
      <c r="F212" s="209"/>
      <c r="G212" s="209"/>
      <c r="H212"/>
      <c r="I212" s="6">
        <f>SUM(I27:I38)</f>
        <v>349947739.67801243</v>
      </c>
      <c r="J212" s="36">
        <f t="shared" si="12"/>
        <v>-12014929.321987569</v>
      </c>
      <c r="K212" s="5">
        <f t="shared" si="13"/>
        <v>-3.3193835583048947E-2</v>
      </c>
    </row>
    <row r="213" spans="1:11" x14ac:dyDescent="0.2">
      <c r="A213">
        <v>2006</v>
      </c>
      <c r="B213" s="6">
        <f>SUM(B39:B50)</f>
        <v>357086593</v>
      </c>
      <c r="C213" s="131">
        <f t="shared" si="14"/>
        <v>-4876076</v>
      </c>
      <c r="D213" s="133">
        <f t="shared" si="15"/>
        <v>-1.347121241389675E-2</v>
      </c>
      <c r="E213" s="133">
        <f>RATE(3,0,-B$210,B213)</f>
        <v>8.2837684740281109E-2</v>
      </c>
      <c r="F213" s="209"/>
      <c r="G213" s="209"/>
      <c r="H213"/>
      <c r="I213" s="6">
        <f>SUM(I39:I50)</f>
        <v>342858220.97536612</v>
      </c>
      <c r="J213" s="36">
        <f t="shared" si="12"/>
        <v>-14228372.024633884</v>
      </c>
      <c r="K213" s="5">
        <f t="shared" si="13"/>
        <v>-3.9845718947599591E-2</v>
      </c>
    </row>
    <row r="214" spans="1:11" x14ac:dyDescent="0.2">
      <c r="A214" s="16">
        <v>2007</v>
      </c>
      <c r="B214" s="6">
        <f>SUM(B51:B62)</f>
        <v>359144720</v>
      </c>
      <c r="C214" s="131">
        <f t="shared" si="14"/>
        <v>2058127</v>
      </c>
      <c r="D214" s="133">
        <f t="shared" si="15"/>
        <v>5.7636636052589068E-3</v>
      </c>
      <c r="E214" s="133">
        <f>RATE(4,0,-B$210,B214)</f>
        <v>6.3032412269245441E-2</v>
      </c>
      <c r="F214" s="209"/>
      <c r="G214" s="209"/>
      <c r="H214"/>
      <c r="I214" s="6">
        <f>SUM(I51:I62)</f>
        <v>333839649.58671671</v>
      </c>
      <c r="J214" s="36">
        <f t="shared" si="12"/>
        <v>-25305070.413283288</v>
      </c>
      <c r="K214" s="5">
        <f t="shared" si="13"/>
        <v>-7.0459257798035538E-2</v>
      </c>
    </row>
    <row r="215" spans="1:11" x14ac:dyDescent="0.2">
      <c r="A215">
        <v>2008</v>
      </c>
      <c r="B215" s="6">
        <f>SUM(B63:B74)</f>
        <v>352632150</v>
      </c>
      <c r="C215" s="131">
        <f t="shared" si="14"/>
        <v>-6512570</v>
      </c>
      <c r="D215" s="133">
        <f t="shared" si="15"/>
        <v>-1.8133553515696958E-2</v>
      </c>
      <c r="E215" s="133">
        <f>RATE(5,0,-B$210,B215)</f>
        <v>4.6279434631659205E-2</v>
      </c>
      <c r="F215" s="209"/>
      <c r="G215" s="209"/>
      <c r="H215"/>
      <c r="I215" s="6">
        <f>SUM(I63:I74)</f>
        <v>330206034.70726675</v>
      </c>
      <c r="J215" s="36">
        <f t="shared" si="12"/>
        <v>-22426115.292733252</v>
      </c>
      <c r="K215" s="5">
        <f t="shared" si="13"/>
        <v>-6.3596343364418842E-2</v>
      </c>
    </row>
    <row r="216" spans="1:11" x14ac:dyDescent="0.2">
      <c r="A216" s="16">
        <v>2009</v>
      </c>
      <c r="B216" s="6">
        <f>SUM(B75:B86)</f>
        <v>349784301</v>
      </c>
      <c r="C216" s="131">
        <f t="shared" si="14"/>
        <v>-2847849</v>
      </c>
      <c r="D216" s="133">
        <f t="shared" si="15"/>
        <v>-8.0759766232318866E-3</v>
      </c>
      <c r="E216" s="133">
        <f>RATE(6,0,-B$210,B216)</f>
        <v>3.7017636058502966E-2</v>
      </c>
      <c r="F216" s="209"/>
      <c r="G216" s="209"/>
      <c r="H216"/>
      <c r="I216" s="6">
        <f>SUM(I75:I86)</f>
        <v>351875393.07560819</v>
      </c>
      <c r="J216" s="36">
        <f t="shared" si="12"/>
        <v>2091092.0756081939</v>
      </c>
      <c r="K216" s="5">
        <f t="shared" si="13"/>
        <v>5.9782330700090336E-3</v>
      </c>
    </row>
    <row r="217" spans="1:11" x14ac:dyDescent="0.2">
      <c r="A217">
        <v>2010</v>
      </c>
      <c r="B217" s="6">
        <f>SUM(B87:B98)</f>
        <v>355234224</v>
      </c>
      <c r="C217" s="131">
        <f t="shared" si="14"/>
        <v>5449923</v>
      </c>
      <c r="D217" s="133">
        <f t="shared" si="15"/>
        <v>1.5580810757999114E-2</v>
      </c>
      <c r="E217" s="133">
        <f>RATE(7,0,-B$210,B217)</f>
        <v>3.3927749416083189E-2</v>
      </c>
      <c r="F217" s="209"/>
      <c r="G217" s="209"/>
      <c r="H217"/>
      <c r="I217" s="6">
        <f>SUM(I87:I98)</f>
        <v>357948136.39436066</v>
      </c>
      <c r="J217" s="36">
        <f t="shared" si="12"/>
        <v>2713912.3943606615</v>
      </c>
      <c r="K217" s="5">
        <f t="shared" si="13"/>
        <v>7.6397830248491529E-3</v>
      </c>
    </row>
    <row r="218" spans="1:11" x14ac:dyDescent="0.2">
      <c r="A218">
        <v>2011</v>
      </c>
      <c r="B218" s="6">
        <f>SUM(B99:B110)</f>
        <v>359534375</v>
      </c>
      <c r="C218" s="131">
        <f t="shared" si="14"/>
        <v>4300151</v>
      </c>
      <c r="D218" s="133">
        <f t="shared" si="15"/>
        <v>1.2105114624316153E-2</v>
      </c>
      <c r="E218" s="133">
        <f>RATE(8,0,-B$210,B218)</f>
        <v>3.117439358182483E-2</v>
      </c>
      <c r="F218" s="209"/>
      <c r="G218" s="209"/>
      <c r="H218"/>
      <c r="I218" s="6">
        <f>SUM(I99:I110)</f>
        <v>352525025.35211194</v>
      </c>
      <c r="J218" s="36">
        <f t="shared" si="12"/>
        <v>-7009349.6478880644</v>
      </c>
      <c r="K218" s="5">
        <f t="shared" si="13"/>
        <v>-1.9495631392375385E-2</v>
      </c>
    </row>
    <row r="219" spans="1:11" x14ac:dyDescent="0.2">
      <c r="A219">
        <v>2012</v>
      </c>
      <c r="B219" s="6">
        <f>SUM(B111:B122)</f>
        <v>338342507</v>
      </c>
      <c r="C219" s="131">
        <f t="shared" si="14"/>
        <v>-21191868</v>
      </c>
      <c r="D219" s="133">
        <f t="shared" si="15"/>
        <v>-5.894253644036123E-2</v>
      </c>
      <c r="E219" s="133">
        <f>RATE(9,0,-B$210,B219)</f>
        <v>2.0749635884770568E-2</v>
      </c>
      <c r="F219" s="209"/>
      <c r="G219" s="209"/>
      <c r="H219"/>
      <c r="I219" s="6">
        <f>SUM(I111:I122)</f>
        <v>351708154.90695393</v>
      </c>
      <c r="J219" s="36">
        <f t="shared" si="12"/>
        <v>13365647.906953931</v>
      </c>
      <c r="K219" s="5">
        <f t="shared" si="13"/>
        <v>3.9503306946158945E-2</v>
      </c>
    </row>
    <row r="220" spans="1:11" x14ac:dyDescent="0.2">
      <c r="A220">
        <v>2013</v>
      </c>
      <c r="B220" s="6">
        <f>SUM(B123:B134)</f>
        <v>337123668</v>
      </c>
      <c r="C220" s="131">
        <f t="shared" si="14"/>
        <v>-1218839</v>
      </c>
      <c r="D220" s="133">
        <f t="shared" si="15"/>
        <v>-3.6023821269374231E-3</v>
      </c>
      <c r="E220" s="133">
        <f>RATE(10,0,-B$210,B220)</f>
        <v>1.8287888641059839E-2</v>
      </c>
      <c r="F220" s="209"/>
      <c r="G220" s="209"/>
      <c r="H220"/>
      <c r="I220" s="6">
        <f ca="1">SUM(I123:I134)</f>
        <v>346289991.13506144</v>
      </c>
      <c r="J220" s="36">
        <f t="shared" ca="1" si="12"/>
        <v>9166323.1350614429</v>
      </c>
      <c r="K220" s="5">
        <f t="shared" ca="1" si="13"/>
        <v>2.7189794147177596E-2</v>
      </c>
    </row>
    <row r="221" spans="1:11" x14ac:dyDescent="0.2">
      <c r="A221">
        <v>2014</v>
      </c>
      <c r="B221" s="6">
        <f>SUM(B135:B146)</f>
        <v>336406114</v>
      </c>
      <c r="C221" s="131">
        <f t="shared" ref="C221" si="16">+B221-B220</f>
        <v>-717554</v>
      </c>
      <c r="D221" s="133">
        <f t="shared" ref="D221" si="17">+C221/B220</f>
        <v>-2.1284592810018902E-3</v>
      </c>
      <c r="E221" s="133">
        <f>RATE(10,0,-B$210,B221)</f>
        <v>1.8070942336539185E-2</v>
      </c>
      <c r="F221" s="126"/>
      <c r="G221" s="209"/>
      <c r="H221"/>
      <c r="I221" s="6">
        <f>SUM(I135:I146)</f>
        <v>349953792.84825003</v>
      </c>
      <c r="J221" s="36">
        <f t="shared" si="12"/>
        <v>13547678.848250031</v>
      </c>
      <c r="K221" s="5">
        <f t="shared" si="13"/>
        <v>4.027179734387952E-2</v>
      </c>
    </row>
    <row r="222" spans="1:11" x14ac:dyDescent="0.2">
      <c r="A222">
        <v>2015</v>
      </c>
      <c r="B222" s="6">
        <f t="shared" ref="B222:B226" ca="1" si="18">+I222</f>
        <v>345964014.76783592</v>
      </c>
      <c r="C222" s="131">
        <f t="shared" ca="1" si="14"/>
        <v>9557900.7678359151</v>
      </c>
      <c r="D222" s="133">
        <f t="shared" ca="1" si="15"/>
        <v>2.8411792681734421E-2</v>
      </c>
      <c r="E222" s="133">
        <f ca="1">RATE(12,0,-B$210,B222)</f>
        <v>1.7409110774713955E-2</v>
      </c>
      <c r="F222" s="126"/>
      <c r="G222" s="209"/>
      <c r="H222"/>
      <c r="I222" s="6">
        <f ca="1">SUM(I147:I158)</f>
        <v>345964014.76783592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t="shared" ca="1" si="18"/>
        <v>345273652.86619377</v>
      </c>
      <c r="C223" s="131">
        <f t="shared" ca="1" si="14"/>
        <v>-690361.90164214373</v>
      </c>
      <c r="D223" s="133">
        <f t="shared" ca="1" si="15"/>
        <v>-1.995473147996103E-3</v>
      </c>
      <c r="E223" s="133">
        <f ca="1">RATE(13,0,-B$210,B223)</f>
        <v>1.5903148094678816E-2</v>
      </c>
      <c r="F223" s="126"/>
      <c r="G223" s="209"/>
      <c r="H223"/>
      <c r="I223" s="6">
        <f ca="1">SUM(I159:I170)</f>
        <v>345273652.86619377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t="shared" ca="1" si="18"/>
        <v>345912158.98351103</v>
      </c>
      <c r="C224" s="131">
        <f t="shared" ca="1" si="14"/>
        <v>638506.11731725931</v>
      </c>
      <c r="D224" s="133">
        <f t="shared" ca="1" si="15"/>
        <v>1.849275529762776E-3</v>
      </c>
      <c r="E224" s="133">
        <f ca="1">RATE(14,0,-B$210,B224)</f>
        <v>1.4892794543625014E-2</v>
      </c>
      <c r="F224" s="126"/>
      <c r="G224" s="209"/>
      <c r="H224"/>
      <c r="I224" s="6">
        <f ca="1">SUM(I171:I182)</f>
        <v>345912158.98351103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345886231.09134859</v>
      </c>
      <c r="C225" s="131">
        <f t="shared" ca="1" si="14"/>
        <v>-25927.892162442207</v>
      </c>
      <c r="D225" s="133">
        <f t="shared" ca="1" si="15"/>
        <v>-7.4955133808054836E-5</v>
      </c>
      <c r="E225" s="133">
        <f ca="1">RATE(15,0,-B$210,B225)</f>
        <v>1.3888010924900796E-2</v>
      </c>
      <c r="F225" s="126"/>
      <c r="G225" s="209"/>
      <c r="H225"/>
      <c r="I225" s="6">
        <f ca="1">SUM(I183:I194)</f>
        <v>345886231.09134859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345860303.19918627</v>
      </c>
      <c r="C226" s="131">
        <f t="shared" ca="1" si="14"/>
        <v>-25927.892162322998</v>
      </c>
      <c r="D226" s="133">
        <f t="shared" ca="1" si="15"/>
        <v>-7.4960752500944275E-5</v>
      </c>
      <c r="E226" s="133">
        <f ca="1">RATE(16,0,-B$210,B226)</f>
        <v>1.3009640962906232E-2</v>
      </c>
      <c r="F226" s="126"/>
      <c r="G226" s="209"/>
      <c r="H226"/>
      <c r="I226" s="6">
        <f ca="1">SUM(I195:I206)</f>
        <v>345860303.19918627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24"/>
      <c r="D227" s="209"/>
      <c r="F227" s="209"/>
      <c r="G227" s="209"/>
      <c r="H227"/>
      <c r="J227" s="209"/>
      <c r="K227" s="209"/>
    </row>
    <row r="228" spans="1:11" x14ac:dyDescent="0.2">
      <c r="A228" t="s">
        <v>9</v>
      </c>
      <c r="B228" s="6">
        <f ca="1">SUM(B210:B226)</f>
        <v>5878023787.4080753</v>
      </c>
      <c r="C228" s="124"/>
      <c r="D228" s="209"/>
      <c r="F228" s="209"/>
      <c r="G228" s="209"/>
      <c r="H228"/>
      <c r="I228" s="6">
        <f ca="1">SUM(I210:I226)</f>
        <v>5878023787.4080744</v>
      </c>
      <c r="J228" s="213">
        <f ca="1">I228-B228</f>
        <v>0</v>
      </c>
      <c r="K228" s="209"/>
    </row>
    <row r="229" spans="1:11" x14ac:dyDescent="0.2">
      <c r="C229" s="209"/>
      <c r="D229" s="209"/>
      <c r="F229" s="209"/>
      <c r="G229" s="209"/>
      <c r="H229"/>
      <c r="I229" s="209"/>
      <c r="J229" s="62"/>
      <c r="K229" s="209"/>
    </row>
    <row r="230" spans="1:11" x14ac:dyDescent="0.2">
      <c r="C230" s="209"/>
      <c r="D230" s="209"/>
      <c r="F230" s="209"/>
      <c r="G230" s="209"/>
      <c r="H230"/>
      <c r="I230" s="6">
        <f ca="1">SUM(I210:I226)</f>
        <v>5878023787.4080744</v>
      </c>
      <c r="J230" s="213">
        <f ca="1">I208-I230</f>
        <v>0</v>
      </c>
      <c r="K230" s="209"/>
    </row>
    <row r="231" spans="1:11" x14ac:dyDescent="0.2">
      <c r="C231" s="209"/>
      <c r="D231" s="209"/>
      <c r="F231" s="209"/>
      <c r="G231" s="209"/>
      <c r="H231"/>
      <c r="I231" s="23"/>
      <c r="J231" s="214" t="s">
        <v>69</v>
      </c>
      <c r="K231" s="18"/>
    </row>
    <row r="243" spans="9:11" x14ac:dyDescent="0.2">
      <c r="I243" s="11"/>
      <c r="J243" s="11"/>
      <c r="K243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4"/>
  <sheetViews>
    <sheetView workbookViewId="0"/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4" style="6" bestFit="1" customWidth="1"/>
    <col min="10" max="10" width="21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4.5703125" style="6" bestFit="1" customWidth="1"/>
    <col min="15" max="15" width="22.85546875" style="6" bestFit="1" customWidth="1"/>
    <col min="16" max="16" width="21.85546875" style="6" bestFit="1" customWidth="1"/>
    <col min="17" max="17" width="9.7109375" style="6" bestFit="1" customWidth="1"/>
    <col min="18" max="18" width="14.7109375" bestFit="1" customWidth="1"/>
    <col min="19" max="19" width="14.28515625" bestFit="1" customWidth="1"/>
    <col min="20" max="20" width="14.7109375" bestFit="1" customWidth="1"/>
    <col min="21" max="21" width="14.28515625" bestFit="1" customWidth="1"/>
  </cols>
  <sheetData>
    <row r="2" spans="1:18" ht="42" customHeight="1" x14ac:dyDescent="0.2">
      <c r="B2" s="7" t="s">
        <v>199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20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59">
        <v>8229409</v>
      </c>
      <c r="C3" s="215">
        <f>+'Purchased Power Model '!C3</f>
        <v>786</v>
      </c>
      <c r="D3" s="215">
        <f>+'Purchased Power Model '!D3</f>
        <v>0</v>
      </c>
      <c r="E3" s="126">
        <f>+'Purchased Power Model '!E3</f>
        <v>4.7E-2</v>
      </c>
      <c r="F3" s="57">
        <f>+'Purchased Power Model '!F3</f>
        <v>31</v>
      </c>
      <c r="G3" s="57">
        <f>+'Purchased Power Model '!G3</f>
        <v>0</v>
      </c>
      <c r="H3" s="42">
        <v>5</v>
      </c>
      <c r="I3" s="222">
        <f>$N$18+C3*$N$19+D3*$N$20+E3*$N$21+F3*$N$22+G3*$N$23</f>
        <v>6137582.4734854233</v>
      </c>
      <c r="J3" s="36">
        <f>I3-B3</f>
        <v>-2091826.5265145767</v>
      </c>
      <c r="K3" s="5">
        <f>J3/B3</f>
        <v>-0.25418915580870716</v>
      </c>
      <c r="M3"/>
      <c r="N3"/>
      <c r="O3"/>
      <c r="P3"/>
      <c r="Q3"/>
    </row>
    <row r="4" spans="1:18" x14ac:dyDescent="0.2">
      <c r="A4" s="3">
        <v>37653</v>
      </c>
      <c r="B4" s="59">
        <v>9779589</v>
      </c>
      <c r="C4" s="215">
        <f>+'Purchased Power Model '!C4</f>
        <v>686.5</v>
      </c>
      <c r="D4" s="215">
        <f>+'Purchased Power Model '!D4</f>
        <v>0</v>
      </c>
      <c r="E4" s="126">
        <f>+'Purchased Power Model '!E4</f>
        <v>4.7E-2</v>
      </c>
      <c r="F4" s="57">
        <f>+'Purchased Power Model '!F4</f>
        <v>28</v>
      </c>
      <c r="G4" s="57">
        <f>+'Purchased Power Model '!G4</f>
        <v>0</v>
      </c>
      <c r="H4" s="42">
        <v>5</v>
      </c>
      <c r="I4" s="222">
        <f t="shared" ref="I4:I67" si="0">$N$18+C4*$N$19+D4*$N$20+E4*$N$21+F4*$N$22+G4*$N$23</f>
        <v>7045357.7154611647</v>
      </c>
      <c r="J4" s="36">
        <f t="shared" ref="J4:J67" si="1">I4-B4</f>
        <v>-2734231.2845388353</v>
      </c>
      <c r="K4" s="5">
        <f t="shared" ref="K4:K67" si="2">J4/B4</f>
        <v>-0.27958550042735286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59">
        <v>7995083</v>
      </c>
      <c r="C5" s="215">
        <f>+'Purchased Power Model '!C5</f>
        <v>572.5</v>
      </c>
      <c r="D5" s="215">
        <f>+'Purchased Power Model '!D5</f>
        <v>0</v>
      </c>
      <c r="E5" s="126">
        <f>+'Purchased Power Model '!E5</f>
        <v>4.7E-2</v>
      </c>
      <c r="F5" s="57">
        <f>+'Purchased Power Model '!F5</f>
        <v>31</v>
      </c>
      <c r="G5" s="57">
        <f>+'Purchased Power Model '!G5</f>
        <v>1</v>
      </c>
      <c r="H5" s="42">
        <v>5</v>
      </c>
      <c r="I5" s="222">
        <f t="shared" si="0"/>
        <v>5909862.1786850942</v>
      </c>
      <c r="J5" s="36">
        <f t="shared" si="1"/>
        <v>-2085220.8213149058</v>
      </c>
      <c r="K5" s="5">
        <f t="shared" si="2"/>
        <v>-0.26081290479597347</v>
      </c>
      <c r="M5" s="35" t="s">
        <v>20</v>
      </c>
      <c r="N5" s="118">
        <v>0.37610133184458244</v>
      </c>
      <c r="O5"/>
      <c r="P5"/>
      <c r="Q5"/>
    </row>
    <row r="6" spans="1:18" x14ac:dyDescent="0.2">
      <c r="A6" s="3">
        <v>37712</v>
      </c>
      <c r="B6" s="59">
        <v>6998857.7618016768</v>
      </c>
      <c r="C6" s="215">
        <f>+'Purchased Power Model '!C6</f>
        <v>403.9</v>
      </c>
      <c r="D6" s="215">
        <f>+'Purchased Power Model '!D6</f>
        <v>0</v>
      </c>
      <c r="E6" s="126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42">
        <v>5</v>
      </c>
      <c r="I6" s="222">
        <f t="shared" si="0"/>
        <v>6580350.2743273079</v>
      </c>
      <c r="J6" s="36">
        <f t="shared" si="1"/>
        <v>-418507.48747436889</v>
      </c>
      <c r="K6" s="5">
        <f t="shared" si="2"/>
        <v>-5.9796541338287587E-2</v>
      </c>
      <c r="M6" s="35" t="s">
        <v>21</v>
      </c>
      <c r="N6" s="118">
        <v>0.14145221181526871</v>
      </c>
      <c r="O6"/>
      <c r="P6"/>
      <c r="Q6"/>
    </row>
    <row r="7" spans="1:18" x14ac:dyDescent="0.2">
      <c r="A7" s="3">
        <v>37742</v>
      </c>
      <c r="B7" s="59">
        <v>6912468.2381983213</v>
      </c>
      <c r="C7" s="215">
        <f>+'Purchased Power Model '!C7</f>
        <v>192</v>
      </c>
      <c r="D7" s="215">
        <f>+'Purchased Power Model '!D7</f>
        <v>0</v>
      </c>
      <c r="E7" s="126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42">
        <v>5</v>
      </c>
      <c r="I7" s="222">
        <f t="shared" si="0"/>
        <v>7027851.4814060116</v>
      </c>
      <c r="J7" s="36">
        <f t="shared" si="1"/>
        <v>115383.24320769031</v>
      </c>
      <c r="K7" s="5">
        <f t="shared" si="2"/>
        <v>1.6692046781507385E-2</v>
      </c>
      <c r="M7" s="35" t="s">
        <v>22</v>
      </c>
      <c r="N7" s="118">
        <v>0.11034540789553207</v>
      </c>
      <c r="O7"/>
      <c r="P7"/>
      <c r="Q7"/>
    </row>
    <row r="8" spans="1:18" x14ac:dyDescent="0.2">
      <c r="A8" s="3">
        <v>37773</v>
      </c>
      <c r="B8" s="59">
        <v>13464334</v>
      </c>
      <c r="C8" s="215">
        <f>+'Purchased Power Model '!C8</f>
        <v>55.1</v>
      </c>
      <c r="D8" s="215">
        <f>+'Purchased Power Model '!D8</f>
        <v>31</v>
      </c>
      <c r="E8" s="126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42">
        <v>5</v>
      </c>
      <c r="I8" s="222">
        <f t="shared" si="0"/>
        <v>8146159.1740629422</v>
      </c>
      <c r="J8" s="36">
        <f t="shared" si="1"/>
        <v>-5318174.8259370578</v>
      </c>
      <c r="K8" s="5">
        <f t="shared" si="2"/>
        <v>-0.39498239021232373</v>
      </c>
      <c r="M8" s="35" t="s">
        <v>23</v>
      </c>
      <c r="N8" s="68">
        <v>1465119.3685287558</v>
      </c>
      <c r="O8"/>
      <c r="P8"/>
      <c r="Q8"/>
    </row>
    <row r="9" spans="1:18" ht="13.5" thickBot="1" x14ac:dyDescent="0.25">
      <c r="A9" s="3">
        <v>37803</v>
      </c>
      <c r="B9" s="59">
        <v>9650306</v>
      </c>
      <c r="C9" s="215">
        <f>+'Purchased Power Model '!C9</f>
        <v>5.7</v>
      </c>
      <c r="D9" s="215">
        <f>+'Purchased Power Model '!D9</f>
        <v>59.1</v>
      </c>
      <c r="E9" s="126">
        <f>+'Purchased Power Model '!E9</f>
        <v>5.2000000000000005E-2</v>
      </c>
      <c r="F9" s="57">
        <f>+'Purchased Power Model '!F9</f>
        <v>31</v>
      </c>
      <c r="G9" s="57">
        <f>+'Purchased Power Model '!G9</f>
        <v>0</v>
      </c>
      <c r="H9" s="42">
        <v>5</v>
      </c>
      <c r="I9" s="222">
        <f t="shared" si="0"/>
        <v>7769855.8342041392</v>
      </c>
      <c r="J9" s="36">
        <f t="shared" si="1"/>
        <v>-1880450.1657958608</v>
      </c>
      <c r="K9" s="5">
        <f t="shared" si="2"/>
        <v>-0.1948591232025037</v>
      </c>
      <c r="M9" s="51" t="s">
        <v>24</v>
      </c>
      <c r="N9" s="69">
        <v>144</v>
      </c>
      <c r="O9"/>
      <c r="P9"/>
      <c r="Q9"/>
    </row>
    <row r="10" spans="1:18" x14ac:dyDescent="0.2">
      <c r="A10" s="3">
        <v>37834</v>
      </c>
      <c r="B10" s="59">
        <v>8699071</v>
      </c>
      <c r="C10" s="215">
        <f>+'Purchased Power Model '!C10</f>
        <v>10.4</v>
      </c>
      <c r="D10" s="215">
        <f>+'Purchased Power Model '!D10</f>
        <v>106.5</v>
      </c>
      <c r="E10" s="126">
        <f>+'Purchased Power Model '!E10</f>
        <v>5.2000000000000005E-2</v>
      </c>
      <c r="F10" s="57">
        <f>+'Purchased Power Model '!F10</f>
        <v>31</v>
      </c>
      <c r="G10" s="57">
        <f>+'Purchased Power Model '!G10</f>
        <v>0</v>
      </c>
      <c r="H10" s="42">
        <v>5</v>
      </c>
      <c r="I10" s="222">
        <f t="shared" si="0"/>
        <v>7169876.9305125009</v>
      </c>
      <c r="J10" s="36">
        <f t="shared" si="1"/>
        <v>-1529194.0694874991</v>
      </c>
      <c r="K10" s="5">
        <f t="shared" si="2"/>
        <v>-0.17578820422174954</v>
      </c>
      <c r="M10"/>
      <c r="N10"/>
      <c r="O10"/>
      <c r="P10"/>
      <c r="Q10"/>
    </row>
    <row r="11" spans="1:18" ht="13.5" thickBot="1" x14ac:dyDescent="0.25">
      <c r="A11" s="3">
        <v>37865</v>
      </c>
      <c r="B11" s="59">
        <v>11567404</v>
      </c>
      <c r="C11" s="215">
        <f>+'Purchased Power Model '!C11</f>
        <v>55.2</v>
      </c>
      <c r="D11" s="215">
        <f>+'Purchased Power Model '!D11</f>
        <v>12.1</v>
      </c>
      <c r="E11" s="126">
        <f>+'Purchased Power Model '!E11</f>
        <v>5.2000000000000005E-2</v>
      </c>
      <c r="F11" s="57">
        <f>+'Purchased Power Model '!F11</f>
        <v>30</v>
      </c>
      <c r="G11" s="57">
        <f>+'Purchased Power Model '!G11</f>
        <v>1</v>
      </c>
      <c r="H11" s="42">
        <v>5</v>
      </c>
      <c r="I11" s="222">
        <f t="shared" si="0"/>
        <v>7518880.4969526296</v>
      </c>
      <c r="J11" s="36">
        <f t="shared" si="1"/>
        <v>-4048523.5030473704</v>
      </c>
      <c r="K11" s="5">
        <f t="shared" si="2"/>
        <v>-0.34999413032062943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59">
        <v>4595061</v>
      </c>
      <c r="C12" s="215">
        <f>+'Purchased Power Model '!C12</f>
        <v>289.7</v>
      </c>
      <c r="D12" s="215">
        <f>+'Purchased Power Model '!D12</f>
        <v>0</v>
      </c>
      <c r="E12" s="126">
        <f>+'Purchased Power Model '!E12</f>
        <v>4.7E-2</v>
      </c>
      <c r="F12" s="57">
        <f>+'Purchased Power Model '!F12</f>
        <v>31</v>
      </c>
      <c r="G12" s="57">
        <f>+'Purchased Power Model '!G12</f>
        <v>1</v>
      </c>
      <c r="H12" s="42">
        <v>5</v>
      </c>
      <c r="I12" s="222">
        <f t="shared" si="0"/>
        <v>6775448.2267214255</v>
      </c>
      <c r="J12" s="36">
        <f t="shared" si="1"/>
        <v>2180387.2267214255</v>
      </c>
      <c r="K12" s="5">
        <f t="shared" si="2"/>
        <v>0.47450669897993203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59">
        <v>4221034</v>
      </c>
      <c r="C13" s="215">
        <f>+'Purchased Power Model '!C13</f>
        <v>387.6</v>
      </c>
      <c r="D13" s="215">
        <f>+'Purchased Power Model '!D13</f>
        <v>0</v>
      </c>
      <c r="E13" s="126">
        <f>+'Purchased Power Model '!E13</f>
        <v>4.7E-2</v>
      </c>
      <c r="F13" s="57">
        <f>+'Purchased Power Model '!F13</f>
        <v>30</v>
      </c>
      <c r="G13" s="57">
        <f>+'Purchased Power Model '!G13</f>
        <v>1</v>
      </c>
      <c r="H13" s="42">
        <v>5</v>
      </c>
      <c r="I13" s="222">
        <f t="shared" si="0"/>
        <v>6676874.917365998</v>
      </c>
      <c r="J13" s="36">
        <f t="shared" si="1"/>
        <v>2455840.917365998</v>
      </c>
      <c r="K13" s="5">
        <f t="shared" si="2"/>
        <v>0.58181026671805958</v>
      </c>
      <c r="M13" s="35" t="s">
        <v>26</v>
      </c>
      <c r="N13" s="68">
        <v>5</v>
      </c>
      <c r="O13" s="68">
        <v>48805680741661.75</v>
      </c>
      <c r="P13" s="68">
        <v>9761136148332.3496</v>
      </c>
      <c r="Q13" s="68">
        <v>4.5473077909338064</v>
      </c>
      <c r="R13" s="68">
        <v>7.1968539042171239E-4</v>
      </c>
    </row>
    <row r="14" spans="1:18" x14ac:dyDescent="0.2">
      <c r="A14" s="3">
        <v>37956</v>
      </c>
      <c r="B14" s="59">
        <v>4059474</v>
      </c>
      <c r="C14" s="215">
        <f>+'Purchased Power Model '!C14</f>
        <v>548.20000000000005</v>
      </c>
      <c r="D14" s="215">
        <f>+'Purchased Power Model '!D14</f>
        <v>0</v>
      </c>
      <c r="E14" s="126">
        <f>+'Purchased Power Model '!E14</f>
        <v>4.7E-2</v>
      </c>
      <c r="F14" s="57">
        <f>+'Purchased Power Model '!F14</f>
        <v>31</v>
      </c>
      <c r="G14" s="57">
        <f>+'Purchased Power Model '!G14</f>
        <v>0</v>
      </c>
      <c r="H14" s="42">
        <v>5</v>
      </c>
      <c r="I14" s="222">
        <f t="shared" si="0"/>
        <v>6865433.8250520416</v>
      </c>
      <c r="J14" s="36">
        <f t="shared" si="1"/>
        <v>2805959.8250520416</v>
      </c>
      <c r="K14" s="5">
        <f t="shared" si="2"/>
        <v>0.69121266081567256</v>
      </c>
      <c r="M14" s="35" t="s">
        <v>27</v>
      </c>
      <c r="N14" s="68">
        <v>138</v>
      </c>
      <c r="O14" s="68">
        <v>296227317437257.81</v>
      </c>
      <c r="P14" s="68">
        <v>2146574764038.1001</v>
      </c>
      <c r="Q14" s="68"/>
      <c r="R14" s="68"/>
    </row>
    <row r="15" spans="1:18" ht="13.5" thickBot="1" x14ac:dyDescent="0.25">
      <c r="A15" s="3">
        <v>37987</v>
      </c>
      <c r="B15" s="59">
        <v>3965865</v>
      </c>
      <c r="C15" s="215">
        <f>+'Purchased Power Model '!C15</f>
        <v>828.8</v>
      </c>
      <c r="D15" s="215">
        <f>+'Purchased Power Model '!D15</f>
        <v>0</v>
      </c>
      <c r="E15" s="126">
        <f>+'Purchased Power Model '!E15</f>
        <v>0.05</v>
      </c>
      <c r="F15" s="57">
        <f>+'Purchased Power Model '!F15</f>
        <v>31</v>
      </c>
      <c r="G15" s="57">
        <f>+'Purchased Power Model '!G15</f>
        <v>0</v>
      </c>
      <c r="H15" s="42">
        <v>5</v>
      </c>
      <c r="I15" s="222">
        <f t="shared" si="0"/>
        <v>5991036.7815521192</v>
      </c>
      <c r="J15" s="36">
        <f t="shared" si="1"/>
        <v>2025171.7815521192</v>
      </c>
      <c r="K15" s="5">
        <f t="shared" si="2"/>
        <v>0.51065071089210534</v>
      </c>
      <c r="M15" s="51" t="s">
        <v>9</v>
      </c>
      <c r="N15" s="69">
        <v>143</v>
      </c>
      <c r="O15" s="69">
        <v>345032998178919.56</v>
      </c>
      <c r="P15" s="69"/>
      <c r="Q15" s="69"/>
      <c r="R15" s="69"/>
    </row>
    <row r="16" spans="1:18" ht="13.5" thickBot="1" x14ac:dyDescent="0.25">
      <c r="A16" s="3">
        <v>38018</v>
      </c>
      <c r="B16" s="59">
        <v>4712592</v>
      </c>
      <c r="C16" s="215">
        <f>+'Purchased Power Model '!C16</f>
        <v>615.6</v>
      </c>
      <c r="D16" s="215">
        <f>+'Purchased Power Model '!D16</f>
        <v>0</v>
      </c>
      <c r="E16" s="126">
        <f>+'Purchased Power Model '!E16</f>
        <v>0.05</v>
      </c>
      <c r="F16" s="57">
        <f>+'Purchased Power Model '!F16</f>
        <v>29</v>
      </c>
      <c r="G16" s="57">
        <f>+'Purchased Power Model '!G16</f>
        <v>0</v>
      </c>
      <c r="H16" s="42">
        <v>5</v>
      </c>
      <c r="I16" s="222">
        <f t="shared" si="0"/>
        <v>7045745.5151993241</v>
      </c>
      <c r="J16" s="36">
        <f t="shared" si="1"/>
        <v>2333153.5151993241</v>
      </c>
      <c r="K16" s="5">
        <f t="shared" si="2"/>
        <v>0.49508922376461278</v>
      </c>
      <c r="M16"/>
      <c r="N16"/>
      <c r="O16"/>
      <c r="P16"/>
      <c r="Q16"/>
    </row>
    <row r="17" spans="1:21" x14ac:dyDescent="0.2">
      <c r="A17" s="3">
        <v>38047</v>
      </c>
      <c r="B17" s="59">
        <v>4424709</v>
      </c>
      <c r="C17" s="215">
        <f>+'Purchased Power Model '!C17</f>
        <v>487.1</v>
      </c>
      <c r="D17" s="215">
        <f>+'Purchased Power Model '!D17</f>
        <v>0</v>
      </c>
      <c r="E17" s="126">
        <f>+'Purchased Power Model '!E17</f>
        <v>0.05</v>
      </c>
      <c r="F17" s="57">
        <f>+'Purchased Power Model '!F17</f>
        <v>31</v>
      </c>
      <c r="G17" s="57">
        <f>+'Purchased Power Model '!G17</f>
        <v>1</v>
      </c>
      <c r="H17" s="42">
        <v>5</v>
      </c>
      <c r="I17" s="222">
        <f t="shared" si="0"/>
        <v>6155707.3331388412</v>
      </c>
      <c r="J17" s="36">
        <f t="shared" si="1"/>
        <v>1730998.3331388412</v>
      </c>
      <c r="K17" s="5">
        <f t="shared" si="2"/>
        <v>0.39121179113447713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59">
        <v>4715043</v>
      </c>
      <c r="C18" s="215">
        <f>+'Purchased Power Model '!C18</f>
        <v>345</v>
      </c>
      <c r="D18" s="215">
        <f>+'Purchased Power Model '!D18</f>
        <v>0</v>
      </c>
      <c r="E18" s="126">
        <f>+'Purchased Power Model '!E18</f>
        <v>5.4000000000000006E-2</v>
      </c>
      <c r="F18" s="57">
        <f>+'Purchased Power Model '!F18</f>
        <v>30</v>
      </c>
      <c r="G18" s="57">
        <f>+'Purchased Power Model '!G18</f>
        <v>1</v>
      </c>
      <c r="H18" s="42">
        <v>5</v>
      </c>
      <c r="I18" s="222">
        <f t="shared" si="0"/>
        <v>6770992.8159746286</v>
      </c>
      <c r="J18" s="36">
        <f t="shared" si="1"/>
        <v>2055949.8159746286</v>
      </c>
      <c r="K18" s="5">
        <f t="shared" si="2"/>
        <v>0.43604052306089863</v>
      </c>
      <c r="M18" s="35" t="s">
        <v>28</v>
      </c>
      <c r="N18" s="68">
        <v>15020243.42601412</v>
      </c>
      <c r="O18" s="68">
        <v>4785137.0616745679</v>
      </c>
      <c r="P18" s="68">
        <v>3.13893692749477</v>
      </c>
      <c r="Q18" s="68">
        <v>2.0740059234428117E-3</v>
      </c>
      <c r="R18" s="68">
        <v>5558574.9648771938</v>
      </c>
      <c r="S18" s="68">
        <v>24481911.887151048</v>
      </c>
      <c r="T18" s="68">
        <v>5558574.9648771938</v>
      </c>
      <c r="U18" s="68">
        <v>24481911.887151048</v>
      </c>
    </row>
    <row r="19" spans="1:21" x14ac:dyDescent="0.2">
      <c r="A19" s="3">
        <v>38108</v>
      </c>
      <c r="B19" s="59">
        <v>4535525</v>
      </c>
      <c r="C19" s="215">
        <f>+'Purchased Power Model '!C19</f>
        <v>177.5</v>
      </c>
      <c r="D19" s="215">
        <f>+'Purchased Power Model '!D19</f>
        <v>0</v>
      </c>
      <c r="E19" s="126">
        <f>+'Purchased Power Model '!E19</f>
        <v>5.4000000000000006E-2</v>
      </c>
      <c r="F19" s="57">
        <f>+'Purchased Power Model '!F19</f>
        <v>31</v>
      </c>
      <c r="G19" s="57">
        <f>+'Purchased Power Model '!G19</f>
        <v>1</v>
      </c>
      <c r="H19" s="42">
        <v>5</v>
      </c>
      <c r="I19" s="222">
        <f t="shared" si="0"/>
        <v>7082595.7892032145</v>
      </c>
      <c r="J19" s="36">
        <f t="shared" si="1"/>
        <v>2547070.7892032145</v>
      </c>
      <c r="K19" s="5">
        <f t="shared" si="2"/>
        <v>0.56158235026886949</v>
      </c>
      <c r="M19" s="35" t="s">
        <v>3</v>
      </c>
      <c r="N19" s="68">
        <v>-3060.7710326602992</v>
      </c>
      <c r="O19" s="68">
        <v>745.69738106654927</v>
      </c>
      <c r="P19" s="68">
        <v>-4.1045752746007604</v>
      </c>
      <c r="Q19" s="68">
        <v>6.8969394646614104E-5</v>
      </c>
      <c r="R19" s="68">
        <v>-4535.2411055239327</v>
      </c>
      <c r="S19" s="68">
        <v>-1586.3009597966657</v>
      </c>
      <c r="T19" s="68">
        <v>-4535.2411055239327</v>
      </c>
      <c r="U19" s="68">
        <v>-1586.3009597966657</v>
      </c>
    </row>
    <row r="20" spans="1:21" x14ac:dyDescent="0.2">
      <c r="A20" s="3">
        <v>38139</v>
      </c>
      <c r="B20" s="59">
        <v>4710606</v>
      </c>
      <c r="C20" s="215">
        <f>+'Purchased Power Model '!C20</f>
        <v>73.2</v>
      </c>
      <c r="D20" s="215">
        <f>+'Purchased Power Model '!D20</f>
        <v>15.6</v>
      </c>
      <c r="E20" s="126">
        <f>+'Purchased Power Model '!E20</f>
        <v>5.4000000000000006E-2</v>
      </c>
      <c r="F20" s="57">
        <f>+'Purchased Power Model '!F20</f>
        <v>30</v>
      </c>
      <c r="G20" s="57">
        <f>+'Purchased Power Model '!G20</f>
        <v>0</v>
      </c>
      <c r="H20" s="42">
        <v>6</v>
      </c>
      <c r="I20" s="222">
        <f t="shared" si="0"/>
        <v>8291378.3906997917</v>
      </c>
      <c r="J20" s="36">
        <f t="shared" si="1"/>
        <v>3580772.3906997917</v>
      </c>
      <c r="K20" s="5">
        <f t="shared" si="2"/>
        <v>0.7601511123409157</v>
      </c>
      <c r="M20" s="35" t="s">
        <v>4</v>
      </c>
      <c r="N20" s="68">
        <v>-12354.288604180087</v>
      </c>
      <c r="O20" s="68">
        <v>5777.9416436698739</v>
      </c>
      <c r="P20" s="68">
        <v>-2.1381816165822731</v>
      </c>
      <c r="Q20" s="68">
        <v>3.4263630812583851E-2</v>
      </c>
      <c r="R20" s="68">
        <v>-23779.033081837617</v>
      </c>
      <c r="S20" s="68">
        <v>-929.54412652255633</v>
      </c>
      <c r="T20" s="68">
        <v>-23779.033081837617</v>
      </c>
      <c r="U20" s="68">
        <v>-929.54412652255633</v>
      </c>
    </row>
    <row r="21" spans="1:21" x14ac:dyDescent="0.2">
      <c r="A21" s="3">
        <v>38169</v>
      </c>
      <c r="B21" s="59">
        <v>4855687</v>
      </c>
      <c r="C21" s="215">
        <f>+'Purchased Power Model '!C21</f>
        <v>2</v>
      </c>
      <c r="D21" s="215">
        <f>+'Purchased Power Model '!D21</f>
        <v>69.3</v>
      </c>
      <c r="E21" s="126">
        <f>+'Purchased Power Model '!E21</f>
        <v>5.5E-2</v>
      </c>
      <c r="F21" s="57">
        <f>+'Purchased Power Model '!F21</f>
        <v>31</v>
      </c>
      <c r="G21" s="57">
        <f>+'Purchased Power Model '!G21</f>
        <v>0</v>
      </c>
      <c r="H21" s="42">
        <v>6</v>
      </c>
      <c r="I21" s="222">
        <f t="shared" si="0"/>
        <v>7639622.2515269052</v>
      </c>
      <c r="J21" s="36">
        <f t="shared" si="1"/>
        <v>2783935.2515269052</v>
      </c>
      <c r="K21" s="5">
        <f t="shared" si="2"/>
        <v>0.57333498875172662</v>
      </c>
      <c r="M21" s="35" t="s">
        <v>223</v>
      </c>
      <c r="N21" s="68">
        <v>-5181563.9118141895</v>
      </c>
      <c r="O21" s="68">
        <v>8133728.7457040977</v>
      </c>
      <c r="P21" s="68">
        <v>-0.63704655931031373</v>
      </c>
      <c r="Q21" s="68">
        <v>0.52514992180512043</v>
      </c>
      <c r="R21" s="68">
        <v>-21264414.570587054</v>
      </c>
      <c r="S21" s="68">
        <v>10901286.746958677</v>
      </c>
      <c r="T21" s="68">
        <v>-21264414.570587054</v>
      </c>
      <c r="U21" s="68">
        <v>10901286.746958677</v>
      </c>
    </row>
    <row r="22" spans="1:21" x14ac:dyDescent="0.2">
      <c r="A22" s="3">
        <v>38200</v>
      </c>
      <c r="B22" s="59">
        <v>7779324</v>
      </c>
      <c r="C22" s="215">
        <f>+'Purchased Power Model '!C22</f>
        <v>19.600000000000001</v>
      </c>
      <c r="D22" s="215">
        <f>+'Purchased Power Model '!D22</f>
        <v>53.6</v>
      </c>
      <c r="E22" s="126">
        <f>+'Purchased Power Model '!E22</f>
        <v>5.5E-2</v>
      </c>
      <c r="F22" s="57">
        <f>+'Purchased Power Model '!F22</f>
        <v>31</v>
      </c>
      <c r="G22" s="57">
        <f>+'Purchased Power Model '!G22</f>
        <v>0</v>
      </c>
      <c r="H22" s="42">
        <v>6</v>
      </c>
      <c r="I22" s="222">
        <f t="shared" si="0"/>
        <v>7779715.0124377124</v>
      </c>
      <c r="J22" s="36">
        <f t="shared" si="1"/>
        <v>391.01243771240115</v>
      </c>
      <c r="K22" s="5">
        <f t="shared" si="2"/>
        <v>5.0263035414439755E-5</v>
      </c>
      <c r="M22" s="35" t="s">
        <v>5</v>
      </c>
      <c r="N22" s="68">
        <v>-201076.174742014</v>
      </c>
      <c r="O22" s="68">
        <v>156524.82943665111</v>
      </c>
      <c r="P22" s="68">
        <v>-1.2846279754190293</v>
      </c>
      <c r="Q22" s="68">
        <v>0.20107451706874588</v>
      </c>
      <c r="R22" s="68">
        <v>-510573.27440237871</v>
      </c>
      <c r="S22" s="68">
        <v>108420.92491835073</v>
      </c>
      <c r="T22" s="68">
        <v>-510573.27440237871</v>
      </c>
      <c r="U22" s="68">
        <v>108420.92491835073</v>
      </c>
    </row>
    <row r="23" spans="1:21" ht="13.5" thickBot="1" x14ac:dyDescent="0.25">
      <c r="A23" s="3">
        <v>38231</v>
      </c>
      <c r="B23" s="59">
        <v>7343101</v>
      </c>
      <c r="C23" s="215">
        <f>+'Purchased Power Model '!C23</f>
        <v>41.7</v>
      </c>
      <c r="D23" s="215">
        <f>+'Purchased Power Model '!D23</f>
        <v>26.7</v>
      </c>
      <c r="E23" s="126">
        <f>+'Purchased Power Model '!E23</f>
        <v>5.5E-2</v>
      </c>
      <c r="F23" s="57">
        <f>+'Purchased Power Model '!F23</f>
        <v>30</v>
      </c>
      <c r="G23" s="57">
        <f>+'Purchased Power Model '!G23</f>
        <v>1</v>
      </c>
      <c r="H23" s="42">
        <v>6</v>
      </c>
      <c r="I23" s="222">
        <f t="shared" si="0"/>
        <v>7364283.6005370747</v>
      </c>
      <c r="J23" s="36">
        <f t="shared" si="1"/>
        <v>21182.60053707473</v>
      </c>
      <c r="K23" s="5">
        <f t="shared" si="2"/>
        <v>2.8846941553813204E-3</v>
      </c>
      <c r="M23" s="51" t="s">
        <v>17</v>
      </c>
      <c r="N23" s="69">
        <v>-881194.91027330328</v>
      </c>
      <c r="O23" s="69">
        <v>315696.39386035578</v>
      </c>
      <c r="P23" s="69">
        <v>-2.7912732847467634</v>
      </c>
      <c r="Q23" s="69">
        <v>5.9945970070480695E-3</v>
      </c>
      <c r="R23" s="69">
        <v>-1505422.5080587422</v>
      </c>
      <c r="S23" s="69">
        <v>-256967.31248786428</v>
      </c>
      <c r="T23" s="69">
        <v>-1505422.5080587422</v>
      </c>
      <c r="U23" s="69">
        <v>-256967.31248786428</v>
      </c>
    </row>
    <row r="24" spans="1:21" x14ac:dyDescent="0.2">
      <c r="A24" s="3">
        <v>38261</v>
      </c>
      <c r="B24" s="59">
        <v>3756788</v>
      </c>
      <c r="C24" s="215">
        <f>+'Purchased Power Model '!C24</f>
        <v>235</v>
      </c>
      <c r="D24" s="215">
        <f>+'Purchased Power Model '!D24</f>
        <v>0</v>
      </c>
      <c r="E24" s="126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42">
        <v>6</v>
      </c>
      <c r="I24" s="222">
        <f t="shared" si="0"/>
        <v>6885875.1991779907</v>
      </c>
      <c r="J24" s="36">
        <f t="shared" si="1"/>
        <v>3129087.1991779907</v>
      </c>
      <c r="K24" s="5">
        <f t="shared" si="2"/>
        <v>0.83291556488627805</v>
      </c>
      <c r="M24"/>
      <c r="N24"/>
      <c r="O24"/>
      <c r="P24"/>
      <c r="Q24"/>
    </row>
    <row r="25" spans="1:21" x14ac:dyDescent="0.2">
      <c r="A25" s="3">
        <v>38292</v>
      </c>
      <c r="B25" s="59">
        <v>8659336</v>
      </c>
      <c r="C25" s="215">
        <f>+'Purchased Power Model '!C25</f>
        <v>385.7</v>
      </c>
      <c r="D25" s="215">
        <f>+'Purchased Power Model '!D25</f>
        <v>0</v>
      </c>
      <c r="E25" s="126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42">
        <v>7</v>
      </c>
      <c r="I25" s="222">
        <f t="shared" si="0"/>
        <v>6625693.1792980973</v>
      </c>
      <c r="J25" s="36">
        <f t="shared" si="1"/>
        <v>-2033642.8207019027</v>
      </c>
      <c r="K25" s="5">
        <f t="shared" si="2"/>
        <v>-0.23484974144690801</v>
      </c>
      <c r="M25"/>
      <c r="N25"/>
      <c r="O25"/>
      <c r="P25"/>
      <c r="Q25"/>
    </row>
    <row r="26" spans="1:21" x14ac:dyDescent="0.2">
      <c r="A26" s="3">
        <v>38322</v>
      </c>
      <c r="B26" s="59">
        <v>6217492</v>
      </c>
      <c r="C26" s="215">
        <f>+'Purchased Power Model '!C26</f>
        <v>627.5</v>
      </c>
      <c r="D26" s="215">
        <f>+'Purchased Power Model '!D26</f>
        <v>0</v>
      </c>
      <c r="E26" s="126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42">
        <v>7</v>
      </c>
      <c r="I26" s="222">
        <f t="shared" si="0"/>
        <v>6565717.4791321252</v>
      </c>
      <c r="J26" s="36">
        <f t="shared" si="1"/>
        <v>348225.47913212515</v>
      </c>
      <c r="K26" s="5">
        <f t="shared" si="2"/>
        <v>5.6007386761756213E-2</v>
      </c>
      <c r="M26"/>
      <c r="N26"/>
      <c r="O26"/>
      <c r="P26"/>
      <c r="Q26"/>
    </row>
    <row r="27" spans="1:21" x14ac:dyDescent="0.2">
      <c r="A27" s="3">
        <v>38353</v>
      </c>
      <c r="B27" s="59">
        <v>6020518</v>
      </c>
      <c r="C27" s="215">
        <f>+'Purchased Power Model '!C27</f>
        <v>745.5</v>
      </c>
      <c r="D27" s="215">
        <f>+'Purchased Power Model '!D27</f>
        <v>0</v>
      </c>
      <c r="E27" s="126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42">
        <v>7</v>
      </c>
      <c r="I27" s="222">
        <f t="shared" si="0"/>
        <v>6132004.6025128104</v>
      </c>
      <c r="J27" s="36">
        <f t="shared" si="1"/>
        <v>111486.60251281038</v>
      </c>
      <c r="K27" s="5">
        <f t="shared" si="2"/>
        <v>1.8517775798163941E-2</v>
      </c>
      <c r="M27"/>
      <c r="N27"/>
      <c r="O27"/>
      <c r="P27"/>
      <c r="Q27"/>
    </row>
    <row r="28" spans="1:21" x14ac:dyDescent="0.2">
      <c r="A28" s="3">
        <v>38384</v>
      </c>
      <c r="B28" s="59">
        <v>5932546</v>
      </c>
      <c r="C28" s="215">
        <f>+'Purchased Power Model '!C28</f>
        <v>589.5</v>
      </c>
      <c r="D28" s="215">
        <f>+'Purchased Power Model '!D28</f>
        <v>0</v>
      </c>
      <c r="E28" s="126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42">
        <v>7</v>
      </c>
      <c r="I28" s="222">
        <f t="shared" si="0"/>
        <v>7212713.4078338593</v>
      </c>
      <c r="J28" s="36">
        <f t="shared" si="1"/>
        <v>1280167.4078338593</v>
      </c>
      <c r="K28" s="5">
        <f t="shared" si="2"/>
        <v>0.21578718611433595</v>
      </c>
    </row>
    <row r="29" spans="1:21" x14ac:dyDescent="0.2">
      <c r="A29" s="3">
        <v>38412</v>
      </c>
      <c r="B29" s="59">
        <v>5206627</v>
      </c>
      <c r="C29" s="215">
        <f>+'Purchased Power Model '!C29</f>
        <v>578.29999999999995</v>
      </c>
      <c r="D29" s="215">
        <f>+'Purchased Power Model '!D29</f>
        <v>0</v>
      </c>
      <c r="E29" s="126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42">
        <v>7</v>
      </c>
      <c r="I29" s="222">
        <f t="shared" si="0"/>
        <v>5762570.6089003095</v>
      </c>
      <c r="J29" s="36">
        <f t="shared" si="1"/>
        <v>555943.60890030954</v>
      </c>
      <c r="K29" s="5">
        <f t="shared" si="2"/>
        <v>0.10677615448548734</v>
      </c>
    </row>
    <row r="30" spans="1:21" x14ac:dyDescent="0.2">
      <c r="A30" s="3">
        <v>38443</v>
      </c>
      <c r="B30" s="59">
        <v>5609943</v>
      </c>
      <c r="C30" s="215">
        <f>+'Purchased Power Model '!C30</f>
        <v>325.3</v>
      </c>
      <c r="D30" s="215">
        <f>+'Purchased Power Model '!D30</f>
        <v>0</v>
      </c>
      <c r="E30" s="126">
        <f>+'Purchased Power Model '!E30</f>
        <v>6.4000000000000001E-2</v>
      </c>
      <c r="F30" s="57">
        <f>+'Purchased Power Model '!F30</f>
        <v>30</v>
      </c>
      <c r="G30" s="57">
        <f>+'Purchased Power Model '!G30</f>
        <v>1</v>
      </c>
      <c r="H30" s="42">
        <v>7</v>
      </c>
      <c r="I30" s="222">
        <f t="shared" si="0"/>
        <v>6779474.3661998939</v>
      </c>
      <c r="J30" s="36">
        <f t="shared" si="1"/>
        <v>1169531.3661998939</v>
      </c>
      <c r="K30" s="5">
        <f t="shared" si="2"/>
        <v>0.20847473248835038</v>
      </c>
    </row>
    <row r="31" spans="1:21" x14ac:dyDescent="0.2">
      <c r="A31" s="3">
        <v>38473</v>
      </c>
      <c r="B31" s="59">
        <v>5261262</v>
      </c>
      <c r="C31" s="215">
        <f>+'Purchased Power Model '!C31</f>
        <v>216.1</v>
      </c>
      <c r="D31" s="215">
        <f>+'Purchased Power Model '!D31</f>
        <v>0.3</v>
      </c>
      <c r="E31" s="126">
        <f>+'Purchased Power Model '!E31</f>
        <v>6.4000000000000001E-2</v>
      </c>
      <c r="F31" s="57">
        <f>+'Purchased Power Model '!F31</f>
        <v>31</v>
      </c>
      <c r="G31" s="57">
        <f>+'Purchased Power Model '!G31</f>
        <v>1</v>
      </c>
      <c r="H31" s="42">
        <v>7</v>
      </c>
      <c r="I31" s="222">
        <f t="shared" si="0"/>
        <v>6908928.1016431311</v>
      </c>
      <c r="J31" s="36">
        <f t="shared" si="1"/>
        <v>1647666.1016431311</v>
      </c>
      <c r="K31" s="5">
        <f t="shared" si="2"/>
        <v>0.31316936918236177</v>
      </c>
    </row>
    <row r="32" spans="1:21" x14ac:dyDescent="0.2">
      <c r="A32" s="3">
        <v>38504</v>
      </c>
      <c r="B32" s="59">
        <v>5408132</v>
      </c>
      <c r="C32" s="215">
        <f>+'Purchased Power Model '!C32</f>
        <v>13.7</v>
      </c>
      <c r="D32" s="215">
        <f>+'Purchased Power Model '!D32</f>
        <v>89.9</v>
      </c>
      <c r="E32" s="126">
        <f>+'Purchased Power Model '!E32</f>
        <v>6.4000000000000001E-2</v>
      </c>
      <c r="F32" s="57">
        <f>+'Purchased Power Model '!F32</f>
        <v>30</v>
      </c>
      <c r="G32" s="57">
        <f>+'Purchased Power Model '!G32</f>
        <v>0</v>
      </c>
      <c r="H32" s="42">
        <v>7</v>
      </c>
      <c r="I32" s="222">
        <f t="shared" si="0"/>
        <v>7503754.9847343555</v>
      </c>
      <c r="J32" s="36">
        <f t="shared" si="1"/>
        <v>2095622.9847343555</v>
      </c>
      <c r="K32" s="5">
        <f t="shared" si="2"/>
        <v>0.38749479205284848</v>
      </c>
    </row>
    <row r="33" spans="1:11" x14ac:dyDescent="0.2">
      <c r="A33" s="3">
        <v>38534</v>
      </c>
      <c r="B33" s="59">
        <v>6003912</v>
      </c>
      <c r="C33" s="215">
        <f>+'Purchased Power Model '!C33</f>
        <v>2.2000000000000002</v>
      </c>
      <c r="D33" s="215">
        <f>+'Purchased Power Model '!D33</f>
        <v>153</v>
      </c>
      <c r="E33" s="126">
        <f>+'Purchased Power Model '!E33</f>
        <v>5.7999999999999996E-2</v>
      </c>
      <c r="F33" s="57">
        <f>+'Purchased Power Model '!F33</f>
        <v>31</v>
      </c>
      <c r="G33" s="57">
        <f>+'Purchased Power Model '!G33</f>
        <v>0</v>
      </c>
      <c r="H33" s="42">
        <v>7</v>
      </c>
      <c r="I33" s="222">
        <f t="shared" si="0"/>
        <v>6589411.449415056</v>
      </c>
      <c r="J33" s="36">
        <f t="shared" si="1"/>
        <v>585499.44941505603</v>
      </c>
      <c r="K33" s="5">
        <f t="shared" si="2"/>
        <v>9.7519658751669916E-2</v>
      </c>
    </row>
    <row r="34" spans="1:11" x14ac:dyDescent="0.2">
      <c r="A34" s="3">
        <v>38565</v>
      </c>
      <c r="B34" s="59">
        <v>4771393</v>
      </c>
      <c r="C34" s="215">
        <f>+'Purchased Power Model '!C34</f>
        <v>0</v>
      </c>
      <c r="D34" s="215">
        <f>+'Purchased Power Model '!D34</f>
        <v>108</v>
      </c>
      <c r="E34" s="126">
        <f>+'Purchased Power Model '!E34</f>
        <v>5.7999999999999996E-2</v>
      </c>
      <c r="F34" s="57">
        <f>+'Purchased Power Model '!F34</f>
        <v>31</v>
      </c>
      <c r="G34" s="57">
        <f>+'Purchased Power Model '!G34</f>
        <v>0</v>
      </c>
      <c r="H34" s="42">
        <v>7</v>
      </c>
      <c r="I34" s="222">
        <f t="shared" si="0"/>
        <v>7152088.1328750141</v>
      </c>
      <c r="J34" s="36">
        <f t="shared" si="1"/>
        <v>2380695.1328750141</v>
      </c>
      <c r="K34" s="5">
        <f t="shared" si="2"/>
        <v>0.4989518014707684</v>
      </c>
    </row>
    <row r="35" spans="1:11" x14ac:dyDescent="0.2">
      <c r="A35" s="3">
        <v>38596</v>
      </c>
      <c r="B35" s="59">
        <v>4712005</v>
      </c>
      <c r="C35" s="215">
        <f>+'Purchased Power Model '!C35</f>
        <v>36.700000000000003</v>
      </c>
      <c r="D35" s="215">
        <f>+'Purchased Power Model '!D35</f>
        <v>32.799999999999997</v>
      </c>
      <c r="E35" s="126">
        <f>+'Purchased Power Model '!E35</f>
        <v>5.7999999999999996E-2</v>
      </c>
      <c r="F35" s="57">
        <f>+'Purchased Power Model '!F35</f>
        <v>30</v>
      </c>
      <c r="G35" s="57">
        <f>+'Purchased Power Model '!G35</f>
        <v>1</v>
      </c>
      <c r="H35" s="42">
        <v>8</v>
      </c>
      <c r="I35" s="222">
        <f t="shared" si="0"/>
        <v>7288681.6034794338</v>
      </c>
      <c r="J35" s="36">
        <f t="shared" si="1"/>
        <v>2576676.6034794338</v>
      </c>
      <c r="K35" s="5">
        <f t="shared" si="2"/>
        <v>0.54683231522025844</v>
      </c>
    </row>
    <row r="36" spans="1:11" x14ac:dyDescent="0.2">
      <c r="A36" s="3">
        <v>38626</v>
      </c>
      <c r="B36" s="59">
        <v>6089306</v>
      </c>
      <c r="C36" s="215">
        <f>+'Purchased Power Model '!C36</f>
        <v>223.8</v>
      </c>
      <c r="D36" s="215">
        <f>+'Purchased Power Model '!D36</f>
        <v>0.5</v>
      </c>
      <c r="E36" s="126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42">
        <v>8</v>
      </c>
      <c r="I36" s="222">
        <f t="shared" si="0"/>
        <v>6867344.6152353669</v>
      </c>
      <c r="J36" s="36">
        <f t="shared" si="1"/>
        <v>778038.61523536686</v>
      </c>
      <c r="K36" s="5">
        <f t="shared" si="2"/>
        <v>0.12777131174478124</v>
      </c>
    </row>
    <row r="37" spans="1:11" x14ac:dyDescent="0.2">
      <c r="A37" s="3">
        <v>38657</v>
      </c>
      <c r="B37" s="59">
        <v>5939258</v>
      </c>
      <c r="C37" s="215">
        <f>+'Purchased Power Model '!C37</f>
        <v>398.5</v>
      </c>
      <c r="D37" s="215">
        <f>+'Purchased Power Model '!D37</f>
        <v>0</v>
      </c>
      <c r="E37" s="126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42">
        <v>8</v>
      </c>
      <c r="I37" s="222">
        <f t="shared" si="0"/>
        <v>6539881.2348737177</v>
      </c>
      <c r="J37" s="36">
        <f t="shared" si="1"/>
        <v>600623.23487371765</v>
      </c>
      <c r="K37" s="5">
        <f t="shared" si="2"/>
        <v>0.101127655150478</v>
      </c>
    </row>
    <row r="38" spans="1:11" x14ac:dyDescent="0.2">
      <c r="A38" s="3">
        <v>38687</v>
      </c>
      <c r="B38" s="59">
        <v>6062059</v>
      </c>
      <c r="C38" s="215">
        <f>+'Purchased Power Model '!C38</f>
        <v>641.1</v>
      </c>
      <c r="D38" s="215">
        <f>+'Purchased Power Model '!D38</f>
        <v>0</v>
      </c>
      <c r="E38" s="126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42">
        <v>8</v>
      </c>
      <c r="I38" s="222">
        <f t="shared" si="0"/>
        <v>6477456.9178816173</v>
      </c>
      <c r="J38" s="36">
        <f t="shared" si="1"/>
        <v>415397.91788161732</v>
      </c>
      <c r="K38" s="5">
        <f t="shared" si="2"/>
        <v>6.852422879447681E-2</v>
      </c>
    </row>
    <row r="39" spans="1:11" x14ac:dyDescent="0.2">
      <c r="A39" s="3">
        <v>38718</v>
      </c>
      <c r="B39" s="60">
        <v>6150389</v>
      </c>
      <c r="C39" s="215">
        <f>+'Purchased Power Model '!C39</f>
        <v>558.20000000000005</v>
      </c>
      <c r="D39" s="215">
        <f>+'Purchased Power Model '!D39</f>
        <v>0</v>
      </c>
      <c r="E39" s="126">
        <f>+'Purchased Power Model '!E39</f>
        <v>6.6000000000000003E-2</v>
      </c>
      <c r="F39" s="57">
        <f>+'Purchased Power Model '!F39</f>
        <v>31</v>
      </c>
      <c r="G39" s="57">
        <f>+'Purchased Power Model '!G39</f>
        <v>0</v>
      </c>
      <c r="H39" s="42">
        <v>8</v>
      </c>
      <c r="I39" s="222">
        <f t="shared" si="0"/>
        <v>6736376.4004009701</v>
      </c>
      <c r="J39" s="36">
        <f t="shared" si="1"/>
        <v>585987.40040097013</v>
      </c>
      <c r="K39" s="5">
        <f t="shared" si="2"/>
        <v>9.5276477699373183E-2</v>
      </c>
    </row>
    <row r="40" spans="1:11" x14ac:dyDescent="0.2">
      <c r="A40" s="3">
        <v>38749</v>
      </c>
      <c r="B40" s="60">
        <v>7134398</v>
      </c>
      <c r="C40" s="215">
        <f>+'Purchased Power Model '!C40</f>
        <v>608.79999999999995</v>
      </c>
      <c r="D40" s="215">
        <f>+'Purchased Power Model '!D40</f>
        <v>0</v>
      </c>
      <c r="E40" s="126">
        <f>+'Purchased Power Model '!E40</f>
        <v>6.6000000000000003E-2</v>
      </c>
      <c r="F40" s="57">
        <f>+'Purchased Power Model '!F40</f>
        <v>28</v>
      </c>
      <c r="G40" s="57">
        <f>+'Purchased Power Model '!G40</f>
        <v>0</v>
      </c>
      <c r="H40" s="42">
        <v>9</v>
      </c>
      <c r="I40" s="222">
        <f t="shared" si="0"/>
        <v>7184729.9103744011</v>
      </c>
      <c r="J40" s="36">
        <f t="shared" si="1"/>
        <v>50331.910374401137</v>
      </c>
      <c r="K40" s="5">
        <f t="shared" si="2"/>
        <v>7.0548223374139116E-3</v>
      </c>
    </row>
    <row r="41" spans="1:11" x14ac:dyDescent="0.2">
      <c r="A41" s="3">
        <v>38777</v>
      </c>
      <c r="B41" s="60">
        <v>6002687</v>
      </c>
      <c r="C41" s="215">
        <f>+'Purchased Power Model '!C41</f>
        <v>534</v>
      </c>
      <c r="D41" s="215">
        <f>+'Purchased Power Model '!D41</f>
        <v>0</v>
      </c>
      <c r="E41" s="126">
        <f>+'Purchased Power Model '!E41</f>
        <v>6.6000000000000003E-2</v>
      </c>
      <c r="F41" s="57">
        <f>+'Purchased Power Model '!F41</f>
        <v>31</v>
      </c>
      <c r="G41" s="57">
        <f>+'Purchased Power Model '!G41</f>
        <v>1</v>
      </c>
      <c r="H41" s="42">
        <v>9</v>
      </c>
      <c r="I41" s="222">
        <f t="shared" si="0"/>
        <v>5929252.1491180463</v>
      </c>
      <c r="J41" s="36">
        <f t="shared" si="1"/>
        <v>-73434.850881953724</v>
      </c>
      <c r="K41" s="5">
        <f t="shared" si="2"/>
        <v>-1.2233663171501983E-2</v>
      </c>
    </row>
    <row r="42" spans="1:11" x14ac:dyDescent="0.2">
      <c r="A42" s="3">
        <v>38808</v>
      </c>
      <c r="B42" s="60">
        <v>6280632</v>
      </c>
      <c r="C42" s="215">
        <f>+'Purchased Power Model '!C42</f>
        <v>323.60000000000002</v>
      </c>
      <c r="D42" s="215">
        <f>+'Purchased Power Model '!D42</f>
        <v>0</v>
      </c>
      <c r="E42" s="126">
        <f>+'Purchased Power Model '!E42</f>
        <v>6.5000000000000002E-2</v>
      </c>
      <c r="F42" s="57">
        <f>+'Purchased Power Model '!F42</f>
        <v>30</v>
      </c>
      <c r="G42" s="57">
        <f>+'Purchased Power Model '!G42</f>
        <v>1</v>
      </c>
      <c r="H42" s="42">
        <v>9</v>
      </c>
      <c r="I42" s="222">
        <f t="shared" si="0"/>
        <v>6779496.1130436026</v>
      </c>
      <c r="J42" s="36">
        <f t="shared" si="1"/>
        <v>498864.11304360256</v>
      </c>
      <c r="K42" s="5">
        <f t="shared" si="2"/>
        <v>7.9428967187315319E-2</v>
      </c>
    </row>
    <row r="43" spans="1:11" x14ac:dyDescent="0.2">
      <c r="A43" s="3">
        <v>38838</v>
      </c>
      <c r="B43" s="60">
        <v>6707382</v>
      </c>
      <c r="C43" s="215">
        <f>+'Purchased Power Model '!C43</f>
        <v>172.6</v>
      </c>
      <c r="D43" s="215">
        <f>+'Purchased Power Model '!D43</f>
        <v>12.8</v>
      </c>
      <c r="E43" s="126">
        <f>+'Purchased Power Model '!E43</f>
        <v>6.5000000000000002E-2</v>
      </c>
      <c r="F43" s="57">
        <f>+'Purchased Power Model '!F43</f>
        <v>31</v>
      </c>
      <c r="G43" s="57">
        <f>+'Purchased Power Model '!G43</f>
        <v>1</v>
      </c>
      <c r="H43" s="42">
        <v>9</v>
      </c>
      <c r="I43" s="222">
        <f t="shared" si="0"/>
        <v>6882461.4700997891</v>
      </c>
      <c r="J43" s="36">
        <f t="shared" si="1"/>
        <v>175079.47009978909</v>
      </c>
      <c r="K43" s="5">
        <f t="shared" si="2"/>
        <v>2.6102504688086812E-2</v>
      </c>
    </row>
    <row r="44" spans="1:11" x14ac:dyDescent="0.2">
      <c r="A44" s="3">
        <v>38869</v>
      </c>
      <c r="B44" s="60">
        <v>7015587</v>
      </c>
      <c r="C44" s="215">
        <f>+'Purchased Power Model '!C44</f>
        <v>22.6</v>
      </c>
      <c r="D44" s="215">
        <f>+'Purchased Power Model '!D44</f>
        <v>36.200000000000003</v>
      </c>
      <c r="E44" s="126">
        <f>+'Purchased Power Model '!E44</f>
        <v>6.5000000000000002E-2</v>
      </c>
      <c r="F44" s="57">
        <f>+'Purchased Power Model '!F44</f>
        <v>30</v>
      </c>
      <c r="G44" s="57">
        <f>+'Purchased Power Model '!G44</f>
        <v>0</v>
      </c>
      <c r="H44" s="42">
        <v>9</v>
      </c>
      <c r="I44" s="222">
        <f t="shared" si="0"/>
        <v>8134757.8566763354</v>
      </c>
      <c r="J44" s="36">
        <f t="shared" si="1"/>
        <v>1119170.8566763354</v>
      </c>
      <c r="K44" s="5">
        <f t="shared" si="2"/>
        <v>0.15952633139270248</v>
      </c>
    </row>
    <row r="45" spans="1:11" x14ac:dyDescent="0.2">
      <c r="A45" s="3">
        <v>38899</v>
      </c>
      <c r="B45" s="60">
        <v>7531984</v>
      </c>
      <c r="C45" s="215">
        <f>+'Purchased Power Model '!C45</f>
        <v>1.7</v>
      </c>
      <c r="D45" s="215">
        <f>+'Purchased Power Model '!D45</f>
        <v>107.6</v>
      </c>
      <c r="E45" s="126">
        <f>+'Purchased Power Model '!E45</f>
        <v>6.7000000000000004E-2</v>
      </c>
      <c r="F45" s="57">
        <f>+'Purchased Power Model '!F45</f>
        <v>31</v>
      </c>
      <c r="G45" s="57">
        <f>+'Purchased Power Model '!G45</f>
        <v>0</v>
      </c>
      <c r="H45" s="42">
        <v>9</v>
      </c>
      <c r="I45" s="222">
        <f t="shared" si="0"/>
        <v>7105192.4623548351</v>
      </c>
      <c r="J45" s="36">
        <f t="shared" si="1"/>
        <v>-426791.53764516488</v>
      </c>
      <c r="K45" s="5">
        <f t="shared" si="2"/>
        <v>-5.6663893290952935E-2</v>
      </c>
    </row>
    <row r="46" spans="1:11" x14ac:dyDescent="0.2">
      <c r="A46" s="3">
        <v>38930</v>
      </c>
      <c r="B46" s="60">
        <v>8281927</v>
      </c>
      <c r="C46" s="215">
        <f>+'Purchased Power Model '!C46</f>
        <v>4.4000000000000004</v>
      </c>
      <c r="D46" s="215">
        <f>+'Purchased Power Model '!D46</f>
        <v>82.1</v>
      </c>
      <c r="E46" s="126">
        <f>+'Purchased Power Model '!E46</f>
        <v>6.7000000000000004E-2</v>
      </c>
      <c r="F46" s="57">
        <f>+'Purchased Power Model '!F46</f>
        <v>31</v>
      </c>
      <c r="G46" s="57">
        <f>+'Purchased Power Model '!G46</f>
        <v>0</v>
      </c>
      <c r="H46" s="42">
        <v>9</v>
      </c>
      <c r="I46" s="222">
        <f t="shared" si="0"/>
        <v>7411962.7399732452</v>
      </c>
      <c r="J46" s="36">
        <f t="shared" si="1"/>
        <v>-869964.26002675481</v>
      </c>
      <c r="K46" s="5">
        <f t="shared" si="2"/>
        <v>-0.10504370058161039</v>
      </c>
    </row>
    <row r="47" spans="1:11" x14ac:dyDescent="0.2">
      <c r="A47" s="3">
        <v>38961</v>
      </c>
      <c r="B47" s="60">
        <v>7868182</v>
      </c>
      <c r="C47" s="215">
        <f>+'Purchased Power Model '!C47</f>
        <v>70.7</v>
      </c>
      <c r="D47" s="215">
        <f>+'Purchased Power Model '!D47</f>
        <v>5.0999999999999996</v>
      </c>
      <c r="E47" s="126">
        <f>+'Purchased Power Model '!E47</f>
        <v>6.7000000000000004E-2</v>
      </c>
      <c r="F47" s="57">
        <f>+'Purchased Power Model '!F47</f>
        <v>30</v>
      </c>
      <c r="G47" s="57">
        <f>+'Purchased Power Model '!G47</f>
        <v>1</v>
      </c>
      <c r="H47" s="42">
        <v>10</v>
      </c>
      <c r="I47" s="222">
        <f t="shared" si="0"/>
        <v>7480195.1074984446</v>
      </c>
      <c r="J47" s="36">
        <f t="shared" si="1"/>
        <v>-387986.89250155538</v>
      </c>
      <c r="K47" s="5">
        <f t="shared" si="2"/>
        <v>-4.931086908024692E-2</v>
      </c>
    </row>
    <row r="48" spans="1:11" x14ac:dyDescent="0.2">
      <c r="A48" s="3">
        <v>38991</v>
      </c>
      <c r="B48" s="60">
        <v>7173982</v>
      </c>
      <c r="C48" s="215">
        <f>+'Purchased Power Model '!C48</f>
        <v>274.60000000000002</v>
      </c>
      <c r="D48" s="215">
        <f>+'Purchased Power Model '!D48</f>
        <v>0</v>
      </c>
      <c r="E48" s="126">
        <f>+'Purchased Power Model '!E48</f>
        <v>6.8000000000000005E-2</v>
      </c>
      <c r="F48" s="57">
        <f>+'Purchased Power Model '!F48</f>
        <v>31</v>
      </c>
      <c r="G48" s="57">
        <f>+'Purchased Power Model '!G48</f>
        <v>1</v>
      </c>
      <c r="H48" s="42">
        <v>9</v>
      </c>
      <c r="I48" s="222">
        <f t="shared" si="0"/>
        <v>6712853.0271664998</v>
      </c>
      <c r="J48" s="36">
        <f t="shared" si="1"/>
        <v>-461128.97283350024</v>
      </c>
      <c r="K48" s="5">
        <f t="shared" si="2"/>
        <v>-6.4277966244339652E-2</v>
      </c>
    </row>
    <row r="49" spans="1:11" x14ac:dyDescent="0.2">
      <c r="A49" s="3">
        <v>39022</v>
      </c>
      <c r="B49" s="60">
        <v>2527936</v>
      </c>
      <c r="C49" s="215">
        <f>+'Purchased Power Model '!C49</f>
        <v>367.5</v>
      </c>
      <c r="D49" s="215">
        <f>+'Purchased Power Model '!D49</f>
        <v>0</v>
      </c>
      <c r="E49" s="126">
        <f>+'Purchased Power Model '!E49</f>
        <v>6.8000000000000005E-2</v>
      </c>
      <c r="F49" s="57">
        <f>+'Purchased Power Model '!F49</f>
        <v>30</v>
      </c>
      <c r="G49" s="57">
        <f>+'Purchased Power Model '!G49</f>
        <v>1</v>
      </c>
      <c r="H49" s="42">
        <v>9</v>
      </c>
      <c r="I49" s="222">
        <f t="shared" si="0"/>
        <v>6629583.5729743727</v>
      </c>
      <c r="J49" s="36">
        <f t="shared" si="1"/>
        <v>4101647.5729743727</v>
      </c>
      <c r="K49" s="5">
        <f t="shared" si="2"/>
        <v>1.6225282495183315</v>
      </c>
    </row>
    <row r="50" spans="1:11" x14ac:dyDescent="0.2">
      <c r="A50" s="3">
        <v>39052</v>
      </c>
      <c r="B50" s="60">
        <v>7843678</v>
      </c>
      <c r="C50" s="215">
        <f>+'Purchased Power Model '!C50</f>
        <v>471.5</v>
      </c>
      <c r="D50" s="215">
        <f>+'Purchased Power Model '!D50</f>
        <v>0</v>
      </c>
      <c r="E50" s="126">
        <f>+'Purchased Power Model '!E50</f>
        <v>6.8000000000000005E-2</v>
      </c>
      <c r="F50" s="57">
        <f>+'Purchased Power Model '!F50</f>
        <v>31</v>
      </c>
      <c r="G50" s="57">
        <f>+'Purchased Power Model '!G50</f>
        <v>0</v>
      </c>
      <c r="H50" s="42">
        <v>9</v>
      </c>
      <c r="I50" s="222">
        <f t="shared" si="0"/>
        <v>6991382.1211089902</v>
      </c>
      <c r="J50" s="36">
        <f t="shared" si="1"/>
        <v>-852295.87889100984</v>
      </c>
      <c r="K50" s="5">
        <f t="shared" si="2"/>
        <v>-0.10866023297884103</v>
      </c>
    </row>
    <row r="51" spans="1:11" x14ac:dyDescent="0.2">
      <c r="A51" s="3">
        <v>39083</v>
      </c>
      <c r="B51" s="60">
        <v>11402139</v>
      </c>
      <c r="C51" s="215">
        <f>+'Purchased Power Model '!C51</f>
        <v>573.1</v>
      </c>
      <c r="D51" s="215">
        <f>+'Purchased Power Model '!D51</f>
        <v>0</v>
      </c>
      <c r="E51" s="126">
        <f>+'Purchased Power Model '!E51</f>
        <v>6.0999999999999999E-2</v>
      </c>
      <c r="F51" s="57">
        <f>+'Purchased Power Model '!F51</f>
        <v>31</v>
      </c>
      <c r="G51" s="57">
        <f>+'Purchased Power Model '!G51</f>
        <v>0</v>
      </c>
      <c r="H51" s="42">
        <v>9</v>
      </c>
      <c r="I51" s="222">
        <f t="shared" si="0"/>
        <v>6716678.7315734029</v>
      </c>
      <c r="J51" s="36">
        <f t="shared" si="1"/>
        <v>-4685460.2684265971</v>
      </c>
      <c r="K51" s="5">
        <f t="shared" si="2"/>
        <v>-0.41092818360016459</v>
      </c>
    </row>
    <row r="52" spans="1:11" x14ac:dyDescent="0.2">
      <c r="A52" s="3">
        <v>39114</v>
      </c>
      <c r="B52" s="60">
        <v>7839057</v>
      </c>
      <c r="C52" s="215">
        <f>+'Purchased Power Model '!C52</f>
        <v>693.5</v>
      </c>
      <c r="D52" s="215">
        <f>+'Purchased Power Model '!D52</f>
        <v>0</v>
      </c>
      <c r="E52" s="126">
        <f>+'Purchased Power Model '!E52</f>
        <v>6.0999999999999999E-2</v>
      </c>
      <c r="F52" s="57">
        <f>+'Purchased Power Model '!F52</f>
        <v>28</v>
      </c>
      <c r="G52" s="57">
        <f>+'Purchased Power Model '!G52</f>
        <v>0</v>
      </c>
      <c r="H52" s="42">
        <v>9</v>
      </c>
      <c r="I52" s="222">
        <f t="shared" si="0"/>
        <v>6951390.4234671444</v>
      </c>
      <c r="J52" s="36">
        <f t="shared" si="1"/>
        <v>-887666.57653285563</v>
      </c>
      <c r="K52" s="5">
        <f t="shared" si="2"/>
        <v>-0.11323639776223794</v>
      </c>
    </row>
    <row r="53" spans="1:11" x14ac:dyDescent="0.2">
      <c r="A53" s="3">
        <v>39142</v>
      </c>
      <c r="B53" s="60">
        <v>7255977</v>
      </c>
      <c r="C53" s="215">
        <f>+'Purchased Power Model '!C53</f>
        <v>477.9</v>
      </c>
      <c r="D53" s="215">
        <f>+'Purchased Power Model '!D53</f>
        <v>0</v>
      </c>
      <c r="E53" s="126">
        <f>+'Purchased Power Model '!E53</f>
        <v>6.0999999999999999E-2</v>
      </c>
      <c r="F53" s="57">
        <f>+'Purchased Power Model '!F53</f>
        <v>31</v>
      </c>
      <c r="G53" s="57">
        <f>+'Purchased Power Model '!G53</f>
        <v>1</v>
      </c>
      <c r="H53" s="42">
        <v>9</v>
      </c>
      <c r="I53" s="222">
        <f t="shared" si="0"/>
        <v>6126869.2236093609</v>
      </c>
      <c r="J53" s="36">
        <f t="shared" si="1"/>
        <v>-1129107.7763906391</v>
      </c>
      <c r="K53" s="5">
        <f t="shared" si="2"/>
        <v>-0.15561071601944701</v>
      </c>
    </row>
    <row r="54" spans="1:11" x14ac:dyDescent="0.2">
      <c r="A54" s="3">
        <v>39173</v>
      </c>
      <c r="B54" s="60">
        <v>8929951</v>
      </c>
      <c r="C54" s="215">
        <f>+'Purchased Power Model '!C54</f>
        <v>280.39999999999998</v>
      </c>
      <c r="D54" s="215">
        <f>+'Purchased Power Model '!D54</f>
        <v>0</v>
      </c>
      <c r="E54" s="126">
        <f>+'Purchased Power Model '!E54</f>
        <v>0.06</v>
      </c>
      <c r="F54" s="57">
        <f>+'Purchased Power Model '!F54</f>
        <v>30</v>
      </c>
      <c r="G54" s="57">
        <f>+'Purchased Power Model '!G54</f>
        <v>1</v>
      </c>
      <c r="H54" s="42">
        <v>9</v>
      </c>
      <c r="I54" s="222">
        <f t="shared" si="0"/>
        <v>6937629.2412135974</v>
      </c>
      <c r="J54" s="36">
        <f t="shared" si="1"/>
        <v>-1992321.7587864026</v>
      </c>
      <c r="K54" s="5">
        <f t="shared" si="2"/>
        <v>-0.22310556449709551</v>
      </c>
    </row>
    <row r="55" spans="1:11" x14ac:dyDescent="0.2">
      <c r="A55" s="3">
        <v>39203</v>
      </c>
      <c r="B55" s="60">
        <v>7508485</v>
      </c>
      <c r="C55" s="215">
        <f>+'Purchased Power Model '!C55</f>
        <v>72.8</v>
      </c>
      <c r="D55" s="215">
        <f>+'Purchased Power Model '!D55</f>
        <v>4.5</v>
      </c>
      <c r="E55" s="126">
        <f>+'Purchased Power Model '!E55</f>
        <v>0.06</v>
      </c>
      <c r="F55" s="57">
        <f>+'Purchased Power Model '!F55</f>
        <v>31</v>
      </c>
      <c r="G55" s="57">
        <f>+'Purchased Power Model '!G55</f>
        <v>1</v>
      </c>
      <c r="H55" s="42">
        <v>9</v>
      </c>
      <c r="I55" s="222">
        <f t="shared" si="0"/>
        <v>7316374.8341330523</v>
      </c>
      <c r="J55" s="36">
        <f t="shared" si="1"/>
        <v>-192110.16586694773</v>
      </c>
      <c r="K55" s="5">
        <f t="shared" si="2"/>
        <v>-2.5585742778596179E-2</v>
      </c>
    </row>
    <row r="56" spans="1:11" x14ac:dyDescent="0.2">
      <c r="A56" s="3">
        <v>39234</v>
      </c>
      <c r="B56" s="60">
        <v>8191968</v>
      </c>
      <c r="C56" s="215">
        <f>+'Purchased Power Model '!C56</f>
        <v>6.2</v>
      </c>
      <c r="D56" s="215">
        <f>+'Purchased Power Model '!D56</f>
        <v>32.799999999999997</v>
      </c>
      <c r="E56" s="126">
        <f>+'Purchased Power Model '!E56</f>
        <v>0.06</v>
      </c>
      <c r="F56" s="57">
        <f>+'Purchased Power Model '!F56</f>
        <v>30</v>
      </c>
      <c r="G56" s="57">
        <f>+'Purchased Power Model '!G56</f>
        <v>0</v>
      </c>
      <c r="H56" s="42">
        <v>9</v>
      </c>
      <c r="I56" s="222">
        <f t="shared" si="0"/>
        <v>8252866.9024252472</v>
      </c>
      <c r="J56" s="36">
        <f t="shared" si="1"/>
        <v>60898.902425247245</v>
      </c>
      <c r="K56" s="5">
        <f t="shared" si="2"/>
        <v>7.4339770889299429E-3</v>
      </c>
    </row>
    <row r="57" spans="1:11" x14ac:dyDescent="0.2">
      <c r="A57" s="3">
        <v>39264</v>
      </c>
      <c r="B57" s="60">
        <v>8759508</v>
      </c>
      <c r="C57" s="215">
        <f>+'Purchased Power Model '!C57</f>
        <v>8.6999999999999993</v>
      </c>
      <c r="D57" s="215">
        <f>+'Purchased Power Model '!D57</f>
        <v>41.6</v>
      </c>
      <c r="E57" s="126">
        <f>+'Purchased Power Model '!E57</f>
        <v>6.5000000000000002E-2</v>
      </c>
      <c r="F57" s="57">
        <f>+'Purchased Power Model '!F57</f>
        <v>31</v>
      </c>
      <c r="G57" s="57">
        <f>+'Purchased Power Model '!G57</f>
        <v>0</v>
      </c>
      <c r="H57" s="42">
        <v>9</v>
      </c>
      <c r="I57" s="222">
        <f t="shared" si="0"/>
        <v>7909513.2408257276</v>
      </c>
      <c r="J57" s="36">
        <f t="shared" si="1"/>
        <v>-849994.75917427242</v>
      </c>
      <c r="K57" s="5">
        <f t="shared" si="2"/>
        <v>-9.7036815215451877E-2</v>
      </c>
    </row>
    <row r="58" spans="1:11" x14ac:dyDescent="0.2">
      <c r="A58" s="3">
        <v>39295</v>
      </c>
      <c r="B58" s="60">
        <v>8784825</v>
      </c>
      <c r="C58" s="215">
        <f>+'Purchased Power Model '!C58</f>
        <v>4</v>
      </c>
      <c r="D58" s="215">
        <f>+'Purchased Power Model '!D58</f>
        <v>87.8</v>
      </c>
      <c r="E58" s="126">
        <f>+'Purchased Power Model '!E58</f>
        <v>6.5000000000000002E-2</v>
      </c>
      <c r="F58" s="57">
        <f>+'Purchased Power Model '!F58</f>
        <v>31</v>
      </c>
      <c r="G58" s="57">
        <f>+'Purchased Power Model '!G58</f>
        <v>0</v>
      </c>
      <c r="H58" s="42">
        <v>9</v>
      </c>
      <c r="I58" s="222">
        <f t="shared" si="0"/>
        <v>7353130.7311661113</v>
      </c>
      <c r="J58" s="36">
        <f t="shared" si="1"/>
        <v>-1431694.2688338887</v>
      </c>
      <c r="K58" s="5">
        <f t="shared" si="2"/>
        <v>-0.16297356735437402</v>
      </c>
    </row>
    <row r="59" spans="1:11" x14ac:dyDescent="0.2">
      <c r="A59" s="3">
        <v>39326</v>
      </c>
      <c r="B59" s="60">
        <v>9224371</v>
      </c>
      <c r="C59" s="215">
        <f>+'Purchased Power Model '!C59</f>
        <v>20.100000000000001</v>
      </c>
      <c r="D59" s="215">
        <f>+'Purchased Power Model '!D59</f>
        <v>12.3</v>
      </c>
      <c r="E59" s="126">
        <f>+'Purchased Power Model '!E59</f>
        <v>6.5000000000000002E-2</v>
      </c>
      <c r="F59" s="57">
        <f>+'Purchased Power Model '!F59</f>
        <v>30</v>
      </c>
      <c r="G59" s="57">
        <f>+'Purchased Power Model '!G59</f>
        <v>1</v>
      </c>
      <c r="H59" s="42">
        <v>9</v>
      </c>
      <c r="I59" s="222">
        <f t="shared" si="0"/>
        <v>7556482.371624588</v>
      </c>
      <c r="J59" s="36">
        <f t="shared" si="1"/>
        <v>-1667888.628375412</v>
      </c>
      <c r="K59" s="5">
        <f t="shared" si="2"/>
        <v>-0.18081326394779784</v>
      </c>
    </row>
    <row r="60" spans="1:11" x14ac:dyDescent="0.2">
      <c r="A60" s="3">
        <v>39356</v>
      </c>
      <c r="B60" s="60">
        <v>8687502</v>
      </c>
      <c r="C60" s="215">
        <f>+'Purchased Power Model '!C60</f>
        <v>101.5</v>
      </c>
      <c r="D60" s="215">
        <f>+'Purchased Power Model '!D60</f>
        <v>0</v>
      </c>
      <c r="E60" s="126">
        <f>+'Purchased Power Model '!E60</f>
        <v>6.3E-2</v>
      </c>
      <c r="F60" s="57">
        <f>+'Purchased Power Model '!F60</f>
        <v>31</v>
      </c>
      <c r="G60" s="57">
        <f>+'Purchased Power Model '!G60</f>
        <v>1</v>
      </c>
      <c r="H60" s="42">
        <v>9</v>
      </c>
      <c r="I60" s="222">
        <f t="shared" si="0"/>
        <v>7268580.3124790685</v>
      </c>
      <c r="J60" s="36">
        <f t="shared" si="1"/>
        <v>-1418921.6875209315</v>
      </c>
      <c r="K60" s="5">
        <f t="shared" si="2"/>
        <v>-0.16332907750938433</v>
      </c>
    </row>
    <row r="61" spans="1:11" x14ac:dyDescent="0.2">
      <c r="A61" s="3">
        <v>39387</v>
      </c>
      <c r="B61" s="60">
        <v>8832509</v>
      </c>
      <c r="C61" s="215">
        <f>+'Purchased Power Model '!C61</f>
        <v>314.10000000000002</v>
      </c>
      <c r="D61" s="215">
        <f>+'Purchased Power Model '!D61</f>
        <v>0</v>
      </c>
      <c r="E61" s="126">
        <f>+'Purchased Power Model '!E61</f>
        <v>6.3E-2</v>
      </c>
      <c r="F61" s="57">
        <f>+'Purchased Power Model '!F61</f>
        <v>30</v>
      </c>
      <c r="G61" s="57">
        <f>+'Purchased Power Model '!G61</f>
        <v>1</v>
      </c>
      <c r="H61" s="42">
        <v>9</v>
      </c>
      <c r="I61" s="222">
        <f t="shared" si="0"/>
        <v>6818936.5656775031</v>
      </c>
      <c r="J61" s="36">
        <f t="shared" si="1"/>
        <v>-2013572.4343224969</v>
      </c>
      <c r="K61" s="5">
        <f t="shared" si="2"/>
        <v>-0.22797287093876686</v>
      </c>
    </row>
    <row r="62" spans="1:11" x14ac:dyDescent="0.2">
      <c r="A62" s="3">
        <v>39417</v>
      </c>
      <c r="B62" s="60">
        <v>8453705</v>
      </c>
      <c r="C62" s="215">
        <f>+'Purchased Power Model '!C62</f>
        <v>337.8</v>
      </c>
      <c r="D62" s="215">
        <f>+'Purchased Power Model '!D62</f>
        <v>0</v>
      </c>
      <c r="E62" s="126">
        <f>+'Purchased Power Model '!E62</f>
        <v>6.3E-2</v>
      </c>
      <c r="F62" s="57">
        <f>+'Purchased Power Model '!F62</f>
        <v>31</v>
      </c>
      <c r="G62" s="57">
        <f>+'Purchased Power Model '!G62</f>
        <v>0</v>
      </c>
      <c r="H62" s="42">
        <v>9</v>
      </c>
      <c r="I62" s="222">
        <f t="shared" si="0"/>
        <v>7426515.0277347434</v>
      </c>
      <c r="J62" s="36">
        <f t="shared" si="1"/>
        <v>-1027189.9722652566</v>
      </c>
      <c r="K62" s="5">
        <f t="shared" si="2"/>
        <v>-0.12150766702472544</v>
      </c>
    </row>
    <row r="63" spans="1:11" x14ac:dyDescent="0.2">
      <c r="A63" s="3">
        <v>39448</v>
      </c>
      <c r="B63" s="61">
        <v>8872502</v>
      </c>
      <c r="C63" s="216">
        <f>+'Purchased Power Model '!C63</f>
        <v>432.8</v>
      </c>
      <c r="D63" s="216">
        <f>+'Purchased Power Model '!D63</f>
        <v>0</v>
      </c>
      <c r="E63" s="126">
        <f>+'Purchased Power Model '!E63</f>
        <v>6.4000000000000001E-2</v>
      </c>
      <c r="F63" s="57">
        <f>+'Purchased Power Model '!F63</f>
        <v>31</v>
      </c>
      <c r="G63" s="57">
        <f>+'Purchased Power Model '!G63</f>
        <v>0</v>
      </c>
      <c r="H63" s="42">
        <v>9</v>
      </c>
      <c r="I63" s="222">
        <f t="shared" si="0"/>
        <v>7130560.2157202009</v>
      </c>
      <c r="J63" s="36">
        <f t="shared" si="1"/>
        <v>-1741941.7842797991</v>
      </c>
      <c r="K63" s="5">
        <f t="shared" si="2"/>
        <v>-0.19633039071502031</v>
      </c>
    </row>
    <row r="64" spans="1:11" x14ac:dyDescent="0.2">
      <c r="A64" s="3">
        <v>39479</v>
      </c>
      <c r="B64" s="61">
        <v>9386946</v>
      </c>
      <c r="C64" s="216">
        <f>+'Purchased Power Model '!C64</f>
        <v>317.60000000000002</v>
      </c>
      <c r="D64" s="216">
        <f>+'Purchased Power Model '!D64</f>
        <v>0</v>
      </c>
      <c r="E64" s="126">
        <f>+'Purchased Power Model '!E64</f>
        <v>6.4000000000000001E-2</v>
      </c>
      <c r="F64" s="57">
        <f>+'Purchased Power Model '!F64</f>
        <v>29</v>
      </c>
      <c r="G64" s="57">
        <f>+'Purchased Power Model '!G64</f>
        <v>0</v>
      </c>
      <c r="H64" s="42">
        <v>9</v>
      </c>
      <c r="I64" s="222">
        <f t="shared" si="0"/>
        <v>7885313.3881666958</v>
      </c>
      <c r="J64" s="36">
        <f t="shared" si="1"/>
        <v>-1501632.6118333042</v>
      </c>
      <c r="K64" s="5">
        <f t="shared" si="2"/>
        <v>-0.1599703047011567</v>
      </c>
    </row>
    <row r="65" spans="1:17" x14ac:dyDescent="0.2">
      <c r="A65" s="3">
        <v>39508</v>
      </c>
      <c r="B65" s="61">
        <v>7792760.1255280245</v>
      </c>
      <c r="C65" s="216">
        <f>+'Purchased Power Model '!C65</f>
        <v>430</v>
      </c>
      <c r="D65" s="216">
        <f>+'Purchased Power Model '!D65</f>
        <v>0</v>
      </c>
      <c r="E65" s="126">
        <f>+'Purchased Power Model '!E65</f>
        <v>6.4000000000000001E-2</v>
      </c>
      <c r="F65" s="57">
        <f>+'Purchased Power Model '!F65</f>
        <v>31</v>
      </c>
      <c r="G65" s="57">
        <f>+'Purchased Power Model '!G65</f>
        <v>1</v>
      </c>
      <c r="H65" s="42">
        <v>9</v>
      </c>
      <c r="I65" s="222">
        <f t="shared" si="0"/>
        <v>6257935.4643383464</v>
      </c>
      <c r="J65" s="36">
        <f t="shared" si="1"/>
        <v>-1534824.6611896781</v>
      </c>
      <c r="K65" s="5">
        <f t="shared" si="2"/>
        <v>-0.19695520412104062</v>
      </c>
    </row>
    <row r="66" spans="1:17" x14ac:dyDescent="0.2">
      <c r="A66" s="3">
        <v>39539</v>
      </c>
      <c r="B66" s="61">
        <v>8704234.279269319</v>
      </c>
      <c r="C66" s="216">
        <f>+'Purchased Power Model '!C66</f>
        <v>144.6</v>
      </c>
      <c r="D66" s="216">
        <f>+'Purchased Power Model '!D66</f>
        <v>0</v>
      </c>
      <c r="E66" s="126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42">
        <v>9</v>
      </c>
      <c r="I66" s="222">
        <f t="shared" si="0"/>
        <v>7280740.052683467</v>
      </c>
      <c r="J66" s="36">
        <f t="shared" si="1"/>
        <v>-1423494.226585852</v>
      </c>
      <c r="K66" s="5">
        <f t="shared" si="2"/>
        <v>-0.16354043111823821</v>
      </c>
    </row>
    <row r="67" spans="1:17" x14ac:dyDescent="0.2">
      <c r="A67" s="3">
        <v>39569</v>
      </c>
      <c r="B67" s="61">
        <v>8210467.2029812597</v>
      </c>
      <c r="C67" s="216">
        <f>+'Purchased Power Model '!C67</f>
        <v>151</v>
      </c>
      <c r="D67" s="216">
        <f>+'Purchased Power Model '!D67</f>
        <v>0</v>
      </c>
      <c r="E67" s="126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42">
        <v>9</v>
      </c>
      <c r="I67" s="222">
        <f t="shared" si="0"/>
        <v>7060074.9433324272</v>
      </c>
      <c r="J67" s="36">
        <f t="shared" si="1"/>
        <v>-1150392.2596488325</v>
      </c>
      <c r="K67" s="5">
        <f t="shared" si="2"/>
        <v>-0.14011288653965021</v>
      </c>
    </row>
    <row r="68" spans="1:17" x14ac:dyDescent="0.2">
      <c r="A68" s="3">
        <v>39600</v>
      </c>
      <c r="B68" s="61">
        <v>8656676.3922213931</v>
      </c>
      <c r="C68" s="216">
        <f>+'Purchased Power Model '!C68</f>
        <v>15.5</v>
      </c>
      <c r="D68" s="216">
        <f>+'Purchased Power Model '!D68</f>
        <v>23.6</v>
      </c>
      <c r="E68" s="126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42">
        <v>9</v>
      </c>
      <c r="I68" s="222">
        <f t="shared" ref="I68:I131" si="3">$N$18+C68*$N$19+D68*$N$20+E68*$N$21+F68*$N$22+G68*$N$23</f>
        <v>8265519.292214564</v>
      </c>
      <c r="J68" s="36">
        <f t="shared" ref="J68:J131" si="4">I68-B68</f>
        <v>-391157.10000682902</v>
      </c>
      <c r="K68" s="5">
        <f t="shared" ref="K68:K131" si="5">J68/B68</f>
        <v>-4.5185598061434989E-2</v>
      </c>
    </row>
    <row r="69" spans="1:17" x14ac:dyDescent="0.2">
      <c r="A69" s="3">
        <v>39630</v>
      </c>
      <c r="B69" s="61">
        <v>11794162</v>
      </c>
      <c r="C69" s="216">
        <f>+'Purchased Power Model '!C69</f>
        <v>1</v>
      </c>
      <c r="D69" s="216">
        <f>+'Purchased Power Model '!D69</f>
        <v>61.4</v>
      </c>
      <c r="E69" s="126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42">
        <v>9</v>
      </c>
      <c r="I69" s="222">
        <f t="shared" si="3"/>
        <v>7672921.5716790017</v>
      </c>
      <c r="J69" s="36">
        <f t="shared" si="4"/>
        <v>-4121240.4283209983</v>
      </c>
      <c r="K69" s="5">
        <f t="shared" si="5"/>
        <v>-0.34943054269739537</v>
      </c>
    </row>
    <row r="70" spans="1:17" x14ac:dyDescent="0.2">
      <c r="A70" s="3">
        <v>39661</v>
      </c>
      <c r="B70" s="61">
        <v>10143998</v>
      </c>
      <c r="C70" s="216">
        <f>+'Purchased Power Model '!C70</f>
        <v>13.8</v>
      </c>
      <c r="D70" s="216">
        <f>+'Purchased Power Model '!D70</f>
        <v>29.9</v>
      </c>
      <c r="E70" s="126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42">
        <v>9</v>
      </c>
      <c r="I70" s="222">
        <f t="shared" si="3"/>
        <v>8022903.7934926245</v>
      </c>
      <c r="J70" s="36">
        <f t="shared" si="4"/>
        <v>-2121094.2065073755</v>
      </c>
      <c r="K70" s="5">
        <f t="shared" si="5"/>
        <v>-0.20909844486437945</v>
      </c>
    </row>
    <row r="71" spans="1:17" x14ac:dyDescent="0.2">
      <c r="A71" s="3">
        <v>39692</v>
      </c>
      <c r="B71" s="61">
        <v>9744604</v>
      </c>
      <c r="C71" s="216">
        <f>+'Purchased Power Model '!C71</f>
        <v>51.6</v>
      </c>
      <c r="D71" s="216">
        <f>+'Purchased Power Model '!D71</f>
        <v>15.1</v>
      </c>
      <c r="E71" s="126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42">
        <v>8</v>
      </c>
      <c r="I71" s="222">
        <f t="shared" si="3"/>
        <v>7409931.3842686415</v>
      </c>
      <c r="J71" s="36">
        <f t="shared" si="4"/>
        <v>-2334672.6157313585</v>
      </c>
      <c r="K71" s="5">
        <f t="shared" si="5"/>
        <v>-0.23958619721554192</v>
      </c>
    </row>
    <row r="72" spans="1:17" x14ac:dyDescent="0.2">
      <c r="A72" s="3">
        <v>39722</v>
      </c>
      <c r="B72" s="61">
        <v>6653295</v>
      </c>
      <c r="C72" s="216">
        <f>+'Purchased Power Model '!C72</f>
        <v>203.1</v>
      </c>
      <c r="D72" s="216">
        <f>+'Purchased Power Model '!D72</f>
        <v>0</v>
      </c>
      <c r="E72" s="126">
        <f>+'Purchased Power Model '!E72</f>
        <v>7.9000000000000001E-2</v>
      </c>
      <c r="F72" s="57">
        <f>+'Purchased Power Model '!F72</f>
        <v>31</v>
      </c>
      <c r="G72" s="57">
        <f>+'Purchased Power Model '!G72</f>
        <v>1</v>
      </c>
      <c r="H72" s="42">
        <v>8</v>
      </c>
      <c r="I72" s="222">
        <f t="shared" si="3"/>
        <v>6874700.9529717537</v>
      </c>
      <c r="J72" s="36">
        <f t="shared" si="4"/>
        <v>221405.95297175366</v>
      </c>
      <c r="K72" s="5">
        <f t="shared" si="5"/>
        <v>3.3277639571333249E-2</v>
      </c>
    </row>
    <row r="73" spans="1:17" x14ac:dyDescent="0.2">
      <c r="A73" s="3">
        <v>39753</v>
      </c>
      <c r="B73" s="61">
        <v>6374833</v>
      </c>
      <c r="C73" s="216">
        <f>+'Purchased Power Model '!C73</f>
        <v>268.8</v>
      </c>
      <c r="D73" s="216">
        <f>+'Purchased Power Model '!D73</f>
        <v>0</v>
      </c>
      <c r="E73" s="126">
        <f>+'Purchased Power Model '!E73</f>
        <v>7.9000000000000001E-2</v>
      </c>
      <c r="F73" s="57">
        <f>+'Purchased Power Model '!F73</f>
        <v>30</v>
      </c>
      <c r="G73" s="57">
        <f>+'Purchased Power Model '!G73</f>
        <v>1</v>
      </c>
      <c r="H73" s="42">
        <v>9</v>
      </c>
      <c r="I73" s="222">
        <f t="shared" si="3"/>
        <v>6874684.4708679859</v>
      </c>
      <c r="J73" s="36">
        <f t="shared" si="4"/>
        <v>499851.47086798586</v>
      </c>
      <c r="K73" s="5">
        <f t="shared" si="5"/>
        <v>7.8410127899505105E-2</v>
      </c>
    </row>
    <row r="74" spans="1:17" x14ac:dyDescent="0.2">
      <c r="A74" s="3">
        <v>39783</v>
      </c>
      <c r="B74" s="61">
        <v>6098794</v>
      </c>
      <c r="C74" s="216">
        <f>+'Purchased Power Model '!C74</f>
        <v>378.9</v>
      </c>
      <c r="D74" s="216">
        <f>+'Purchased Power Model '!D74</f>
        <v>0</v>
      </c>
      <c r="E74" s="126">
        <f>+'Purchased Power Model '!E74</f>
        <v>7.9000000000000001E-2</v>
      </c>
      <c r="F74" s="57">
        <f>+'Purchased Power Model '!F74</f>
        <v>31</v>
      </c>
      <c r="G74" s="57">
        <f>+'Purchased Power Model '!G74</f>
        <v>0</v>
      </c>
      <c r="H74" s="42">
        <v>9</v>
      </c>
      <c r="I74" s="222">
        <f t="shared" si="3"/>
        <v>7217812.3157033771</v>
      </c>
      <c r="J74" s="36">
        <f t="shared" si="4"/>
        <v>1119018.3157033771</v>
      </c>
      <c r="K74" s="5">
        <f t="shared" si="5"/>
        <v>0.18348190079930182</v>
      </c>
    </row>
    <row r="75" spans="1:17" s="14" customFormat="1" x14ac:dyDescent="0.2">
      <c r="A75" s="3">
        <v>39814</v>
      </c>
      <c r="B75" s="61">
        <v>6324203</v>
      </c>
      <c r="C75" s="216">
        <f>+'Purchased Power Model '!C75</f>
        <v>684.3</v>
      </c>
      <c r="D75" s="216">
        <f>+'Purchased Power Model '!D75</f>
        <v>0</v>
      </c>
      <c r="E75" s="126">
        <f>+'Purchased Power Model '!E75</f>
        <v>8.5000000000000006E-2</v>
      </c>
      <c r="F75" s="57">
        <f>+'Purchased Power Model '!F75</f>
        <v>31</v>
      </c>
      <c r="G75" s="57">
        <f>+'Purchased Power Model '!G75</f>
        <v>0</v>
      </c>
      <c r="H75" s="42">
        <v>10</v>
      </c>
      <c r="I75" s="222">
        <f t="shared" si="3"/>
        <v>6251963.4588580374</v>
      </c>
      <c r="J75" s="36">
        <f t="shared" si="4"/>
        <v>-72239.541141962633</v>
      </c>
      <c r="K75" s="5">
        <f t="shared" si="5"/>
        <v>-1.1422710678636127E-2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61">
        <v>7540439</v>
      </c>
      <c r="C76" s="216">
        <f>+'Purchased Power Model '!C76</f>
        <v>595.29999999999995</v>
      </c>
      <c r="D76" s="216">
        <f>+'Purchased Power Model '!D76</f>
        <v>0</v>
      </c>
      <c r="E76" s="126">
        <f>+'Purchased Power Model '!E76</f>
        <v>8.5000000000000006E-2</v>
      </c>
      <c r="F76" s="57">
        <f>+'Purchased Power Model '!F76</f>
        <v>28</v>
      </c>
      <c r="G76" s="57">
        <f>+'Purchased Power Model '!G76</f>
        <v>0</v>
      </c>
      <c r="H76" s="42">
        <v>11</v>
      </c>
      <c r="I76" s="222">
        <f t="shared" si="3"/>
        <v>7127600.6049908437</v>
      </c>
      <c r="J76" s="36">
        <f t="shared" si="4"/>
        <v>-412838.39500915632</v>
      </c>
      <c r="K76" s="5">
        <f t="shared" si="5"/>
        <v>-5.474991509236482E-2</v>
      </c>
    </row>
    <row r="77" spans="1:17" x14ac:dyDescent="0.2">
      <c r="A77" s="3">
        <v>39873</v>
      </c>
      <c r="B77" s="61">
        <v>6967085</v>
      </c>
      <c r="C77" s="216">
        <f>+'Purchased Power Model '!C77</f>
        <v>442.2</v>
      </c>
      <c r="D77" s="216">
        <f>+'Purchased Power Model '!D77</f>
        <v>0</v>
      </c>
      <c r="E77" s="126">
        <f>+'Purchased Power Model '!E77</f>
        <v>8.5000000000000006E-2</v>
      </c>
      <c r="F77" s="57">
        <f>+'Purchased Power Model '!F77</f>
        <v>31</v>
      </c>
      <c r="G77" s="57">
        <f>+'Purchased Power Model '!G77</f>
        <v>1</v>
      </c>
      <c r="H77" s="42">
        <v>11</v>
      </c>
      <c r="I77" s="222">
        <f t="shared" si="3"/>
        <v>6111781.2155917911</v>
      </c>
      <c r="J77" s="36">
        <f t="shared" si="4"/>
        <v>-855303.78440820891</v>
      </c>
      <c r="K77" s="5">
        <f t="shared" si="5"/>
        <v>-0.12276350646047937</v>
      </c>
    </row>
    <row r="78" spans="1:17" x14ac:dyDescent="0.2">
      <c r="A78" s="3">
        <v>39904</v>
      </c>
      <c r="B78" s="61">
        <v>7626479</v>
      </c>
      <c r="C78" s="216">
        <f>+'Purchased Power Model '!C78</f>
        <v>313.8</v>
      </c>
      <c r="D78" s="216">
        <f>+'Purchased Power Model '!D78</f>
        <v>0</v>
      </c>
      <c r="E78" s="126">
        <f>+'Purchased Power Model '!E78</f>
        <v>8.6999999999999994E-2</v>
      </c>
      <c r="F78" s="57">
        <f>+'Purchased Power Model '!F78</f>
        <v>30</v>
      </c>
      <c r="G78" s="57">
        <f>+'Purchased Power Model '!G78</f>
        <v>1</v>
      </c>
      <c r="H78" s="42">
        <v>11</v>
      </c>
      <c r="I78" s="222">
        <f t="shared" si="3"/>
        <v>6695497.2631037589</v>
      </c>
      <c r="J78" s="36">
        <f t="shared" si="4"/>
        <v>-930981.73689624108</v>
      </c>
      <c r="K78" s="5">
        <f t="shared" si="5"/>
        <v>-0.12207228747318928</v>
      </c>
    </row>
    <row r="79" spans="1:17" x14ac:dyDescent="0.2">
      <c r="A79" s="3">
        <v>39934</v>
      </c>
      <c r="B79" s="61">
        <v>7428122</v>
      </c>
      <c r="C79" s="216">
        <f>+'Purchased Power Model '!C79</f>
        <v>170.1</v>
      </c>
      <c r="D79" s="216">
        <f>+'Purchased Power Model '!D79</f>
        <v>0</v>
      </c>
      <c r="E79" s="126">
        <f>+'Purchased Power Model '!E79</f>
        <v>8.6999999999999994E-2</v>
      </c>
      <c r="F79" s="57">
        <f>+'Purchased Power Model '!F79</f>
        <v>31</v>
      </c>
      <c r="G79" s="57">
        <f>+'Purchased Power Model '!G79</f>
        <v>1</v>
      </c>
      <c r="H79" s="42">
        <v>11</v>
      </c>
      <c r="I79" s="222">
        <f t="shared" si="3"/>
        <v>6934253.8857550295</v>
      </c>
      <c r="J79" s="36">
        <f t="shared" si="4"/>
        <v>-493868.11424497049</v>
      </c>
      <c r="K79" s="5">
        <f t="shared" si="5"/>
        <v>-6.6486268567609752E-2</v>
      </c>
    </row>
    <row r="80" spans="1:17" x14ac:dyDescent="0.2">
      <c r="A80" s="3">
        <v>39965</v>
      </c>
      <c r="B80" s="61">
        <v>7082227</v>
      </c>
      <c r="C80" s="216">
        <f>+'Purchased Power Model '!C80</f>
        <v>57.9</v>
      </c>
      <c r="D80" s="216">
        <f>+'Purchased Power Model '!D80</f>
        <v>26.3</v>
      </c>
      <c r="E80" s="126">
        <f>+'Purchased Power Model '!E80</f>
        <v>8.6999999999999994E-2</v>
      </c>
      <c r="F80" s="57">
        <f>+'Purchased Power Model '!F80</f>
        <v>30</v>
      </c>
      <c r="G80" s="57">
        <f>+'Purchased Power Model '!G80</f>
        <v>0</v>
      </c>
      <c r="H80" s="42">
        <v>11</v>
      </c>
      <c r="I80" s="222">
        <f t="shared" si="3"/>
        <v>8035025.690344899</v>
      </c>
      <c r="J80" s="36">
        <f t="shared" si="4"/>
        <v>952798.69034489896</v>
      </c>
      <c r="K80" s="5">
        <f t="shared" si="5"/>
        <v>0.13453376887593393</v>
      </c>
    </row>
    <row r="81" spans="1:17" x14ac:dyDescent="0.2">
      <c r="A81" s="3">
        <v>39995</v>
      </c>
      <c r="B81" s="61">
        <v>7025798</v>
      </c>
      <c r="C81" s="216">
        <f>+'Purchased Power Model '!C81</f>
        <v>16.8</v>
      </c>
      <c r="D81" s="216">
        <f>+'Purchased Power Model '!D81</f>
        <v>25.6</v>
      </c>
      <c r="E81" s="126">
        <f>+'Purchased Power Model '!E81</f>
        <v>9.1999999999999998E-2</v>
      </c>
      <c r="F81" s="57">
        <f>+'Purchased Power Model '!F81</f>
        <v>31</v>
      </c>
      <c r="G81" s="57">
        <f>+'Purchased Power Model '!G81</f>
        <v>0</v>
      </c>
      <c r="H81" s="42">
        <v>11</v>
      </c>
      <c r="I81" s="222">
        <f t="shared" si="3"/>
        <v>7942487.3875090778</v>
      </c>
      <c r="J81" s="36">
        <f t="shared" si="4"/>
        <v>916689.38750907779</v>
      </c>
      <c r="K81" s="5">
        <f t="shared" si="5"/>
        <v>0.13047477133687557</v>
      </c>
    </row>
    <row r="82" spans="1:17" x14ac:dyDescent="0.2">
      <c r="A82" s="3">
        <v>40026</v>
      </c>
      <c r="B82" s="61">
        <v>7419480</v>
      </c>
      <c r="C82" s="216">
        <f>+'Purchased Power Model '!C82</f>
        <v>13.1</v>
      </c>
      <c r="D82" s="216">
        <f>+'Purchased Power Model '!D82</f>
        <v>77.7</v>
      </c>
      <c r="E82" s="126">
        <f>+'Purchased Power Model '!E82</f>
        <v>9.1999999999999998E-2</v>
      </c>
      <c r="F82" s="57">
        <f>+'Purchased Power Model '!F82</f>
        <v>31</v>
      </c>
      <c r="G82" s="57">
        <f>+'Purchased Power Model '!G82</f>
        <v>0</v>
      </c>
      <c r="H82" s="42">
        <v>11</v>
      </c>
      <c r="I82" s="222">
        <f t="shared" si="3"/>
        <v>7310153.8040521387</v>
      </c>
      <c r="J82" s="36">
        <f t="shared" si="4"/>
        <v>-109326.1959478613</v>
      </c>
      <c r="K82" s="5">
        <f t="shared" si="5"/>
        <v>-1.4735021315221726E-2</v>
      </c>
    </row>
    <row r="83" spans="1:17" x14ac:dyDescent="0.2">
      <c r="A83" s="3">
        <v>40057</v>
      </c>
      <c r="B83" s="61">
        <v>8034531</v>
      </c>
      <c r="C83" s="216">
        <f>+'Purchased Power Model '!C83</f>
        <v>64.8</v>
      </c>
      <c r="D83" s="216">
        <f>+'Purchased Power Model '!D83</f>
        <v>9</v>
      </c>
      <c r="E83" s="126">
        <f>+'Purchased Power Model '!E83</f>
        <v>9.1999999999999998E-2</v>
      </c>
      <c r="F83" s="57">
        <f>+'Purchased Power Model '!F83</f>
        <v>30</v>
      </c>
      <c r="G83" s="57">
        <f>+'Purchased Power Model '!G83</f>
        <v>1</v>
      </c>
      <c r="H83" s="42">
        <v>10</v>
      </c>
      <c r="I83" s="222">
        <f t="shared" si="3"/>
        <v>7320532.8332394846</v>
      </c>
      <c r="J83" s="36">
        <f t="shared" si="4"/>
        <v>-713998.16676051542</v>
      </c>
      <c r="K83" s="5">
        <f t="shared" si="5"/>
        <v>-8.8866191039715381E-2</v>
      </c>
    </row>
    <row r="84" spans="1:17" x14ac:dyDescent="0.2">
      <c r="A84" s="3">
        <v>40087</v>
      </c>
      <c r="B84" s="61">
        <v>7591096</v>
      </c>
      <c r="C84" s="216">
        <f>+'Purchased Power Model '!C84</f>
        <v>287.89999999999998</v>
      </c>
      <c r="D84" s="216">
        <f>+'Purchased Power Model '!D84</f>
        <v>0</v>
      </c>
      <c r="E84" s="126">
        <f>+'Purchased Power Model '!E84</f>
        <v>9.9000000000000005E-2</v>
      </c>
      <c r="F84" s="57">
        <f>+'Purchased Power Model '!F84</f>
        <v>31</v>
      </c>
      <c r="G84" s="57">
        <f>+'Purchased Power Model '!G84</f>
        <v>1</v>
      </c>
      <c r="H84" s="42">
        <v>10</v>
      </c>
      <c r="I84" s="222">
        <f t="shared" si="3"/>
        <v>6511516.2911658781</v>
      </c>
      <c r="J84" s="36">
        <f t="shared" si="4"/>
        <v>-1079579.7088341219</v>
      </c>
      <c r="K84" s="5">
        <f t="shared" si="5"/>
        <v>-0.14221657963937248</v>
      </c>
    </row>
    <row r="85" spans="1:17" x14ac:dyDescent="0.2">
      <c r="A85" s="3">
        <v>40118</v>
      </c>
      <c r="B85" s="61">
        <v>7256083</v>
      </c>
      <c r="C85" s="216">
        <f>+'Purchased Power Model '!C85</f>
        <v>347.4</v>
      </c>
      <c r="D85" s="216">
        <f>+'Purchased Power Model '!D85</f>
        <v>0</v>
      </c>
      <c r="E85" s="126">
        <f>+'Purchased Power Model '!E85</f>
        <v>9.9000000000000005E-2</v>
      </c>
      <c r="F85" s="57">
        <f>+'Purchased Power Model '!F85</f>
        <v>30</v>
      </c>
      <c r="G85" s="57">
        <f>+'Purchased Power Model '!G85</f>
        <v>1</v>
      </c>
      <c r="H85" s="42">
        <v>10</v>
      </c>
      <c r="I85" s="222">
        <f t="shared" si="3"/>
        <v>6530476.5894646049</v>
      </c>
      <c r="J85" s="36">
        <f t="shared" si="4"/>
        <v>-725606.41053539515</v>
      </c>
      <c r="K85" s="5">
        <f t="shared" si="5"/>
        <v>-9.9999739602674775E-2</v>
      </c>
    </row>
    <row r="86" spans="1:17" s="31" customFormat="1" x14ac:dyDescent="0.2">
      <c r="A86" s="3">
        <v>40148</v>
      </c>
      <c r="B86" s="61">
        <v>6942046</v>
      </c>
      <c r="C86" s="216">
        <f>+'Purchased Power Model '!C86</f>
        <v>619.1</v>
      </c>
      <c r="D86" s="216">
        <f>+'Purchased Power Model '!D86</f>
        <v>0</v>
      </c>
      <c r="E86" s="126">
        <f>+'Purchased Power Model '!E86</f>
        <v>9.9000000000000005E-2</v>
      </c>
      <c r="F86" s="57">
        <f>+'Purchased Power Model '!F86</f>
        <v>31</v>
      </c>
      <c r="G86" s="57">
        <f>+'Purchased Power Model '!G86</f>
        <v>0</v>
      </c>
      <c r="H86" s="42">
        <v>10</v>
      </c>
      <c r="I86" s="222">
        <f t="shared" si="3"/>
        <v>6378983.8354220893</v>
      </c>
      <c r="J86" s="36">
        <f t="shared" si="4"/>
        <v>-563062.16457791068</v>
      </c>
      <c r="K86" s="5">
        <f t="shared" si="5"/>
        <v>-8.1108964789042115E-2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59">
        <v>6922167</v>
      </c>
      <c r="C87" s="216">
        <f>+'Purchased Power Model '!C87</f>
        <v>699.9</v>
      </c>
      <c r="D87" s="216">
        <f>+'Purchased Power Model '!D87</f>
        <v>0</v>
      </c>
      <c r="E87" s="126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42">
        <v>10</v>
      </c>
      <c r="I87" s="222">
        <f t="shared" si="3"/>
        <v>6110947.2803358808</v>
      </c>
      <c r="J87" s="36">
        <f t="shared" si="4"/>
        <v>-811219.71966411918</v>
      </c>
      <c r="K87" s="5">
        <f t="shared" si="5"/>
        <v>-0.11719158460986555</v>
      </c>
    </row>
    <row r="88" spans="1:17" x14ac:dyDescent="0.2">
      <c r="A88" s="3">
        <v>40210</v>
      </c>
      <c r="B88" s="59">
        <v>6769873</v>
      </c>
      <c r="C88" s="216">
        <f>+'Purchased Power Model '!C88</f>
        <v>583.79999999999995</v>
      </c>
      <c r="D88" s="216">
        <f>+'Purchased Power Model '!D88</f>
        <v>0</v>
      </c>
      <c r="E88" s="126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42">
        <v>10</v>
      </c>
      <c r="I88" s="222">
        <f t="shared" si="3"/>
        <v>7069531.3214537837</v>
      </c>
      <c r="J88" s="36">
        <f t="shared" si="4"/>
        <v>299658.32145378366</v>
      </c>
      <c r="K88" s="5">
        <f t="shared" si="5"/>
        <v>4.4263507078165815E-2</v>
      </c>
    </row>
    <row r="89" spans="1:17" x14ac:dyDescent="0.2">
      <c r="A89" s="3">
        <v>40238</v>
      </c>
      <c r="B89" s="59">
        <v>6183539</v>
      </c>
      <c r="C89" s="216">
        <f>+'Purchased Power Model '!C89</f>
        <v>411</v>
      </c>
      <c r="D89" s="216">
        <f>+'Purchased Power Model '!D89</f>
        <v>0</v>
      </c>
      <c r="E89" s="126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42">
        <v>10</v>
      </c>
      <c r="I89" s="222">
        <f t="shared" si="3"/>
        <v>6114009.1213981388</v>
      </c>
      <c r="J89" s="36">
        <f t="shared" si="4"/>
        <v>-69529.878601861186</v>
      </c>
      <c r="K89" s="5">
        <f t="shared" si="5"/>
        <v>-1.1244350298730417E-2</v>
      </c>
    </row>
    <row r="90" spans="1:17" x14ac:dyDescent="0.2">
      <c r="A90" s="3">
        <v>40269</v>
      </c>
      <c r="B90" s="59">
        <v>6688111</v>
      </c>
      <c r="C90" s="216">
        <f>+'Purchased Power Model '!C90</f>
        <v>244</v>
      </c>
      <c r="D90" s="216">
        <f>+'Purchased Power Model '!D90</f>
        <v>0</v>
      </c>
      <c r="E90" s="126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42">
        <v>10</v>
      </c>
      <c r="I90" s="222">
        <f t="shared" si="3"/>
        <v>6846960.3142416794</v>
      </c>
      <c r="J90" s="36">
        <f t="shared" si="4"/>
        <v>158849.31424167939</v>
      </c>
      <c r="K90" s="5">
        <f t="shared" si="5"/>
        <v>2.3750998486968801E-2</v>
      </c>
    </row>
    <row r="91" spans="1:17" x14ac:dyDescent="0.2">
      <c r="A91" s="3">
        <v>40299</v>
      </c>
      <c r="B91" s="59">
        <v>6399287</v>
      </c>
      <c r="C91" s="216">
        <f>+'Purchased Power Model '!C91</f>
        <v>121.7</v>
      </c>
      <c r="D91" s="216">
        <f>+'Purchased Power Model '!D91</f>
        <v>23.2</v>
      </c>
      <c r="E91" s="126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42">
        <v>10</v>
      </c>
      <c r="I91" s="222">
        <f t="shared" si="3"/>
        <v>6733596.9411770413</v>
      </c>
      <c r="J91" s="36">
        <f t="shared" si="4"/>
        <v>334309.94117704127</v>
      </c>
      <c r="K91" s="5">
        <f t="shared" si="5"/>
        <v>5.2241748366191616E-2</v>
      </c>
    </row>
    <row r="92" spans="1:17" x14ac:dyDescent="0.2">
      <c r="A92" s="3">
        <v>40330</v>
      </c>
      <c r="B92" s="59">
        <v>6643174</v>
      </c>
      <c r="C92" s="216">
        <f>+'Purchased Power Model '!C92</f>
        <v>19.399999999999999</v>
      </c>
      <c r="D92" s="216">
        <f>+'Purchased Power Model '!D92</f>
        <v>46.6</v>
      </c>
      <c r="E92" s="126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42">
        <v>10</v>
      </c>
      <c r="I92" s="222">
        <f t="shared" si="3"/>
        <v>7839894.5494956942</v>
      </c>
      <c r="J92" s="36">
        <f t="shared" si="4"/>
        <v>1196720.5494956942</v>
      </c>
      <c r="K92" s="5">
        <f t="shared" si="5"/>
        <v>0.18014288794719124</v>
      </c>
    </row>
    <row r="93" spans="1:17" x14ac:dyDescent="0.2">
      <c r="A93" s="3">
        <v>40360</v>
      </c>
      <c r="B93" s="59">
        <v>6816956</v>
      </c>
      <c r="C93" s="216">
        <f>+'Purchased Power Model '!C93</f>
        <v>3.5</v>
      </c>
      <c r="D93" s="216">
        <f>+'Purchased Power Model '!D93</f>
        <v>124</v>
      </c>
      <c r="E93" s="126">
        <f>+'Purchased Power Model '!E93</f>
        <v>0.10400000000000001</v>
      </c>
      <c r="F93" s="57">
        <f>+'Purchased Power Model '!F93</f>
        <v>31</v>
      </c>
      <c r="G93" s="57">
        <f>+'Purchased Power Model '!G93</f>
        <v>0</v>
      </c>
      <c r="H93" s="42">
        <v>10</v>
      </c>
      <c r="I93" s="222">
        <f t="shared" si="3"/>
        <v>6705354.8766503688</v>
      </c>
      <c r="J93" s="36">
        <f t="shared" si="4"/>
        <v>-111601.12334963121</v>
      </c>
      <c r="K93" s="5">
        <f t="shared" si="5"/>
        <v>-1.6371108064894536E-2</v>
      </c>
    </row>
    <row r="94" spans="1:17" x14ac:dyDescent="0.2">
      <c r="A94" s="3">
        <v>40391</v>
      </c>
      <c r="B94" s="59">
        <v>7350724</v>
      </c>
      <c r="C94" s="216">
        <f>+'Purchased Power Model '!C94</f>
        <v>3.2</v>
      </c>
      <c r="D94" s="216">
        <f>+'Purchased Power Model '!D94</f>
        <v>96.8</v>
      </c>
      <c r="E94" s="126">
        <f>+'Purchased Power Model '!E94</f>
        <v>0.10400000000000001</v>
      </c>
      <c r="F94" s="57">
        <f>+'Purchased Power Model '!F94</f>
        <v>31</v>
      </c>
      <c r="G94" s="57">
        <f>+'Purchased Power Model '!G94</f>
        <v>0</v>
      </c>
      <c r="H94" s="42">
        <v>10</v>
      </c>
      <c r="I94" s="222">
        <f t="shared" si="3"/>
        <v>7042309.7579938658</v>
      </c>
      <c r="J94" s="36">
        <f t="shared" si="4"/>
        <v>-308414.24200613424</v>
      </c>
      <c r="K94" s="5">
        <f t="shared" si="5"/>
        <v>-4.1956988455305114E-2</v>
      </c>
    </row>
    <row r="95" spans="1:17" x14ac:dyDescent="0.2">
      <c r="A95" s="3">
        <v>40422</v>
      </c>
      <c r="B95" s="59">
        <v>7400612</v>
      </c>
      <c r="C95" s="216">
        <f>+'Purchased Power Model '!C95</f>
        <v>85.5</v>
      </c>
      <c r="D95" s="216">
        <f>+'Purchased Power Model '!D95</f>
        <v>18.5</v>
      </c>
      <c r="E95" s="126">
        <f>+'Purchased Power Model '!E95</f>
        <v>0.10400000000000001</v>
      </c>
      <c r="F95" s="57">
        <f>+'Purchased Power Model '!F95</f>
        <v>30</v>
      </c>
      <c r="G95" s="57">
        <f>+'Purchased Power Model '!G95</f>
        <v>1</v>
      </c>
      <c r="H95" s="42">
        <v>10</v>
      </c>
      <c r="I95" s="222">
        <f t="shared" si="3"/>
        <v>7077630.3641819339</v>
      </c>
      <c r="J95" s="36">
        <f t="shared" si="4"/>
        <v>-322981.63581806608</v>
      </c>
      <c r="K95" s="5">
        <f t="shared" si="5"/>
        <v>-4.3642557644971262E-2</v>
      </c>
    </row>
    <row r="96" spans="1:17" x14ac:dyDescent="0.2">
      <c r="A96" s="3">
        <v>40452</v>
      </c>
      <c r="B96" s="59">
        <v>6682210</v>
      </c>
      <c r="C96" s="216">
        <f>+'Purchased Power Model '!C96</f>
        <v>247.8</v>
      </c>
      <c r="D96" s="216">
        <f>+'Purchased Power Model '!D96</f>
        <v>0</v>
      </c>
      <c r="E96" s="126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42">
        <v>10</v>
      </c>
      <c r="I96" s="222">
        <f t="shared" si="3"/>
        <v>6665342.5930464407</v>
      </c>
      <c r="J96" s="36">
        <f t="shared" si="4"/>
        <v>-16867.406953559257</v>
      </c>
      <c r="K96" s="5">
        <f t="shared" si="5"/>
        <v>-2.524225810556576E-3</v>
      </c>
    </row>
    <row r="97" spans="1:11" x14ac:dyDescent="0.2">
      <c r="A97" s="3">
        <v>40483</v>
      </c>
      <c r="B97" s="59">
        <v>6558043</v>
      </c>
      <c r="C97" s="216">
        <f>+'Purchased Power Model '!C97</f>
        <v>389.2</v>
      </c>
      <c r="D97" s="216">
        <f>+'Purchased Power Model '!D97</f>
        <v>0</v>
      </c>
      <c r="E97" s="126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42">
        <v>10</v>
      </c>
      <c r="I97" s="222">
        <f t="shared" si="3"/>
        <v>6433625.7437702902</v>
      </c>
      <c r="J97" s="36">
        <f t="shared" si="4"/>
        <v>-124417.25622970983</v>
      </c>
      <c r="K97" s="5">
        <f t="shared" si="5"/>
        <v>-1.8971704856114824E-2</v>
      </c>
    </row>
    <row r="98" spans="1:11" x14ac:dyDescent="0.2">
      <c r="A98" s="3">
        <v>40513</v>
      </c>
      <c r="B98" s="59">
        <v>6368445</v>
      </c>
      <c r="C98" s="216">
        <f>+'Purchased Power Model '!C98</f>
        <v>628.70000000000005</v>
      </c>
      <c r="D98" s="216">
        <f>+'Purchased Power Model '!D98</f>
        <v>0</v>
      </c>
      <c r="E98" s="126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42">
        <v>10</v>
      </c>
      <c r="I98" s="222">
        <f t="shared" si="3"/>
        <v>6380689.8169794362</v>
      </c>
      <c r="J98" s="36">
        <f t="shared" si="4"/>
        <v>12244.816979436204</v>
      </c>
      <c r="K98" s="5">
        <f t="shared" si="5"/>
        <v>1.9227326261648178E-3</v>
      </c>
    </row>
    <row r="99" spans="1:11" x14ac:dyDescent="0.2">
      <c r="A99" s="3">
        <v>40544</v>
      </c>
      <c r="B99" s="129">
        <v>6443673</v>
      </c>
      <c r="C99" s="219">
        <f>+'Purchased Power Model '!C99</f>
        <v>760.9</v>
      </c>
      <c r="D99" s="219">
        <f>+'Purchased Power Model '!D99</f>
        <v>0</v>
      </c>
      <c r="E99" s="126">
        <f>+'Purchased Power Model '!E99</f>
        <v>8.6999999999999994E-2</v>
      </c>
      <c r="F99" s="57">
        <f>+'Purchased Power Model '!F99</f>
        <v>31</v>
      </c>
      <c r="G99" s="57">
        <f>+'Purchased Power Model '!G99</f>
        <v>0</v>
      </c>
      <c r="H99" s="42">
        <v>10</v>
      </c>
      <c r="I99" s="222">
        <f t="shared" si="3"/>
        <v>6007145.2699326295</v>
      </c>
      <c r="J99" s="36">
        <f t="shared" si="4"/>
        <v>-436527.73006737046</v>
      </c>
      <c r="K99" s="5">
        <f t="shared" si="5"/>
        <v>-6.7745171126370074E-2</v>
      </c>
    </row>
    <row r="100" spans="1:11" x14ac:dyDescent="0.2">
      <c r="A100" s="3">
        <v>40575</v>
      </c>
      <c r="B100" s="129">
        <v>6570423</v>
      </c>
      <c r="C100" s="219">
        <f>+'Purchased Power Model '!C100</f>
        <v>634.19999999999993</v>
      </c>
      <c r="D100" s="219">
        <f>+'Purchased Power Model '!D100</f>
        <v>0</v>
      </c>
      <c r="E100" s="126">
        <f>+'Purchased Power Model '!E100</f>
        <v>8.6999999999999994E-2</v>
      </c>
      <c r="F100" s="57">
        <f>+'Purchased Power Model '!F100</f>
        <v>28</v>
      </c>
      <c r="G100" s="57">
        <f>+'Purchased Power Model '!G100</f>
        <v>0</v>
      </c>
      <c r="H100" s="42">
        <v>10</v>
      </c>
      <c r="I100" s="222">
        <f t="shared" si="3"/>
        <v>6998173.4839967303</v>
      </c>
      <c r="J100" s="36">
        <f t="shared" si="4"/>
        <v>427750.4839967303</v>
      </c>
      <c r="K100" s="5">
        <f t="shared" si="5"/>
        <v>6.5102427042631847E-2</v>
      </c>
    </row>
    <row r="101" spans="1:11" x14ac:dyDescent="0.2">
      <c r="A101" s="3">
        <v>40603</v>
      </c>
      <c r="B101" s="129">
        <v>5927522</v>
      </c>
      <c r="C101" s="219">
        <f>+'Purchased Power Model '!C101</f>
        <v>559.80000000000007</v>
      </c>
      <c r="D101" s="219">
        <f>+'Purchased Power Model '!D101</f>
        <v>0</v>
      </c>
      <c r="E101" s="126">
        <f>+'Purchased Power Model '!E101</f>
        <v>8.6999999999999994E-2</v>
      </c>
      <c r="F101" s="57">
        <f>+'Purchased Power Model '!F101</f>
        <v>31</v>
      </c>
      <c r="G101" s="57">
        <f>+'Purchased Power Model '!G101</f>
        <v>1</v>
      </c>
      <c r="H101" s="42">
        <v>10</v>
      </c>
      <c r="I101" s="222">
        <f t="shared" si="3"/>
        <v>5741471.4143273132</v>
      </c>
      <c r="J101" s="36">
        <f t="shared" si="4"/>
        <v>-186050.58567268681</v>
      </c>
      <c r="K101" s="5">
        <f t="shared" si="5"/>
        <v>-3.1387582479269892E-2</v>
      </c>
    </row>
    <row r="102" spans="1:11" x14ac:dyDescent="0.2">
      <c r="A102" s="3">
        <v>40634</v>
      </c>
      <c r="B102" s="129">
        <v>6620336</v>
      </c>
      <c r="C102" s="219">
        <f>+'Purchased Power Model '!C102</f>
        <v>350.79999999999995</v>
      </c>
      <c r="D102" s="219">
        <f>+'Purchased Power Model '!D102</f>
        <v>0</v>
      </c>
      <c r="E102" s="126">
        <f>+'Purchased Power Model '!E102</f>
        <v>9.3000000000000013E-2</v>
      </c>
      <c r="F102" s="57">
        <f>+'Purchased Power Model '!F102</f>
        <v>30</v>
      </c>
      <c r="G102" s="57">
        <f>+'Purchased Power Model '!G102</f>
        <v>1</v>
      </c>
      <c r="H102" s="42">
        <v>10</v>
      </c>
      <c r="I102" s="222">
        <f t="shared" si="3"/>
        <v>6551159.3514244445</v>
      </c>
      <c r="J102" s="36">
        <f t="shared" si="4"/>
        <v>-69176.648575555533</v>
      </c>
      <c r="K102" s="5">
        <f t="shared" si="5"/>
        <v>-1.0449114452129852E-2</v>
      </c>
    </row>
    <row r="103" spans="1:11" x14ac:dyDescent="0.2">
      <c r="A103" s="3">
        <v>40664</v>
      </c>
      <c r="B103" s="129">
        <v>6116607</v>
      </c>
      <c r="C103" s="219">
        <f>+'Purchased Power Model '!C103</f>
        <v>157.69999999999996</v>
      </c>
      <c r="D103" s="219">
        <f>+'Purchased Power Model '!D103</f>
        <v>2.8</v>
      </c>
      <c r="E103" s="126">
        <f>+'Purchased Power Model '!E103</f>
        <v>9.3000000000000013E-2</v>
      </c>
      <c r="F103" s="57">
        <f>+'Purchased Power Model '!F103</f>
        <v>31</v>
      </c>
      <c r="G103" s="57">
        <f>+'Purchased Power Model '!G103</f>
        <v>1</v>
      </c>
      <c r="H103" s="42">
        <v>10</v>
      </c>
      <c r="I103" s="222">
        <f t="shared" si="3"/>
        <v>6906526.0549974302</v>
      </c>
      <c r="J103" s="36">
        <f t="shared" si="4"/>
        <v>789919.05499743018</v>
      </c>
      <c r="K103" s="5">
        <f t="shared" si="5"/>
        <v>0.12914333959945934</v>
      </c>
    </row>
    <row r="104" spans="1:11" x14ac:dyDescent="0.2">
      <c r="A104" s="3">
        <v>40695</v>
      </c>
      <c r="B104" s="129">
        <v>6577568</v>
      </c>
      <c r="C104" s="219">
        <f>+'Purchased Power Model '!C104</f>
        <v>26.699999999999996</v>
      </c>
      <c r="D104" s="219">
        <f>+'Purchased Power Model '!D104</f>
        <v>36.900000000000006</v>
      </c>
      <c r="E104" s="126">
        <f>+'Purchased Power Model '!E104</f>
        <v>9.3000000000000013E-2</v>
      </c>
      <c r="F104" s="57">
        <f>+'Purchased Power Model '!F104</f>
        <v>30</v>
      </c>
      <c r="G104" s="57">
        <f>+'Purchased Power Model '!G104</f>
        <v>0</v>
      </c>
      <c r="H104" s="42">
        <v>10</v>
      </c>
      <c r="I104" s="222">
        <f t="shared" si="3"/>
        <v>7968476.9038887052</v>
      </c>
      <c r="J104" s="36">
        <f t="shared" si="4"/>
        <v>1390908.9038887052</v>
      </c>
      <c r="K104" s="5">
        <f t="shared" si="5"/>
        <v>0.21146248946247384</v>
      </c>
    </row>
    <row r="105" spans="1:11" x14ac:dyDescent="0.2">
      <c r="A105" s="3">
        <v>40725</v>
      </c>
      <c r="B105" s="129">
        <v>6856409</v>
      </c>
      <c r="C105" s="219">
        <f>+'Purchased Power Model '!C105</f>
        <v>0.2</v>
      </c>
      <c r="D105" s="219">
        <f>+'Purchased Power Model '!D105</f>
        <v>141.19999999999999</v>
      </c>
      <c r="E105" s="126">
        <f>+'Purchased Power Model '!E105</f>
        <v>7.2000000000000008E-2</v>
      </c>
      <c r="F105" s="57">
        <f>+'Purchased Power Model '!F105</f>
        <v>31</v>
      </c>
      <c r="G105" s="57">
        <f>+'Purchased Power Model '!G105</f>
        <v>0</v>
      </c>
      <c r="H105" s="42">
        <v>10</v>
      </c>
      <c r="I105" s="222">
        <f t="shared" si="3"/>
        <v>6668771.7022443023</v>
      </c>
      <c r="J105" s="36">
        <f t="shared" si="4"/>
        <v>-187637.29775569774</v>
      </c>
      <c r="K105" s="5">
        <f t="shared" si="5"/>
        <v>-2.7366701396561631E-2</v>
      </c>
    </row>
    <row r="106" spans="1:11" x14ac:dyDescent="0.2">
      <c r="A106" s="3">
        <v>40756</v>
      </c>
      <c r="B106" s="129">
        <v>7306163</v>
      </c>
      <c r="C106" s="219">
        <f>+'Purchased Power Model '!C106</f>
        <v>3.7</v>
      </c>
      <c r="D106" s="219">
        <f>+'Purchased Power Model '!D106</f>
        <v>80.499999999999957</v>
      </c>
      <c r="E106" s="126">
        <f>+'Purchased Power Model '!E106</f>
        <v>7.2000000000000008E-2</v>
      </c>
      <c r="F106" s="57">
        <f>+'Purchased Power Model '!F106</f>
        <v>31</v>
      </c>
      <c r="G106" s="57">
        <f>+'Purchased Power Model '!G106</f>
        <v>0</v>
      </c>
      <c r="H106" s="42">
        <v>10</v>
      </c>
      <c r="I106" s="222">
        <f t="shared" si="3"/>
        <v>7407964.3219037242</v>
      </c>
      <c r="J106" s="36">
        <f t="shared" si="4"/>
        <v>101801.32190372422</v>
      </c>
      <c r="K106" s="5">
        <f t="shared" si="5"/>
        <v>1.3933623148528746E-2</v>
      </c>
    </row>
    <row r="107" spans="1:11" x14ac:dyDescent="0.2">
      <c r="A107" s="3">
        <v>40787</v>
      </c>
      <c r="B107" s="129">
        <v>7539867</v>
      </c>
      <c r="C107" s="219">
        <f>+'Purchased Power Model '!C107</f>
        <v>48.900000000000006</v>
      </c>
      <c r="D107" s="219">
        <f>+'Purchased Power Model '!D107</f>
        <v>34.6</v>
      </c>
      <c r="E107" s="126">
        <f>+'Purchased Power Model '!E107</f>
        <v>7.2000000000000008E-2</v>
      </c>
      <c r="F107" s="57">
        <f>+'Purchased Power Model '!F107</f>
        <v>30</v>
      </c>
      <c r="G107" s="57">
        <f>+'Purchased Power Model '!G107</f>
        <v>1</v>
      </c>
      <c r="H107" s="42">
        <v>10</v>
      </c>
      <c r="I107" s="222">
        <f t="shared" si="3"/>
        <v>7156560.5826280545</v>
      </c>
      <c r="J107" s="36">
        <f t="shared" si="4"/>
        <v>-383306.41737194546</v>
      </c>
      <c r="K107" s="5">
        <f t="shared" si="5"/>
        <v>-5.0837291608982683E-2</v>
      </c>
    </row>
    <row r="108" spans="1:11" x14ac:dyDescent="0.2">
      <c r="A108" s="3">
        <v>40817</v>
      </c>
      <c r="B108" s="129">
        <v>7091875</v>
      </c>
      <c r="C108" s="219">
        <f>+'Purchased Power Model '!C108</f>
        <v>225.29999999999998</v>
      </c>
      <c r="D108" s="219">
        <f>+'Purchased Power Model '!D108</f>
        <v>0</v>
      </c>
      <c r="E108" s="126">
        <f>+'Purchased Power Model '!E108</f>
        <v>7.2000000000000008E-2</v>
      </c>
      <c r="F108" s="57">
        <f>+'Purchased Power Model '!F108</f>
        <v>31</v>
      </c>
      <c r="G108" s="57">
        <f>+'Purchased Power Model '!G108</f>
        <v>1</v>
      </c>
      <c r="H108" s="42">
        <v>10</v>
      </c>
      <c r="I108" s="222">
        <f t="shared" si="3"/>
        <v>6843022.7834293963</v>
      </c>
      <c r="J108" s="36">
        <f t="shared" si="4"/>
        <v>-248852.21657060366</v>
      </c>
      <c r="K108" s="5">
        <f t="shared" si="5"/>
        <v>-3.5089763506915117E-2</v>
      </c>
    </row>
    <row r="109" spans="1:11" x14ac:dyDescent="0.2">
      <c r="A109" s="3">
        <v>40848</v>
      </c>
      <c r="B109" s="129">
        <v>6525631</v>
      </c>
      <c r="C109" s="219">
        <f>+'Purchased Power Model '!C109</f>
        <v>349.69999999999993</v>
      </c>
      <c r="D109" s="219">
        <f>+'Purchased Power Model '!D109</f>
        <v>0</v>
      </c>
      <c r="E109" s="126">
        <f>+'Purchased Power Model '!E109</f>
        <v>7.2000000000000008E-2</v>
      </c>
      <c r="F109" s="57">
        <f>+'Purchased Power Model '!F109</f>
        <v>30</v>
      </c>
      <c r="G109" s="57">
        <f>+'Purchased Power Model '!G109</f>
        <v>1</v>
      </c>
      <c r="H109" s="42">
        <v>10</v>
      </c>
      <c r="I109" s="222">
        <f t="shared" si="3"/>
        <v>6663339.0417084675</v>
      </c>
      <c r="J109" s="36">
        <f t="shared" si="4"/>
        <v>137708.04170846753</v>
      </c>
      <c r="K109" s="5">
        <f t="shared" si="5"/>
        <v>2.1102639991208136E-2</v>
      </c>
    </row>
    <row r="110" spans="1:11" x14ac:dyDescent="0.2">
      <c r="A110" s="3">
        <v>40878</v>
      </c>
      <c r="B110" s="129">
        <v>6331942</v>
      </c>
      <c r="C110" s="219">
        <f>+'Purchased Power Model '!C110</f>
        <v>531.20000000000005</v>
      </c>
      <c r="D110" s="219">
        <f>+'Purchased Power Model '!D110</f>
        <v>0</v>
      </c>
      <c r="E110" s="126">
        <f>+'Purchased Power Model '!E110</f>
        <v>7.2000000000000008E-2</v>
      </c>
      <c r="F110" s="57">
        <f>+'Purchased Power Model '!F110</f>
        <v>31</v>
      </c>
      <c r="G110" s="57">
        <f>+'Purchased Power Model '!G110</f>
        <v>0</v>
      </c>
      <c r="H110" s="42">
        <v>10</v>
      </c>
      <c r="I110" s="222">
        <f t="shared" si="3"/>
        <v>6787927.8348119128</v>
      </c>
      <c r="J110" s="36">
        <f t="shared" si="4"/>
        <v>455985.83481191285</v>
      </c>
      <c r="K110" s="5">
        <f t="shared" si="5"/>
        <v>7.201358363862348E-2</v>
      </c>
    </row>
    <row r="111" spans="1:11" x14ac:dyDescent="0.2">
      <c r="A111" s="3">
        <v>40909</v>
      </c>
      <c r="B111" s="129">
        <v>6179904</v>
      </c>
      <c r="C111" s="219">
        <f>+'Purchased Power Model '!C111</f>
        <v>611</v>
      </c>
      <c r="D111" s="219">
        <f>+'Purchased Power Model '!D111</f>
        <v>0</v>
      </c>
      <c r="E111" s="126">
        <f>+'Purchased Power Model '!E111</f>
        <v>0.08</v>
      </c>
      <c r="F111" s="57">
        <f>+'Purchased Power Model '!F111</f>
        <v>31</v>
      </c>
      <c r="G111" s="57">
        <f>+'Purchased Power Model '!G111</f>
        <v>0</v>
      </c>
      <c r="H111" s="42">
        <v>10</v>
      </c>
      <c r="I111" s="222">
        <f t="shared" si="3"/>
        <v>6502225.7951111067</v>
      </c>
      <c r="J111" s="36">
        <f t="shared" si="4"/>
        <v>322321.79511110671</v>
      </c>
      <c r="K111" s="5">
        <f t="shared" si="5"/>
        <v>5.2156440474011682E-2</v>
      </c>
    </row>
    <row r="112" spans="1:11" x14ac:dyDescent="0.2">
      <c r="A112" s="3">
        <v>40940</v>
      </c>
      <c r="B112" s="129">
        <v>6319705</v>
      </c>
      <c r="C112" s="219">
        <f>+'Purchased Power Model '!C112</f>
        <v>536.20000000000005</v>
      </c>
      <c r="D112" s="219">
        <f>+'Purchased Power Model '!D112</f>
        <v>0</v>
      </c>
      <c r="E112" s="126">
        <f>+'Purchased Power Model '!E112</f>
        <v>0.08</v>
      </c>
      <c r="F112" s="57">
        <f>+'Purchased Power Model '!F112</f>
        <v>29</v>
      </c>
      <c r="G112" s="57">
        <f>+'Purchased Power Model '!G112</f>
        <v>0</v>
      </c>
      <c r="H112" s="42">
        <v>10</v>
      </c>
      <c r="I112" s="222">
        <f t="shared" si="3"/>
        <v>7133323.8178381249</v>
      </c>
      <c r="J112" s="36">
        <f t="shared" si="4"/>
        <v>813618.81783812493</v>
      </c>
      <c r="K112" s="5">
        <f t="shared" si="5"/>
        <v>0.12874316409359693</v>
      </c>
    </row>
    <row r="113" spans="1:11" x14ac:dyDescent="0.2">
      <c r="A113" s="3">
        <v>40969</v>
      </c>
      <c r="B113" s="129">
        <v>5970171</v>
      </c>
      <c r="C113" s="219">
        <f>+'Purchased Power Model '!C113</f>
        <v>399.39999999999992</v>
      </c>
      <c r="D113" s="219">
        <f>+'Purchased Power Model '!D113</f>
        <v>0</v>
      </c>
      <c r="E113" s="126">
        <f>+'Purchased Power Model '!E113</f>
        <v>0.08</v>
      </c>
      <c r="F113" s="57">
        <f>+'Purchased Power Model '!F113</f>
        <v>31</v>
      </c>
      <c r="G113" s="57">
        <f>+'Purchased Power Model '!G113</f>
        <v>1</v>
      </c>
      <c r="H113" s="42">
        <v>10</v>
      </c>
      <c r="I113" s="222">
        <f t="shared" si="3"/>
        <v>6268690.0353487236</v>
      </c>
      <c r="J113" s="36">
        <f t="shared" si="4"/>
        <v>298519.03534872364</v>
      </c>
      <c r="K113" s="5">
        <f t="shared" si="5"/>
        <v>5.0001756289513928E-2</v>
      </c>
    </row>
    <row r="114" spans="1:11" x14ac:dyDescent="0.2">
      <c r="A114" s="3">
        <v>41000</v>
      </c>
      <c r="B114" s="129">
        <v>6499928</v>
      </c>
      <c r="C114" s="219">
        <f>+'Purchased Power Model '!C114</f>
        <v>336.89999999999992</v>
      </c>
      <c r="D114" s="219">
        <f>+'Purchased Power Model '!D114</f>
        <v>0</v>
      </c>
      <c r="E114" s="126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42">
        <v>10</v>
      </c>
      <c r="I114" s="222">
        <f t="shared" si="3"/>
        <v>6640338.1439847499</v>
      </c>
      <c r="J114" s="36">
        <f t="shared" si="4"/>
        <v>140410.14398474991</v>
      </c>
      <c r="K114" s="5">
        <f t="shared" si="5"/>
        <v>2.1601799894514204E-2</v>
      </c>
    </row>
    <row r="115" spans="1:11" x14ac:dyDescent="0.2">
      <c r="A115" s="3">
        <v>41030</v>
      </c>
      <c r="B115" s="129">
        <v>5793832</v>
      </c>
      <c r="C115" s="219">
        <f>+'Purchased Power Model '!C115</f>
        <v>109.30000000000001</v>
      </c>
      <c r="D115" s="219">
        <f>+'Purchased Power Model '!D115</f>
        <v>21.8</v>
      </c>
      <c r="E115" s="126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42">
        <v>10</v>
      </c>
      <c r="I115" s="222">
        <f t="shared" si="3"/>
        <v>6866569.9647050919</v>
      </c>
      <c r="J115" s="36">
        <f t="shared" si="4"/>
        <v>1072737.9647050919</v>
      </c>
      <c r="K115" s="5">
        <f t="shared" si="5"/>
        <v>0.18515172077911335</v>
      </c>
    </row>
    <row r="116" spans="1:11" x14ac:dyDescent="0.2">
      <c r="A116" s="3">
        <v>41061</v>
      </c>
      <c r="B116" s="129">
        <v>6390914</v>
      </c>
      <c r="C116" s="219">
        <f>+'Purchased Power Model '!C116</f>
        <v>28.2</v>
      </c>
      <c r="D116" s="219">
        <f>+'Purchased Power Model '!D116</f>
        <v>64.3</v>
      </c>
      <c r="E116" s="126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42">
        <v>10</v>
      </c>
      <c r="I116" s="222">
        <f t="shared" si="3"/>
        <v>7672012.3147915071</v>
      </c>
      <c r="J116" s="36">
        <f t="shared" si="4"/>
        <v>1281098.3147915071</v>
      </c>
      <c r="K116" s="5">
        <f t="shared" si="5"/>
        <v>0.20045619684312871</v>
      </c>
    </row>
    <row r="117" spans="1:11" x14ac:dyDescent="0.2">
      <c r="A117" s="3">
        <v>41091</v>
      </c>
      <c r="B117" s="129">
        <v>6665317</v>
      </c>
      <c r="C117" s="219">
        <f>+'Purchased Power Model '!C117</f>
        <v>0</v>
      </c>
      <c r="D117" s="219">
        <f>+'Purchased Power Model '!D117</f>
        <v>155.30000000000001</v>
      </c>
      <c r="E117" s="126">
        <f>+'Purchased Power Model '!E117</f>
        <v>9.3000000000000013E-2</v>
      </c>
      <c r="F117" s="57">
        <f>+'Purchased Power Model '!F117</f>
        <v>31</v>
      </c>
      <c r="G117" s="57">
        <f>+'Purchased Power Model '!G117</f>
        <v>0</v>
      </c>
      <c r="H117" s="42">
        <v>10</v>
      </c>
      <c r="I117" s="222">
        <f t="shared" si="3"/>
        <v>6386375.5449837986</v>
      </c>
      <c r="J117" s="36">
        <f t="shared" si="4"/>
        <v>-278941.45501620136</v>
      </c>
      <c r="K117" s="5">
        <f t="shared" si="5"/>
        <v>-4.1849690722316937E-2</v>
      </c>
    </row>
    <row r="118" spans="1:11" x14ac:dyDescent="0.2">
      <c r="A118" s="3">
        <v>41122</v>
      </c>
      <c r="B118" s="129">
        <v>7277776</v>
      </c>
      <c r="C118" s="219">
        <f>+'Purchased Power Model '!C118</f>
        <v>4.4000000000000004</v>
      </c>
      <c r="D118" s="219">
        <f>+'Purchased Power Model '!D118</f>
        <v>102.79999999999998</v>
      </c>
      <c r="E118" s="126">
        <f>+'Purchased Power Model '!E118</f>
        <v>9.3000000000000013E-2</v>
      </c>
      <c r="F118" s="57">
        <f>+'Purchased Power Model '!F118</f>
        <v>31</v>
      </c>
      <c r="G118" s="57">
        <f>+'Purchased Power Model '!G118</f>
        <v>0</v>
      </c>
      <c r="H118" s="42">
        <v>10</v>
      </c>
      <c r="I118" s="222">
        <f t="shared" si="3"/>
        <v>7021508.3041595481</v>
      </c>
      <c r="J118" s="36">
        <f t="shared" si="4"/>
        <v>-256267.69584045187</v>
      </c>
      <c r="K118" s="5">
        <f t="shared" si="5"/>
        <v>-3.5212363755143312E-2</v>
      </c>
    </row>
    <row r="119" spans="1:11" x14ac:dyDescent="0.2">
      <c r="A119" s="3">
        <v>41153</v>
      </c>
      <c r="B119" s="129">
        <v>7136835</v>
      </c>
      <c r="C119" s="219">
        <f>+'Purchased Power Model '!C119</f>
        <v>84</v>
      </c>
      <c r="D119" s="219">
        <f>+'Purchased Power Model '!D119</f>
        <v>24.400000000000002</v>
      </c>
      <c r="E119" s="126">
        <f>+'Purchased Power Model '!E119</f>
        <v>9.3000000000000013E-2</v>
      </c>
      <c r="F119" s="57">
        <f>+'Purchased Power Model '!F119</f>
        <v>30</v>
      </c>
      <c r="G119" s="57">
        <f>+'Purchased Power Model '!G119</f>
        <v>1</v>
      </c>
      <c r="H119" s="42">
        <v>10</v>
      </c>
      <c r="I119" s="222">
        <f t="shared" si="3"/>
        <v>7066328.4209962189</v>
      </c>
      <c r="J119" s="36">
        <f t="shared" si="4"/>
        <v>-70506.57900378108</v>
      </c>
      <c r="K119" s="5">
        <f t="shared" si="5"/>
        <v>-9.8792502564205402E-3</v>
      </c>
    </row>
    <row r="120" spans="1:11" x14ac:dyDescent="0.2">
      <c r="A120" s="3">
        <v>41183</v>
      </c>
      <c r="B120" s="129">
        <v>6492045</v>
      </c>
      <c r="C120" s="219">
        <f>+'Purchased Power Model '!C120</f>
        <v>228.99999999999994</v>
      </c>
      <c r="D120" s="219">
        <f>+'Purchased Power Model '!D120</f>
        <v>0</v>
      </c>
      <c r="E120" s="126">
        <f>+'Purchased Power Model '!E120</f>
        <v>9.4E-2</v>
      </c>
      <c r="F120" s="57">
        <f>+'Purchased Power Model '!F120</f>
        <v>31</v>
      </c>
      <c r="G120" s="57">
        <f>+'Purchased Power Model '!G120</f>
        <v>1</v>
      </c>
      <c r="H120" s="42">
        <v>11</v>
      </c>
      <c r="I120" s="222">
        <f t="shared" si="3"/>
        <v>6717703.5245486414</v>
      </c>
      <c r="J120" s="36">
        <f t="shared" si="4"/>
        <v>225658.52454864141</v>
      </c>
      <c r="K120" s="5">
        <f t="shared" si="5"/>
        <v>3.4759236041746695E-2</v>
      </c>
    </row>
    <row r="121" spans="1:11" x14ac:dyDescent="0.2">
      <c r="A121" s="3">
        <v>41214</v>
      </c>
      <c r="B121" s="129">
        <v>6332984</v>
      </c>
      <c r="C121" s="219">
        <f>+'Purchased Power Model '!C121</f>
        <v>427.89999999999992</v>
      </c>
      <c r="D121" s="219">
        <f>+'Purchased Power Model '!D121</f>
        <v>0</v>
      </c>
      <c r="E121" s="126">
        <f>+'Purchased Power Model '!E121</f>
        <v>9.4E-2</v>
      </c>
      <c r="F121" s="57">
        <f>+'Purchased Power Model '!F121</f>
        <v>30</v>
      </c>
      <c r="G121" s="57">
        <f>+'Purchased Power Model '!G121</f>
        <v>1</v>
      </c>
      <c r="H121" s="42">
        <v>11</v>
      </c>
      <c r="I121" s="222">
        <f t="shared" si="3"/>
        <v>6309992.3408945221</v>
      </c>
      <c r="J121" s="36">
        <f t="shared" si="4"/>
        <v>-22991.659105477855</v>
      </c>
      <c r="K121" s="5">
        <f t="shared" si="5"/>
        <v>-3.6304622126753922E-3</v>
      </c>
    </row>
    <row r="122" spans="1:11" x14ac:dyDescent="0.2">
      <c r="A122" s="3">
        <v>41244</v>
      </c>
      <c r="B122" s="129">
        <v>5768726</v>
      </c>
      <c r="C122" s="219">
        <f>+'Purchased Power Model '!C122</f>
        <v>451.09999999999997</v>
      </c>
      <c r="D122" s="219">
        <f>+'Purchased Power Model '!D122</f>
        <v>0</v>
      </c>
      <c r="E122" s="126">
        <f>+'Purchased Power Model '!E122</f>
        <v>9.4E-2</v>
      </c>
      <c r="F122" s="57">
        <f>+'Purchased Power Model '!F122</f>
        <v>31</v>
      </c>
      <c r="G122" s="57">
        <f>+'Purchased Power Model '!G122</f>
        <v>0</v>
      </c>
      <c r="H122" s="42">
        <v>11</v>
      </c>
      <c r="I122" s="222">
        <f t="shared" si="3"/>
        <v>6919101.1884680912</v>
      </c>
      <c r="J122" s="36">
        <f t="shared" si="4"/>
        <v>1150375.1884680912</v>
      </c>
      <c r="K122" s="5">
        <f t="shared" si="5"/>
        <v>0.19941581355538315</v>
      </c>
    </row>
    <row r="123" spans="1:11" x14ac:dyDescent="0.2">
      <c r="A123" s="3">
        <v>41275</v>
      </c>
      <c r="B123" s="129">
        <v>6271283</v>
      </c>
      <c r="C123" s="219">
        <f>+'Purchased Power Model '!C123</f>
        <v>615.40000000000009</v>
      </c>
      <c r="D123" s="219">
        <f>+'Purchased Power Model '!D123</f>
        <v>0</v>
      </c>
      <c r="E123" s="126">
        <f>+'Purchased Power Model '!E123</f>
        <v>8.4000000000000005E-2</v>
      </c>
      <c r="F123" s="57">
        <f>+'Purchased Power Model '!F123</f>
        <v>31</v>
      </c>
      <c r="G123" s="57">
        <f>+'Purchased Power Model '!G123</f>
        <v>0</v>
      </c>
      <c r="H123" s="42">
        <v>11</v>
      </c>
      <c r="I123" s="222">
        <f t="shared" si="3"/>
        <v>6468032.1469201446</v>
      </c>
      <c r="J123" s="36">
        <f t="shared" si="4"/>
        <v>196749.14692014456</v>
      </c>
      <c r="K123" s="5">
        <f t="shared" si="5"/>
        <v>3.1373029557132816E-2</v>
      </c>
    </row>
    <row r="124" spans="1:11" x14ac:dyDescent="0.2">
      <c r="A124" s="3">
        <v>41306</v>
      </c>
      <c r="B124" s="129">
        <v>6472376</v>
      </c>
      <c r="C124" s="219">
        <f>+'Purchased Power Model '!C124</f>
        <v>611.5</v>
      </c>
      <c r="D124" s="219">
        <f>+'Purchased Power Model '!D124</f>
        <v>0</v>
      </c>
      <c r="E124" s="126">
        <f>+'Purchased Power Model '!E124</f>
        <v>8.4000000000000005E-2</v>
      </c>
      <c r="F124" s="57">
        <f>+'Purchased Power Model '!F124</f>
        <v>28</v>
      </c>
      <c r="G124" s="57">
        <f>+'Purchased Power Model '!G124</f>
        <v>0</v>
      </c>
      <c r="H124" s="42">
        <v>11</v>
      </c>
      <c r="I124" s="222">
        <f t="shared" si="3"/>
        <v>7083197.6781735625</v>
      </c>
      <c r="J124" s="36">
        <f t="shared" si="4"/>
        <v>610821.67817356251</v>
      </c>
      <c r="K124" s="5">
        <f t="shared" si="5"/>
        <v>9.4373639320948374E-2</v>
      </c>
    </row>
    <row r="125" spans="1:11" x14ac:dyDescent="0.2">
      <c r="A125" s="3">
        <v>41334</v>
      </c>
      <c r="B125" s="129">
        <v>5759394</v>
      </c>
      <c r="C125" s="219">
        <f>+'Purchased Power Model '!C125</f>
        <v>545</v>
      </c>
      <c r="D125" s="219">
        <f>+'Purchased Power Model '!D125</f>
        <v>0</v>
      </c>
      <c r="E125" s="126">
        <f>+'Purchased Power Model '!E125</f>
        <v>8.4000000000000005E-2</v>
      </c>
      <c r="F125" s="57">
        <f>+'Purchased Power Model '!F125</f>
        <v>31</v>
      </c>
      <c r="G125" s="57">
        <f>+'Purchased Power Model '!G125</f>
        <v>1</v>
      </c>
      <c r="H125" s="42">
        <v>11</v>
      </c>
      <c r="I125" s="222">
        <f t="shared" si="3"/>
        <v>5802315.517346126</v>
      </c>
      <c r="J125" s="36">
        <f t="shared" si="4"/>
        <v>42921.517346126027</v>
      </c>
      <c r="K125" s="5">
        <f t="shared" si="5"/>
        <v>7.4524363754461019E-3</v>
      </c>
    </row>
    <row r="126" spans="1:11" x14ac:dyDescent="0.2">
      <c r="A126" s="3">
        <v>41365</v>
      </c>
      <c r="B126" s="129">
        <v>6287655</v>
      </c>
      <c r="C126" s="219">
        <f>+'Purchased Power Model '!C126</f>
        <v>366.49999999999994</v>
      </c>
      <c r="D126" s="219">
        <f>+'Purchased Power Model '!D126</f>
        <v>0</v>
      </c>
      <c r="E126" s="126">
        <f>+'Purchased Power Model '!E126</f>
        <v>7.0999999999999994E-2</v>
      </c>
      <c r="F126" s="57">
        <f>+'Purchased Power Model '!F126</f>
        <v>30</v>
      </c>
      <c r="G126" s="57">
        <f>+'Purchased Power Model '!G126</f>
        <v>1</v>
      </c>
      <c r="H126" s="42">
        <v>11</v>
      </c>
      <c r="I126" s="222">
        <f t="shared" si="3"/>
        <v>6617099.6522715893</v>
      </c>
      <c r="J126" s="36">
        <f t="shared" si="4"/>
        <v>329444.65227158926</v>
      </c>
      <c r="K126" s="5">
        <f t="shared" si="5"/>
        <v>5.2395472123007589E-2</v>
      </c>
    </row>
    <row r="127" spans="1:11" x14ac:dyDescent="0.2">
      <c r="A127" s="3">
        <v>41395</v>
      </c>
      <c r="B127" s="129">
        <v>6190002</v>
      </c>
      <c r="C127" s="219">
        <f>+'Purchased Power Model '!C127</f>
        <v>133.4</v>
      </c>
      <c r="D127" s="219">
        <f>+'Purchased Power Model '!D127</f>
        <v>3</v>
      </c>
      <c r="E127" s="126">
        <f>+'Purchased Power Model '!E127</f>
        <v>7.0999999999999994E-2</v>
      </c>
      <c r="F127" s="57">
        <f>+'Purchased Power Model '!F127</f>
        <v>31</v>
      </c>
      <c r="G127" s="57">
        <f>+'Purchased Power Model '!G127</f>
        <v>1</v>
      </c>
      <c r="H127" s="42">
        <v>11</v>
      </c>
      <c r="I127" s="222">
        <f t="shared" si="3"/>
        <v>7092426.3394301506</v>
      </c>
      <c r="J127" s="36">
        <f t="shared" si="4"/>
        <v>902424.33943015058</v>
      </c>
      <c r="K127" s="5">
        <f t="shared" si="5"/>
        <v>0.14578740676176688</v>
      </c>
    </row>
    <row r="128" spans="1:11" x14ac:dyDescent="0.2">
      <c r="A128" s="3">
        <v>41426</v>
      </c>
      <c r="B128" s="129">
        <v>6529850</v>
      </c>
      <c r="C128" s="219">
        <f>+'Purchased Power Model '!C128</f>
        <v>42.900000000000006</v>
      </c>
      <c r="D128" s="219">
        <f>+'Purchased Power Model '!D128</f>
        <v>32.200000000000003</v>
      </c>
      <c r="E128" s="126">
        <f>+'Purchased Power Model '!E128</f>
        <v>7.0999999999999994E-2</v>
      </c>
      <c r="F128" s="57">
        <f>+'Purchased Power Model '!F128</f>
        <v>30</v>
      </c>
      <c r="G128" s="57">
        <f>+'Purchased Power Model '!G128</f>
        <v>0</v>
      </c>
      <c r="H128" s="42">
        <v>11</v>
      </c>
      <c r="I128" s="222">
        <f t="shared" si="3"/>
        <v>8090951.9756591683</v>
      </c>
      <c r="J128" s="36">
        <f t="shared" si="4"/>
        <v>1561101.9756591683</v>
      </c>
      <c r="K128" s="5">
        <f t="shared" si="5"/>
        <v>0.23907164416627769</v>
      </c>
    </row>
    <row r="129" spans="1:11" x14ac:dyDescent="0.2">
      <c r="A129" s="3">
        <v>41456</v>
      </c>
      <c r="B129" s="129">
        <v>6851836</v>
      </c>
      <c r="C129" s="219">
        <f>+'Purchased Power Model '!C129</f>
        <v>4.4000000000000004</v>
      </c>
      <c r="D129" s="219">
        <f>+'Purchased Power Model '!D129</f>
        <v>109.99999999999999</v>
      </c>
      <c r="E129" s="126">
        <f>+'Purchased Power Model '!E129</f>
        <v>6.3E-2</v>
      </c>
      <c r="F129" s="57">
        <f>+'Purchased Power Model '!F129</f>
        <v>31</v>
      </c>
      <c r="G129" s="57">
        <f>+'Purchased Power Model '!G129</f>
        <v>0</v>
      </c>
      <c r="H129" s="42">
        <v>11</v>
      </c>
      <c r="I129" s="222">
        <f t="shared" si="3"/>
        <v>7088004.343563877</v>
      </c>
      <c r="J129" s="36">
        <f t="shared" si="4"/>
        <v>236168.34356387705</v>
      </c>
      <c r="K129" s="5">
        <f t="shared" si="5"/>
        <v>3.4467892045851219E-2</v>
      </c>
    </row>
    <row r="130" spans="1:11" x14ac:dyDescent="0.2">
      <c r="A130" s="3">
        <v>41487</v>
      </c>
      <c r="B130" s="129">
        <v>7451969</v>
      </c>
      <c r="C130" s="219">
        <f>+'Purchased Power Model '!C130</f>
        <v>11</v>
      </c>
      <c r="D130" s="219">
        <f>+'Purchased Power Model '!D130</f>
        <v>57.899999999999991</v>
      </c>
      <c r="E130" s="126">
        <f>+'Purchased Power Model '!E130</f>
        <v>6.3E-2</v>
      </c>
      <c r="F130" s="57">
        <f>+'Purchased Power Model '!F130</f>
        <v>31</v>
      </c>
      <c r="G130" s="57">
        <f>+'Purchased Power Model '!G130</f>
        <v>0</v>
      </c>
      <c r="H130" s="42">
        <v>11</v>
      </c>
      <c r="I130" s="222">
        <f t="shared" si="3"/>
        <v>7711461.6910261009</v>
      </c>
      <c r="J130" s="36">
        <f t="shared" si="4"/>
        <v>259492.69102610089</v>
      </c>
      <c r="K130" s="5">
        <f t="shared" si="5"/>
        <v>3.4822030395738481E-2</v>
      </c>
    </row>
    <row r="131" spans="1:11" x14ac:dyDescent="0.2">
      <c r="A131" s="3">
        <v>41518</v>
      </c>
      <c r="B131" s="129">
        <v>7376956</v>
      </c>
      <c r="C131" s="219">
        <f>+'Purchased Power Model '!C131</f>
        <v>96.600000000000009</v>
      </c>
      <c r="D131" s="219">
        <f>+'Purchased Power Model '!D131</f>
        <v>15.700000000000001</v>
      </c>
      <c r="E131" s="126">
        <f>+'Purchased Power Model '!E131</f>
        <v>6.3E-2</v>
      </c>
      <c r="F131" s="57">
        <f>+'Purchased Power Model '!F131</f>
        <v>30</v>
      </c>
      <c r="G131" s="57">
        <f>+'Purchased Power Model '!G131</f>
        <v>1</v>
      </c>
      <c r="H131" s="42">
        <v>11</v>
      </c>
      <c r="I131" s="222">
        <f t="shared" si="3"/>
        <v>7290691.9341954906</v>
      </c>
      <c r="J131" s="36">
        <f t="shared" si="4"/>
        <v>-86264.065804509446</v>
      </c>
      <c r="K131" s="5">
        <f t="shared" si="5"/>
        <v>-1.1693721069301409E-2</v>
      </c>
    </row>
    <row r="132" spans="1:11" x14ac:dyDescent="0.2">
      <c r="A132" s="3">
        <v>41548</v>
      </c>
      <c r="B132" s="129">
        <v>6807968</v>
      </c>
      <c r="C132" s="219">
        <f>+'Purchased Power Model '!C132</f>
        <v>221</v>
      </c>
      <c r="D132" s="219">
        <f>+'Purchased Power Model '!D132</f>
        <v>3</v>
      </c>
      <c r="E132" s="126">
        <f>+'Purchased Power Model '!E132</f>
        <v>7.0000000000000007E-2</v>
      </c>
      <c r="F132" s="57">
        <f>+'Purchased Power Model '!F132</f>
        <v>31</v>
      </c>
      <c r="G132" s="57">
        <f>+'Purchased Power Model '!G132</f>
        <v>1</v>
      </c>
      <c r="H132" s="42">
        <v>11</v>
      </c>
      <c r="I132" s="222">
        <f t="shared" ref="I132:I195" si="6">$N$18+C132*$N$19+D132*$N$20+E132*$N$21+F132*$N$22+G132*$N$23</f>
        <v>6829484.3608809235</v>
      </c>
      <c r="J132" s="36">
        <f t="shared" ref="J132:J133" si="7">I132-B132</f>
        <v>21516.360880923457</v>
      </c>
      <c r="K132" s="5">
        <f t="shared" ref="K132:K133" si="8">J132/B132</f>
        <v>3.1604673936369058E-3</v>
      </c>
    </row>
    <row r="133" spans="1:11" x14ac:dyDescent="0.2">
      <c r="A133" s="3">
        <v>41579</v>
      </c>
      <c r="B133" s="129">
        <v>6819877</v>
      </c>
      <c r="C133" s="219">
        <f>+'Purchased Power Model '!C133</f>
        <v>458.6</v>
      </c>
      <c r="D133" s="219">
        <f>+'Purchased Power Model '!D133</f>
        <v>0</v>
      </c>
      <c r="E133" s="126">
        <f>+'Purchased Power Model '!E133</f>
        <v>7.0000000000000007E-2</v>
      </c>
      <c r="F133" s="57">
        <f>+'Purchased Power Model '!F133</f>
        <v>30</v>
      </c>
      <c r="G133" s="57">
        <f>+'Purchased Power Model '!G133</f>
        <v>1</v>
      </c>
      <c r="H133" s="42">
        <v>11</v>
      </c>
      <c r="I133" s="222">
        <f t="shared" si="6"/>
        <v>6340384.2040753905</v>
      </c>
      <c r="J133" s="36">
        <f t="shared" si="7"/>
        <v>-479492.79592460953</v>
      </c>
      <c r="K133" s="5">
        <f t="shared" si="8"/>
        <v>-7.0308129593042445E-2</v>
      </c>
    </row>
    <row r="134" spans="1:11" x14ac:dyDescent="0.2">
      <c r="A134" s="3">
        <v>41609</v>
      </c>
      <c r="B134" s="129">
        <v>6357067</v>
      </c>
      <c r="C134" s="219">
        <f>+'Purchased Power Model '!C134</f>
        <v>472.8</v>
      </c>
      <c r="D134" s="219">
        <f ca="1">+'Purchased Power Model '!D134</f>
        <v>0</v>
      </c>
      <c r="E134" s="126">
        <f>+'Purchased Power Model '!E134</f>
        <v>7.0000000000000007E-2</v>
      </c>
      <c r="F134" s="57">
        <f>+'Purchased Power Model '!F134</f>
        <v>31</v>
      </c>
      <c r="G134" s="57">
        <f>+'Purchased Power Model '!G134</f>
        <v>0</v>
      </c>
      <c r="H134" s="42">
        <v>11</v>
      </c>
      <c r="I134" s="222">
        <f t="shared" ca="1" si="6"/>
        <v>6977039.9909429029</v>
      </c>
      <c r="J134" s="36">
        <f t="shared" ref="J134" ca="1" si="9">I134-B134</f>
        <v>619972.99094290286</v>
      </c>
      <c r="K134" s="5">
        <f t="shared" ref="K134" ca="1" si="10">J134/B134</f>
        <v>9.752500499725783E-2</v>
      </c>
    </row>
    <row r="135" spans="1:11" x14ac:dyDescent="0.2">
      <c r="A135" s="3">
        <v>41640</v>
      </c>
      <c r="B135" s="6">
        <v>6019739</v>
      </c>
      <c r="C135" s="217">
        <f>+'Purchased Power Model '!C135</f>
        <v>771.3</v>
      </c>
      <c r="D135" s="217">
        <f>+'Purchased Power Model '!D135</f>
        <v>0</v>
      </c>
      <c r="E135" s="126">
        <f>+'Purchased Power Model '!E135</f>
        <v>7.0999869999999993E-2</v>
      </c>
      <c r="F135" s="57">
        <f>+'Purchased Power Model '!F135</f>
        <v>31</v>
      </c>
      <c r="G135" s="57">
        <f>+'Purchased Power Model '!G135</f>
        <v>0</v>
      </c>
      <c r="H135" s="17">
        <v>11</v>
      </c>
      <c r="I135" s="222">
        <f t="shared" si="6"/>
        <v>6058218.9473853</v>
      </c>
      <c r="J135" s="36"/>
      <c r="K135" s="5"/>
    </row>
    <row r="136" spans="1:11" x14ac:dyDescent="0.2">
      <c r="A136" s="3">
        <v>41671</v>
      </c>
      <c r="B136" s="6">
        <v>6843927</v>
      </c>
      <c r="C136" s="217">
        <f>+'Purchased Power Model '!C136</f>
        <v>690.84999999999991</v>
      </c>
      <c r="D136" s="217">
        <f>+'Purchased Power Model '!D136</f>
        <v>0</v>
      </c>
      <c r="E136" s="126">
        <f>+'Purchased Power Model '!E136</f>
        <v>7.0999869999999993E-2</v>
      </c>
      <c r="F136" s="57">
        <f>+'Purchased Power Model '!F136</f>
        <v>28</v>
      </c>
      <c r="G136" s="57">
        <f>+'Purchased Power Model '!G136</f>
        <v>0</v>
      </c>
      <c r="H136" s="17">
        <v>11</v>
      </c>
      <c r="I136" s="222">
        <f t="shared" si="6"/>
        <v>6907686.5011888612</v>
      </c>
      <c r="J136" s="36"/>
      <c r="K136" s="5"/>
    </row>
    <row r="137" spans="1:11" x14ac:dyDescent="0.2">
      <c r="A137" s="3">
        <v>41699</v>
      </c>
      <c r="B137" s="6">
        <v>6410375</v>
      </c>
      <c r="C137" s="217">
        <f>+'Purchased Power Model '!C137</f>
        <v>677.95</v>
      </c>
      <c r="D137" s="217">
        <f>+'Purchased Power Model '!D137</f>
        <v>0</v>
      </c>
      <c r="E137" s="126">
        <f>+'Purchased Power Model '!E137</f>
        <v>7.0999869999999993E-2</v>
      </c>
      <c r="F137" s="57">
        <f>+'Purchased Power Model '!F137</f>
        <v>31</v>
      </c>
      <c r="G137" s="57">
        <f>+'Purchased Power Model '!G137</f>
        <v>1</v>
      </c>
      <c r="H137" s="17">
        <v>11</v>
      </c>
      <c r="I137" s="222">
        <f t="shared" si="6"/>
        <v>5462747.0130108343</v>
      </c>
      <c r="J137" s="36"/>
      <c r="K137" s="5"/>
    </row>
    <row r="138" spans="1:11" x14ac:dyDescent="0.2">
      <c r="A138" s="3">
        <v>41730</v>
      </c>
      <c r="B138" s="6">
        <v>6942653</v>
      </c>
      <c r="C138" s="217">
        <f>+'Purchased Power Model '!C138</f>
        <v>371.2999999999999</v>
      </c>
      <c r="D138" s="217">
        <f>+'Purchased Power Model '!D138</f>
        <v>0</v>
      </c>
      <c r="E138" s="126">
        <f>+'Purchased Power Model '!E138</f>
        <v>7.2000069999999999E-2</v>
      </c>
      <c r="F138" s="57">
        <f>+'Purchased Power Model '!F138</f>
        <v>30</v>
      </c>
      <c r="G138" s="57">
        <f>+'Purchased Power Model '!G138</f>
        <v>1</v>
      </c>
      <c r="H138" s="17">
        <v>11</v>
      </c>
      <c r="I138" s="222">
        <f t="shared" si="6"/>
        <v>6597226.0246935319</v>
      </c>
      <c r="J138" s="36"/>
      <c r="K138" s="5"/>
    </row>
    <row r="139" spans="1:11" x14ac:dyDescent="0.2">
      <c r="A139" s="3">
        <v>41760</v>
      </c>
      <c r="B139" s="6">
        <v>5316046</v>
      </c>
      <c r="C139" s="217">
        <f>+'Purchased Power Model '!C139</f>
        <v>160.49999999999994</v>
      </c>
      <c r="D139" s="217">
        <f>+'Purchased Power Model '!D139</f>
        <v>1.3</v>
      </c>
      <c r="E139" s="126">
        <f>+'Purchased Power Model '!E139</f>
        <v>7.2000069999999999E-2</v>
      </c>
      <c r="F139" s="57">
        <f>+'Purchased Power Model '!F139</f>
        <v>31</v>
      </c>
      <c r="G139" s="57">
        <f>+'Purchased Power Model '!G139</f>
        <v>1</v>
      </c>
      <c r="H139" s="17">
        <v>11</v>
      </c>
      <c r="I139" s="222">
        <f t="shared" si="6"/>
        <v>7025299.8084508749</v>
      </c>
      <c r="J139" s="36"/>
      <c r="K139" s="5"/>
    </row>
    <row r="140" spans="1:11" x14ac:dyDescent="0.2">
      <c r="A140" s="3">
        <v>41791</v>
      </c>
      <c r="B140" s="6">
        <v>8042268</v>
      </c>
      <c r="C140" s="217">
        <f>+'Purchased Power Model '!C140</f>
        <v>26.9</v>
      </c>
      <c r="D140" s="217">
        <f>+'Purchased Power Model '!D140</f>
        <v>40.1</v>
      </c>
      <c r="E140" s="126">
        <f>+'Purchased Power Model '!E140</f>
        <v>7.2000069999999999E-2</v>
      </c>
      <c r="F140" s="57">
        <f>+'Purchased Power Model '!F140</f>
        <v>30</v>
      </c>
      <c r="G140" s="57">
        <f>+'Purchased Power Model '!G140</f>
        <v>0</v>
      </c>
      <c r="H140" s="17">
        <v>11</v>
      </c>
      <c r="I140" s="222">
        <f t="shared" si="6"/>
        <v>8037143.5055874204</v>
      </c>
      <c r="J140" s="36"/>
      <c r="K140" s="5"/>
    </row>
    <row r="141" spans="1:11" x14ac:dyDescent="0.2">
      <c r="A141" s="3">
        <v>41821</v>
      </c>
      <c r="B141" s="6">
        <v>7197165</v>
      </c>
      <c r="C141" s="217">
        <f>+'Purchased Power Model '!C141</f>
        <v>9.5999999999999979</v>
      </c>
      <c r="D141" s="217">
        <f>+'Purchased Power Model '!D141</f>
        <v>54.599999999999994</v>
      </c>
      <c r="E141" s="126">
        <f>+'Purchased Power Model '!E141</f>
        <v>7.6999829999999991E-2</v>
      </c>
      <c r="F141" s="57">
        <f>+'Purchased Power Model '!F141</f>
        <v>31</v>
      </c>
      <c r="G141" s="57">
        <f>+'Purchased Power Model '!G141</f>
        <v>0</v>
      </c>
      <c r="H141" s="17">
        <v>11</v>
      </c>
      <c r="I141" s="222">
        <f t="shared" si="6"/>
        <v>7683974.9089660887</v>
      </c>
      <c r="J141" s="36"/>
      <c r="K141" s="5"/>
    </row>
    <row r="142" spans="1:11" x14ac:dyDescent="0.2">
      <c r="A142" s="3">
        <v>41852</v>
      </c>
      <c r="B142" s="6">
        <v>7321614</v>
      </c>
      <c r="C142" s="217">
        <f>+'Purchased Power Model '!C142</f>
        <v>12.7</v>
      </c>
      <c r="D142" s="217">
        <f>+'Purchased Power Model '!D142</f>
        <v>58</v>
      </c>
      <c r="E142" s="126">
        <f>+'Purchased Power Model '!E142</f>
        <v>7.6999829999999991E-2</v>
      </c>
      <c r="F142" s="57">
        <f>+'Purchased Power Model '!F142</f>
        <v>31</v>
      </c>
      <c r="G142" s="57">
        <f>+'Purchased Power Model '!G142</f>
        <v>0</v>
      </c>
      <c r="H142" s="17">
        <v>11</v>
      </c>
      <c r="I142" s="222">
        <f t="shared" si="6"/>
        <v>7632481.9375106301</v>
      </c>
      <c r="J142" s="36"/>
      <c r="K142" s="5"/>
    </row>
    <row r="143" spans="1:11" x14ac:dyDescent="0.2">
      <c r="A143" s="3">
        <v>41883</v>
      </c>
      <c r="B143" s="6">
        <v>7520343</v>
      </c>
      <c r="C143" s="217">
        <f>+'Purchased Power Model '!C143</f>
        <v>77.400000000000006</v>
      </c>
      <c r="D143" s="217">
        <f>+'Purchased Power Model '!D143</f>
        <v>22.5</v>
      </c>
      <c r="E143" s="126">
        <f>+'Purchased Power Model '!E143</f>
        <v>7.6999829999999991E-2</v>
      </c>
      <c r="F143" s="57">
        <f>+'Purchased Power Model '!F143</f>
        <v>30</v>
      </c>
      <c r="G143" s="57">
        <f>+'Purchased Power Model '!G143</f>
        <v>1</v>
      </c>
      <c r="H143" s="17">
        <v>11</v>
      </c>
      <c r="I143" s="222">
        <f t="shared" si="6"/>
        <v>7192908.5616146084</v>
      </c>
      <c r="J143" s="36"/>
      <c r="K143" s="5"/>
    </row>
    <row r="144" spans="1:11" x14ac:dyDescent="0.2">
      <c r="A144" s="3">
        <v>41913</v>
      </c>
      <c r="B144" s="6">
        <v>6484431</v>
      </c>
      <c r="C144" s="217">
        <f>+'Purchased Power Model '!C144</f>
        <v>216.29999999999998</v>
      </c>
      <c r="D144" s="217">
        <f>+'Purchased Power Model '!D144</f>
        <v>0.5</v>
      </c>
      <c r="E144" s="126">
        <f>+'Purchased Power Model '!E144</f>
        <v>7.3406150000000003E-2</v>
      </c>
      <c r="F144" s="57">
        <f>+'Purchased Power Model '!F144</f>
        <v>31</v>
      </c>
      <c r="G144" s="57">
        <f>+'Purchased Power Model '!G144</f>
        <v>1</v>
      </c>
      <c r="H144" s="17">
        <v>11</v>
      </c>
      <c r="I144" s="222">
        <f t="shared" si="6"/>
        <v>6857106.5223266492</v>
      </c>
      <c r="J144" s="36"/>
      <c r="K144" s="5"/>
    </row>
    <row r="145" spans="1:11" x14ac:dyDescent="0.2">
      <c r="A145" s="3">
        <v>41944</v>
      </c>
      <c r="B145" s="6">
        <v>7211313</v>
      </c>
      <c r="C145" s="217">
        <f>+'Purchased Power Model '!C145</f>
        <v>407.30000000000013</v>
      </c>
      <c r="D145" s="217">
        <f>+'Purchased Power Model '!D145</f>
        <v>0</v>
      </c>
      <c r="E145" s="126">
        <f>+'Purchased Power Model '!E145</f>
        <v>7.3406150000000003E-2</v>
      </c>
      <c r="F145" s="57">
        <f>+'Purchased Power Model '!F145</f>
        <v>30</v>
      </c>
      <c r="G145" s="57">
        <f>+'Purchased Power Model '!G145</f>
        <v>1</v>
      </c>
      <c r="H145" s="17">
        <v>11</v>
      </c>
      <c r="I145" s="222">
        <f t="shared" si="6"/>
        <v>6479752.5741326362</v>
      </c>
      <c r="J145" s="36"/>
      <c r="K145" s="5"/>
    </row>
    <row r="146" spans="1:11" x14ac:dyDescent="0.2">
      <c r="A146" s="3">
        <v>41974</v>
      </c>
      <c r="B146" s="6">
        <v>6090472</v>
      </c>
      <c r="C146" s="217">
        <f>+'Purchased Power Model '!C146</f>
        <v>551.79999999999995</v>
      </c>
      <c r="D146" s="217">
        <f>+'Purchased Power Model '!D146</f>
        <v>0</v>
      </c>
      <c r="E146" s="126">
        <f>+'Purchased Power Model '!E146</f>
        <v>7.3406150000000003E-2</v>
      </c>
      <c r="F146" s="57">
        <f>+'Purchased Power Model '!F146</f>
        <v>31</v>
      </c>
      <c r="G146" s="57">
        <f>+'Purchased Power Model '!G146</f>
        <v>0</v>
      </c>
      <c r="H146" s="17">
        <v>11</v>
      </c>
      <c r="I146" s="222">
        <f t="shared" si="6"/>
        <v>6717589.8954445124</v>
      </c>
      <c r="J146" s="36"/>
      <c r="K146" s="5"/>
    </row>
    <row r="147" spans="1:11" x14ac:dyDescent="0.2">
      <c r="A147" s="3">
        <v>42005</v>
      </c>
      <c r="C147" s="217">
        <f>+'Purchased Power Model '!C147</f>
        <v>665.29813270224599</v>
      </c>
      <c r="D147" s="217">
        <f ca="1">+'Purchased Power Model '!D147</f>
        <v>0</v>
      </c>
      <c r="E147" s="126">
        <f>+'Purchased Power Model '!E147</f>
        <v>7.3406150000000003E-2</v>
      </c>
      <c r="F147" s="57">
        <f>+'Purchased Power Model '!F147</f>
        <v>31</v>
      </c>
      <c r="G147" s="57">
        <f>+'Purchased Power Model '!G147</f>
        <v>0</v>
      </c>
      <c r="H147" s="17"/>
      <c r="I147" s="222">
        <f t="shared" ca="1" si="6"/>
        <v>6370198.0986084435</v>
      </c>
      <c r="J147" s="36"/>
      <c r="K147" s="5"/>
    </row>
    <row r="148" spans="1:11" x14ac:dyDescent="0.2">
      <c r="A148" s="3">
        <v>42036</v>
      </c>
      <c r="C148" s="217">
        <f>+'Purchased Power Model '!C148</f>
        <v>595.90459610702271</v>
      </c>
      <c r="D148" s="217">
        <f ca="1">+'Purchased Power Model '!D148</f>
        <v>0</v>
      </c>
      <c r="E148" s="126">
        <f>+'Purchased Power Model '!E148</f>
        <v>7.3406150000000003E-2</v>
      </c>
      <c r="F148" s="57">
        <f>+'Purchased Power Model '!F148</f>
        <v>28</v>
      </c>
      <c r="G148" s="57">
        <f>+'Purchased Power Model '!G148</f>
        <v>0</v>
      </c>
      <c r="H148" s="17"/>
      <c r="I148" s="222">
        <f t="shared" ca="1" si="6"/>
        <v>7185824.3494989965</v>
      </c>
      <c r="J148" s="36"/>
      <c r="K148" s="5"/>
    </row>
    <row r="149" spans="1:11" x14ac:dyDescent="0.2">
      <c r="A149" s="3">
        <v>42064</v>
      </c>
      <c r="C149" s="217">
        <f>+'Purchased Power Model '!C149</f>
        <v>584.77747836832327</v>
      </c>
      <c r="D149" s="217">
        <f ca="1">+'Purchased Power Model '!D149</f>
        <v>0</v>
      </c>
      <c r="E149" s="126">
        <f>+'Purchased Power Model '!E149</f>
        <v>7.3406150000000003E-2</v>
      </c>
      <c r="F149" s="57">
        <f>+'Purchased Power Model '!F149</f>
        <v>31</v>
      </c>
      <c r="G149" s="57">
        <f>+'Purchased Power Model '!G149</f>
        <v>1</v>
      </c>
      <c r="H149" s="17"/>
      <c r="I149" s="222">
        <f t="shared" ca="1" si="6"/>
        <v>5735458.474651265</v>
      </c>
      <c r="J149" s="36"/>
      <c r="K149" s="5"/>
    </row>
    <row r="150" spans="1:11" x14ac:dyDescent="0.2">
      <c r="A150" s="3">
        <v>42095</v>
      </c>
      <c r="C150" s="217">
        <f>+'Purchased Power Model '!C150</f>
        <v>320.27122607590286</v>
      </c>
      <c r="D150" s="217">
        <f ca="1">+'Purchased Power Model '!D150</f>
        <v>0</v>
      </c>
      <c r="E150" s="126">
        <f>+'Purchased Power Model '!E150</f>
        <v>7.3406150000000003E-2</v>
      </c>
      <c r="F150" s="57">
        <f>+'Purchased Power Model '!F150</f>
        <v>30</v>
      </c>
      <c r="G150" s="57">
        <f>+'Purchased Power Model '!G150</f>
        <v>1</v>
      </c>
      <c r="H150" s="17"/>
      <c r="I150" s="222">
        <f t="shared" ca="1" si="6"/>
        <v>6746127.7243674565</v>
      </c>
      <c r="J150" s="36"/>
      <c r="K150" s="5"/>
    </row>
    <row r="151" spans="1:11" x14ac:dyDescent="0.2">
      <c r="A151" s="3">
        <v>42125</v>
      </c>
      <c r="C151" s="217">
        <f>+'Purchased Power Model '!C151</f>
        <v>138.4420462838201</v>
      </c>
      <c r="D151" s="217">
        <f ca="1">+'Purchased Power Model '!D151</f>
        <v>1.8457952405410045</v>
      </c>
      <c r="E151" s="126">
        <f>+'Purchased Power Model '!E151</f>
        <v>7.3406150000000003E-2</v>
      </c>
      <c r="F151" s="57">
        <f>+'Purchased Power Model '!F151</f>
        <v>31</v>
      </c>
      <c r="G151" s="57">
        <f>+'Purchased Power Model '!G151</f>
        <v>1</v>
      </c>
      <c r="H151" s="17"/>
      <c r="I151" s="222">
        <f t="shared" ca="1" si="6"/>
        <v>7078785.548919565</v>
      </c>
      <c r="J151" s="36"/>
      <c r="K151" s="5"/>
    </row>
    <row r="152" spans="1:11" x14ac:dyDescent="0.2">
      <c r="A152" s="3">
        <v>42156</v>
      </c>
      <c r="C152" s="217">
        <f>+'Purchased Power Model '!C152</f>
        <v>23.203059470621568</v>
      </c>
      <c r="D152" s="217">
        <f ca="1">+'Purchased Power Model '!D152</f>
        <v>56.93568395822637</v>
      </c>
      <c r="E152" s="126">
        <f>+'Purchased Power Model '!E152</f>
        <v>7.3406150000000003E-2</v>
      </c>
      <c r="F152" s="57">
        <f>+'Purchased Power Model '!F152</f>
        <v>30</v>
      </c>
      <c r="G152" s="57">
        <f>+'Purchased Power Model '!G152</f>
        <v>0</v>
      </c>
      <c r="H152" s="17"/>
      <c r="I152" s="222">
        <f t="shared" ca="1" si="6"/>
        <v>7833180.4022153942</v>
      </c>
      <c r="J152" s="36"/>
      <c r="K152" s="5"/>
    </row>
    <row r="153" spans="1:11" x14ac:dyDescent="0.2">
      <c r="A153" s="3">
        <v>42186</v>
      </c>
      <c r="C153" s="217">
        <f>+'Purchased Power Model '!C153</f>
        <v>8.2806457590322324</v>
      </c>
      <c r="D153" s="217">
        <f ca="1">+'Purchased Power Model '!D153</f>
        <v>77.523400102722178</v>
      </c>
      <c r="E153" s="126">
        <f>+'Purchased Power Model '!E153</f>
        <v>7.3406150000000003E-2</v>
      </c>
      <c r="F153" s="57">
        <f>+'Purchased Power Model '!F153</f>
        <v>31</v>
      </c>
      <c r="G153" s="57">
        <f>+'Purchased Power Model '!G153</f>
        <v>0</v>
      </c>
      <c r="H153" s="17"/>
      <c r="I153" s="222">
        <f t="shared" ca="1" si="6"/>
        <v>7423431.7321491446</v>
      </c>
      <c r="J153" s="36"/>
      <c r="K153" s="5"/>
    </row>
    <row r="154" spans="1:11" x14ac:dyDescent="0.2">
      <c r="A154" s="3">
        <v>42217</v>
      </c>
      <c r="C154" s="217">
        <f>+'Purchased Power Model '!C154</f>
        <v>10.954604285386392</v>
      </c>
      <c r="D154" s="217">
        <f ca="1">+'Purchased Power Model '!D154</f>
        <v>82.350864577983273</v>
      </c>
      <c r="E154" s="126">
        <f>+'Purchased Power Model '!E154</f>
        <v>7.3406150000000003E-2</v>
      </c>
      <c r="F154" s="57">
        <f>+'Purchased Power Model '!F154</f>
        <v>31</v>
      </c>
      <c r="G154" s="57">
        <f>+'Purchased Power Model '!G154</f>
        <v>0</v>
      </c>
      <c r="H154" s="17"/>
      <c r="I154" s="222">
        <f t="shared" ca="1" si="6"/>
        <v>7355607.4679953437</v>
      </c>
      <c r="J154" s="36"/>
      <c r="K154" s="5"/>
    </row>
    <row r="155" spans="1:11" x14ac:dyDescent="0.2">
      <c r="A155" s="3">
        <v>42248</v>
      </c>
      <c r="C155" s="217">
        <f>+'Purchased Power Model '!C155</f>
        <v>66.76270643219739</v>
      </c>
      <c r="D155" s="217">
        <f ca="1">+'Purchased Power Model '!D155</f>
        <v>31.946456086286616</v>
      </c>
      <c r="E155" s="126">
        <f>+'Purchased Power Model '!E155</f>
        <v>7.3406150000000003E-2</v>
      </c>
      <c r="F155" s="57">
        <f>+'Purchased Power Model '!F155</f>
        <v>30</v>
      </c>
      <c r="G155" s="57">
        <f>+'Purchased Power Model '!G155</f>
        <v>1</v>
      </c>
      <c r="H155" s="17"/>
      <c r="I155" s="222">
        <f t="shared" ca="1" si="6"/>
        <v>7127383.519454753</v>
      </c>
      <c r="J155" s="36"/>
      <c r="K155" s="5"/>
    </row>
    <row r="156" spans="1:11" x14ac:dyDescent="0.2">
      <c r="A156" s="3">
        <v>42278</v>
      </c>
      <c r="C156" s="217">
        <f>+'Purchased Power Model '!C156</f>
        <v>186.57329975819502</v>
      </c>
      <c r="D156" s="217">
        <f ca="1">+'Purchased Power Model '!D156</f>
        <v>0.70992124636192477</v>
      </c>
      <c r="E156" s="126">
        <f>+'Purchased Power Model '!E156</f>
        <v>7.3406150000000003E-2</v>
      </c>
      <c r="F156" s="57">
        <f>+'Purchased Power Model '!F156</f>
        <v>31</v>
      </c>
      <c r="G156" s="57">
        <f>+'Purchased Power Model '!G156</f>
        <v>1</v>
      </c>
      <c r="H156" s="17"/>
      <c r="I156" s="222">
        <f t="shared" ca="1" si="6"/>
        <v>6945499.7176616387</v>
      </c>
      <c r="J156" s="36"/>
      <c r="K156" s="5"/>
    </row>
    <row r="157" spans="1:11" x14ac:dyDescent="0.2">
      <c r="A157" s="3">
        <v>42309</v>
      </c>
      <c r="C157" s="217">
        <f>+'Purchased Power Model '!C157</f>
        <v>351.32364767227392</v>
      </c>
      <c r="D157" s="217">
        <f ca="1">+'Purchased Power Model '!D157</f>
        <v>0</v>
      </c>
      <c r="E157" s="126">
        <f>+'Purchased Power Model '!E157</f>
        <v>7.3406150000000003E-2</v>
      </c>
      <c r="F157" s="57">
        <f>+'Purchased Power Model '!F157</f>
        <v>30</v>
      </c>
      <c r="G157" s="57">
        <f>+'Purchased Power Model '!G157</f>
        <v>1</v>
      </c>
      <c r="H157" s="17"/>
      <c r="I157" s="222">
        <f t="shared" ca="1" si="6"/>
        <v>6651083.3718513288</v>
      </c>
      <c r="J157" s="36"/>
      <c r="K157" s="5"/>
    </row>
    <row r="158" spans="1:11" x14ac:dyDescent="0.2">
      <c r="A158" s="3">
        <v>42339</v>
      </c>
      <c r="C158" s="217">
        <f>+'Purchased Power Model '!C158</f>
        <v>475.96461769104019</v>
      </c>
      <c r="D158" s="217">
        <f ca="1">+'Purchased Power Model '!D158</f>
        <v>0</v>
      </c>
      <c r="E158" s="126">
        <f>+'Purchased Power Model '!E158</f>
        <v>7.3406150000000003E-2</v>
      </c>
      <c r="F158" s="57">
        <f>+'Purchased Power Model '!F158</f>
        <v>31</v>
      </c>
      <c r="G158" s="57">
        <f>+'Purchased Power Model '!G158</f>
        <v>0</v>
      </c>
      <c r="H158" s="17"/>
      <c r="I158" s="222">
        <f t="shared" ca="1" si="6"/>
        <v>6949704.6368664969</v>
      </c>
      <c r="J158" s="36"/>
      <c r="K158" s="5"/>
    </row>
    <row r="159" spans="1:11" x14ac:dyDescent="0.2">
      <c r="A159" s="3">
        <v>42370</v>
      </c>
      <c r="C159" s="217">
        <f>+'Purchased Power Model '!C159</f>
        <v>663.68561281945165</v>
      </c>
      <c r="D159" s="217">
        <f ca="1">+'Purchased Power Model '!D159</f>
        <v>0</v>
      </c>
      <c r="E159" s="126">
        <f>+'Purchased Power Model '!E159</f>
        <v>7.3406150000000003E-2</v>
      </c>
      <c r="F159" s="57">
        <f>+'Purchased Power Model '!F159</f>
        <v>31</v>
      </c>
      <c r="G159" s="57">
        <f>+'Purchased Power Model '!G159</f>
        <v>0</v>
      </c>
      <c r="H159" s="17"/>
      <c r="I159" s="222">
        <f t="shared" ca="1" si="6"/>
        <v>6375133.6527552903</v>
      </c>
      <c r="J159" s="36"/>
      <c r="K159" s="5"/>
    </row>
    <row r="160" spans="1:11" x14ac:dyDescent="0.2">
      <c r="A160" s="3">
        <v>42401</v>
      </c>
      <c r="C160" s="217">
        <f>+'Purchased Power Model '!C160</f>
        <v>594.4602691771272</v>
      </c>
      <c r="D160" s="217">
        <f ca="1">+'Purchased Power Model '!D160</f>
        <v>0</v>
      </c>
      <c r="E160" s="126">
        <f>+'Purchased Power Model '!E160</f>
        <v>7.3406150000000003E-2</v>
      </c>
      <c r="F160" s="57">
        <f>+'Purchased Power Model '!F160</f>
        <v>29</v>
      </c>
      <c r="G160" s="57">
        <f>+'Purchased Power Model '!G160</f>
        <v>0</v>
      </c>
      <c r="H160" s="17"/>
      <c r="I160" s="222">
        <f t="shared" ca="1" si="6"/>
        <v>6989168.9287857004</v>
      </c>
      <c r="J160" s="36"/>
      <c r="K160" s="5"/>
    </row>
    <row r="161" spans="1:11" x14ac:dyDescent="0.2">
      <c r="A161" s="3">
        <v>42430</v>
      </c>
      <c r="C161" s="217">
        <f>+'Purchased Power Model '!C161</f>
        <v>583.36012084914728</v>
      </c>
      <c r="D161" s="217">
        <f ca="1">+'Purchased Power Model '!D161</f>
        <v>0</v>
      </c>
      <c r="E161" s="126">
        <f>+'Purchased Power Model '!E161</f>
        <v>7.3406150000000003E-2</v>
      </c>
      <c r="F161" s="57">
        <f>+'Purchased Power Model '!F161</f>
        <v>31</v>
      </c>
      <c r="G161" s="57">
        <f>+'Purchased Power Model '!G161</f>
        <v>1</v>
      </c>
      <c r="H161" s="17"/>
      <c r="I161" s="222">
        <f t="shared" ca="1" si="6"/>
        <v>5739796.6814888818</v>
      </c>
      <c r="J161" s="36"/>
      <c r="K161" s="5"/>
    </row>
    <row r="162" spans="1:11" x14ac:dyDescent="0.2">
      <c r="A162" s="3">
        <v>42461</v>
      </c>
      <c r="C162" s="217">
        <f>+'Purchased Power Model '!C162</f>
        <v>319.49496699061632</v>
      </c>
      <c r="D162" s="217">
        <f ca="1">+'Purchased Power Model '!D162</f>
        <v>0</v>
      </c>
      <c r="E162" s="126">
        <f>+'Purchased Power Model '!E162</f>
        <v>7.3406150000000003E-2</v>
      </c>
      <c r="F162" s="57">
        <f>+'Purchased Power Model '!F162</f>
        <v>30</v>
      </c>
      <c r="G162" s="57">
        <f>+'Purchased Power Model '!G162</f>
        <v>1</v>
      </c>
      <c r="H162" s="17"/>
      <c r="I162" s="222">
        <f t="shared" ca="1" si="6"/>
        <v>6748503.6756895408</v>
      </c>
      <c r="J162" s="36"/>
      <c r="K162" s="5"/>
    </row>
    <row r="163" spans="1:11" x14ac:dyDescent="0.2">
      <c r="A163" s="3">
        <v>42491</v>
      </c>
      <c r="C163" s="217">
        <f>+'Purchased Power Model '!C163</f>
        <v>138.10649663882012</v>
      </c>
      <c r="D163" s="217">
        <f ca="1">+'Purchased Power Model '!D163</f>
        <v>1.8640104434172213</v>
      </c>
      <c r="E163" s="126">
        <f>+'Purchased Power Model '!E163</f>
        <v>7.3406150000000003E-2</v>
      </c>
      <c r="F163" s="57">
        <f>+'Purchased Power Model '!F163</f>
        <v>31</v>
      </c>
      <c r="G163" s="57">
        <f>+'Purchased Power Model '!G163</f>
        <v>1</v>
      </c>
      <c r="H163" s="17"/>
      <c r="I163" s="222">
        <f t="shared" ca="1" si="6"/>
        <v>7079587.5536796832</v>
      </c>
      <c r="J163" s="36"/>
      <c r="K163" s="5"/>
    </row>
    <row r="164" spans="1:11" x14ac:dyDescent="0.2">
      <c r="A164" s="3">
        <v>42522</v>
      </c>
      <c r="C164" s="217">
        <f>+'Purchased Power Model '!C164</f>
        <v>23.146820931989172</v>
      </c>
      <c r="D164" s="217">
        <f ca="1">+'Purchased Power Model '!D164</f>
        <v>57.497552908485055</v>
      </c>
      <c r="E164" s="126">
        <f>+'Purchased Power Model '!E164</f>
        <v>7.3406150000000003E-2</v>
      </c>
      <c r="F164" s="57">
        <f>+'Purchased Power Model '!F164</f>
        <v>30</v>
      </c>
      <c r="G164" s="57">
        <f>+'Purchased Power Model '!G164</f>
        <v>0</v>
      </c>
      <c r="H164" s="17"/>
      <c r="I164" s="222">
        <f t="shared" ca="1" si="6"/>
        <v>7826411.0443361355</v>
      </c>
      <c r="J164" s="36"/>
      <c r="K164" s="5"/>
    </row>
    <row r="165" spans="1:11" x14ac:dyDescent="0.2">
      <c r="A165" s="3">
        <v>42552</v>
      </c>
      <c r="C165" s="217">
        <f>+'Purchased Power Model '!C165</f>
        <v>8.2605754998920471</v>
      </c>
      <c r="D165" s="217">
        <f ca="1">+'Purchased Power Model '!D165</f>
        <v>78.288438623523277</v>
      </c>
      <c r="E165" s="126">
        <f>+'Purchased Power Model '!E165</f>
        <v>7.3406150000000003E-2</v>
      </c>
      <c r="F165" s="57">
        <f>+'Purchased Power Model '!F165</f>
        <v>31</v>
      </c>
      <c r="G165" s="57">
        <f>+'Purchased Power Model '!G165</f>
        <v>0</v>
      </c>
      <c r="H165" s="17"/>
      <c r="I165" s="222">
        <f t="shared" ca="1" si="6"/>
        <v>7414041.6559376474</v>
      </c>
      <c r="J165" s="36"/>
      <c r="K165" s="5"/>
    </row>
    <row r="166" spans="1:11" x14ac:dyDescent="0.2">
      <c r="A166" s="3">
        <v>42583</v>
      </c>
      <c r="C166" s="217">
        <f>+'Purchased Power Model '!C166</f>
        <v>10.92805300506552</v>
      </c>
      <c r="D166" s="217">
        <f ca="1">+'Purchased Power Model '!D166</f>
        <v>83.163542860152944</v>
      </c>
      <c r="E166" s="126">
        <f>+'Purchased Power Model '!E166</f>
        <v>7.3406150000000003E-2</v>
      </c>
      <c r="F166" s="57">
        <f>+'Purchased Power Model '!F166</f>
        <v>31</v>
      </c>
      <c r="G166" s="57">
        <f>+'Purchased Power Model '!G166</f>
        <v>0</v>
      </c>
      <c r="H166" s="17"/>
      <c r="I166" s="222">
        <f t="shared" ca="1" si="6"/>
        <v>7345648.6733447555</v>
      </c>
      <c r="J166" s="36"/>
      <c r="K166" s="5"/>
    </row>
    <row r="167" spans="1:11" x14ac:dyDescent="0.2">
      <c r="A167" s="3">
        <v>42614</v>
      </c>
      <c r="C167" s="217">
        <f>+'Purchased Power Model '!C167</f>
        <v>66.600889967879638</v>
      </c>
      <c r="D167" s="217">
        <f ca="1">+'Purchased Power Model '!D167</f>
        <v>32.261719212990371</v>
      </c>
      <c r="E167" s="126">
        <f>+'Purchased Power Model '!E167</f>
        <v>7.3406150000000003E-2</v>
      </c>
      <c r="F167" s="57">
        <f>+'Purchased Power Model '!F167</f>
        <v>30</v>
      </c>
      <c r="G167" s="57">
        <f>+'Purchased Power Model '!G167</f>
        <v>1</v>
      </c>
      <c r="H167" s="17"/>
      <c r="I167" s="222">
        <f t="shared" ca="1" si="6"/>
        <v>7123983.9509477895</v>
      </c>
      <c r="J167" s="36"/>
      <c r="K167" s="5"/>
    </row>
    <row r="168" spans="1:11" x14ac:dyDescent="0.2">
      <c r="A168" s="3">
        <v>42644</v>
      </c>
      <c r="C168" s="217">
        <f>+'Purchased Power Model '!C168</f>
        <v>186.1210917319427</v>
      </c>
      <c r="D168" s="217">
        <f ca="1">+'Purchased Power Model '!D168</f>
        <v>0.71692709362200813</v>
      </c>
      <c r="E168" s="126">
        <f>+'Purchased Power Model '!E168</f>
        <v>7.3406150000000003E-2</v>
      </c>
      <c r="F168" s="57">
        <f>+'Purchased Power Model '!F168</f>
        <v>31</v>
      </c>
      <c r="G168" s="57">
        <f>+'Purchased Power Model '!G168</f>
        <v>1</v>
      </c>
      <c r="H168" s="17"/>
      <c r="I168" s="222">
        <f t="shared" ca="1" si="6"/>
        <v>6946797.2706301594</v>
      </c>
      <c r="J168" s="36"/>
      <c r="K168" s="5"/>
    </row>
    <row r="169" spans="1:11" x14ac:dyDescent="0.2">
      <c r="A169" s="3">
        <v>42675</v>
      </c>
      <c r="C169" s="217">
        <f>+'Purchased Power Model '!C169</f>
        <v>350.47212511521167</v>
      </c>
      <c r="D169" s="217">
        <f ca="1">+'Purchased Power Model '!D169</f>
        <v>0</v>
      </c>
      <c r="E169" s="126">
        <f>+'Purchased Power Model '!E169</f>
        <v>7.3406150000000003E-2</v>
      </c>
      <c r="F169" s="57">
        <f>+'Purchased Power Model '!F169</f>
        <v>30</v>
      </c>
      <c r="G169" s="57">
        <f>+'Purchased Power Model '!G169</f>
        <v>1</v>
      </c>
      <c r="H169" s="17"/>
      <c r="I169" s="222">
        <f t="shared" ca="1" si="6"/>
        <v>6653689.6874276418</v>
      </c>
      <c r="J169" s="36"/>
      <c r="K169" s="5"/>
    </row>
    <row r="170" spans="1:11" x14ac:dyDescent="0.2">
      <c r="A170" s="3">
        <v>42705</v>
      </c>
      <c r="C170" s="217">
        <f>+'Purchased Power Model '!C170</f>
        <v>474.81099592087827</v>
      </c>
      <c r="D170" s="217">
        <f ca="1">+'Purchased Power Model '!D170</f>
        <v>0</v>
      </c>
      <c r="E170" s="126">
        <f>+'Purchased Power Model '!E170</f>
        <v>7.3406150000000003E-2</v>
      </c>
      <c r="F170" s="57">
        <f>+'Purchased Power Model '!F170</f>
        <v>31</v>
      </c>
      <c r="G170" s="57">
        <f>+'Purchased Power Model '!G170</f>
        <v>0</v>
      </c>
      <c r="H170" s="17"/>
      <c r="I170" s="222">
        <f t="shared" ca="1" si="6"/>
        <v>6953235.6089632548</v>
      </c>
      <c r="J170" s="36"/>
      <c r="K170" s="5"/>
    </row>
    <row r="171" spans="1:11" x14ac:dyDescent="0.2">
      <c r="A171" s="3">
        <v>42736</v>
      </c>
      <c r="C171" s="217">
        <f>+'Purchased Power Model '!C171</f>
        <v>662.07309293665651</v>
      </c>
      <c r="D171" s="217">
        <f ca="1">+'Purchased Power Model '!D171</f>
        <v>0</v>
      </c>
      <c r="E171" s="126">
        <f>+'Purchased Power Model '!E171</f>
        <v>7.3406150000000003E-2</v>
      </c>
      <c r="F171" s="57">
        <f>+'Purchased Power Model '!F171</f>
        <v>31</v>
      </c>
      <c r="G171" s="57">
        <f>+'Purchased Power Model '!G171</f>
        <v>0</v>
      </c>
      <c r="H171" s="17"/>
      <c r="I171" s="222">
        <f t="shared" ca="1" si="6"/>
        <v>6380069.206902137</v>
      </c>
      <c r="J171" s="36"/>
      <c r="K171" s="5"/>
    </row>
    <row r="172" spans="1:11" x14ac:dyDescent="0.2">
      <c r="A172" s="3">
        <v>42767</v>
      </c>
      <c r="C172" s="217">
        <f>+'Purchased Power Model '!C172</f>
        <v>593.0159422472309</v>
      </c>
      <c r="D172" s="217">
        <f ca="1">+'Purchased Power Model '!D172</f>
        <v>0</v>
      </c>
      <c r="E172" s="126">
        <f>+'Purchased Power Model '!E172</f>
        <v>7.3406150000000003E-2</v>
      </c>
      <c r="F172" s="57">
        <f>+'Purchased Power Model '!F172</f>
        <v>28</v>
      </c>
      <c r="G172" s="57">
        <f>+'Purchased Power Model '!G172</f>
        <v>0</v>
      </c>
      <c r="H172" s="17"/>
      <c r="I172" s="222">
        <f t="shared" ca="1" si="6"/>
        <v>7194665.8575564306</v>
      </c>
      <c r="J172" s="36"/>
      <c r="K172" s="5"/>
    </row>
    <row r="173" spans="1:11" x14ac:dyDescent="0.2">
      <c r="A173" s="3">
        <v>42795</v>
      </c>
      <c r="C173" s="217">
        <f>+'Purchased Power Model '!C173</f>
        <v>581.9427633299706</v>
      </c>
      <c r="D173" s="217">
        <f ca="1">+'Purchased Power Model '!D173</f>
        <v>0</v>
      </c>
      <c r="E173" s="126">
        <f>+'Purchased Power Model '!E173</f>
        <v>7.3406150000000003E-2</v>
      </c>
      <c r="F173" s="57">
        <f>+'Purchased Power Model '!F173</f>
        <v>31</v>
      </c>
      <c r="G173" s="57">
        <f>+'Purchased Power Model '!G173</f>
        <v>1</v>
      </c>
      <c r="H173" s="17"/>
      <c r="I173" s="222">
        <f t="shared" ca="1" si="6"/>
        <v>5744134.8883265005</v>
      </c>
      <c r="J173" s="36"/>
      <c r="K173" s="5"/>
    </row>
    <row r="174" spans="1:11" x14ac:dyDescent="0.2">
      <c r="A174" s="3">
        <v>42826</v>
      </c>
      <c r="C174" s="217">
        <f>+'Purchased Power Model '!C174</f>
        <v>318.71870790532938</v>
      </c>
      <c r="D174" s="217">
        <f ca="1">+'Purchased Power Model '!D174</f>
        <v>0</v>
      </c>
      <c r="E174" s="126">
        <f>+'Purchased Power Model '!E174</f>
        <v>7.3406150000000003E-2</v>
      </c>
      <c r="F174" s="57">
        <f>+'Purchased Power Model '!F174</f>
        <v>30</v>
      </c>
      <c r="G174" s="57">
        <f>+'Purchased Power Model '!G174</f>
        <v>1</v>
      </c>
      <c r="H174" s="17"/>
      <c r="I174" s="222">
        <f t="shared" ca="1" si="6"/>
        <v>6750879.6270116251</v>
      </c>
      <c r="J174" s="36"/>
      <c r="K174" s="5"/>
    </row>
    <row r="175" spans="1:11" x14ac:dyDescent="0.2">
      <c r="A175" s="3">
        <v>42856</v>
      </c>
      <c r="C175" s="217">
        <f>+'Purchased Power Model '!C175</f>
        <v>137.77094699381996</v>
      </c>
      <c r="D175" s="217">
        <f ca="1">+'Purchased Power Model '!D175</f>
        <v>1.8822256462934444</v>
      </c>
      <c r="E175" s="126">
        <f>+'Purchased Power Model '!E175</f>
        <v>7.3406150000000003E-2</v>
      </c>
      <c r="F175" s="57">
        <f>+'Purchased Power Model '!F175</f>
        <v>31</v>
      </c>
      <c r="G175" s="57">
        <f>+'Purchased Power Model '!G175</f>
        <v>1</v>
      </c>
      <c r="H175" s="17"/>
      <c r="I175" s="222">
        <f t="shared" ca="1" si="6"/>
        <v>7080389.5584398014</v>
      </c>
      <c r="J175" s="36"/>
      <c r="K175" s="5"/>
    </row>
    <row r="176" spans="1:11" x14ac:dyDescent="0.2">
      <c r="A176" s="3">
        <v>42887</v>
      </c>
      <c r="C176" s="217">
        <f>+'Purchased Power Model '!C176</f>
        <v>23.090582393356748</v>
      </c>
      <c r="D176" s="217">
        <f ca="1">+'Purchased Power Model '!D176</f>
        <v>58.059421858743939</v>
      </c>
      <c r="E176" s="126">
        <f>+'Purchased Power Model '!E176</f>
        <v>7.3406150000000003E-2</v>
      </c>
      <c r="F176" s="57">
        <f>+'Purchased Power Model '!F176</f>
        <v>30</v>
      </c>
      <c r="G176" s="57">
        <f>+'Purchased Power Model '!G176</f>
        <v>0</v>
      </c>
      <c r="H176" s="17"/>
      <c r="I176" s="222">
        <f t="shared" ca="1" si="6"/>
        <v>7819641.6864568731</v>
      </c>
      <c r="J176" s="36"/>
      <c r="K176" s="5"/>
    </row>
    <row r="177" spans="1:11" x14ac:dyDescent="0.2">
      <c r="A177" s="3">
        <v>42917</v>
      </c>
      <c r="C177" s="217">
        <f>+'Purchased Power Model '!C177</f>
        <v>8.2405052407518511</v>
      </c>
      <c r="D177" s="217">
        <f ca="1">+'Purchased Power Model '!D177</f>
        <v>79.053477144324646</v>
      </c>
      <c r="E177" s="126">
        <f>+'Purchased Power Model '!E177</f>
        <v>7.3406150000000003E-2</v>
      </c>
      <c r="F177" s="57">
        <f>+'Purchased Power Model '!F177</f>
        <v>31</v>
      </c>
      <c r="G177" s="57">
        <f>+'Purchased Power Model '!G177</f>
        <v>0</v>
      </c>
      <c r="H177" s="17"/>
      <c r="I177" s="222">
        <f t="shared" ca="1" si="6"/>
        <v>7404651.5797261465</v>
      </c>
      <c r="J177" s="36"/>
      <c r="K177" s="5"/>
    </row>
    <row r="178" spans="1:11" x14ac:dyDescent="0.2">
      <c r="A178" s="3">
        <v>42948</v>
      </c>
      <c r="C178" s="217">
        <f>+'Purchased Power Model '!C178</f>
        <v>10.901501724744636</v>
      </c>
      <c r="D178" s="217">
        <f ca="1">+'Purchased Power Model '!D178</f>
        <v>83.976221142322899</v>
      </c>
      <c r="E178" s="126">
        <f>+'Purchased Power Model '!E178</f>
        <v>7.3406150000000003E-2</v>
      </c>
      <c r="F178" s="57">
        <f>+'Purchased Power Model '!F178</f>
        <v>31</v>
      </c>
      <c r="G178" s="57">
        <f>+'Purchased Power Model '!G178</f>
        <v>0</v>
      </c>
      <c r="H178" s="17"/>
      <c r="I178" s="222">
        <f t="shared" ca="1" si="6"/>
        <v>7335689.8786941655</v>
      </c>
      <c r="J178" s="36"/>
      <c r="K178" s="5"/>
    </row>
    <row r="179" spans="1:11" x14ac:dyDescent="0.2">
      <c r="A179" s="3">
        <v>42979</v>
      </c>
      <c r="C179" s="217">
        <f>+'Purchased Power Model '!C179</f>
        <v>66.439073503561801</v>
      </c>
      <c r="D179" s="217">
        <f ca="1">+'Purchased Power Model '!D179</f>
        <v>32.576982339694233</v>
      </c>
      <c r="E179" s="126">
        <f>+'Purchased Power Model '!E179</f>
        <v>7.3406150000000003E-2</v>
      </c>
      <c r="F179" s="57">
        <f>+'Purchased Power Model '!F179</f>
        <v>30</v>
      </c>
      <c r="G179" s="57">
        <f>+'Purchased Power Model '!G179</f>
        <v>1</v>
      </c>
      <c r="H179" s="17"/>
      <c r="I179" s="222">
        <f t="shared" ca="1" si="6"/>
        <v>7120584.3824408259</v>
      </c>
      <c r="J179" s="36"/>
      <c r="K179" s="5"/>
    </row>
    <row r="180" spans="1:11" x14ac:dyDescent="0.2">
      <c r="A180" s="3">
        <v>43009</v>
      </c>
      <c r="C180" s="217">
        <f>+'Purchased Power Model '!C180</f>
        <v>185.66888370569015</v>
      </c>
      <c r="D180" s="217">
        <f ca="1">+'Purchased Power Model '!D180</f>
        <v>0.72393294088209392</v>
      </c>
      <c r="E180" s="126">
        <f>+'Purchased Power Model '!E180</f>
        <v>7.3406150000000003E-2</v>
      </c>
      <c r="F180" s="57">
        <f>+'Purchased Power Model '!F180</f>
        <v>31</v>
      </c>
      <c r="G180" s="57">
        <f>+'Purchased Power Model '!G180</f>
        <v>1</v>
      </c>
      <c r="H180" s="17"/>
      <c r="I180" s="222">
        <f t="shared" ca="1" si="6"/>
        <v>6948094.8235986838</v>
      </c>
      <c r="J180" s="36"/>
      <c r="K180" s="5"/>
    </row>
    <row r="181" spans="1:11" x14ac:dyDescent="0.2">
      <c r="A181" s="3">
        <v>43040</v>
      </c>
      <c r="C181" s="217">
        <f>+'Purchased Power Model '!C181</f>
        <v>349.62060255814896</v>
      </c>
      <c r="D181" s="217">
        <f ca="1">+'Purchased Power Model '!D181</f>
        <v>0</v>
      </c>
      <c r="E181" s="126">
        <f>+'Purchased Power Model '!E181</f>
        <v>7.3406150000000003E-2</v>
      </c>
      <c r="F181" s="57">
        <f>+'Purchased Power Model '!F181</f>
        <v>30</v>
      </c>
      <c r="G181" s="57">
        <f>+'Purchased Power Model '!G181</f>
        <v>1</v>
      </c>
      <c r="H181" s="17"/>
      <c r="I181" s="222">
        <f t="shared" ca="1" si="6"/>
        <v>6656296.0030039549</v>
      </c>
      <c r="J181" s="36"/>
      <c r="K181" s="5"/>
    </row>
    <row r="182" spans="1:11" x14ac:dyDescent="0.2">
      <c r="A182" s="3">
        <v>43070</v>
      </c>
      <c r="C182" s="217">
        <f>+'Purchased Power Model '!C182</f>
        <v>473.65737415071578</v>
      </c>
      <c r="D182" s="217">
        <f ca="1">+'Purchased Power Model '!D182</f>
        <v>0</v>
      </c>
      <c r="E182" s="126">
        <f>+'Purchased Power Model '!E182</f>
        <v>7.3406150000000003E-2</v>
      </c>
      <c r="F182" s="57">
        <f>+'Purchased Power Model '!F182</f>
        <v>31</v>
      </c>
      <c r="G182" s="57">
        <f>+'Purchased Power Model '!G182</f>
        <v>0</v>
      </c>
      <c r="H182" s="17"/>
      <c r="I182" s="222">
        <f t="shared" ca="1" si="6"/>
        <v>6956766.5810600147</v>
      </c>
      <c r="J182" s="36"/>
      <c r="K182" s="5"/>
    </row>
    <row r="183" spans="1:11" x14ac:dyDescent="0.2">
      <c r="A183" s="3">
        <v>43101</v>
      </c>
      <c r="C183" s="217">
        <f>+'Purchased Power Model '!C183</f>
        <v>660.46057305386228</v>
      </c>
      <c r="D183" s="217">
        <f ca="1">+'Purchased Power Model '!D183</f>
        <v>0</v>
      </c>
      <c r="E183" s="126">
        <f>+'Purchased Power Model '!E183</f>
        <v>7.3406150000000003E-2</v>
      </c>
      <c r="F183" s="57">
        <f>+'Purchased Power Model '!F183</f>
        <v>31</v>
      </c>
      <c r="G183" s="57">
        <f>+'Purchased Power Model '!G183</f>
        <v>0</v>
      </c>
      <c r="H183" s="17"/>
      <c r="I183" s="222">
        <f t="shared" ca="1" si="6"/>
        <v>6385004.7610489838</v>
      </c>
      <c r="J183" s="36"/>
      <c r="K183" s="5"/>
    </row>
    <row r="184" spans="1:11" x14ac:dyDescent="0.2">
      <c r="A184" s="3">
        <v>43132</v>
      </c>
      <c r="C184" s="217">
        <f>+'Purchased Power Model '!C184</f>
        <v>591.57161531733539</v>
      </c>
      <c r="D184" s="217">
        <f ca="1">+'Purchased Power Model '!D184</f>
        <v>0</v>
      </c>
      <c r="E184" s="126">
        <f>+'Purchased Power Model '!E184</f>
        <v>7.3406150000000003E-2</v>
      </c>
      <c r="F184" s="57">
        <f>+'Purchased Power Model '!F184</f>
        <v>28</v>
      </c>
      <c r="G184" s="57">
        <f>+'Purchased Power Model '!G184</f>
        <v>0</v>
      </c>
      <c r="H184" s="17"/>
      <c r="I184" s="222">
        <f t="shared" ca="1" si="6"/>
        <v>7199086.6115851458</v>
      </c>
      <c r="J184" s="36"/>
      <c r="K184" s="5"/>
    </row>
    <row r="185" spans="1:11" x14ac:dyDescent="0.2">
      <c r="A185" s="3">
        <v>43160</v>
      </c>
      <c r="C185" s="217">
        <f>+'Purchased Power Model '!C185</f>
        <v>580.52540581079472</v>
      </c>
      <c r="D185" s="217">
        <f ca="1">+'Purchased Power Model '!D185</f>
        <v>0</v>
      </c>
      <c r="E185" s="126">
        <f>+'Purchased Power Model '!E185</f>
        <v>7.3406150000000003E-2</v>
      </c>
      <c r="F185" s="57">
        <f>+'Purchased Power Model '!F185</f>
        <v>31</v>
      </c>
      <c r="G185" s="57">
        <f>+'Purchased Power Model '!G185</f>
        <v>1</v>
      </c>
      <c r="H185" s="17"/>
      <c r="I185" s="222">
        <f t="shared" ca="1" si="6"/>
        <v>5748473.0951641174</v>
      </c>
      <c r="J185" s="36"/>
      <c r="K185" s="5"/>
    </row>
    <row r="186" spans="1:11" x14ac:dyDescent="0.2">
      <c r="A186" s="3">
        <v>43191</v>
      </c>
      <c r="C186" s="217">
        <f>+'Purchased Power Model '!C186</f>
        <v>317.94244882004284</v>
      </c>
      <c r="D186" s="217">
        <f ca="1">+'Purchased Power Model '!D186</f>
        <v>0</v>
      </c>
      <c r="E186" s="126">
        <f>+'Purchased Power Model '!E186</f>
        <v>7.3406150000000003E-2</v>
      </c>
      <c r="F186" s="57">
        <f>+'Purchased Power Model '!F186</f>
        <v>30</v>
      </c>
      <c r="G186" s="57">
        <f>+'Purchased Power Model '!G186</f>
        <v>1</v>
      </c>
      <c r="H186" s="17"/>
      <c r="I186" s="222">
        <f t="shared" ca="1" si="6"/>
        <v>6753255.5783337094</v>
      </c>
      <c r="J186" s="36"/>
      <c r="K186" s="5"/>
    </row>
    <row r="187" spans="1:11" x14ac:dyDescent="0.2">
      <c r="A187" s="3">
        <v>43221</v>
      </c>
      <c r="C187" s="217">
        <f>+'Purchased Power Model '!C187</f>
        <v>137.43539734882</v>
      </c>
      <c r="D187" s="217">
        <f ca="1">+'Purchased Power Model '!D187</f>
        <v>1.9004408491696605</v>
      </c>
      <c r="E187" s="126">
        <f>+'Purchased Power Model '!E187</f>
        <v>7.3406150000000003E-2</v>
      </c>
      <c r="F187" s="57">
        <f>+'Purchased Power Model '!F187</f>
        <v>31</v>
      </c>
      <c r="G187" s="57">
        <f>+'Purchased Power Model '!G187</f>
        <v>1</v>
      </c>
      <c r="H187" s="17"/>
      <c r="I187" s="222">
        <f t="shared" ca="1" si="6"/>
        <v>7081191.5631999215</v>
      </c>
      <c r="J187" s="36"/>
      <c r="K187" s="5"/>
    </row>
    <row r="188" spans="1:11" x14ac:dyDescent="0.2">
      <c r="A188" s="3">
        <v>43252</v>
      </c>
      <c r="C188" s="217">
        <f>+'Purchased Power Model '!C188</f>
        <v>23.034343854724352</v>
      </c>
      <c r="D188" s="217">
        <f ca="1">+'Purchased Power Model '!D188</f>
        <v>58.621290809002602</v>
      </c>
      <c r="E188" s="126">
        <f>+'Purchased Power Model '!E188</f>
        <v>7.3406150000000003E-2</v>
      </c>
      <c r="F188" s="57">
        <f>+'Purchased Power Model '!F188</f>
        <v>30</v>
      </c>
      <c r="G188" s="57">
        <f>+'Purchased Power Model '!G188</f>
        <v>0</v>
      </c>
      <c r="H188" s="17"/>
      <c r="I188" s="222">
        <f t="shared" ca="1" si="6"/>
        <v>7812872.3285776144</v>
      </c>
      <c r="J188" s="36"/>
      <c r="K188" s="5"/>
    </row>
    <row r="189" spans="1:11" x14ac:dyDescent="0.2">
      <c r="A189" s="3">
        <v>43282</v>
      </c>
      <c r="C189" s="217">
        <f>+'Purchased Power Model '!C189</f>
        <v>8.2204349816116657</v>
      </c>
      <c r="D189" s="217">
        <f ca="1">+'Purchased Power Model '!D189</f>
        <v>79.81851566512573</v>
      </c>
      <c r="E189" s="126">
        <f>+'Purchased Power Model '!E189</f>
        <v>7.3406150000000003E-2</v>
      </c>
      <c r="F189" s="57">
        <f>+'Purchased Power Model '!F189</f>
        <v>31</v>
      </c>
      <c r="G189" s="57">
        <f>+'Purchased Power Model '!G189</f>
        <v>0</v>
      </c>
      <c r="H189" s="17"/>
      <c r="I189" s="222">
        <f t="shared" ca="1" si="6"/>
        <v>7395261.5035146493</v>
      </c>
      <c r="J189" s="36"/>
      <c r="K189" s="5"/>
    </row>
    <row r="190" spans="1:11" x14ac:dyDescent="0.2">
      <c r="A190" s="3">
        <v>43313</v>
      </c>
      <c r="C190" s="217">
        <f>+'Purchased Power Model '!C190</f>
        <v>10.874950444423765</v>
      </c>
      <c r="D190" s="217">
        <f ca="1">+'Purchased Power Model '!D190</f>
        <v>84.788899424492527</v>
      </c>
      <c r="E190" s="126">
        <f>+'Purchased Power Model '!E190</f>
        <v>7.3406150000000003E-2</v>
      </c>
      <c r="F190" s="57">
        <f>+'Purchased Power Model '!F190</f>
        <v>31</v>
      </c>
      <c r="G190" s="57">
        <f>+'Purchased Power Model '!G190</f>
        <v>0</v>
      </c>
      <c r="H190" s="17"/>
      <c r="I190" s="222">
        <f t="shared" ca="1" si="6"/>
        <v>7325731.0840435792</v>
      </c>
      <c r="J190" s="36"/>
      <c r="K190" s="5"/>
    </row>
    <row r="191" spans="1:11" x14ac:dyDescent="0.2">
      <c r="A191" s="3">
        <v>43344</v>
      </c>
      <c r="C191" s="217">
        <f>+'Purchased Power Model '!C191</f>
        <v>66.277257039244049</v>
      </c>
      <c r="D191" s="217">
        <f ca="1">+'Purchased Power Model '!D191</f>
        <v>32.892245466397974</v>
      </c>
      <c r="E191" s="126">
        <f>+'Purchased Power Model '!E191</f>
        <v>7.3406150000000003E-2</v>
      </c>
      <c r="F191" s="57">
        <f>+'Purchased Power Model '!F191</f>
        <v>30</v>
      </c>
      <c r="G191" s="57">
        <f>+'Purchased Power Model '!G191</f>
        <v>1</v>
      </c>
      <c r="H191" s="17"/>
      <c r="I191" s="222">
        <f t="shared" ca="1" si="6"/>
        <v>7117184.8139338642</v>
      </c>
      <c r="J191" s="36"/>
      <c r="K191" s="5"/>
    </row>
    <row r="192" spans="1:11" x14ac:dyDescent="0.2">
      <c r="A192" s="3">
        <v>43374</v>
      </c>
      <c r="C192" s="217">
        <f>+'Purchased Power Model '!C192</f>
        <v>185.21667567943786</v>
      </c>
      <c r="D192" s="217">
        <f ca="1">+'Purchased Power Model '!D192</f>
        <v>0.73093878814217705</v>
      </c>
      <c r="E192" s="126">
        <f>+'Purchased Power Model '!E192</f>
        <v>7.3406150000000003E-2</v>
      </c>
      <c r="F192" s="57">
        <f>+'Purchased Power Model '!F192</f>
        <v>31</v>
      </c>
      <c r="G192" s="57">
        <f>+'Purchased Power Model '!G192</f>
        <v>1</v>
      </c>
      <c r="H192" s="17"/>
      <c r="I192" s="222">
        <f t="shared" ca="1" si="6"/>
        <v>6949392.3765672045</v>
      </c>
      <c r="J192" s="36"/>
      <c r="K192" s="5"/>
    </row>
    <row r="193" spans="1:11" x14ac:dyDescent="0.2">
      <c r="A193" s="3">
        <v>43405</v>
      </c>
      <c r="C193" s="217">
        <f>+'Purchased Power Model '!C193</f>
        <v>348.76908000108671</v>
      </c>
      <c r="D193" s="217">
        <f ca="1">+'Purchased Power Model '!D193</f>
        <v>0</v>
      </c>
      <c r="E193" s="126">
        <f>+'Purchased Power Model '!E193</f>
        <v>7.3406150000000003E-2</v>
      </c>
      <c r="F193" s="57">
        <f>+'Purchased Power Model '!F193</f>
        <v>30</v>
      </c>
      <c r="G193" s="57">
        <f>+'Purchased Power Model '!G193</f>
        <v>1</v>
      </c>
      <c r="H193" s="17"/>
      <c r="I193" s="222">
        <f t="shared" ca="1" si="6"/>
        <v>6658902.318580268</v>
      </c>
      <c r="J193" s="36"/>
      <c r="K193" s="5"/>
    </row>
    <row r="194" spans="1:11" x14ac:dyDescent="0.2">
      <c r="A194" s="3">
        <v>43435</v>
      </c>
      <c r="C194" s="217">
        <f>+'Purchased Power Model '!C194</f>
        <v>472.50375238055386</v>
      </c>
      <c r="D194" s="217">
        <f ca="1">+'Purchased Power Model '!D194</f>
        <v>0</v>
      </c>
      <c r="E194" s="126">
        <f>+'Purchased Power Model '!E194</f>
        <v>7.3406150000000003E-2</v>
      </c>
      <c r="F194" s="57">
        <f>+'Purchased Power Model '!F194</f>
        <v>31</v>
      </c>
      <c r="G194" s="57">
        <f>+'Purchased Power Model '!G194</f>
        <v>0</v>
      </c>
      <c r="H194" s="17"/>
      <c r="I194" s="222">
        <f t="shared" ca="1" si="6"/>
        <v>6960297.5531567726</v>
      </c>
      <c r="J194" s="36"/>
      <c r="K194" s="5"/>
    </row>
    <row r="195" spans="1:11" x14ac:dyDescent="0.2">
      <c r="A195" s="3">
        <v>43466</v>
      </c>
      <c r="C195" s="217">
        <f>+'Purchased Power Model '!C195</f>
        <v>658.84805317106725</v>
      </c>
      <c r="D195" s="217">
        <f ca="1">+'Purchased Power Model '!D195</f>
        <v>0</v>
      </c>
      <c r="E195" s="126">
        <f>+'Purchased Power Model '!E195</f>
        <v>7.3406150000000003E-2</v>
      </c>
      <c r="F195" s="57">
        <f>+'Purchased Power Model '!F195</f>
        <v>31</v>
      </c>
      <c r="G195" s="57">
        <f>+'Purchased Power Model '!G195</f>
        <v>0</v>
      </c>
      <c r="H195" s="17"/>
      <c r="I195" s="222">
        <f t="shared" ca="1" si="6"/>
        <v>6389940.3151958305</v>
      </c>
      <c r="J195" s="36"/>
      <c r="K195" s="5"/>
    </row>
    <row r="196" spans="1:11" x14ac:dyDescent="0.2">
      <c r="A196" s="3">
        <v>43497</v>
      </c>
      <c r="C196" s="217">
        <f>+'Purchased Power Model '!C196</f>
        <v>590.12728838743919</v>
      </c>
      <c r="D196" s="217">
        <f ca="1">+'Purchased Power Model '!D196</f>
        <v>0</v>
      </c>
      <c r="E196" s="126">
        <f>+'Purchased Power Model '!E196</f>
        <v>7.3406150000000003E-2</v>
      </c>
      <c r="F196" s="57">
        <f>+'Purchased Power Model '!F196</f>
        <v>28</v>
      </c>
      <c r="G196" s="57">
        <f>+'Purchased Power Model '!G196</f>
        <v>0</v>
      </c>
      <c r="H196" s="17"/>
      <c r="I196" s="222">
        <f t="shared" ref="I196:I206" ca="1" si="11">$N$18+C196*$N$19+D196*$N$20+E196*$N$21+F196*$N$22+G196*$N$23</f>
        <v>7203507.3656138629</v>
      </c>
      <c r="J196" s="36"/>
      <c r="K196" s="5"/>
    </row>
    <row r="197" spans="1:11" x14ac:dyDescent="0.2">
      <c r="A197" s="3">
        <v>43525</v>
      </c>
      <c r="C197" s="217">
        <f>+'Purchased Power Model '!C197</f>
        <v>579.10804829161816</v>
      </c>
      <c r="D197" s="217">
        <f ca="1">+'Purchased Power Model '!D197</f>
        <v>0</v>
      </c>
      <c r="E197" s="126">
        <f>+'Purchased Power Model '!E197</f>
        <v>7.3406150000000003E-2</v>
      </c>
      <c r="F197" s="57">
        <f>+'Purchased Power Model '!F197</f>
        <v>31</v>
      </c>
      <c r="G197" s="57">
        <f>+'Purchased Power Model '!G197</f>
        <v>1</v>
      </c>
      <c r="H197" s="17"/>
      <c r="I197" s="222">
        <f t="shared" ca="1" si="11"/>
        <v>5752811.3020017361</v>
      </c>
      <c r="J197" s="36"/>
      <c r="K197" s="5"/>
    </row>
    <row r="198" spans="1:11" x14ac:dyDescent="0.2">
      <c r="A198" s="3">
        <v>43556</v>
      </c>
      <c r="C198" s="217">
        <f>+'Purchased Power Model '!C198</f>
        <v>317.1661897347559</v>
      </c>
      <c r="D198" s="217">
        <f ca="1">+'Purchased Power Model '!D198</f>
        <v>0</v>
      </c>
      <c r="E198" s="126">
        <f>+'Purchased Power Model '!E198</f>
        <v>7.3406150000000003E-2</v>
      </c>
      <c r="F198" s="57">
        <f>+'Purchased Power Model '!F198</f>
        <v>30</v>
      </c>
      <c r="G198" s="57">
        <f>+'Purchased Power Model '!G198</f>
        <v>1</v>
      </c>
      <c r="H198" s="17"/>
      <c r="I198" s="222">
        <f t="shared" ca="1" si="11"/>
        <v>6755631.5296557955</v>
      </c>
      <c r="J198" s="36"/>
      <c r="K198" s="5"/>
    </row>
    <row r="199" spans="1:11" x14ac:dyDescent="0.2">
      <c r="A199" s="3">
        <v>43586</v>
      </c>
      <c r="C199" s="217">
        <f>+'Purchased Power Model '!C199</f>
        <v>137.09984770381988</v>
      </c>
      <c r="D199" s="217">
        <f ca="1">+'Purchased Power Model '!D199</f>
        <v>1.9186560520458842</v>
      </c>
      <c r="E199" s="126">
        <f>+'Purchased Power Model '!E199</f>
        <v>7.3406150000000003E-2</v>
      </c>
      <c r="F199" s="57">
        <f>+'Purchased Power Model '!F199</f>
        <v>31</v>
      </c>
      <c r="G199" s="57">
        <f>+'Purchased Power Model '!G199</f>
        <v>1</v>
      </c>
      <c r="H199" s="17"/>
      <c r="I199" s="222">
        <f t="shared" ca="1" si="11"/>
        <v>7081993.5679600397</v>
      </c>
      <c r="J199" s="36"/>
      <c r="K199" s="5"/>
    </row>
    <row r="200" spans="1:11" x14ac:dyDescent="0.2">
      <c r="A200" s="3">
        <v>43617</v>
      </c>
      <c r="C200" s="217">
        <f>+'Purchased Power Model '!C200</f>
        <v>22.978105316091931</v>
      </c>
      <c r="D200" s="217">
        <f ca="1">+'Purchased Power Model '!D200</f>
        <v>59.1831597592615</v>
      </c>
      <c r="E200" s="126">
        <f>+'Purchased Power Model '!E200</f>
        <v>7.3406150000000003E-2</v>
      </c>
      <c r="F200" s="57">
        <f>+'Purchased Power Model '!F200</f>
        <v>30</v>
      </c>
      <c r="G200" s="57">
        <f>+'Purchased Power Model '!G200</f>
        <v>0</v>
      </c>
      <c r="H200" s="17"/>
      <c r="I200" s="222">
        <f t="shared" ca="1" si="11"/>
        <v>7806102.9706983538</v>
      </c>
      <c r="J200" s="36"/>
      <c r="K200" s="5"/>
    </row>
    <row r="201" spans="1:11" x14ac:dyDescent="0.2">
      <c r="A201" s="3">
        <v>43647</v>
      </c>
      <c r="C201" s="217">
        <f>+'Purchased Power Model '!C201</f>
        <v>8.2003647224714715</v>
      </c>
      <c r="D201" s="217">
        <f ca="1">+'Purchased Power Model '!D201</f>
        <v>80.583554185927127</v>
      </c>
      <c r="E201" s="126">
        <f>+'Purchased Power Model '!E201</f>
        <v>7.3406150000000003E-2</v>
      </c>
      <c r="F201" s="57">
        <f>+'Purchased Power Model '!F201</f>
        <v>31</v>
      </c>
      <c r="G201" s="57">
        <f>+'Purchased Power Model '!G201</f>
        <v>0</v>
      </c>
      <c r="H201" s="17"/>
      <c r="I201" s="222">
        <f t="shared" ca="1" si="11"/>
        <v>7385871.4273031484</v>
      </c>
      <c r="J201" s="36"/>
      <c r="K201" s="5"/>
    </row>
    <row r="202" spans="1:11" x14ac:dyDescent="0.2">
      <c r="A202" s="3">
        <v>43678</v>
      </c>
      <c r="C202" s="217">
        <f>+'Purchased Power Model '!C202</f>
        <v>10.848399164102883</v>
      </c>
      <c r="D202" s="217">
        <f ca="1">+'Purchased Power Model '!D202</f>
        <v>85.601577706662511</v>
      </c>
      <c r="E202" s="126">
        <f>+'Purchased Power Model '!E202</f>
        <v>7.3406150000000003E-2</v>
      </c>
      <c r="F202" s="57">
        <f>+'Purchased Power Model '!F202</f>
        <v>31</v>
      </c>
      <c r="G202" s="57">
        <f>+'Purchased Power Model '!G202</f>
        <v>0</v>
      </c>
      <c r="H202" s="17"/>
      <c r="I202" s="222">
        <f t="shared" ca="1" si="11"/>
        <v>7315772.2893929873</v>
      </c>
      <c r="J202" s="36"/>
      <c r="K202" s="5"/>
    </row>
    <row r="203" spans="1:11" x14ac:dyDescent="0.2">
      <c r="A203" s="3">
        <v>43709</v>
      </c>
      <c r="C203" s="217">
        <f>+'Purchased Power Model '!C203</f>
        <v>66.115440574926225</v>
      </c>
      <c r="D203" s="217">
        <f ca="1">+'Purchased Power Model '!D203</f>
        <v>33.207508593101842</v>
      </c>
      <c r="E203" s="126">
        <f>+'Purchased Power Model '!E203</f>
        <v>7.3406150000000003E-2</v>
      </c>
      <c r="F203" s="57">
        <f>+'Purchased Power Model '!F203</f>
        <v>30</v>
      </c>
      <c r="G203" s="57">
        <f>+'Purchased Power Model '!G203</f>
        <v>1</v>
      </c>
      <c r="H203" s="17"/>
      <c r="I203" s="222">
        <f t="shared" ca="1" si="11"/>
        <v>7113785.2454268988</v>
      </c>
      <c r="J203" s="36"/>
      <c r="K203" s="5"/>
    </row>
    <row r="204" spans="1:11" x14ac:dyDescent="0.2">
      <c r="A204" s="3">
        <v>43739</v>
      </c>
      <c r="C204" s="217">
        <f>+'Purchased Power Model '!C204</f>
        <v>184.76446765318536</v>
      </c>
      <c r="D204" s="217">
        <f ca="1">+'Purchased Power Model '!D204</f>
        <v>0.73794463540226296</v>
      </c>
      <c r="E204" s="126">
        <f>+'Purchased Power Model '!E204</f>
        <v>7.3406150000000003E-2</v>
      </c>
      <c r="F204" s="57">
        <f>+'Purchased Power Model '!F204</f>
        <v>31</v>
      </c>
      <c r="G204" s="57">
        <f>+'Purchased Power Model '!G204</f>
        <v>1</v>
      </c>
      <c r="H204" s="17"/>
      <c r="I204" s="222">
        <f t="shared" ca="1" si="11"/>
        <v>6950689.929535727</v>
      </c>
      <c r="J204" s="36"/>
      <c r="K204" s="5"/>
    </row>
    <row r="205" spans="1:11" x14ac:dyDescent="0.2">
      <c r="A205" s="3">
        <v>43770</v>
      </c>
      <c r="C205" s="217">
        <f>+'Purchased Power Model '!C205</f>
        <v>347.91755744402406</v>
      </c>
      <c r="D205" s="217">
        <f ca="1">+'Purchased Power Model '!D205</f>
        <v>0</v>
      </c>
      <c r="E205" s="126">
        <f>+'Purchased Power Model '!E205</f>
        <v>7.3406150000000003E-2</v>
      </c>
      <c r="F205" s="57">
        <f>+'Purchased Power Model '!F205</f>
        <v>30</v>
      </c>
      <c r="G205" s="57">
        <f>+'Purchased Power Model '!G205</f>
        <v>1</v>
      </c>
      <c r="H205" s="17"/>
      <c r="I205" s="222">
        <f t="shared" ca="1" si="11"/>
        <v>6661508.6341565829</v>
      </c>
      <c r="J205" s="36"/>
      <c r="K205" s="5"/>
    </row>
    <row r="206" spans="1:11" x14ac:dyDescent="0.2">
      <c r="A206" s="3">
        <v>43800</v>
      </c>
      <c r="C206" s="217">
        <f>+'Purchased Power Model '!C206</f>
        <v>471.35013061039143</v>
      </c>
      <c r="D206" s="217">
        <f ca="1">+'Purchased Power Model '!D206</f>
        <v>0</v>
      </c>
      <c r="E206" s="126">
        <f>+'Purchased Power Model '!E206</f>
        <v>7.3406150000000003E-2</v>
      </c>
      <c r="F206" s="57">
        <f>+'Purchased Power Model '!F206</f>
        <v>31</v>
      </c>
      <c r="G206" s="57">
        <f>+'Purchased Power Model '!G206</f>
        <v>0</v>
      </c>
      <c r="H206" s="17"/>
      <c r="I206" s="222">
        <f t="shared" ca="1" si="11"/>
        <v>6963828.5252535325</v>
      </c>
      <c r="J206" s="36"/>
      <c r="K206" s="5"/>
    </row>
    <row r="207" spans="1:11" x14ac:dyDescent="0.2">
      <c r="A207" s="3"/>
      <c r="E207" s="33"/>
      <c r="F207" s="10"/>
      <c r="G207" s="10"/>
      <c r="H207" s="17"/>
    </row>
    <row r="208" spans="1:11" x14ac:dyDescent="0.2">
      <c r="A208" s="3"/>
      <c r="C208" s="18"/>
      <c r="D208" s="63" t="s">
        <v>60</v>
      </c>
      <c r="I208" s="47">
        <f ca="1">SUM(I3:I206)</f>
        <v>1417778859.1913426</v>
      </c>
    </row>
    <row r="209" spans="1:11" x14ac:dyDescent="0.2">
      <c r="A209" s="3"/>
      <c r="C209" s="23"/>
      <c r="D209" s="23"/>
      <c r="F209" s="209"/>
      <c r="G209" s="209"/>
      <c r="H209"/>
      <c r="I209" s="209"/>
      <c r="J209" s="36"/>
      <c r="K209" s="5" t="s">
        <v>201</v>
      </c>
    </row>
    <row r="210" spans="1:11" x14ac:dyDescent="0.2">
      <c r="A210" s="16">
        <v>2003</v>
      </c>
      <c r="B210" s="6">
        <f>SUM(B3:B14)</f>
        <v>96172091</v>
      </c>
      <c r="C210" s="131"/>
      <c r="D210" s="23" t="s">
        <v>200</v>
      </c>
      <c r="E210" s="132" t="s">
        <v>112</v>
      </c>
      <c r="F210" s="209"/>
      <c r="G210" s="209"/>
      <c r="H210"/>
      <c r="I210" s="6">
        <f>SUM(I3:I14)</f>
        <v>83623533.528236672</v>
      </c>
      <c r="J210" s="36">
        <f>I210-B210</f>
        <v>-12548557.471763328</v>
      </c>
      <c r="K210" s="5">
        <f>J210/B210</f>
        <v>-0.13048023955061275</v>
      </c>
    </row>
    <row r="211" spans="1:11" x14ac:dyDescent="0.2">
      <c r="A211">
        <v>2004</v>
      </c>
      <c r="B211" s="6">
        <f>SUM(B15:B26)</f>
        <v>65676068</v>
      </c>
      <c r="C211" s="131">
        <f>+B211-B210</f>
        <v>-30496023</v>
      </c>
      <c r="D211" s="133">
        <f>+C211/B210</f>
        <v>-0.31709847090669996</v>
      </c>
      <c r="E211" s="133">
        <f>RATE(1,0,-B$210,B211)</f>
        <v>-0.31709847090670001</v>
      </c>
      <c r="F211" s="209"/>
      <c r="G211" s="209"/>
      <c r="H211"/>
      <c r="I211" s="6">
        <f>SUM(I15:I26)</f>
        <v>84198363.347877845</v>
      </c>
      <c r="J211" s="36">
        <f t="shared" ref="J211:J226" si="12">I211-B211</f>
        <v>18522295.347877845</v>
      </c>
      <c r="K211" s="5">
        <f t="shared" ref="K211:K226" si="13">J211/B211</f>
        <v>0.28202503456628747</v>
      </c>
    </row>
    <row r="212" spans="1:11" x14ac:dyDescent="0.2">
      <c r="A212" s="16">
        <v>2005</v>
      </c>
      <c r="B212" s="6">
        <f>SUM(B27:B38)</f>
        <v>67016961</v>
      </c>
      <c r="C212" s="131">
        <f t="shared" ref="C212:C226" si="14">+B212-B211</f>
        <v>1340893</v>
      </c>
      <c r="D212" s="133">
        <f t="shared" ref="D212:D226" si="15">+C212/B211</f>
        <v>2.0416767337533056E-2</v>
      </c>
      <c r="E212" s="133">
        <f>RATE(2,0,-B$210,B212)</f>
        <v>-0.1652280726286709</v>
      </c>
      <c r="F212" s="209"/>
      <c r="G212" s="209"/>
      <c r="H212"/>
      <c r="I212" s="6">
        <f>SUM(I27:I38)</f>
        <v>81214310.025584564</v>
      </c>
      <c r="J212" s="36">
        <f t="shared" si="12"/>
        <v>14197349.025584564</v>
      </c>
      <c r="K212" s="5">
        <f t="shared" si="13"/>
        <v>0.21184710278916652</v>
      </c>
    </row>
    <row r="213" spans="1:11" x14ac:dyDescent="0.2">
      <c r="A213">
        <v>2006</v>
      </c>
      <c r="B213" s="6">
        <f>SUM(B39:B50)</f>
        <v>80518764</v>
      </c>
      <c r="C213" s="131">
        <f t="shared" si="14"/>
        <v>13501803</v>
      </c>
      <c r="D213" s="133">
        <f t="shared" si="15"/>
        <v>0.20146844617439458</v>
      </c>
      <c r="E213" s="133">
        <f>RATE(3,0,-B$210,B213)</f>
        <v>-5.7497132227355058E-2</v>
      </c>
      <c r="F213" s="209"/>
      <c r="G213" s="209"/>
      <c r="H213"/>
      <c r="I213" s="6">
        <f>SUM(I39:I50)</f>
        <v>83978242.93078953</v>
      </c>
      <c r="J213" s="36">
        <f t="shared" si="12"/>
        <v>3459478.9307895303</v>
      </c>
      <c r="K213" s="5">
        <f t="shared" si="13"/>
        <v>4.2964878730497286E-2</v>
      </c>
    </row>
    <row r="214" spans="1:11" x14ac:dyDescent="0.2">
      <c r="A214" s="16">
        <v>2007</v>
      </c>
      <c r="B214" s="6">
        <f>SUM(B51:B62)</f>
        <v>103869997</v>
      </c>
      <c r="C214" s="131">
        <f t="shared" si="14"/>
        <v>23351233</v>
      </c>
      <c r="D214" s="133">
        <f t="shared" si="15"/>
        <v>0.2900098292616613</v>
      </c>
      <c r="E214" s="133">
        <f>RATE(4,0,-B$210,B214)</f>
        <v>1.9436701972856671E-2</v>
      </c>
      <c r="F214" s="209"/>
      <c r="G214" s="209"/>
      <c r="H214"/>
      <c r="I214" s="6">
        <f>SUM(I51:I62)</f>
        <v>86634967.605929554</v>
      </c>
      <c r="J214" s="36">
        <f t="shared" si="12"/>
        <v>-17235029.394070446</v>
      </c>
      <c r="K214" s="5">
        <f t="shared" si="13"/>
        <v>-0.1659288523332724</v>
      </c>
    </row>
    <row r="215" spans="1:11" x14ac:dyDescent="0.2">
      <c r="A215">
        <v>2008</v>
      </c>
      <c r="B215" s="6">
        <f>SUM(B63:B74)</f>
        <v>102433272</v>
      </c>
      <c r="C215" s="131">
        <f t="shared" si="14"/>
        <v>-1436725</v>
      </c>
      <c r="D215" s="133">
        <f t="shared" si="15"/>
        <v>-1.3831953802790618E-2</v>
      </c>
      <c r="E215" s="133">
        <f>RATE(5,0,-B$210,B215)</f>
        <v>1.2694374201591701E-2</v>
      </c>
      <c r="F215" s="209"/>
      <c r="G215" s="209"/>
      <c r="H215"/>
      <c r="I215" s="6">
        <f>SUM(I63:I74)</f>
        <v>87953097.845439091</v>
      </c>
      <c r="J215" s="36">
        <f t="shared" si="12"/>
        <v>-14480174.154560909</v>
      </c>
      <c r="K215" s="5">
        <f t="shared" si="13"/>
        <v>-0.14136201911582896</v>
      </c>
    </row>
    <row r="216" spans="1:11" x14ac:dyDescent="0.2">
      <c r="A216" s="16">
        <v>2009</v>
      </c>
      <c r="B216" s="6">
        <f>SUM(B75:B86)</f>
        <v>87237589</v>
      </c>
      <c r="C216" s="131">
        <f t="shared" si="14"/>
        <v>-15195683</v>
      </c>
      <c r="D216" s="133">
        <f t="shared" si="15"/>
        <v>-0.14834714056581147</v>
      </c>
      <c r="E216" s="133">
        <f>RATE(6,0,-B$210,B216)</f>
        <v>-1.6119320003027477E-2</v>
      </c>
      <c r="F216" s="209"/>
      <c r="G216" s="209"/>
      <c r="H216"/>
      <c r="I216" s="6">
        <f>SUM(I75:I86)</f>
        <v>83150272.859497622</v>
      </c>
      <c r="J216" s="36">
        <f t="shared" si="12"/>
        <v>-4087316.1405023783</v>
      </c>
      <c r="K216" s="5">
        <f t="shared" si="13"/>
        <v>-4.68526948916754E-2</v>
      </c>
    </row>
    <row r="217" spans="1:11" x14ac:dyDescent="0.2">
      <c r="A217">
        <v>2010</v>
      </c>
      <c r="B217" s="6">
        <f>SUM(B87:B98)</f>
        <v>80783141</v>
      </c>
      <c r="C217" s="131">
        <f t="shared" si="14"/>
        <v>-6454448</v>
      </c>
      <c r="D217" s="133">
        <f t="shared" si="15"/>
        <v>-7.398700576193136E-2</v>
      </c>
      <c r="E217" s="133">
        <f>RATE(7,0,-B$210,B217)</f>
        <v>-2.4602432717810593E-2</v>
      </c>
      <c r="F217" s="209"/>
      <c r="G217" s="209"/>
      <c r="H217"/>
      <c r="I217" s="6">
        <f>SUM(I87:I98)</f>
        <v>81019892.680724561</v>
      </c>
      <c r="J217" s="36">
        <f t="shared" si="12"/>
        <v>236751.68072456121</v>
      </c>
      <c r="K217" s="5">
        <f t="shared" si="13"/>
        <v>2.9307065532963271E-3</v>
      </c>
    </row>
    <row r="218" spans="1:11" x14ac:dyDescent="0.2">
      <c r="A218">
        <v>2011</v>
      </c>
      <c r="B218" s="6">
        <f>SUM(B99:B110)</f>
        <v>79908016</v>
      </c>
      <c r="C218" s="131">
        <f t="shared" si="14"/>
        <v>-875125</v>
      </c>
      <c r="D218" s="133">
        <f t="shared" si="15"/>
        <v>-1.0833015269856862E-2</v>
      </c>
      <c r="E218" s="133">
        <f>RATE(8,0,-B$210,B218)</f>
        <v>-2.2891792793781555E-2</v>
      </c>
      <c r="F218" s="209"/>
      <c r="G218" s="209"/>
      <c r="H218"/>
      <c r="I218" s="6">
        <f>SUM(I99:I110)</f>
        <v>81700538.745293111</v>
      </c>
      <c r="J218" s="36">
        <f t="shared" si="12"/>
        <v>1792522.7452931106</v>
      </c>
      <c r="K218" s="5">
        <f t="shared" si="13"/>
        <v>2.24323270057551E-2</v>
      </c>
    </row>
    <row r="219" spans="1:11" x14ac:dyDescent="0.2">
      <c r="A219">
        <v>2012</v>
      </c>
      <c r="B219" s="6">
        <f>SUM(B111:B122)</f>
        <v>76828137</v>
      </c>
      <c r="C219" s="131">
        <f t="shared" si="14"/>
        <v>-3079879</v>
      </c>
      <c r="D219" s="133">
        <f t="shared" si="15"/>
        <v>-3.8542804016057662E-2</v>
      </c>
      <c r="E219" s="133">
        <f>RATE(9,0,-B$210,B219)</f>
        <v>-2.4643300256595783E-2</v>
      </c>
      <c r="F219" s="209"/>
      <c r="G219" s="209"/>
      <c r="H219"/>
      <c r="I219" s="6">
        <f>SUM(I111:I122)</f>
        <v>81504169.395830125</v>
      </c>
      <c r="J219" s="36">
        <f t="shared" si="12"/>
        <v>4676032.3958301246</v>
      </c>
      <c r="K219" s="5">
        <f t="shared" si="13"/>
        <v>6.0863540083369777E-2</v>
      </c>
    </row>
    <row r="220" spans="1:11" x14ac:dyDescent="0.2">
      <c r="A220">
        <v>2013</v>
      </c>
      <c r="B220" s="6">
        <f>SUM(B123:B134)</f>
        <v>79176233</v>
      </c>
      <c r="C220" s="131">
        <f t="shared" si="14"/>
        <v>2348096</v>
      </c>
      <c r="D220" s="133">
        <f t="shared" si="15"/>
        <v>3.0562969397526847E-2</v>
      </c>
      <c r="E220" s="133">
        <f>RATE(10,0,-B$210,B220)</f>
        <v>-1.9258443918046941E-2</v>
      </c>
      <c r="F220" s="209"/>
      <c r="G220" s="209"/>
      <c r="H220"/>
      <c r="I220" s="6">
        <f ca="1">SUM(I123:I134)</f>
        <v>83391089.834485412</v>
      </c>
      <c r="J220" s="36">
        <f t="shared" ca="1" si="12"/>
        <v>4214856.8344854116</v>
      </c>
      <c r="K220" s="5">
        <f t="shared" ca="1" si="13"/>
        <v>5.3233864188580574E-2</v>
      </c>
    </row>
    <row r="221" spans="1:11" x14ac:dyDescent="0.2">
      <c r="A221">
        <v>2014</v>
      </c>
      <c r="B221" s="6">
        <f>SUM(B135:B146)</f>
        <v>81400346</v>
      </c>
      <c r="C221" s="131">
        <f t="shared" ref="C221" si="16">+B221-B220</f>
        <v>2224113</v>
      </c>
      <c r="D221" s="133">
        <f t="shared" ref="D221" si="17">+C221/B220</f>
        <v>2.8090664530604784E-2</v>
      </c>
      <c r="E221" s="133">
        <f>RATE(10,0,-B$210,B221)</f>
        <v>-1.6537693497742218E-2</v>
      </c>
      <c r="F221" s="126"/>
      <c r="G221" s="209"/>
      <c r="H221"/>
      <c r="I221" s="6">
        <f>SUM(I135:I146)</f>
        <v>82652136.200311944</v>
      </c>
      <c r="J221" s="36">
        <f t="shared" si="12"/>
        <v>1251790.2003119439</v>
      </c>
      <c r="K221" s="5">
        <f t="shared" si="13"/>
        <v>1.5378192622325511E-2</v>
      </c>
    </row>
    <row r="222" spans="1:11" x14ac:dyDescent="0.2">
      <c r="A222">
        <v>2015</v>
      </c>
      <c r="B222" s="6">
        <f t="shared" ref="B222:B226" ca="1" si="18">+I222</f>
        <v>83402285.044239819</v>
      </c>
      <c r="C222" s="131">
        <f t="shared" ca="1" si="14"/>
        <v>2001939.044239819</v>
      </c>
      <c r="D222" s="133">
        <f t="shared" ca="1" si="15"/>
        <v>2.459374121382505E-2</v>
      </c>
      <c r="E222" s="133">
        <f ca="1">RATE(12,0,-B$210,B222)</f>
        <v>-1.1801764165020042E-2</v>
      </c>
      <c r="F222" s="126"/>
      <c r="G222" s="209"/>
      <c r="H222"/>
      <c r="I222" s="6">
        <f ca="1">SUM(I147:I158)</f>
        <v>83402285.044239819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t="shared" ca="1" si="18"/>
        <v>83195998.383986473</v>
      </c>
      <c r="C223" s="131">
        <f t="shared" ca="1" si="14"/>
        <v>-206286.66025334597</v>
      </c>
      <c r="D223" s="133">
        <f t="shared" ca="1" si="15"/>
        <v>-2.4733933865711652E-3</v>
      </c>
      <c r="E223" s="133">
        <f ca="1">RATE(13,0,-B$210,B223)</f>
        <v>-1.1087304704091938E-2</v>
      </c>
      <c r="F223" s="126"/>
      <c r="G223" s="209"/>
      <c r="H223"/>
      <c r="I223" s="6">
        <f ca="1">SUM(I159:I170)</f>
        <v>83195998.383986473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t="shared" ca="1" si="18"/>
        <v>83391864.073217154</v>
      </c>
      <c r="C224" s="131">
        <f t="shared" ca="1" si="14"/>
        <v>195865.68923068047</v>
      </c>
      <c r="D224" s="133">
        <f t="shared" ca="1" si="15"/>
        <v>2.3542681503342664E-3</v>
      </c>
      <c r="E224" s="133">
        <f ca="1">RATE(14,0,-B$210,B224)</f>
        <v>-1.0133198915862524E-2</v>
      </c>
      <c r="F224" s="126"/>
      <c r="G224" s="209"/>
      <c r="H224"/>
      <c r="I224" s="6">
        <f ca="1">SUM(I171:I182)</f>
        <v>83391864.073217154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83386653.587705836</v>
      </c>
      <c r="C225" s="131">
        <f t="shared" ca="1" si="14"/>
        <v>-5210.4855113178492</v>
      </c>
      <c r="D225" s="133">
        <f t="shared" ca="1" si="15"/>
        <v>-6.2481940765145852E-5</v>
      </c>
      <c r="E225" s="133">
        <f ca="1">RATE(15,0,-B$210,B225)</f>
        <v>-9.4649846083590655E-3</v>
      </c>
      <c r="F225" s="126"/>
      <c r="G225" s="209"/>
      <c r="H225"/>
      <c r="I225" s="6">
        <f ca="1">SUM(I183:I194)</f>
        <v>83386653.587705836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83381443.102194503</v>
      </c>
      <c r="C226" s="131">
        <f t="shared" ca="1" si="14"/>
        <v>-5210.4855113327503</v>
      </c>
      <c r="D226" s="133">
        <f t="shared" ca="1" si="15"/>
        <v>-6.2485845002190638E-5</v>
      </c>
      <c r="E226" s="133">
        <f ca="1">RATE(16,0,-B$210,B226)</f>
        <v>-8.8799273139690653E-3</v>
      </c>
      <c r="F226" s="126"/>
      <c r="G226" s="209"/>
      <c r="H226"/>
      <c r="I226" s="6">
        <f ca="1">SUM(I195:I206)</f>
        <v>83381443.102194503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24"/>
      <c r="D227" s="209"/>
      <c r="F227" s="209"/>
      <c r="G227" s="209"/>
      <c r="H227"/>
      <c r="J227" s="209"/>
      <c r="K227" s="209"/>
    </row>
    <row r="228" spans="1:11" x14ac:dyDescent="0.2">
      <c r="A228" t="s">
        <v>9</v>
      </c>
      <c r="B228" s="6">
        <f ca="1">SUM(B210:B226)</f>
        <v>1417778859.1913438</v>
      </c>
      <c r="C228" s="124"/>
      <c r="D228" s="209"/>
      <c r="F228" s="209"/>
      <c r="G228" s="209"/>
      <c r="H228"/>
      <c r="I228" s="6">
        <f ca="1">SUM(I210:I226)</f>
        <v>1417778859.191344</v>
      </c>
      <c r="J228" s="213">
        <f ca="1">I228-B228</f>
        <v>0</v>
      </c>
      <c r="K228" s="209"/>
    </row>
    <row r="229" spans="1:11" x14ac:dyDescent="0.2">
      <c r="C229" s="209"/>
      <c r="D229" s="209"/>
      <c r="F229" s="209"/>
      <c r="G229" s="209"/>
      <c r="H229"/>
      <c r="I229" s="209"/>
      <c r="J229" s="62"/>
      <c r="K229" s="209"/>
    </row>
    <row r="230" spans="1:11" x14ac:dyDescent="0.2">
      <c r="C230" s="209"/>
      <c r="D230" s="209"/>
      <c r="F230" s="209"/>
      <c r="G230" s="209"/>
      <c r="H230"/>
      <c r="I230" s="6">
        <f ca="1">SUM(I210:I226)</f>
        <v>1417778859.191344</v>
      </c>
      <c r="J230" s="213">
        <f ca="1">I208-I230</f>
        <v>0</v>
      </c>
      <c r="K230" s="209"/>
    </row>
    <row r="231" spans="1:11" x14ac:dyDescent="0.2">
      <c r="C231" s="209"/>
      <c r="D231" s="209"/>
      <c r="F231" s="209"/>
      <c r="G231" s="209"/>
      <c r="H231"/>
      <c r="I231" s="23"/>
      <c r="J231" s="214" t="s">
        <v>69</v>
      </c>
      <c r="K231" s="18"/>
    </row>
    <row r="232" spans="1:11" x14ac:dyDescent="0.2">
      <c r="I232" s="11"/>
      <c r="J232" s="11"/>
      <c r="K232" s="11"/>
    </row>
    <row r="244" spans="9:11" x14ac:dyDescent="0.2">
      <c r="I244" s="11"/>
      <c r="J244" s="11"/>
      <c r="K244" s="1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71"/>
  <sheetViews>
    <sheetView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4" style="6" bestFit="1" customWidth="1"/>
    <col min="10" max="10" width="22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5.5703125" style="6" bestFit="1" customWidth="1"/>
    <col min="15" max="15" width="24.28515625" style="6" bestFit="1" customWidth="1"/>
    <col min="16" max="16" width="22.7109375" style="6" bestFit="1" customWidth="1"/>
    <col min="17" max="17" width="9.5703125" style="6" bestFit="1" customWidth="1"/>
    <col min="18" max="21" width="15.5703125" bestFit="1" customWidth="1"/>
  </cols>
  <sheetData>
    <row r="2" spans="1:18" ht="42" customHeight="1" x14ac:dyDescent="0.2">
      <c r="B2" s="7" t="s">
        <v>199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20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59">
        <v>12159799</v>
      </c>
      <c r="C3" s="215">
        <f>+'Purchased Power Model '!C3</f>
        <v>786</v>
      </c>
      <c r="D3" s="215">
        <f>+'Purchased Power Model '!D3</f>
        <v>0</v>
      </c>
      <c r="E3" s="126">
        <f>+'Purchased Power Model '!E3</f>
        <v>4.7E-2</v>
      </c>
      <c r="F3" s="57">
        <f>+'Purchased Power Model '!F3</f>
        <v>31</v>
      </c>
      <c r="G3" s="57">
        <f>+'Purchased Power Model '!G3</f>
        <v>0</v>
      </c>
      <c r="H3" s="61">
        <v>2</v>
      </c>
      <c r="I3" s="222">
        <f>$N$18+C3*$N$19+D3*$N$20+E3*$N$21+F3*$N$22+G3*$N$23</f>
        <v>9593640.3660869151</v>
      </c>
      <c r="J3" s="36">
        <f>I3-B3</f>
        <v>-2566158.6339130849</v>
      </c>
      <c r="K3" s="5">
        <f>J3/B3</f>
        <v>-0.21103627074041972</v>
      </c>
      <c r="M3"/>
      <c r="N3"/>
      <c r="O3"/>
      <c r="P3"/>
      <c r="Q3"/>
    </row>
    <row r="4" spans="1:18" x14ac:dyDescent="0.2">
      <c r="A4" s="3">
        <v>37653</v>
      </c>
      <c r="B4" s="59">
        <v>15334488</v>
      </c>
      <c r="C4" s="215">
        <f>+'Purchased Power Model '!C4</f>
        <v>686.5</v>
      </c>
      <c r="D4" s="215">
        <f>+'Purchased Power Model '!D4</f>
        <v>0</v>
      </c>
      <c r="E4" s="126">
        <f>+'Purchased Power Model '!E4</f>
        <v>4.7E-2</v>
      </c>
      <c r="F4" s="57">
        <f>+'Purchased Power Model '!F4</f>
        <v>28</v>
      </c>
      <c r="G4" s="57">
        <f>+'Purchased Power Model '!G4</f>
        <v>0</v>
      </c>
      <c r="H4" s="61">
        <v>2</v>
      </c>
      <c r="I4" s="222">
        <f t="shared" ref="I4:I67" si="0">$N$18+C4*$N$19+D4*$N$20+E4*$N$21+F4*$N$22+G4*$N$23</f>
        <v>10045098.442150349</v>
      </c>
      <c r="J4" s="36">
        <f t="shared" ref="J4:J67" si="1">I4-B4</f>
        <v>-5289389.5578496512</v>
      </c>
      <c r="K4" s="5">
        <f t="shared" ref="K4:K67" si="2">J4/B4</f>
        <v>-0.34493421350942083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59">
        <v>14027949</v>
      </c>
      <c r="C5" s="215">
        <f>+'Purchased Power Model '!C5</f>
        <v>572.5</v>
      </c>
      <c r="D5" s="215">
        <f>+'Purchased Power Model '!D5</f>
        <v>0</v>
      </c>
      <c r="E5" s="126">
        <f>+'Purchased Power Model '!E5</f>
        <v>4.7E-2</v>
      </c>
      <c r="F5" s="57">
        <f>+'Purchased Power Model '!F5</f>
        <v>31</v>
      </c>
      <c r="G5" s="57">
        <f>+'Purchased Power Model '!G5</f>
        <v>1</v>
      </c>
      <c r="H5" s="61">
        <v>2</v>
      </c>
      <c r="I5" s="222">
        <f t="shared" si="0"/>
        <v>9614058.8774082977</v>
      </c>
      <c r="J5" s="36">
        <f t="shared" si="1"/>
        <v>-4413890.1225917023</v>
      </c>
      <c r="K5" s="5">
        <f t="shared" si="2"/>
        <v>-0.31464971269796477</v>
      </c>
      <c r="M5" s="35" t="s">
        <v>20</v>
      </c>
      <c r="N5" s="118">
        <v>0.71317090992368448</v>
      </c>
      <c r="O5"/>
      <c r="P5"/>
      <c r="Q5"/>
    </row>
    <row r="6" spans="1:18" x14ac:dyDescent="0.2">
      <c r="A6" s="3">
        <v>37712</v>
      </c>
      <c r="B6" s="59">
        <v>16091782.488984304</v>
      </c>
      <c r="C6" s="215">
        <f>+'Purchased Power Model '!C6</f>
        <v>403.9</v>
      </c>
      <c r="D6" s="215">
        <f>+'Purchased Power Model '!D6</f>
        <v>0</v>
      </c>
      <c r="E6" s="126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61">
        <v>2</v>
      </c>
      <c r="I6" s="222">
        <f t="shared" si="0"/>
        <v>8165697.4594987268</v>
      </c>
      <c r="J6" s="36">
        <f t="shared" si="1"/>
        <v>-7926085.0294855768</v>
      </c>
      <c r="K6" s="5">
        <f t="shared" si="2"/>
        <v>-0.492554820133283</v>
      </c>
      <c r="M6" s="35" t="s">
        <v>21</v>
      </c>
      <c r="N6" s="118">
        <v>0.50861274676137602</v>
      </c>
      <c r="O6"/>
      <c r="P6"/>
      <c r="Q6"/>
    </row>
    <row r="7" spans="1:18" x14ac:dyDescent="0.2">
      <c r="A7" s="3">
        <v>37742</v>
      </c>
      <c r="B7" s="59">
        <v>12996205.511015696</v>
      </c>
      <c r="C7" s="215">
        <f>+'Purchased Power Model '!C7</f>
        <v>192</v>
      </c>
      <c r="D7" s="215">
        <f>+'Purchased Power Model '!D7</f>
        <v>0</v>
      </c>
      <c r="E7" s="126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61">
        <v>2</v>
      </c>
      <c r="I7" s="222">
        <f t="shared" si="0"/>
        <v>7661622.7287822012</v>
      </c>
      <c r="J7" s="36">
        <f t="shared" si="1"/>
        <v>-5334582.7822334953</v>
      </c>
      <c r="K7" s="5">
        <f t="shared" si="2"/>
        <v>-0.41047233192117938</v>
      </c>
      <c r="M7" s="35" t="s">
        <v>22</v>
      </c>
      <c r="N7" s="118">
        <v>0.49080886077446934</v>
      </c>
      <c r="O7"/>
      <c r="P7"/>
      <c r="Q7"/>
    </row>
    <row r="8" spans="1:18" x14ac:dyDescent="0.2">
      <c r="A8" s="3">
        <v>37773</v>
      </c>
      <c r="B8" s="59">
        <v>14700512</v>
      </c>
      <c r="C8" s="215">
        <f>+'Purchased Power Model '!C8</f>
        <v>55.1</v>
      </c>
      <c r="D8" s="215">
        <f>+'Purchased Power Model '!D8</f>
        <v>31</v>
      </c>
      <c r="E8" s="126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61">
        <v>2</v>
      </c>
      <c r="I8" s="222">
        <f t="shared" si="0"/>
        <v>7431009.9436448831</v>
      </c>
      <c r="J8" s="36">
        <f t="shared" si="1"/>
        <v>-7269502.0563551169</v>
      </c>
      <c r="K8" s="5">
        <f t="shared" si="2"/>
        <v>-0.49450672577629384</v>
      </c>
      <c r="M8" s="35" t="s">
        <v>23</v>
      </c>
      <c r="N8" s="68">
        <v>2376565.0037404071</v>
      </c>
      <c r="O8"/>
      <c r="P8"/>
      <c r="Q8"/>
    </row>
    <row r="9" spans="1:18" ht="13.5" thickBot="1" x14ac:dyDescent="0.25">
      <c r="A9" s="3">
        <v>37803</v>
      </c>
      <c r="B9" s="59">
        <v>13956069</v>
      </c>
      <c r="C9" s="215">
        <f>+'Purchased Power Model '!C9</f>
        <v>5.7</v>
      </c>
      <c r="D9" s="215">
        <f>+'Purchased Power Model '!D9</f>
        <v>59.1</v>
      </c>
      <c r="E9" s="126">
        <f>+'Purchased Power Model '!E9</f>
        <v>5.2000000000000005E-2</v>
      </c>
      <c r="F9" s="57">
        <f>+'Purchased Power Model '!F9</f>
        <v>31</v>
      </c>
      <c r="G9" s="57">
        <f>+'Purchased Power Model '!G9</f>
        <v>0</v>
      </c>
      <c r="H9" s="61">
        <v>3</v>
      </c>
      <c r="I9" s="222">
        <f t="shared" si="0"/>
        <v>7873101.0940102665</v>
      </c>
      <c r="J9" s="36">
        <f t="shared" si="1"/>
        <v>-6082967.9059897335</v>
      </c>
      <c r="K9" s="5">
        <f t="shared" si="2"/>
        <v>-0.43586542213210133</v>
      </c>
      <c r="M9" s="51" t="s">
        <v>24</v>
      </c>
      <c r="N9" s="69">
        <v>144</v>
      </c>
      <c r="O9"/>
      <c r="P9"/>
      <c r="Q9"/>
    </row>
    <row r="10" spans="1:18" x14ac:dyDescent="0.2">
      <c r="A10" s="3">
        <v>37834</v>
      </c>
      <c r="B10" s="59">
        <v>11751775</v>
      </c>
      <c r="C10" s="215">
        <f>+'Purchased Power Model '!C10</f>
        <v>10.4</v>
      </c>
      <c r="D10" s="215">
        <f>+'Purchased Power Model '!D10</f>
        <v>106.5</v>
      </c>
      <c r="E10" s="126">
        <f>+'Purchased Power Model '!E10</f>
        <v>5.2000000000000005E-2</v>
      </c>
      <c r="F10" s="57">
        <f>+'Purchased Power Model '!F10</f>
        <v>31</v>
      </c>
      <c r="G10" s="57">
        <f>+'Purchased Power Model '!G10</f>
        <v>0</v>
      </c>
      <c r="H10" s="61">
        <v>3</v>
      </c>
      <c r="I10" s="222">
        <f t="shared" si="0"/>
        <v>8028248.0371905593</v>
      </c>
      <c r="J10" s="36">
        <f t="shared" si="1"/>
        <v>-3723526.9628094407</v>
      </c>
      <c r="K10" s="5">
        <f t="shared" si="2"/>
        <v>-0.31684804744895478</v>
      </c>
      <c r="M10"/>
      <c r="N10"/>
      <c r="O10"/>
      <c r="P10"/>
      <c r="Q10"/>
    </row>
    <row r="11" spans="1:18" ht="13.5" thickBot="1" x14ac:dyDescent="0.25">
      <c r="A11" s="3">
        <v>37865</v>
      </c>
      <c r="B11" s="59">
        <v>14022194</v>
      </c>
      <c r="C11" s="215">
        <f>+'Purchased Power Model '!C11</f>
        <v>55.2</v>
      </c>
      <c r="D11" s="215">
        <f>+'Purchased Power Model '!D11</f>
        <v>12.1</v>
      </c>
      <c r="E11" s="126">
        <f>+'Purchased Power Model '!E11</f>
        <v>5.2000000000000005E-2</v>
      </c>
      <c r="F11" s="57">
        <f>+'Purchased Power Model '!F11</f>
        <v>30</v>
      </c>
      <c r="G11" s="57">
        <f>+'Purchased Power Model '!G11</f>
        <v>1</v>
      </c>
      <c r="H11" s="61">
        <v>3</v>
      </c>
      <c r="I11" s="222">
        <f t="shared" si="0"/>
        <v>8324209.1480006957</v>
      </c>
      <c r="J11" s="36">
        <f t="shared" si="1"/>
        <v>-5697984.8519993043</v>
      </c>
      <c r="K11" s="5">
        <f t="shared" si="2"/>
        <v>-0.4063547296521004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59">
        <v>15169809</v>
      </c>
      <c r="C12" s="215">
        <f>+'Purchased Power Model '!C12</f>
        <v>289.7</v>
      </c>
      <c r="D12" s="215">
        <f>+'Purchased Power Model '!D12</f>
        <v>0</v>
      </c>
      <c r="E12" s="126">
        <f>+'Purchased Power Model '!E12</f>
        <v>4.7E-2</v>
      </c>
      <c r="F12" s="57">
        <f>+'Purchased Power Model '!F12</f>
        <v>31</v>
      </c>
      <c r="G12" s="57">
        <f>+'Purchased Power Model '!G12</f>
        <v>1</v>
      </c>
      <c r="H12" s="61">
        <v>3</v>
      </c>
      <c r="I12" s="222">
        <f t="shared" si="0"/>
        <v>9206027.5150182527</v>
      </c>
      <c r="J12" s="36">
        <f t="shared" si="1"/>
        <v>-5963781.4849817473</v>
      </c>
      <c r="K12" s="5">
        <f t="shared" si="2"/>
        <v>-0.39313490927814237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59">
        <v>14680145</v>
      </c>
      <c r="C13" s="215">
        <f>+'Purchased Power Model '!C13</f>
        <v>387.6</v>
      </c>
      <c r="D13" s="215">
        <f>+'Purchased Power Model '!D13</f>
        <v>0</v>
      </c>
      <c r="E13" s="126">
        <f>+'Purchased Power Model '!E13</f>
        <v>4.7E-2</v>
      </c>
      <c r="F13" s="57">
        <f>+'Purchased Power Model '!F13</f>
        <v>30</v>
      </c>
      <c r="G13" s="57">
        <f>+'Purchased Power Model '!G13</f>
        <v>1</v>
      </c>
      <c r="H13" s="61">
        <v>3</v>
      </c>
      <c r="I13" s="222">
        <f t="shared" si="0"/>
        <v>9545620.0133710392</v>
      </c>
      <c r="J13" s="36">
        <f t="shared" si="1"/>
        <v>-5134524.9866289608</v>
      </c>
      <c r="K13" s="5">
        <f t="shared" si="2"/>
        <v>-0.34975982775571773</v>
      </c>
      <c r="M13" s="35" t="s">
        <v>26</v>
      </c>
      <c r="N13" s="68">
        <v>5</v>
      </c>
      <c r="O13" s="68">
        <v>806755314982707.87</v>
      </c>
      <c r="P13" s="68">
        <v>161351062996541.56</v>
      </c>
      <c r="Q13" s="68">
        <v>28.567513133673167</v>
      </c>
      <c r="R13" s="68">
        <v>8.3774974694506506E-20</v>
      </c>
    </row>
    <row r="14" spans="1:18" x14ac:dyDescent="0.2">
      <c r="A14" s="3">
        <v>37956</v>
      </c>
      <c r="B14" s="59">
        <v>14366484.5</v>
      </c>
      <c r="C14" s="215">
        <f>+'Purchased Power Model '!C14</f>
        <v>548.20000000000005</v>
      </c>
      <c r="D14" s="215">
        <f>+'Purchased Power Model '!D14</f>
        <v>0</v>
      </c>
      <c r="E14" s="126">
        <f>+'Purchased Power Model '!E14</f>
        <v>4.7E-2</v>
      </c>
      <c r="F14" s="57">
        <f>+'Purchased Power Model '!F14</f>
        <v>31</v>
      </c>
      <c r="G14" s="57">
        <f>+'Purchased Power Model '!G14</f>
        <v>0</v>
      </c>
      <c r="H14" s="61">
        <v>3</v>
      </c>
      <c r="I14" s="222">
        <f t="shared" si="0"/>
        <v>9250536.2006825581</v>
      </c>
      <c r="J14" s="36">
        <f t="shared" si="1"/>
        <v>-5115948.2993174419</v>
      </c>
      <c r="K14" s="5">
        <f t="shared" si="2"/>
        <v>-0.35610300483165813</v>
      </c>
      <c r="M14" s="35" t="s">
        <v>27</v>
      </c>
      <c r="N14" s="68">
        <v>138</v>
      </c>
      <c r="O14" s="68">
        <v>779432447946502.37</v>
      </c>
      <c r="P14" s="68">
        <v>5648061217003.6406</v>
      </c>
      <c r="Q14" s="68"/>
      <c r="R14" s="68"/>
    </row>
    <row r="15" spans="1:18" ht="13.5" thickBot="1" x14ac:dyDescent="0.25">
      <c r="A15" s="3">
        <v>37987</v>
      </c>
      <c r="B15" s="59">
        <v>12464314</v>
      </c>
      <c r="C15" s="215">
        <f>+'Purchased Power Model '!C15</f>
        <v>828.8</v>
      </c>
      <c r="D15" s="215">
        <f>+'Purchased Power Model '!D15</f>
        <v>0</v>
      </c>
      <c r="E15" s="126">
        <f>+'Purchased Power Model '!E15</f>
        <v>0.05</v>
      </c>
      <c r="F15" s="57">
        <f>+'Purchased Power Model '!F15</f>
        <v>31</v>
      </c>
      <c r="G15" s="57">
        <f>+'Purchased Power Model '!G15</f>
        <v>0</v>
      </c>
      <c r="H15" s="61">
        <v>3</v>
      </c>
      <c r="I15" s="222">
        <f t="shared" si="0"/>
        <v>9187579.8020709269</v>
      </c>
      <c r="J15" s="36">
        <f t="shared" si="1"/>
        <v>-3276734.1979290731</v>
      </c>
      <c r="K15" s="5">
        <f t="shared" si="2"/>
        <v>-0.26288925310523092</v>
      </c>
      <c r="M15" s="51" t="s">
        <v>9</v>
      </c>
      <c r="N15" s="69">
        <v>143</v>
      </c>
      <c r="O15" s="69">
        <v>1586187762929210.2</v>
      </c>
      <c r="P15" s="69"/>
      <c r="Q15" s="69"/>
      <c r="R15" s="69"/>
    </row>
    <row r="16" spans="1:18" ht="13.5" thickBot="1" x14ac:dyDescent="0.25">
      <c r="A16" s="3">
        <v>38018</v>
      </c>
      <c r="B16" s="59">
        <v>12419310</v>
      </c>
      <c r="C16" s="215">
        <f>+'Purchased Power Model '!C16</f>
        <v>615.6</v>
      </c>
      <c r="D16" s="215">
        <f>+'Purchased Power Model '!D16</f>
        <v>0</v>
      </c>
      <c r="E16" s="126">
        <f>+'Purchased Power Model '!E16</f>
        <v>0.05</v>
      </c>
      <c r="F16" s="57">
        <f>+'Purchased Power Model '!F16</f>
        <v>29</v>
      </c>
      <c r="G16" s="57">
        <f>+'Purchased Power Model '!G16</f>
        <v>0</v>
      </c>
      <c r="H16" s="61">
        <v>3</v>
      </c>
      <c r="I16" s="222">
        <f t="shared" si="0"/>
        <v>9276648.7195065971</v>
      </c>
      <c r="J16" s="36">
        <f t="shared" si="1"/>
        <v>-3142661.2804934029</v>
      </c>
      <c r="K16" s="5">
        <f t="shared" si="2"/>
        <v>-0.25304636734998986</v>
      </c>
      <c r="M16"/>
      <c r="N16"/>
      <c r="O16"/>
      <c r="P16"/>
      <c r="Q16"/>
    </row>
    <row r="17" spans="1:21" x14ac:dyDescent="0.2">
      <c r="A17" s="3">
        <v>38047</v>
      </c>
      <c r="B17" s="59">
        <v>11160560</v>
      </c>
      <c r="C17" s="215">
        <f>+'Purchased Power Model '!C17</f>
        <v>487.1</v>
      </c>
      <c r="D17" s="215">
        <f>+'Purchased Power Model '!D17</f>
        <v>0</v>
      </c>
      <c r="E17" s="126">
        <f>+'Purchased Power Model '!E17</f>
        <v>0.05</v>
      </c>
      <c r="F17" s="57">
        <f>+'Purchased Power Model '!F17</f>
        <v>31</v>
      </c>
      <c r="G17" s="57">
        <f>+'Purchased Power Model '!G17</f>
        <v>1</v>
      </c>
      <c r="H17" s="61">
        <v>3</v>
      </c>
      <c r="I17" s="222">
        <f t="shared" si="0"/>
        <v>9023027.9433130864</v>
      </c>
      <c r="J17" s="36">
        <f t="shared" si="1"/>
        <v>-2137532.0566869136</v>
      </c>
      <c r="K17" s="5">
        <f t="shared" si="2"/>
        <v>-0.19152551992793493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59">
        <v>11229906</v>
      </c>
      <c r="C18" s="215">
        <f>+'Purchased Power Model '!C18</f>
        <v>345</v>
      </c>
      <c r="D18" s="215">
        <f>+'Purchased Power Model '!D18</f>
        <v>0</v>
      </c>
      <c r="E18" s="126">
        <f>+'Purchased Power Model '!E18</f>
        <v>5.4000000000000006E-2</v>
      </c>
      <c r="F18" s="57">
        <f>+'Purchased Power Model '!F18</f>
        <v>30</v>
      </c>
      <c r="G18" s="57">
        <f>+'Purchased Power Model '!G18</f>
        <v>1</v>
      </c>
      <c r="H18" s="61">
        <v>3</v>
      </c>
      <c r="I18" s="222">
        <f t="shared" si="0"/>
        <v>8392590.6677657124</v>
      </c>
      <c r="J18" s="36">
        <f t="shared" si="1"/>
        <v>-2837315.3322342876</v>
      </c>
      <c r="K18" s="5">
        <f t="shared" si="2"/>
        <v>-0.25265708655391128</v>
      </c>
      <c r="M18" s="35" t="s">
        <v>28</v>
      </c>
      <c r="N18" s="68">
        <v>21937190.492522605</v>
      </c>
      <c r="O18" s="68">
        <v>7761954.0927212695</v>
      </c>
      <c r="P18" s="68">
        <v>2.8262458435684499</v>
      </c>
      <c r="Q18" s="68">
        <v>5.4097760914678765E-3</v>
      </c>
      <c r="R18" s="68">
        <v>6589451.1719287895</v>
      </c>
      <c r="S18" s="68">
        <v>37284929.813116416</v>
      </c>
      <c r="T18" s="68">
        <v>6589451.1719287895</v>
      </c>
      <c r="U18" s="68">
        <v>37284929.813116416</v>
      </c>
    </row>
    <row r="19" spans="1:21" x14ac:dyDescent="0.2">
      <c r="A19" s="3">
        <v>38108</v>
      </c>
      <c r="B19" s="59">
        <v>10076064</v>
      </c>
      <c r="C19" s="215">
        <f>+'Purchased Power Model '!C19</f>
        <v>177.5</v>
      </c>
      <c r="D19" s="215">
        <f>+'Purchased Power Model '!D19</f>
        <v>0</v>
      </c>
      <c r="E19" s="126">
        <f>+'Purchased Power Model '!E19</f>
        <v>5.4000000000000006E-2</v>
      </c>
      <c r="F19" s="57">
        <f>+'Purchased Power Model '!F19</f>
        <v>31</v>
      </c>
      <c r="G19" s="57">
        <f>+'Purchased Power Model '!G19</f>
        <v>1</v>
      </c>
      <c r="H19" s="61">
        <v>3</v>
      </c>
      <c r="I19" s="222">
        <f t="shared" si="0"/>
        <v>7952577.4380750619</v>
      </c>
      <c r="J19" s="36">
        <f t="shared" si="1"/>
        <v>-2123486.5619249381</v>
      </c>
      <c r="K19" s="5">
        <f t="shared" si="2"/>
        <v>-0.21074564055219758</v>
      </c>
      <c r="M19" s="35" t="s">
        <v>3</v>
      </c>
      <c r="N19" s="68">
        <v>1442.8265996819118</v>
      </c>
      <c r="O19" s="68">
        <v>1209.5931139066454</v>
      </c>
      <c r="P19" s="68">
        <v>1.1928197863345864</v>
      </c>
      <c r="Q19" s="68">
        <v>0.2349868161179304</v>
      </c>
      <c r="R19" s="68">
        <v>-948.90614885795821</v>
      </c>
      <c r="S19" s="68">
        <v>3834.5593482217819</v>
      </c>
      <c r="T19" s="68">
        <v>-948.90614885795821</v>
      </c>
      <c r="U19" s="68">
        <v>3834.5593482217819</v>
      </c>
    </row>
    <row r="20" spans="1:21" x14ac:dyDescent="0.2">
      <c r="A20" s="3">
        <v>38139</v>
      </c>
      <c r="B20" s="59">
        <v>10438431</v>
      </c>
      <c r="C20" s="215">
        <f>+'Purchased Power Model '!C20</f>
        <v>73.2</v>
      </c>
      <c r="D20" s="215">
        <f>+'Purchased Power Model '!D20</f>
        <v>15.6</v>
      </c>
      <c r="E20" s="126">
        <f>+'Purchased Power Model '!E20</f>
        <v>5.4000000000000006E-2</v>
      </c>
      <c r="F20" s="57">
        <f>+'Purchased Power Model '!F20</f>
        <v>30</v>
      </c>
      <c r="G20" s="57">
        <f>+'Purchased Power Model '!G20</f>
        <v>0</v>
      </c>
      <c r="H20" s="61">
        <v>3</v>
      </c>
      <c r="I20" s="222">
        <f t="shared" si="0"/>
        <v>7720797.6115706787</v>
      </c>
      <c r="J20" s="36">
        <f t="shared" si="1"/>
        <v>-2717633.3884293213</v>
      </c>
      <c r="K20" s="5">
        <f t="shared" si="2"/>
        <v>-0.26034883867406139</v>
      </c>
      <c r="M20" s="35" t="s">
        <v>4</v>
      </c>
      <c r="N20" s="68">
        <v>3130.0771764090568</v>
      </c>
      <c r="O20" s="68">
        <v>9372.3789330484415</v>
      </c>
      <c r="P20" s="68">
        <v>0.33396826982442268</v>
      </c>
      <c r="Q20" s="68">
        <v>0.73891046600733046</v>
      </c>
      <c r="R20" s="68">
        <v>-15401.960885132998</v>
      </c>
      <c r="S20" s="68">
        <v>21662.115237951111</v>
      </c>
      <c r="T20" s="68">
        <v>-15401.960885132998</v>
      </c>
      <c r="U20" s="68">
        <v>21662.115237951111</v>
      </c>
    </row>
    <row r="21" spans="1:21" x14ac:dyDescent="0.2">
      <c r="A21" s="3">
        <v>38169</v>
      </c>
      <c r="B21" s="59">
        <v>10556569</v>
      </c>
      <c r="C21" s="215">
        <f>+'Purchased Power Model '!C21</f>
        <v>2</v>
      </c>
      <c r="D21" s="215">
        <f>+'Purchased Power Model '!D21</f>
        <v>69.3</v>
      </c>
      <c r="E21" s="126">
        <f>+'Purchased Power Model '!E21</f>
        <v>5.5E-2</v>
      </c>
      <c r="F21" s="57">
        <f>+'Purchased Power Model '!F21</f>
        <v>31</v>
      </c>
      <c r="G21" s="57">
        <f>+'Purchased Power Model '!G21</f>
        <v>0</v>
      </c>
      <c r="H21" s="61">
        <v>3</v>
      </c>
      <c r="I21" s="222">
        <f t="shared" si="0"/>
        <v>7431875.8803084409</v>
      </c>
      <c r="J21" s="36">
        <f t="shared" si="1"/>
        <v>-3124693.1196915591</v>
      </c>
      <c r="K21" s="5">
        <f t="shared" si="2"/>
        <v>-0.29599514005843747</v>
      </c>
      <c r="M21" s="35" t="s">
        <v>223</v>
      </c>
      <c r="N21" s="68">
        <v>-155937847.49412552</v>
      </c>
      <c r="O21" s="68">
        <v>13193692.952383026</v>
      </c>
      <c r="P21" s="68">
        <v>-11.819120549259125</v>
      </c>
      <c r="Q21" s="68">
        <v>1.0549295150854703E-22</v>
      </c>
      <c r="R21" s="68">
        <v>-182025783.30129778</v>
      </c>
      <c r="S21" s="68">
        <v>-129849911.68695325</v>
      </c>
      <c r="T21" s="68">
        <v>-182025783.30129778</v>
      </c>
      <c r="U21" s="68">
        <v>-129849911.68695325</v>
      </c>
    </row>
    <row r="22" spans="1:21" x14ac:dyDescent="0.2">
      <c r="A22" s="3">
        <v>38200</v>
      </c>
      <c r="B22" s="59">
        <v>4679798</v>
      </c>
      <c r="C22" s="215">
        <f>+'Purchased Power Model '!C22</f>
        <v>19.600000000000001</v>
      </c>
      <c r="D22" s="215">
        <f>+'Purchased Power Model '!D22</f>
        <v>53.6</v>
      </c>
      <c r="E22" s="126">
        <f>+'Purchased Power Model '!E22</f>
        <v>5.5E-2</v>
      </c>
      <c r="F22" s="57">
        <f>+'Purchased Power Model '!F22</f>
        <v>31</v>
      </c>
      <c r="G22" s="57">
        <f>+'Purchased Power Model '!G22</f>
        <v>0</v>
      </c>
      <c r="H22" s="61">
        <v>2</v>
      </c>
      <c r="I22" s="222">
        <f t="shared" si="0"/>
        <v>7408127.4167932188</v>
      </c>
      <c r="J22" s="36">
        <f t="shared" si="1"/>
        <v>2728329.4167932188</v>
      </c>
      <c r="K22" s="5">
        <f t="shared" si="2"/>
        <v>0.58300153485112371</v>
      </c>
      <c r="M22" s="35" t="s">
        <v>5</v>
      </c>
      <c r="N22" s="68">
        <v>-198339.77424392817</v>
      </c>
      <c r="O22" s="68">
        <v>253898.37841617494</v>
      </c>
      <c r="P22" s="68">
        <v>-0.78117779042614266</v>
      </c>
      <c r="Q22" s="68">
        <v>0.43603600049678959</v>
      </c>
      <c r="R22" s="68">
        <v>-700373.93720130867</v>
      </c>
      <c r="S22" s="68">
        <v>303694.38871345238</v>
      </c>
      <c r="T22" s="68">
        <v>-700373.93720130867</v>
      </c>
      <c r="U22" s="68">
        <v>303694.38871345238</v>
      </c>
    </row>
    <row r="23" spans="1:21" ht="13.5" thickBot="1" x14ac:dyDescent="0.25">
      <c r="A23" s="3">
        <v>38231</v>
      </c>
      <c r="B23" s="59">
        <v>7568908</v>
      </c>
      <c r="C23" s="215">
        <f>+'Purchased Power Model '!C23</f>
        <v>41.7</v>
      </c>
      <c r="D23" s="215">
        <f>+'Purchased Power Model '!D23</f>
        <v>26.7</v>
      </c>
      <c r="E23" s="126">
        <f>+'Purchased Power Model '!E23</f>
        <v>5.5E-2</v>
      </c>
      <c r="F23" s="57">
        <f>+'Purchased Power Model '!F23</f>
        <v>30</v>
      </c>
      <c r="G23" s="57">
        <f>+'Purchased Power Model '!G23</f>
        <v>1</v>
      </c>
      <c r="H23" s="61">
        <v>2</v>
      </c>
      <c r="I23" s="222">
        <f t="shared" si="0"/>
        <v>7882616.5731981853</v>
      </c>
      <c r="J23" s="36">
        <f t="shared" si="1"/>
        <v>313708.5731981853</v>
      </c>
      <c r="K23" s="5">
        <f t="shared" si="2"/>
        <v>4.1447005723703509E-2</v>
      </c>
      <c r="M23" s="51" t="s">
        <v>17</v>
      </c>
      <c r="N23" s="69">
        <v>328461.99035347125</v>
      </c>
      <c r="O23" s="69">
        <v>512090.01639844466</v>
      </c>
      <c r="P23" s="69">
        <v>0.64141455571339057</v>
      </c>
      <c r="Q23" s="69">
        <v>0.52231726027051972</v>
      </c>
      <c r="R23" s="69">
        <v>-684095.41290817305</v>
      </c>
      <c r="S23" s="69">
        <v>1341019.3936151154</v>
      </c>
      <c r="T23" s="69">
        <v>-684095.41290817305</v>
      </c>
      <c r="U23" s="69">
        <v>1341019.3936151154</v>
      </c>
    </row>
    <row r="24" spans="1:21" x14ac:dyDescent="0.2">
      <c r="A24" s="3">
        <v>38261</v>
      </c>
      <c r="B24" s="59">
        <v>6828234</v>
      </c>
      <c r="C24" s="215">
        <f>+'Purchased Power Model '!C24</f>
        <v>235</v>
      </c>
      <c r="D24" s="215">
        <f>+'Purchased Power Model '!D24</f>
        <v>0</v>
      </c>
      <c r="E24" s="126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61">
        <v>2</v>
      </c>
      <c r="I24" s="222">
        <f t="shared" si="0"/>
        <v>7411788.577580275</v>
      </c>
      <c r="J24" s="36">
        <f t="shared" si="1"/>
        <v>583554.57758027501</v>
      </c>
      <c r="K24" s="5">
        <f t="shared" si="2"/>
        <v>8.5462006366547341E-2</v>
      </c>
      <c r="M24"/>
      <c r="N24"/>
      <c r="O24"/>
      <c r="P24"/>
      <c r="Q24"/>
    </row>
    <row r="25" spans="1:21" x14ac:dyDescent="0.2">
      <c r="A25" s="3">
        <v>38292</v>
      </c>
      <c r="B25" s="59">
        <v>7250002</v>
      </c>
      <c r="C25" s="215">
        <f>+'Purchased Power Model '!C25</f>
        <v>385.7</v>
      </c>
      <c r="D25" s="215">
        <f>+'Purchased Power Model '!D25</f>
        <v>0</v>
      </c>
      <c r="E25" s="126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61">
        <v>2</v>
      </c>
      <c r="I25" s="222">
        <f t="shared" si="0"/>
        <v>7827562.3203962641</v>
      </c>
      <c r="J25" s="36">
        <f t="shared" si="1"/>
        <v>577560.32039626408</v>
      </c>
      <c r="K25" s="5">
        <f t="shared" si="2"/>
        <v>7.9663470492320421E-2</v>
      </c>
      <c r="M25"/>
      <c r="N25"/>
      <c r="O25"/>
      <c r="P25"/>
      <c r="Q25"/>
    </row>
    <row r="26" spans="1:21" x14ac:dyDescent="0.2">
      <c r="A26" s="3">
        <v>38322</v>
      </c>
      <c r="B26" s="59">
        <v>7472100</v>
      </c>
      <c r="C26" s="215">
        <f>+'Purchased Power Model '!C26</f>
        <v>627.5</v>
      </c>
      <c r="D26" s="215">
        <f>+'Purchased Power Model '!D26</f>
        <v>0</v>
      </c>
      <c r="E26" s="126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61">
        <v>2</v>
      </c>
      <c r="I26" s="222">
        <f t="shared" si="0"/>
        <v>7649636.0276019527</v>
      </c>
      <c r="J26" s="36">
        <f t="shared" si="1"/>
        <v>177536.02760195266</v>
      </c>
      <c r="K26" s="5">
        <f t="shared" si="2"/>
        <v>2.3759857015022909E-2</v>
      </c>
      <c r="M26"/>
      <c r="N26"/>
      <c r="O26"/>
      <c r="P26"/>
      <c r="Q26"/>
    </row>
    <row r="27" spans="1:21" x14ac:dyDescent="0.2">
      <c r="A27" s="3">
        <v>38353</v>
      </c>
      <c r="B27" s="59">
        <v>6007595</v>
      </c>
      <c r="C27" s="215">
        <f>+'Purchased Power Model '!C27</f>
        <v>745.5</v>
      </c>
      <c r="D27" s="215">
        <f>+'Purchased Power Model '!D27</f>
        <v>0</v>
      </c>
      <c r="E27" s="126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61">
        <v>2</v>
      </c>
      <c r="I27" s="222">
        <f t="shared" si="0"/>
        <v>5636759.7014466589</v>
      </c>
      <c r="J27" s="36">
        <f t="shared" si="1"/>
        <v>-370835.29855334107</v>
      </c>
      <c r="K27" s="5">
        <f t="shared" si="2"/>
        <v>-6.1727746053677229E-2</v>
      </c>
      <c r="M27"/>
      <c r="N27"/>
      <c r="O27"/>
      <c r="P27"/>
      <c r="Q27"/>
    </row>
    <row r="28" spans="1:21" x14ac:dyDescent="0.2">
      <c r="A28" s="3">
        <v>38384</v>
      </c>
      <c r="B28" s="59">
        <v>6533504</v>
      </c>
      <c r="C28" s="215">
        <f>+'Purchased Power Model '!C28</f>
        <v>589.5</v>
      </c>
      <c r="D28" s="215">
        <f>+'Purchased Power Model '!D28</f>
        <v>0</v>
      </c>
      <c r="E28" s="126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61">
        <v>2</v>
      </c>
      <c r="I28" s="222">
        <f t="shared" si="0"/>
        <v>6006698.0746280644</v>
      </c>
      <c r="J28" s="36">
        <f t="shared" si="1"/>
        <v>-526805.92537193559</v>
      </c>
      <c r="K28" s="5">
        <f t="shared" si="2"/>
        <v>-8.0631453714872695E-2</v>
      </c>
    </row>
    <row r="29" spans="1:21" x14ac:dyDescent="0.2">
      <c r="A29" s="3">
        <v>38412</v>
      </c>
      <c r="B29" s="59">
        <v>5745442</v>
      </c>
      <c r="C29" s="215">
        <f>+'Purchased Power Model '!C29</f>
        <v>578.29999999999995</v>
      </c>
      <c r="D29" s="215">
        <f>+'Purchased Power Model '!D29</f>
        <v>0</v>
      </c>
      <c r="E29" s="126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61">
        <v>2</v>
      </c>
      <c r="I29" s="222">
        <f t="shared" si="0"/>
        <v>5723981.0843333136</v>
      </c>
      <c r="J29" s="36">
        <f t="shared" si="1"/>
        <v>-21460.915666686371</v>
      </c>
      <c r="K29" s="5">
        <f t="shared" si="2"/>
        <v>-3.7352941108249583E-3</v>
      </c>
    </row>
    <row r="30" spans="1:21" x14ac:dyDescent="0.2">
      <c r="A30" s="3">
        <v>38443</v>
      </c>
      <c r="B30" s="59">
        <v>5866282</v>
      </c>
      <c r="C30" s="215">
        <f>+'Purchased Power Model '!C30</f>
        <v>325.3</v>
      </c>
      <c r="D30" s="215">
        <f>+'Purchased Power Model '!D30</f>
        <v>0</v>
      </c>
      <c r="E30" s="126">
        <f>+'Purchased Power Model '!E30</f>
        <v>6.4000000000000001E-2</v>
      </c>
      <c r="F30" s="57">
        <f>+'Purchased Power Model '!F30</f>
        <v>30</v>
      </c>
      <c r="G30" s="57">
        <f>+'Purchased Power Model '!G30</f>
        <v>1</v>
      </c>
      <c r="H30" s="61">
        <v>2</v>
      </c>
      <c r="I30" s="222">
        <f t="shared" si="0"/>
        <v>6804788.5088107241</v>
      </c>
      <c r="J30" s="36">
        <f t="shared" si="1"/>
        <v>938506.50881072413</v>
      </c>
      <c r="K30" s="5">
        <f t="shared" si="2"/>
        <v>0.15998319017236542</v>
      </c>
    </row>
    <row r="31" spans="1:21" x14ac:dyDescent="0.2">
      <c r="A31" s="3">
        <v>38473</v>
      </c>
      <c r="B31" s="59">
        <v>4245124</v>
      </c>
      <c r="C31" s="215">
        <f>+'Purchased Power Model '!C31</f>
        <v>216.1</v>
      </c>
      <c r="D31" s="215">
        <f>+'Purchased Power Model '!D31</f>
        <v>0.3</v>
      </c>
      <c r="E31" s="126">
        <f>+'Purchased Power Model '!E31</f>
        <v>6.4000000000000001E-2</v>
      </c>
      <c r="F31" s="57">
        <f>+'Purchased Power Model '!F31</f>
        <v>31</v>
      </c>
      <c r="G31" s="57">
        <f>+'Purchased Power Model '!G31</f>
        <v>1</v>
      </c>
      <c r="H31" s="61">
        <v>2</v>
      </c>
      <c r="I31" s="222">
        <f t="shared" si="0"/>
        <v>6449831.0930344537</v>
      </c>
      <c r="J31" s="36">
        <f t="shared" si="1"/>
        <v>2204707.0930344537</v>
      </c>
      <c r="K31" s="5">
        <f t="shared" si="2"/>
        <v>0.51935045785104361</v>
      </c>
    </row>
    <row r="32" spans="1:21" x14ac:dyDescent="0.2">
      <c r="A32" s="3">
        <v>38504</v>
      </c>
      <c r="B32" s="59">
        <v>4759004</v>
      </c>
      <c r="C32" s="215">
        <f>+'Purchased Power Model '!C32</f>
        <v>13.7</v>
      </c>
      <c r="D32" s="215">
        <f>+'Purchased Power Model '!D32</f>
        <v>89.9</v>
      </c>
      <c r="E32" s="126">
        <f>+'Purchased Power Model '!E32</f>
        <v>6.4000000000000001E-2</v>
      </c>
      <c r="F32" s="57">
        <f>+'Purchased Power Model '!F32</f>
        <v>30</v>
      </c>
      <c r="G32" s="57">
        <f>+'Purchased Power Model '!G32</f>
        <v>0</v>
      </c>
      <c r="H32" s="61">
        <v>2</v>
      </c>
      <c r="I32" s="222">
        <f t="shared" si="0"/>
        <v>6308135.6881555431</v>
      </c>
      <c r="J32" s="36">
        <f t="shared" si="1"/>
        <v>1549131.6881555431</v>
      </c>
      <c r="K32" s="5">
        <f t="shared" si="2"/>
        <v>0.32551594580621135</v>
      </c>
    </row>
    <row r="33" spans="1:11" x14ac:dyDescent="0.2">
      <c r="A33" s="3">
        <v>38534</v>
      </c>
      <c r="B33" s="59">
        <v>5063378</v>
      </c>
      <c r="C33" s="215">
        <f>+'Purchased Power Model '!C33</f>
        <v>2.2000000000000002</v>
      </c>
      <c r="D33" s="215">
        <f>+'Purchased Power Model '!D33</f>
        <v>153</v>
      </c>
      <c r="E33" s="126">
        <f>+'Purchased Power Model '!E33</f>
        <v>5.7999999999999996E-2</v>
      </c>
      <c r="F33" s="57">
        <f>+'Purchased Power Model '!F33</f>
        <v>31</v>
      </c>
      <c r="G33" s="57">
        <f>+'Purchased Power Model '!G33</f>
        <v>0</v>
      </c>
      <c r="H33" s="61">
        <v>2</v>
      </c>
      <c r="I33" s="222">
        <f t="shared" si="0"/>
        <v>7226338.3628114378</v>
      </c>
      <c r="J33" s="36">
        <f t="shared" si="1"/>
        <v>2162960.3628114378</v>
      </c>
      <c r="K33" s="5">
        <f t="shared" si="2"/>
        <v>0.42717734342793245</v>
      </c>
    </row>
    <row r="34" spans="1:11" x14ac:dyDescent="0.2">
      <c r="A34" s="3">
        <v>38565</v>
      </c>
      <c r="B34" s="59">
        <v>2558029</v>
      </c>
      <c r="C34" s="215">
        <f>+'Purchased Power Model '!C34</f>
        <v>0</v>
      </c>
      <c r="D34" s="215">
        <f>+'Purchased Power Model '!D34</f>
        <v>108</v>
      </c>
      <c r="E34" s="126">
        <f>+'Purchased Power Model '!E34</f>
        <v>5.7999999999999996E-2</v>
      </c>
      <c r="F34" s="57">
        <f>+'Purchased Power Model '!F34</f>
        <v>31</v>
      </c>
      <c r="G34" s="57">
        <f>+'Purchased Power Model '!G34</f>
        <v>0</v>
      </c>
      <c r="H34" s="61">
        <v>2</v>
      </c>
      <c r="I34" s="222">
        <f t="shared" si="0"/>
        <v>7082310.6713537304</v>
      </c>
      <c r="J34" s="36">
        <f t="shared" si="1"/>
        <v>4524281.6713537304</v>
      </c>
      <c r="K34" s="5">
        <f t="shared" si="2"/>
        <v>1.7686592573241862</v>
      </c>
    </row>
    <row r="35" spans="1:11" x14ac:dyDescent="0.2">
      <c r="A35" s="3">
        <v>38596</v>
      </c>
      <c r="B35" s="59">
        <v>5748577</v>
      </c>
      <c r="C35" s="215">
        <f>+'Purchased Power Model '!C35</f>
        <v>36.700000000000003</v>
      </c>
      <c r="D35" s="215">
        <f>+'Purchased Power Model '!D35</f>
        <v>32.799999999999997</v>
      </c>
      <c r="E35" s="126">
        <f>+'Purchased Power Model '!E35</f>
        <v>5.7999999999999996E-2</v>
      </c>
      <c r="F35" s="57">
        <f>+'Purchased Power Model '!F35</f>
        <v>30</v>
      </c>
      <c r="G35" s="57">
        <f>+'Purchased Power Model '!G35</f>
        <v>1</v>
      </c>
      <c r="H35" s="61">
        <v>2</v>
      </c>
      <c r="I35" s="222">
        <f t="shared" si="0"/>
        <v>7426682.3684934946</v>
      </c>
      <c r="J35" s="36">
        <f t="shared" si="1"/>
        <v>1678105.3684934946</v>
      </c>
      <c r="K35" s="5">
        <f t="shared" si="2"/>
        <v>0.29191665493799501</v>
      </c>
    </row>
    <row r="36" spans="1:11" x14ac:dyDescent="0.2">
      <c r="A36" s="3">
        <v>38626</v>
      </c>
      <c r="B36" s="59">
        <v>5257080</v>
      </c>
      <c r="C36" s="215">
        <f>+'Purchased Power Model '!C36</f>
        <v>223.8</v>
      </c>
      <c r="D36" s="215">
        <f>+'Purchased Power Model '!D36</f>
        <v>0.5</v>
      </c>
      <c r="E36" s="126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61">
        <v>2</v>
      </c>
      <c r="I36" s="222">
        <f t="shared" si="0"/>
        <v>5993753.3308049086</v>
      </c>
      <c r="J36" s="36">
        <f t="shared" si="1"/>
        <v>736673.33080490865</v>
      </c>
      <c r="K36" s="5">
        <f t="shared" si="2"/>
        <v>0.14012975469365288</v>
      </c>
    </row>
    <row r="37" spans="1:11" x14ac:dyDescent="0.2">
      <c r="A37" s="3">
        <v>38657</v>
      </c>
      <c r="B37" s="59">
        <v>5644531</v>
      </c>
      <c r="C37" s="215">
        <f>+'Purchased Power Model '!C37</f>
        <v>398.5</v>
      </c>
      <c r="D37" s="215">
        <f>+'Purchased Power Model '!D37</f>
        <v>0</v>
      </c>
      <c r="E37" s="126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61">
        <v>2</v>
      </c>
      <c r="I37" s="222">
        <f t="shared" si="0"/>
        <v>6442589.8734250637</v>
      </c>
      <c r="J37" s="36">
        <f t="shared" si="1"/>
        <v>798058.87342506368</v>
      </c>
      <c r="K37" s="5">
        <f t="shared" si="2"/>
        <v>0.14138621497960835</v>
      </c>
    </row>
    <row r="38" spans="1:11" x14ac:dyDescent="0.2">
      <c r="A38" s="3">
        <v>38687</v>
      </c>
      <c r="B38" s="59">
        <v>5476287</v>
      </c>
      <c r="C38" s="215">
        <f>+'Purchased Power Model '!C38</f>
        <v>641.1</v>
      </c>
      <c r="D38" s="215">
        <f>+'Purchased Power Model '!D38</f>
        <v>0</v>
      </c>
      <c r="E38" s="126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61">
        <v>2</v>
      </c>
      <c r="I38" s="222">
        <f t="shared" si="0"/>
        <v>6265817.8419104954</v>
      </c>
      <c r="J38" s="36">
        <f t="shared" si="1"/>
        <v>789530.84191049542</v>
      </c>
      <c r="K38" s="5">
        <f t="shared" si="2"/>
        <v>0.14417265601866655</v>
      </c>
    </row>
    <row r="39" spans="1:11" x14ac:dyDescent="0.2">
      <c r="A39" s="3">
        <v>38718</v>
      </c>
      <c r="B39" s="60">
        <v>4556858</v>
      </c>
      <c r="C39" s="215">
        <f>+'Purchased Power Model '!C39</f>
        <v>558.20000000000005</v>
      </c>
      <c r="D39" s="215">
        <f>+'Purchased Power Model '!D39</f>
        <v>0</v>
      </c>
      <c r="E39" s="126">
        <f>+'Purchased Power Model '!E39</f>
        <v>6.6000000000000003E-2</v>
      </c>
      <c r="F39" s="57">
        <f>+'Purchased Power Model '!F39</f>
        <v>31</v>
      </c>
      <c r="G39" s="57">
        <f>+'Purchased Power Model '!G39</f>
        <v>0</v>
      </c>
      <c r="H39" s="61">
        <v>2</v>
      </c>
      <c r="I39" s="222">
        <f t="shared" si="0"/>
        <v>6302145.364290989</v>
      </c>
      <c r="J39" s="36">
        <f t="shared" si="1"/>
        <v>1745287.364290989</v>
      </c>
      <c r="K39" s="5">
        <f t="shared" si="2"/>
        <v>0.38300235914548775</v>
      </c>
    </row>
    <row r="40" spans="1:11" x14ac:dyDescent="0.2">
      <c r="A40" s="3">
        <v>38749</v>
      </c>
      <c r="B40" s="60">
        <v>5213640</v>
      </c>
      <c r="C40" s="215">
        <f>+'Purchased Power Model '!C40</f>
        <v>608.79999999999995</v>
      </c>
      <c r="D40" s="215">
        <f>+'Purchased Power Model '!D40</f>
        <v>0</v>
      </c>
      <c r="E40" s="126">
        <f>+'Purchased Power Model '!E40</f>
        <v>6.6000000000000003E-2</v>
      </c>
      <c r="F40" s="57">
        <f>+'Purchased Power Model '!F40</f>
        <v>28</v>
      </c>
      <c r="G40" s="57">
        <f>+'Purchased Power Model '!G40</f>
        <v>0</v>
      </c>
      <c r="H40" s="61">
        <v>2</v>
      </c>
      <c r="I40" s="222">
        <f t="shared" si="0"/>
        <v>6970171.7129666787</v>
      </c>
      <c r="J40" s="36">
        <f t="shared" si="1"/>
        <v>1756531.7129666787</v>
      </c>
      <c r="K40" s="5">
        <f t="shared" si="2"/>
        <v>0.33691081719617744</v>
      </c>
    </row>
    <row r="41" spans="1:11" x14ac:dyDescent="0.2">
      <c r="A41" s="3">
        <v>38777</v>
      </c>
      <c r="B41" s="60">
        <v>5061031</v>
      </c>
      <c r="C41" s="215">
        <f>+'Purchased Power Model '!C41</f>
        <v>534</v>
      </c>
      <c r="D41" s="215">
        <f>+'Purchased Power Model '!D41</f>
        <v>0</v>
      </c>
      <c r="E41" s="126">
        <f>+'Purchased Power Model '!E41</f>
        <v>6.6000000000000003E-2</v>
      </c>
      <c r="F41" s="57">
        <f>+'Purchased Power Model '!F41</f>
        <v>31</v>
      </c>
      <c r="G41" s="57">
        <f>+'Purchased Power Model '!G41</f>
        <v>1</v>
      </c>
      <c r="H41" s="61">
        <v>2</v>
      </c>
      <c r="I41" s="222">
        <f t="shared" si="0"/>
        <v>6595690.9509321582</v>
      </c>
      <c r="J41" s="36">
        <f t="shared" si="1"/>
        <v>1534659.9509321582</v>
      </c>
      <c r="K41" s="5">
        <f t="shared" si="2"/>
        <v>0.30323069566895722</v>
      </c>
    </row>
    <row r="42" spans="1:11" x14ac:dyDescent="0.2">
      <c r="A42" s="3">
        <v>38808</v>
      </c>
      <c r="B42" s="60">
        <v>5324775</v>
      </c>
      <c r="C42" s="215">
        <f>+'Purchased Power Model '!C42</f>
        <v>323.60000000000002</v>
      </c>
      <c r="D42" s="215">
        <f>+'Purchased Power Model '!D42</f>
        <v>0</v>
      </c>
      <c r="E42" s="126">
        <f>+'Purchased Power Model '!E42</f>
        <v>6.5000000000000002E-2</v>
      </c>
      <c r="F42" s="57">
        <f>+'Purchased Power Model '!F42</f>
        <v>30</v>
      </c>
      <c r="G42" s="57">
        <f>+'Purchased Power Model '!G42</f>
        <v>1</v>
      </c>
      <c r="H42" s="61">
        <v>2</v>
      </c>
      <c r="I42" s="222">
        <f t="shared" si="0"/>
        <v>6646397.8560971385</v>
      </c>
      <c r="J42" s="36">
        <f t="shared" si="1"/>
        <v>1321622.8560971385</v>
      </c>
      <c r="K42" s="5">
        <f t="shared" si="2"/>
        <v>0.24820257308471033</v>
      </c>
    </row>
    <row r="43" spans="1:11" x14ac:dyDescent="0.2">
      <c r="A43" s="3">
        <v>38838</v>
      </c>
      <c r="B43" s="60">
        <v>4314623</v>
      </c>
      <c r="C43" s="215">
        <f>+'Purchased Power Model '!C43</f>
        <v>172.6</v>
      </c>
      <c r="D43" s="215">
        <f>+'Purchased Power Model '!D43</f>
        <v>12.8</v>
      </c>
      <c r="E43" s="126">
        <f>+'Purchased Power Model '!E43</f>
        <v>6.5000000000000002E-2</v>
      </c>
      <c r="F43" s="57">
        <f>+'Purchased Power Model '!F43</f>
        <v>31</v>
      </c>
      <c r="G43" s="57">
        <f>+'Purchased Power Model '!G43</f>
        <v>1</v>
      </c>
      <c r="H43" s="61">
        <v>2</v>
      </c>
      <c r="I43" s="222">
        <f t="shared" si="0"/>
        <v>6270256.2531592771</v>
      </c>
      <c r="J43" s="36">
        <f t="shared" si="1"/>
        <v>1955633.2531592771</v>
      </c>
      <c r="K43" s="5">
        <f t="shared" si="2"/>
        <v>0.45325704080270213</v>
      </c>
    </row>
    <row r="44" spans="1:11" x14ac:dyDescent="0.2">
      <c r="A44" s="3">
        <v>38869</v>
      </c>
      <c r="B44" s="60">
        <v>5115928</v>
      </c>
      <c r="C44" s="215">
        <f>+'Purchased Power Model '!C44</f>
        <v>22.6</v>
      </c>
      <c r="D44" s="215">
        <f>+'Purchased Power Model '!D44</f>
        <v>36.200000000000003</v>
      </c>
      <c r="E44" s="126">
        <f>+'Purchased Power Model '!E44</f>
        <v>6.5000000000000002E-2</v>
      </c>
      <c r="F44" s="57">
        <f>+'Purchased Power Model '!F44</f>
        <v>30</v>
      </c>
      <c r="G44" s="57">
        <f>+'Purchased Power Model '!G44</f>
        <v>0</v>
      </c>
      <c r="H44" s="61">
        <v>2</v>
      </c>
      <c r="I44" s="222">
        <f t="shared" si="0"/>
        <v>5996953.8530254215</v>
      </c>
      <c r="J44" s="36">
        <f t="shared" si="1"/>
        <v>881025.8530254215</v>
      </c>
      <c r="K44" s="5">
        <f t="shared" si="2"/>
        <v>0.17221232453338309</v>
      </c>
    </row>
    <row r="45" spans="1:11" x14ac:dyDescent="0.2">
      <c r="A45" s="3">
        <v>38899</v>
      </c>
      <c r="B45" s="60">
        <v>5489699</v>
      </c>
      <c r="C45" s="215">
        <f>+'Purchased Power Model '!C45</f>
        <v>1.7</v>
      </c>
      <c r="D45" s="215">
        <f>+'Purchased Power Model '!D45</f>
        <v>107.6</v>
      </c>
      <c r="E45" s="126">
        <f>+'Purchased Power Model '!E45</f>
        <v>6.7000000000000004E-2</v>
      </c>
      <c r="F45" s="57">
        <f>+'Purchased Power Model '!F45</f>
        <v>31</v>
      </c>
      <c r="G45" s="57">
        <f>+'Purchased Power Model '!G45</f>
        <v>0</v>
      </c>
      <c r="H45" s="61">
        <v>2</v>
      </c>
      <c r="I45" s="222">
        <f t="shared" si="0"/>
        <v>5680070.8182554943</v>
      </c>
      <c r="J45" s="36">
        <f t="shared" si="1"/>
        <v>190371.81825549435</v>
      </c>
      <c r="K45" s="5">
        <f t="shared" si="2"/>
        <v>3.4678006618485704E-2</v>
      </c>
    </row>
    <row r="46" spans="1:11" x14ac:dyDescent="0.2">
      <c r="A46" s="3">
        <v>38930</v>
      </c>
      <c r="B46" s="60">
        <v>3330944</v>
      </c>
      <c r="C46" s="215">
        <f>+'Purchased Power Model '!C46</f>
        <v>4.4000000000000004</v>
      </c>
      <c r="D46" s="215">
        <f>+'Purchased Power Model '!D46</f>
        <v>82.1</v>
      </c>
      <c r="E46" s="126">
        <f>+'Purchased Power Model '!E46</f>
        <v>6.7000000000000004E-2</v>
      </c>
      <c r="F46" s="57">
        <f>+'Purchased Power Model '!F46</f>
        <v>31</v>
      </c>
      <c r="G46" s="57">
        <f>+'Purchased Power Model '!G46</f>
        <v>0</v>
      </c>
      <c r="H46" s="61">
        <v>2</v>
      </c>
      <c r="I46" s="222">
        <f t="shared" si="0"/>
        <v>5604149.4820762044</v>
      </c>
      <c r="J46" s="36">
        <f t="shared" si="1"/>
        <v>2273205.4820762044</v>
      </c>
      <c r="K46" s="5">
        <f t="shared" si="2"/>
        <v>0.68245082537448976</v>
      </c>
    </row>
    <row r="47" spans="1:11" x14ac:dyDescent="0.2">
      <c r="A47" s="3">
        <v>38961</v>
      </c>
      <c r="B47" s="60">
        <v>5290589</v>
      </c>
      <c r="C47" s="215">
        <f>+'Purchased Power Model '!C47</f>
        <v>70.7</v>
      </c>
      <c r="D47" s="215">
        <f>+'Purchased Power Model '!D47</f>
        <v>5.0999999999999996</v>
      </c>
      <c r="E47" s="126">
        <f>+'Purchased Power Model '!E47</f>
        <v>6.7000000000000004E-2</v>
      </c>
      <c r="F47" s="57">
        <f>+'Purchased Power Model '!F47</f>
        <v>30</v>
      </c>
      <c r="G47" s="57">
        <f>+'Purchased Power Model '!G47</f>
        <v>1</v>
      </c>
      <c r="H47" s="61">
        <v>2</v>
      </c>
      <c r="I47" s="222">
        <f t="shared" si="0"/>
        <v>5985594.7076490158</v>
      </c>
      <c r="J47" s="36">
        <f t="shared" si="1"/>
        <v>695005.70764901582</v>
      </c>
      <c r="K47" s="5">
        <f t="shared" si="2"/>
        <v>0.1313664145237923</v>
      </c>
    </row>
    <row r="48" spans="1:11" x14ac:dyDescent="0.2">
      <c r="A48" s="3">
        <v>38991</v>
      </c>
      <c r="B48" s="60">
        <v>5101474</v>
      </c>
      <c r="C48" s="215">
        <f>+'Purchased Power Model '!C48</f>
        <v>274.60000000000002</v>
      </c>
      <c r="D48" s="215">
        <f>+'Purchased Power Model '!D48</f>
        <v>0</v>
      </c>
      <c r="E48" s="126">
        <f>+'Purchased Power Model '!E48</f>
        <v>6.8000000000000005E-2</v>
      </c>
      <c r="F48" s="57">
        <f>+'Purchased Power Model '!F48</f>
        <v>31</v>
      </c>
      <c r="G48" s="57">
        <f>+'Purchased Power Model '!G48</f>
        <v>1</v>
      </c>
      <c r="H48" s="61">
        <v>2</v>
      </c>
      <c r="I48" s="222">
        <f t="shared" si="0"/>
        <v>5909546.0359864216</v>
      </c>
      <c r="J48" s="36">
        <f t="shared" si="1"/>
        <v>808072.03598642163</v>
      </c>
      <c r="K48" s="5">
        <f t="shared" si="2"/>
        <v>0.15839971662825716</v>
      </c>
    </row>
    <row r="49" spans="1:11" x14ac:dyDescent="0.2">
      <c r="A49" s="3">
        <v>39022</v>
      </c>
      <c r="B49" s="60">
        <v>5392532</v>
      </c>
      <c r="C49" s="215">
        <f>+'Purchased Power Model '!C49</f>
        <v>367.5</v>
      </c>
      <c r="D49" s="215">
        <f>+'Purchased Power Model '!D49</f>
        <v>0</v>
      </c>
      <c r="E49" s="126">
        <f>+'Purchased Power Model '!E49</f>
        <v>6.8000000000000005E-2</v>
      </c>
      <c r="F49" s="57">
        <f>+'Purchased Power Model '!F49</f>
        <v>30</v>
      </c>
      <c r="G49" s="57">
        <f>+'Purchased Power Model '!G49</f>
        <v>1</v>
      </c>
      <c r="H49" s="61">
        <v>2</v>
      </c>
      <c r="I49" s="222">
        <f t="shared" si="0"/>
        <v>6241924.4013407985</v>
      </c>
      <c r="J49" s="36">
        <f t="shared" si="1"/>
        <v>849392.40134079847</v>
      </c>
      <c r="K49" s="5">
        <f t="shared" si="2"/>
        <v>0.15751272339984232</v>
      </c>
    </row>
    <row r="50" spans="1:11" x14ac:dyDescent="0.2">
      <c r="A50" s="3">
        <v>39052</v>
      </c>
      <c r="B50" s="60">
        <v>5462353</v>
      </c>
      <c r="C50" s="215">
        <f>+'Purchased Power Model '!C50</f>
        <v>471.5</v>
      </c>
      <c r="D50" s="215">
        <f>+'Purchased Power Model '!D50</f>
        <v>0</v>
      </c>
      <c r="E50" s="126">
        <f>+'Purchased Power Model '!E50</f>
        <v>6.8000000000000005E-2</v>
      </c>
      <c r="F50" s="57">
        <f>+'Purchased Power Model '!F50</f>
        <v>31</v>
      </c>
      <c r="G50" s="57">
        <f>+'Purchased Power Model '!G50</f>
        <v>0</v>
      </c>
      <c r="H50" s="61">
        <v>2</v>
      </c>
      <c r="I50" s="222">
        <f t="shared" si="0"/>
        <v>5865176.6031103162</v>
      </c>
      <c r="J50" s="36">
        <f t="shared" si="1"/>
        <v>402823.60311031621</v>
      </c>
      <c r="K50" s="5">
        <f t="shared" si="2"/>
        <v>7.3745435915678864E-2</v>
      </c>
    </row>
    <row r="51" spans="1:11" x14ac:dyDescent="0.2">
      <c r="A51" s="3">
        <v>39083</v>
      </c>
      <c r="B51" s="60">
        <v>4545991</v>
      </c>
      <c r="C51" s="215">
        <f>+'Purchased Power Model '!C51</f>
        <v>573.1</v>
      </c>
      <c r="D51" s="215">
        <f>+'Purchased Power Model '!D51</f>
        <v>0</v>
      </c>
      <c r="E51" s="126">
        <f>+'Purchased Power Model '!E51</f>
        <v>6.0999999999999999E-2</v>
      </c>
      <c r="F51" s="57">
        <f>+'Purchased Power Model '!F51</f>
        <v>31</v>
      </c>
      <c r="G51" s="57">
        <f>+'Purchased Power Model '!G51</f>
        <v>0</v>
      </c>
      <c r="H51" s="61">
        <v>2</v>
      </c>
      <c r="I51" s="222">
        <f t="shared" si="0"/>
        <v>7103332.7180968793</v>
      </c>
      <c r="J51" s="36">
        <f t="shared" si="1"/>
        <v>2557341.7180968793</v>
      </c>
      <c r="K51" s="5">
        <f t="shared" si="2"/>
        <v>0.56254878597359281</v>
      </c>
    </row>
    <row r="52" spans="1:11" x14ac:dyDescent="0.2">
      <c r="A52" s="3">
        <v>39114</v>
      </c>
      <c r="B52" s="60">
        <v>5217876</v>
      </c>
      <c r="C52" s="215">
        <f>+'Purchased Power Model '!C52</f>
        <v>693.5</v>
      </c>
      <c r="D52" s="215">
        <f>+'Purchased Power Model '!D52</f>
        <v>0</v>
      </c>
      <c r="E52" s="126">
        <f>+'Purchased Power Model '!E52</f>
        <v>6.0999999999999999E-2</v>
      </c>
      <c r="F52" s="57">
        <f>+'Purchased Power Model '!F52</f>
        <v>28</v>
      </c>
      <c r="G52" s="57">
        <f>+'Purchased Power Model '!G52</f>
        <v>0</v>
      </c>
      <c r="H52" s="61">
        <v>2</v>
      </c>
      <c r="I52" s="222">
        <f t="shared" si="0"/>
        <v>7872068.3634303659</v>
      </c>
      <c r="J52" s="36">
        <f t="shared" si="1"/>
        <v>2654192.3634303659</v>
      </c>
      <c r="K52" s="5">
        <f t="shared" si="2"/>
        <v>0.50867294727401835</v>
      </c>
    </row>
    <row r="53" spans="1:11" x14ac:dyDescent="0.2">
      <c r="A53" s="3">
        <v>39142</v>
      </c>
      <c r="B53" s="60">
        <v>5122252</v>
      </c>
      <c r="C53" s="215">
        <f>+'Purchased Power Model '!C53</f>
        <v>477.9</v>
      </c>
      <c r="D53" s="215">
        <f>+'Purchased Power Model '!D53</f>
        <v>0</v>
      </c>
      <c r="E53" s="126">
        <f>+'Purchased Power Model '!E53</f>
        <v>6.0999999999999999E-2</v>
      </c>
      <c r="F53" s="57">
        <f>+'Purchased Power Model '!F53</f>
        <v>31</v>
      </c>
      <c r="G53" s="57">
        <f>+'Purchased Power Model '!G53</f>
        <v>1</v>
      </c>
      <c r="H53" s="61">
        <v>2</v>
      </c>
      <c r="I53" s="222">
        <f t="shared" si="0"/>
        <v>7294437.6161606312</v>
      </c>
      <c r="J53" s="36">
        <f t="shared" si="1"/>
        <v>2172185.6161606312</v>
      </c>
      <c r="K53" s="5">
        <f t="shared" si="2"/>
        <v>0.42406847928618724</v>
      </c>
    </row>
    <row r="54" spans="1:11" x14ac:dyDescent="0.2">
      <c r="A54" s="3">
        <v>39173</v>
      </c>
      <c r="B54" s="60">
        <v>5766945</v>
      </c>
      <c r="C54" s="215">
        <f>+'Purchased Power Model '!C54</f>
        <v>280.39999999999998</v>
      </c>
      <c r="D54" s="215">
        <f>+'Purchased Power Model '!D54</f>
        <v>0</v>
      </c>
      <c r="E54" s="126">
        <f>+'Purchased Power Model '!E54</f>
        <v>0.06</v>
      </c>
      <c r="F54" s="57">
        <f>+'Purchased Power Model '!F54</f>
        <v>30</v>
      </c>
      <c r="G54" s="57">
        <f>+'Purchased Power Model '!G54</f>
        <v>1</v>
      </c>
      <c r="H54" s="61">
        <v>2</v>
      </c>
      <c r="I54" s="222">
        <f t="shared" si="0"/>
        <v>7363756.9844615078</v>
      </c>
      <c r="J54" s="36">
        <f t="shared" si="1"/>
        <v>1596811.9844615078</v>
      </c>
      <c r="K54" s="5">
        <f t="shared" si="2"/>
        <v>0.27689044796881324</v>
      </c>
    </row>
    <row r="55" spans="1:11" x14ac:dyDescent="0.2">
      <c r="A55" s="3">
        <v>39203</v>
      </c>
      <c r="B55" s="60">
        <v>5127178</v>
      </c>
      <c r="C55" s="215">
        <f>+'Purchased Power Model '!C55</f>
        <v>72.8</v>
      </c>
      <c r="D55" s="215">
        <f>+'Purchased Power Model '!D55</f>
        <v>4.5</v>
      </c>
      <c r="E55" s="126">
        <f>+'Purchased Power Model '!E55</f>
        <v>0.06</v>
      </c>
      <c r="F55" s="57">
        <f>+'Purchased Power Model '!F55</f>
        <v>31</v>
      </c>
      <c r="G55" s="57">
        <f>+'Purchased Power Model '!G55</f>
        <v>1</v>
      </c>
      <c r="H55" s="61">
        <v>2</v>
      </c>
      <c r="I55" s="222">
        <f t="shared" si="0"/>
        <v>6879971.7554174587</v>
      </c>
      <c r="J55" s="36">
        <f t="shared" si="1"/>
        <v>1752793.7554174587</v>
      </c>
      <c r="K55" s="5">
        <f t="shared" si="2"/>
        <v>0.34186325409756763</v>
      </c>
    </row>
    <row r="56" spans="1:11" x14ac:dyDescent="0.2">
      <c r="A56" s="3">
        <v>39234</v>
      </c>
      <c r="B56" s="60">
        <v>5685202</v>
      </c>
      <c r="C56" s="215">
        <f>+'Purchased Power Model '!C56</f>
        <v>6.2</v>
      </c>
      <c r="D56" s="215">
        <f>+'Purchased Power Model '!D56</f>
        <v>32.799999999999997</v>
      </c>
      <c r="E56" s="126">
        <f>+'Purchased Power Model '!E56</f>
        <v>0.06</v>
      </c>
      <c r="F56" s="57">
        <f>+'Purchased Power Model '!F56</f>
        <v>30</v>
      </c>
      <c r="G56" s="57">
        <f>+'Purchased Power Model '!G56</f>
        <v>0</v>
      </c>
      <c r="H56" s="61">
        <v>2</v>
      </c>
      <c r="I56" s="222">
        <f t="shared" si="0"/>
        <v>6742338.4718614705</v>
      </c>
      <c r="J56" s="36">
        <f t="shared" si="1"/>
        <v>1057136.4718614705</v>
      </c>
      <c r="K56" s="5">
        <f t="shared" si="2"/>
        <v>0.18594527896484073</v>
      </c>
    </row>
    <row r="57" spans="1:11" x14ac:dyDescent="0.2">
      <c r="A57" s="3">
        <v>39264</v>
      </c>
      <c r="B57" s="60">
        <v>5692333</v>
      </c>
      <c r="C57" s="215">
        <f>+'Purchased Power Model '!C57</f>
        <v>8.6999999999999993</v>
      </c>
      <c r="D57" s="215">
        <f>+'Purchased Power Model '!D57</f>
        <v>41.6</v>
      </c>
      <c r="E57" s="126">
        <f>+'Purchased Power Model '!E57</f>
        <v>6.5000000000000002E-2</v>
      </c>
      <c r="F57" s="57">
        <f>+'Purchased Power Model '!F57</f>
        <v>31</v>
      </c>
      <c r="G57" s="57">
        <f>+'Purchased Power Model '!G57</f>
        <v>0</v>
      </c>
      <c r="H57" s="61">
        <v>2</v>
      </c>
      <c r="I57" s="222">
        <f t="shared" si="0"/>
        <v>5795461.2057985263</v>
      </c>
      <c r="J57" s="36">
        <f t="shared" si="1"/>
        <v>103128.20579852629</v>
      </c>
      <c r="K57" s="5">
        <f t="shared" si="2"/>
        <v>1.8117036687510427E-2</v>
      </c>
    </row>
    <row r="58" spans="1:11" x14ac:dyDescent="0.2">
      <c r="A58" s="3">
        <v>39295</v>
      </c>
      <c r="B58" s="60">
        <v>4060885</v>
      </c>
      <c r="C58" s="215">
        <f>+'Purchased Power Model '!C58</f>
        <v>4</v>
      </c>
      <c r="D58" s="215">
        <f>+'Purchased Power Model '!D58</f>
        <v>87.8</v>
      </c>
      <c r="E58" s="126">
        <f>+'Purchased Power Model '!E58</f>
        <v>6.5000000000000002E-2</v>
      </c>
      <c r="F58" s="57">
        <f>+'Purchased Power Model '!F58</f>
        <v>31</v>
      </c>
      <c r="G58" s="57">
        <f>+'Purchased Power Model '!G58</f>
        <v>0</v>
      </c>
      <c r="H58" s="61">
        <v>2</v>
      </c>
      <c r="I58" s="222">
        <f t="shared" si="0"/>
        <v>5933289.4863301152</v>
      </c>
      <c r="J58" s="36">
        <f t="shared" si="1"/>
        <v>1872404.4863301152</v>
      </c>
      <c r="K58" s="5">
        <f t="shared" si="2"/>
        <v>0.46108286403828602</v>
      </c>
    </row>
    <row r="59" spans="1:11" x14ac:dyDescent="0.2">
      <c r="A59" s="3">
        <v>39326</v>
      </c>
      <c r="B59" s="60">
        <v>5553257</v>
      </c>
      <c r="C59" s="215">
        <f>+'Purchased Power Model '!C59</f>
        <v>20.100000000000001</v>
      </c>
      <c r="D59" s="215">
        <f>+'Purchased Power Model '!D59</f>
        <v>12.3</v>
      </c>
      <c r="E59" s="126">
        <f>+'Purchased Power Model '!E59</f>
        <v>6.5000000000000002E-2</v>
      </c>
      <c r="F59" s="57">
        <f>+'Purchased Power Model '!F59</f>
        <v>30</v>
      </c>
      <c r="G59" s="57">
        <f>+'Purchased Power Model '!G59</f>
        <v>1</v>
      </c>
      <c r="H59" s="61">
        <v>2</v>
      </c>
      <c r="I59" s="222">
        <f t="shared" si="0"/>
        <v>6246999.9323635092</v>
      </c>
      <c r="J59" s="36">
        <f t="shared" si="1"/>
        <v>693742.9323635092</v>
      </c>
      <c r="K59" s="5">
        <f t="shared" si="2"/>
        <v>0.12492541446641299</v>
      </c>
    </row>
    <row r="60" spans="1:11" x14ac:dyDescent="0.2">
      <c r="A60" s="3">
        <v>39356</v>
      </c>
      <c r="B60" s="60">
        <v>4722610</v>
      </c>
      <c r="C60" s="215">
        <f>+'Purchased Power Model '!C60</f>
        <v>101.5</v>
      </c>
      <c r="D60" s="215">
        <f>+'Purchased Power Model '!D60</f>
        <v>0</v>
      </c>
      <c r="E60" s="126">
        <f>+'Purchased Power Model '!E60</f>
        <v>6.3E-2</v>
      </c>
      <c r="F60" s="57">
        <f>+'Purchased Power Model '!F60</f>
        <v>31</v>
      </c>
      <c r="G60" s="57">
        <f>+'Purchased Power Model '!G60</f>
        <v>1</v>
      </c>
      <c r="H60" s="61">
        <v>2</v>
      </c>
      <c r="I60" s="222">
        <f t="shared" si="0"/>
        <v>6439481.9890521094</v>
      </c>
      <c r="J60" s="36">
        <f t="shared" si="1"/>
        <v>1716871.9890521094</v>
      </c>
      <c r="K60" s="5">
        <f t="shared" si="2"/>
        <v>0.36354303850034397</v>
      </c>
    </row>
    <row r="61" spans="1:11" x14ac:dyDescent="0.2">
      <c r="A61" s="3">
        <v>39387</v>
      </c>
      <c r="B61" s="60">
        <v>5138930</v>
      </c>
      <c r="C61" s="215">
        <f>+'Purchased Power Model '!C61</f>
        <v>314.10000000000002</v>
      </c>
      <c r="D61" s="215">
        <f>+'Purchased Power Model '!D61</f>
        <v>0</v>
      </c>
      <c r="E61" s="126">
        <f>+'Purchased Power Model '!E61</f>
        <v>6.3E-2</v>
      </c>
      <c r="F61" s="57">
        <f>+'Purchased Power Model '!F61</f>
        <v>30</v>
      </c>
      <c r="G61" s="57">
        <f>+'Purchased Power Model '!G61</f>
        <v>1</v>
      </c>
      <c r="H61" s="61">
        <v>2</v>
      </c>
      <c r="I61" s="222">
        <f t="shared" si="0"/>
        <v>6944566.6983884117</v>
      </c>
      <c r="J61" s="36">
        <f t="shared" si="1"/>
        <v>1805636.6983884117</v>
      </c>
      <c r="K61" s="5">
        <f t="shared" si="2"/>
        <v>0.35136433039337212</v>
      </c>
    </row>
    <row r="62" spans="1:11" x14ac:dyDescent="0.2">
      <c r="A62" s="3">
        <v>39417</v>
      </c>
      <c r="B62" s="60">
        <v>5178387</v>
      </c>
      <c r="C62" s="215">
        <f>+'Purchased Power Model '!C62</f>
        <v>337.8</v>
      </c>
      <c r="D62" s="215">
        <f>+'Purchased Power Model '!D62</f>
        <v>0</v>
      </c>
      <c r="E62" s="126">
        <f>+'Purchased Power Model '!E62</f>
        <v>6.3E-2</v>
      </c>
      <c r="F62" s="57">
        <f>+'Purchased Power Model '!F62</f>
        <v>31</v>
      </c>
      <c r="G62" s="57">
        <f>+'Purchased Power Model '!G62</f>
        <v>0</v>
      </c>
      <c r="H62" s="61">
        <v>2</v>
      </c>
      <c r="I62" s="222">
        <f t="shared" si="0"/>
        <v>6451959.924203475</v>
      </c>
      <c r="J62" s="36">
        <f t="shared" si="1"/>
        <v>1273572.924203475</v>
      </c>
      <c r="K62" s="5">
        <f t="shared" si="2"/>
        <v>0.24594008215366581</v>
      </c>
    </row>
    <row r="63" spans="1:11" x14ac:dyDescent="0.2">
      <c r="A63" s="3">
        <v>39448</v>
      </c>
      <c r="B63" s="61">
        <v>3766565</v>
      </c>
      <c r="C63" s="216">
        <f>+'Purchased Power Model '!C63</f>
        <v>432.8</v>
      </c>
      <c r="D63" s="216">
        <f>+'Purchased Power Model '!D63</f>
        <v>0</v>
      </c>
      <c r="E63" s="126">
        <f>+'Purchased Power Model '!E63</f>
        <v>6.4000000000000001E-2</v>
      </c>
      <c r="F63" s="57">
        <f>+'Purchased Power Model '!F63</f>
        <v>31</v>
      </c>
      <c r="G63" s="57">
        <f>+'Purchased Power Model '!G63</f>
        <v>0</v>
      </c>
      <c r="H63" s="61">
        <v>2</v>
      </c>
      <c r="I63" s="222">
        <f t="shared" si="0"/>
        <v>6433090.6036791289</v>
      </c>
      <c r="J63" s="36">
        <f t="shared" si="1"/>
        <v>2666525.6036791289</v>
      </c>
      <c r="K63" s="5">
        <f t="shared" si="2"/>
        <v>0.70794625970323866</v>
      </c>
    </row>
    <row r="64" spans="1:11" x14ac:dyDescent="0.2">
      <c r="A64" s="3">
        <v>39479</v>
      </c>
      <c r="B64" s="61">
        <v>3664377</v>
      </c>
      <c r="C64" s="216">
        <f>+'Purchased Power Model '!C64</f>
        <v>317.60000000000002</v>
      </c>
      <c r="D64" s="216">
        <f>+'Purchased Power Model '!D64</f>
        <v>0</v>
      </c>
      <c r="E64" s="126">
        <f>+'Purchased Power Model '!E64</f>
        <v>6.4000000000000001E-2</v>
      </c>
      <c r="F64" s="57">
        <f>+'Purchased Power Model '!F64</f>
        <v>29</v>
      </c>
      <c r="G64" s="57">
        <f>+'Purchased Power Model '!G64</f>
        <v>0</v>
      </c>
      <c r="H64" s="61">
        <v>2</v>
      </c>
      <c r="I64" s="222">
        <f t="shared" si="0"/>
        <v>6663556.5278836302</v>
      </c>
      <c r="J64" s="36">
        <f t="shared" si="1"/>
        <v>2999179.5278836302</v>
      </c>
      <c r="K64" s="5">
        <f t="shared" si="2"/>
        <v>0.81846914984010388</v>
      </c>
    </row>
    <row r="65" spans="1:17" x14ac:dyDescent="0.2">
      <c r="A65" s="3">
        <v>39508</v>
      </c>
      <c r="B65" s="61">
        <v>3693203</v>
      </c>
      <c r="C65" s="216">
        <f>+'Purchased Power Model '!C65</f>
        <v>430</v>
      </c>
      <c r="D65" s="216">
        <f>+'Purchased Power Model '!D65</f>
        <v>0</v>
      </c>
      <c r="E65" s="126">
        <f>+'Purchased Power Model '!E65</f>
        <v>6.4000000000000001E-2</v>
      </c>
      <c r="F65" s="57">
        <f>+'Purchased Power Model '!F65</f>
        <v>31</v>
      </c>
      <c r="G65" s="57">
        <f>+'Purchased Power Model '!G65</f>
        <v>1</v>
      </c>
      <c r="H65" s="61">
        <v>2</v>
      </c>
      <c r="I65" s="222">
        <f t="shared" si="0"/>
        <v>6757512.6795534939</v>
      </c>
      <c r="J65" s="36">
        <f t="shared" si="1"/>
        <v>3064309.6795534939</v>
      </c>
      <c r="K65" s="5">
        <f t="shared" si="2"/>
        <v>0.82971601603093403</v>
      </c>
    </row>
    <row r="66" spans="1:17" x14ac:dyDescent="0.2">
      <c r="A66" s="3">
        <v>39539</v>
      </c>
      <c r="B66" s="61">
        <v>3278711</v>
      </c>
      <c r="C66" s="216">
        <f>+'Purchased Power Model '!C66</f>
        <v>144.6</v>
      </c>
      <c r="D66" s="216">
        <f>+'Purchased Power Model '!D66</f>
        <v>0</v>
      </c>
      <c r="E66" s="126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61">
        <v>2</v>
      </c>
      <c r="I66" s="222">
        <f t="shared" si="0"/>
        <v>4984691.2673069453</v>
      </c>
      <c r="J66" s="36">
        <f t="shared" si="1"/>
        <v>1705980.2673069453</v>
      </c>
      <c r="K66" s="5">
        <f t="shared" si="2"/>
        <v>0.52032041473217527</v>
      </c>
    </row>
    <row r="67" spans="1:17" x14ac:dyDescent="0.2">
      <c r="A67" s="3">
        <v>39569</v>
      </c>
      <c r="B67" s="61">
        <v>3060394</v>
      </c>
      <c r="C67" s="216">
        <f>+'Purchased Power Model '!C67</f>
        <v>151</v>
      </c>
      <c r="D67" s="216">
        <f>+'Purchased Power Model '!D67</f>
        <v>0</v>
      </c>
      <c r="E67" s="126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61">
        <v>2</v>
      </c>
      <c r="I67" s="222">
        <f t="shared" si="0"/>
        <v>4795585.5833009817</v>
      </c>
      <c r="J67" s="36">
        <f t="shared" si="1"/>
        <v>1735191.5833009817</v>
      </c>
      <c r="K67" s="5">
        <f t="shared" si="2"/>
        <v>0.56698306927179365</v>
      </c>
    </row>
    <row r="68" spans="1:17" x14ac:dyDescent="0.2">
      <c r="A68" s="3">
        <v>39600</v>
      </c>
      <c r="B68" s="61">
        <v>3072635</v>
      </c>
      <c r="C68" s="216">
        <f>+'Purchased Power Model '!C68</f>
        <v>15.5</v>
      </c>
      <c r="D68" s="216">
        <f>+'Purchased Power Model '!D68</f>
        <v>23.6</v>
      </c>
      <c r="E68" s="126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61">
        <v>2</v>
      </c>
      <c r="I68" s="222">
        <f t="shared" ref="I68:I131" si="3">$N$18+C68*$N$19+D68*$N$20+E68*$N$21+F68*$N$22+G68*$N$23</f>
        <v>4543830.1842977926</v>
      </c>
      <c r="J68" s="36">
        <f t="shared" ref="J68:J131" si="4">I68-B68</f>
        <v>1471195.1842977926</v>
      </c>
      <c r="K68" s="5">
        <f t="shared" ref="K68:K131" si="5">J68/B68</f>
        <v>0.47880571050508525</v>
      </c>
    </row>
    <row r="69" spans="1:17" x14ac:dyDescent="0.2">
      <c r="A69" s="3">
        <v>39630</v>
      </c>
      <c r="B69" s="61">
        <v>3517541</v>
      </c>
      <c r="C69" s="216">
        <f>+'Purchased Power Model '!C69</f>
        <v>1</v>
      </c>
      <c r="D69" s="216">
        <f>+'Purchased Power Model '!D69</f>
        <v>61.4</v>
      </c>
      <c r="E69" s="126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61">
        <v>2</v>
      </c>
      <c r="I69" s="222">
        <f t="shared" si="3"/>
        <v>5378513.426591496</v>
      </c>
      <c r="J69" s="36">
        <f t="shared" si="4"/>
        <v>1860972.426591496</v>
      </c>
      <c r="K69" s="5">
        <f t="shared" si="5"/>
        <v>0.5290549354197992</v>
      </c>
    </row>
    <row r="70" spans="1:17" x14ac:dyDescent="0.2">
      <c r="A70" s="3">
        <v>39661</v>
      </c>
      <c r="B70" s="61">
        <v>2956895</v>
      </c>
      <c r="C70" s="216">
        <f>+'Purchased Power Model '!C70</f>
        <v>13.8</v>
      </c>
      <c r="D70" s="216">
        <f>+'Purchased Power Model '!D70</f>
        <v>29.9</v>
      </c>
      <c r="E70" s="126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61">
        <v>2</v>
      </c>
      <c r="I70" s="222">
        <f t="shared" si="3"/>
        <v>5298384.176010537</v>
      </c>
      <c r="J70" s="36">
        <f t="shared" si="4"/>
        <v>2341489.176010537</v>
      </c>
      <c r="K70" s="5">
        <f t="shared" si="5"/>
        <v>0.7918743059900798</v>
      </c>
    </row>
    <row r="71" spans="1:17" x14ac:dyDescent="0.2">
      <c r="A71" s="3">
        <v>39692</v>
      </c>
      <c r="B71" s="61">
        <v>2964191</v>
      </c>
      <c r="C71" s="216">
        <f>+'Purchased Power Model '!C71</f>
        <v>51.6</v>
      </c>
      <c r="D71" s="216">
        <f>+'Purchased Power Model '!D71</f>
        <v>15.1</v>
      </c>
      <c r="E71" s="126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61">
        <v>3</v>
      </c>
      <c r="I71" s="222">
        <f t="shared" si="3"/>
        <v>5833399.6438650573</v>
      </c>
      <c r="J71" s="36">
        <f t="shared" si="4"/>
        <v>2869208.6438650573</v>
      </c>
      <c r="K71" s="5">
        <f t="shared" si="5"/>
        <v>0.96795673553595474</v>
      </c>
    </row>
    <row r="72" spans="1:17" x14ac:dyDescent="0.2">
      <c r="A72" s="3">
        <v>39722</v>
      </c>
      <c r="B72" s="61">
        <v>5786813</v>
      </c>
      <c r="C72" s="216">
        <f>+'Purchased Power Model '!C72</f>
        <v>203.1</v>
      </c>
      <c r="D72" s="216">
        <f>+'Purchased Power Model '!D72</f>
        <v>0</v>
      </c>
      <c r="E72" s="126">
        <f>+'Purchased Power Model '!E72</f>
        <v>7.9000000000000001E-2</v>
      </c>
      <c r="F72" s="57">
        <f>+'Purchased Power Model '!F72</f>
        <v>31</v>
      </c>
      <c r="G72" s="57">
        <f>+'Purchased Power Model '!G72</f>
        <v>1</v>
      </c>
      <c r="H72" s="61">
        <v>3</v>
      </c>
      <c r="I72" s="222">
        <f t="shared" si="3"/>
        <v>4091067.6116737849</v>
      </c>
      <c r="J72" s="36">
        <f t="shared" si="4"/>
        <v>-1695745.3883262151</v>
      </c>
      <c r="K72" s="5">
        <f t="shared" si="5"/>
        <v>-0.29303614758697322</v>
      </c>
    </row>
    <row r="73" spans="1:17" x14ac:dyDescent="0.2">
      <c r="A73" s="3">
        <v>39753</v>
      </c>
      <c r="B73" s="61">
        <v>5505321</v>
      </c>
      <c r="C73" s="216">
        <f>+'Purchased Power Model '!C73</f>
        <v>268.8</v>
      </c>
      <c r="D73" s="216">
        <f>+'Purchased Power Model '!D73</f>
        <v>0</v>
      </c>
      <c r="E73" s="126">
        <f>+'Purchased Power Model '!E73</f>
        <v>7.9000000000000001E-2</v>
      </c>
      <c r="F73" s="57">
        <f>+'Purchased Power Model '!F73</f>
        <v>30</v>
      </c>
      <c r="G73" s="57">
        <f>+'Purchased Power Model '!G73</f>
        <v>1</v>
      </c>
      <c r="H73" s="61">
        <v>3</v>
      </c>
      <c r="I73" s="222">
        <f t="shared" si="3"/>
        <v>4384201.0935168127</v>
      </c>
      <c r="J73" s="36">
        <f t="shared" si="4"/>
        <v>-1121119.9064831873</v>
      </c>
      <c r="K73" s="5">
        <f t="shared" si="5"/>
        <v>-0.20364296768220916</v>
      </c>
    </row>
    <row r="74" spans="1:17" x14ac:dyDescent="0.2">
      <c r="A74" s="3">
        <v>39783</v>
      </c>
      <c r="B74" s="61">
        <v>5194375</v>
      </c>
      <c r="C74" s="216">
        <f>+'Purchased Power Model '!C74</f>
        <v>378.9</v>
      </c>
      <c r="D74" s="216">
        <f>+'Purchased Power Model '!D74</f>
        <v>0</v>
      </c>
      <c r="E74" s="126">
        <f>+'Purchased Power Model '!E74</f>
        <v>7.9000000000000001E-2</v>
      </c>
      <c r="F74" s="57">
        <f>+'Purchased Power Model '!F74</f>
        <v>31</v>
      </c>
      <c r="G74" s="57">
        <f>+'Purchased Power Model '!G74</f>
        <v>0</v>
      </c>
      <c r="H74" s="61">
        <v>3</v>
      </c>
      <c r="I74" s="222">
        <f t="shared" si="3"/>
        <v>4016254.5375443911</v>
      </c>
      <c r="J74" s="36">
        <f t="shared" si="4"/>
        <v>-1178120.4624556089</v>
      </c>
      <c r="K74" s="5">
        <f t="shared" si="5"/>
        <v>-0.22680697147502998</v>
      </c>
    </row>
    <row r="75" spans="1:17" s="14" customFormat="1" x14ac:dyDescent="0.2">
      <c r="A75" s="3">
        <v>39814</v>
      </c>
      <c r="B75" s="61">
        <v>4191683</v>
      </c>
      <c r="C75" s="216">
        <f>+'Purchased Power Model '!C75</f>
        <v>684.3</v>
      </c>
      <c r="D75" s="216">
        <f>+'Purchased Power Model '!D75</f>
        <v>0</v>
      </c>
      <c r="E75" s="126">
        <f>+'Purchased Power Model '!E75</f>
        <v>8.5000000000000006E-2</v>
      </c>
      <c r="F75" s="57">
        <f>+'Purchased Power Model '!F75</f>
        <v>31</v>
      </c>
      <c r="G75" s="57">
        <f>+'Purchased Power Model '!G75</f>
        <v>0</v>
      </c>
      <c r="H75" s="61">
        <v>2</v>
      </c>
      <c r="I75" s="222">
        <f t="shared" si="3"/>
        <v>3521266.6961224945</v>
      </c>
      <c r="J75" s="36">
        <f t="shared" si="4"/>
        <v>-670416.30387750547</v>
      </c>
      <c r="K75" s="5">
        <f t="shared" si="5"/>
        <v>-0.15993964807870859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61">
        <v>3622325</v>
      </c>
      <c r="C76" s="216">
        <f>+'Purchased Power Model '!C76</f>
        <v>595.29999999999995</v>
      </c>
      <c r="D76" s="216">
        <f>+'Purchased Power Model '!D76</f>
        <v>0</v>
      </c>
      <c r="E76" s="126">
        <f>+'Purchased Power Model '!E76</f>
        <v>8.5000000000000006E-2</v>
      </c>
      <c r="F76" s="57">
        <f>+'Purchased Power Model '!F76</f>
        <v>28</v>
      </c>
      <c r="G76" s="57">
        <f>+'Purchased Power Model '!G76</f>
        <v>0</v>
      </c>
      <c r="H76" s="61">
        <v>2</v>
      </c>
      <c r="I76" s="222">
        <f t="shared" si="3"/>
        <v>3987874.4514825903</v>
      </c>
      <c r="J76" s="36">
        <f t="shared" si="4"/>
        <v>365549.45148259029</v>
      </c>
      <c r="K76" s="5">
        <f t="shared" si="5"/>
        <v>0.10091569681974706</v>
      </c>
    </row>
    <row r="77" spans="1:17" x14ac:dyDescent="0.2">
      <c r="A77" s="3">
        <v>39873</v>
      </c>
      <c r="B77" s="61">
        <v>2717396</v>
      </c>
      <c r="C77" s="216">
        <f>+'Purchased Power Model '!C77</f>
        <v>442.2</v>
      </c>
      <c r="D77" s="216">
        <f>+'Purchased Power Model '!D77</f>
        <v>0</v>
      </c>
      <c r="E77" s="126">
        <f>+'Purchased Power Model '!E77</f>
        <v>8.5000000000000006E-2</v>
      </c>
      <c r="F77" s="57">
        <f>+'Purchased Power Model '!F77</f>
        <v>31</v>
      </c>
      <c r="G77" s="57">
        <f>+'Purchased Power Model '!G77</f>
        <v>1</v>
      </c>
      <c r="H77" s="61">
        <v>2</v>
      </c>
      <c r="I77" s="222">
        <f t="shared" si="3"/>
        <v>3500420.3666929747</v>
      </c>
      <c r="J77" s="36">
        <f t="shared" si="4"/>
        <v>783024.3666929747</v>
      </c>
      <c r="K77" s="5">
        <f t="shared" si="5"/>
        <v>0.28815246901554825</v>
      </c>
    </row>
    <row r="78" spans="1:17" x14ac:dyDescent="0.2">
      <c r="A78" s="3">
        <v>39904</v>
      </c>
      <c r="B78" s="61">
        <v>2842222</v>
      </c>
      <c r="C78" s="216">
        <f>+'Purchased Power Model '!C78</f>
        <v>313.8</v>
      </c>
      <c r="D78" s="216">
        <f>+'Purchased Power Model '!D78</f>
        <v>0</v>
      </c>
      <c r="E78" s="126">
        <f>+'Purchased Power Model '!E78</f>
        <v>8.6999999999999994E-2</v>
      </c>
      <c r="F78" s="57">
        <f>+'Purchased Power Model '!F78</f>
        <v>30</v>
      </c>
      <c r="G78" s="57">
        <f>+'Purchased Power Model '!G78</f>
        <v>1</v>
      </c>
      <c r="H78" s="61">
        <v>2</v>
      </c>
      <c r="I78" s="222">
        <f t="shared" si="3"/>
        <v>3201625.5105494973</v>
      </c>
      <c r="J78" s="36">
        <f t="shared" si="4"/>
        <v>359403.51054949732</v>
      </c>
      <c r="K78" s="5">
        <f t="shared" si="5"/>
        <v>0.12645159686664073</v>
      </c>
    </row>
    <row r="79" spans="1:17" x14ac:dyDescent="0.2">
      <c r="A79" s="3">
        <v>39934</v>
      </c>
      <c r="B79" s="61">
        <v>2701951</v>
      </c>
      <c r="C79" s="216">
        <f>+'Purchased Power Model '!C79</f>
        <v>170.1</v>
      </c>
      <c r="D79" s="216">
        <f>+'Purchased Power Model '!D79</f>
        <v>0</v>
      </c>
      <c r="E79" s="126">
        <f>+'Purchased Power Model '!E79</f>
        <v>8.6999999999999994E-2</v>
      </c>
      <c r="F79" s="57">
        <f>+'Purchased Power Model '!F79</f>
        <v>31</v>
      </c>
      <c r="G79" s="57">
        <f>+'Purchased Power Model '!G79</f>
        <v>1</v>
      </c>
      <c r="H79" s="61">
        <v>1</v>
      </c>
      <c r="I79" s="222">
        <f t="shared" si="3"/>
        <v>2795951.5539312786</v>
      </c>
      <c r="J79" s="36">
        <f t="shared" si="4"/>
        <v>94000.553931278642</v>
      </c>
      <c r="K79" s="5">
        <f t="shared" si="5"/>
        <v>3.4789881064193479E-2</v>
      </c>
    </row>
    <row r="80" spans="1:17" x14ac:dyDescent="0.2">
      <c r="A80" s="3">
        <v>39965</v>
      </c>
      <c r="B80" s="61">
        <v>2813462</v>
      </c>
      <c r="C80" s="216">
        <f>+'Purchased Power Model '!C80</f>
        <v>57.9</v>
      </c>
      <c r="D80" s="216">
        <f>+'Purchased Power Model '!D80</f>
        <v>26.3</v>
      </c>
      <c r="E80" s="126">
        <f>+'Purchased Power Model '!E80</f>
        <v>8.6999999999999994E-2</v>
      </c>
      <c r="F80" s="57">
        <f>+'Purchased Power Model '!F80</f>
        <v>30</v>
      </c>
      <c r="G80" s="57">
        <f>+'Purchased Power Model '!G80</f>
        <v>0</v>
      </c>
      <c r="H80" s="61">
        <v>1</v>
      </c>
      <c r="I80" s="222">
        <f t="shared" si="3"/>
        <v>2586265.2230769824</v>
      </c>
      <c r="J80" s="36">
        <f t="shared" si="4"/>
        <v>-227196.77692301758</v>
      </c>
      <c r="K80" s="5">
        <f t="shared" si="5"/>
        <v>-8.075345496865341E-2</v>
      </c>
    </row>
    <row r="81" spans="1:17" x14ac:dyDescent="0.2">
      <c r="A81" s="3">
        <v>39995</v>
      </c>
      <c r="B81" s="61">
        <v>2931617</v>
      </c>
      <c r="C81" s="216">
        <f>+'Purchased Power Model '!C81</f>
        <v>16.8</v>
      </c>
      <c r="D81" s="216">
        <f>+'Purchased Power Model '!D81</f>
        <v>25.6</v>
      </c>
      <c r="E81" s="126">
        <f>+'Purchased Power Model '!E81</f>
        <v>9.1999999999999998E-2</v>
      </c>
      <c r="F81" s="57">
        <f>+'Purchased Power Model '!F81</f>
        <v>31</v>
      </c>
      <c r="G81" s="57">
        <f>+'Purchased Power Model '!G81</f>
        <v>0</v>
      </c>
      <c r="H81" s="61">
        <v>1</v>
      </c>
      <c r="I81" s="222">
        <f t="shared" si="3"/>
        <v>1546744.984092013</v>
      </c>
      <c r="J81" s="36">
        <f t="shared" si="4"/>
        <v>-1384872.015907987</v>
      </c>
      <c r="K81" s="5">
        <f t="shared" si="5"/>
        <v>-0.47239186288931567</v>
      </c>
    </row>
    <row r="82" spans="1:17" x14ac:dyDescent="0.2">
      <c r="A82" s="3">
        <v>40026</v>
      </c>
      <c r="B82" s="61">
        <v>3253407</v>
      </c>
      <c r="C82" s="216">
        <f>+'Purchased Power Model '!C82</f>
        <v>13.1</v>
      </c>
      <c r="D82" s="216">
        <f>+'Purchased Power Model '!D82</f>
        <v>77.7</v>
      </c>
      <c r="E82" s="126">
        <f>+'Purchased Power Model '!E82</f>
        <v>9.1999999999999998E-2</v>
      </c>
      <c r="F82" s="57">
        <f>+'Purchased Power Model '!F82</f>
        <v>31</v>
      </c>
      <c r="G82" s="57">
        <f>+'Purchased Power Model '!G82</f>
        <v>0</v>
      </c>
      <c r="H82" s="61">
        <v>1</v>
      </c>
      <c r="I82" s="222">
        <f t="shared" si="3"/>
        <v>1704483.5465641031</v>
      </c>
      <c r="J82" s="36">
        <f t="shared" si="4"/>
        <v>-1548923.4534358969</v>
      </c>
      <c r="K82" s="5">
        <f t="shared" si="5"/>
        <v>-0.47609274014468428</v>
      </c>
    </row>
    <row r="83" spans="1:17" x14ac:dyDescent="0.2">
      <c r="A83" s="3">
        <v>40057</v>
      </c>
      <c r="B83" s="61">
        <v>3293269</v>
      </c>
      <c r="C83" s="216">
        <f>+'Purchased Power Model '!C83</f>
        <v>64.8</v>
      </c>
      <c r="D83" s="216">
        <f>+'Purchased Power Model '!D83</f>
        <v>9</v>
      </c>
      <c r="E83" s="126">
        <f>+'Purchased Power Model '!E83</f>
        <v>9.1999999999999998E-2</v>
      </c>
      <c r="F83" s="57">
        <f>+'Purchased Power Model '!F83</f>
        <v>30</v>
      </c>
      <c r="G83" s="57">
        <f>+'Purchased Power Model '!G83</f>
        <v>1</v>
      </c>
      <c r="H83" s="61">
        <v>1</v>
      </c>
      <c r="I83" s="222">
        <f t="shared" si="3"/>
        <v>2090843.1443457515</v>
      </c>
      <c r="J83" s="36">
        <f t="shared" si="4"/>
        <v>-1202425.8556542485</v>
      </c>
      <c r="K83" s="5">
        <f t="shared" si="5"/>
        <v>-0.36511619781264404</v>
      </c>
    </row>
    <row r="84" spans="1:17" x14ac:dyDescent="0.2">
      <c r="A84" s="3">
        <v>40087</v>
      </c>
      <c r="B84" s="61">
        <v>3145414</v>
      </c>
      <c r="C84" s="216">
        <f>+'Purchased Power Model '!C84</f>
        <v>287.89999999999998</v>
      </c>
      <c r="D84" s="216">
        <f>+'Purchased Power Model '!D84</f>
        <v>0</v>
      </c>
      <c r="E84" s="126">
        <f>+'Purchased Power Model '!E84</f>
        <v>9.9000000000000005E-2</v>
      </c>
      <c r="F84" s="57">
        <f>+'Purchased Power Model '!F84</f>
        <v>31</v>
      </c>
      <c r="G84" s="57">
        <f>+'Purchased Power Model '!G84</f>
        <v>1</v>
      </c>
      <c r="H84" s="61">
        <v>1</v>
      </c>
      <c r="I84" s="222">
        <f t="shared" si="3"/>
        <v>1094662.3574442989</v>
      </c>
      <c r="J84" s="36">
        <f t="shared" si="4"/>
        <v>-2050751.6425557011</v>
      </c>
      <c r="K84" s="5">
        <f t="shared" si="5"/>
        <v>-0.65198146970659543</v>
      </c>
    </row>
    <row r="85" spans="1:17" x14ac:dyDescent="0.2">
      <c r="A85" s="3">
        <v>40118</v>
      </c>
      <c r="B85" s="61">
        <v>2862881</v>
      </c>
      <c r="C85" s="216">
        <f>+'Purchased Power Model '!C85</f>
        <v>347.4</v>
      </c>
      <c r="D85" s="216">
        <f>+'Purchased Power Model '!D85</f>
        <v>0</v>
      </c>
      <c r="E85" s="126">
        <f>+'Purchased Power Model '!E85</f>
        <v>9.9000000000000005E-2</v>
      </c>
      <c r="F85" s="57">
        <f>+'Purchased Power Model '!F85</f>
        <v>30</v>
      </c>
      <c r="G85" s="57">
        <f>+'Purchased Power Model '!G85</f>
        <v>1</v>
      </c>
      <c r="H85" s="61">
        <v>1</v>
      </c>
      <c r="I85" s="222">
        <f t="shared" si="3"/>
        <v>1378850.314369299</v>
      </c>
      <c r="J85" s="36">
        <f t="shared" si="4"/>
        <v>-1484030.685630701</v>
      </c>
      <c r="K85" s="5">
        <f t="shared" si="5"/>
        <v>-0.51836967223950314</v>
      </c>
    </row>
    <row r="86" spans="1:17" s="31" customFormat="1" x14ac:dyDescent="0.2">
      <c r="A86" s="3">
        <v>40148</v>
      </c>
      <c r="B86" s="61">
        <v>2204662</v>
      </c>
      <c r="C86" s="216">
        <f>+'Purchased Power Model '!C86</f>
        <v>619.1</v>
      </c>
      <c r="D86" s="216">
        <f>+'Purchased Power Model '!D86</f>
        <v>0</v>
      </c>
      <c r="E86" s="126">
        <f>+'Purchased Power Model '!E86</f>
        <v>9.9000000000000005E-2</v>
      </c>
      <c r="F86" s="57">
        <f>+'Purchased Power Model '!F86</f>
        <v>31</v>
      </c>
      <c r="G86" s="57">
        <f>+'Purchased Power Model '!G86</f>
        <v>0</v>
      </c>
      <c r="H86" s="61">
        <v>1</v>
      </c>
      <c r="I86" s="222">
        <f t="shared" si="3"/>
        <v>1244064.5369054778</v>
      </c>
      <c r="J86" s="36">
        <f t="shared" si="4"/>
        <v>-960597.46309452225</v>
      </c>
      <c r="K86" s="5">
        <f t="shared" si="5"/>
        <v>-0.43571189737679616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59">
        <v>2338497</v>
      </c>
      <c r="C87" s="216">
        <f>+'Purchased Power Model '!C87</f>
        <v>699.9</v>
      </c>
      <c r="D87" s="216">
        <f>+'Purchased Power Model '!D87</f>
        <v>0</v>
      </c>
      <c r="E87" s="126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61">
        <v>1</v>
      </c>
      <c r="I87" s="222">
        <f t="shared" si="3"/>
        <v>736893.53618327249</v>
      </c>
      <c r="J87" s="36">
        <f t="shared" si="4"/>
        <v>-1601603.4638167275</v>
      </c>
      <c r="K87" s="5">
        <f t="shared" si="5"/>
        <v>-0.68488583214634335</v>
      </c>
    </row>
    <row r="88" spans="1:17" x14ac:dyDescent="0.2">
      <c r="A88" s="3">
        <v>40210</v>
      </c>
      <c r="B88" s="59">
        <v>2504282</v>
      </c>
      <c r="C88" s="216">
        <f>+'Purchased Power Model '!C88</f>
        <v>583.79999999999995</v>
      </c>
      <c r="D88" s="216">
        <f>+'Purchased Power Model '!D88</f>
        <v>0</v>
      </c>
      <c r="E88" s="126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61">
        <v>1</v>
      </c>
      <c r="I88" s="222">
        <f t="shared" si="3"/>
        <v>1164400.6906919852</v>
      </c>
      <c r="J88" s="36">
        <f t="shared" si="4"/>
        <v>-1339881.3093080148</v>
      </c>
      <c r="K88" s="5">
        <f t="shared" si="5"/>
        <v>-0.53503611386737393</v>
      </c>
    </row>
    <row r="89" spans="1:17" x14ac:dyDescent="0.2">
      <c r="A89" s="3">
        <v>40238</v>
      </c>
      <c r="B89" s="59">
        <v>2178313</v>
      </c>
      <c r="C89" s="216">
        <f>+'Purchased Power Model '!C89</f>
        <v>411</v>
      </c>
      <c r="D89" s="216">
        <f>+'Purchased Power Model '!D89</f>
        <v>0</v>
      </c>
      <c r="E89" s="126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61">
        <v>1</v>
      </c>
      <c r="I89" s="222">
        <f t="shared" si="3"/>
        <v>648522.92188863794</v>
      </c>
      <c r="J89" s="36">
        <f t="shared" si="4"/>
        <v>-1529790.0781113622</v>
      </c>
      <c r="K89" s="5">
        <f t="shared" si="5"/>
        <v>-0.7022820311458281</v>
      </c>
    </row>
    <row r="90" spans="1:17" x14ac:dyDescent="0.2">
      <c r="A90" s="3">
        <v>40269</v>
      </c>
      <c r="B90" s="59">
        <v>2685540</v>
      </c>
      <c r="C90" s="216">
        <f>+'Purchased Power Model '!C90</f>
        <v>244</v>
      </c>
      <c r="D90" s="216">
        <f>+'Purchased Power Model '!D90</f>
        <v>0</v>
      </c>
      <c r="E90" s="126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61">
        <v>1</v>
      </c>
      <c r="I90" s="222">
        <f t="shared" si="3"/>
        <v>1229662.0439621923</v>
      </c>
      <c r="J90" s="36">
        <f t="shared" si="4"/>
        <v>-1455877.9560378077</v>
      </c>
      <c r="K90" s="5">
        <f t="shared" si="5"/>
        <v>-0.54211739763243438</v>
      </c>
    </row>
    <row r="91" spans="1:17" x14ac:dyDescent="0.2">
      <c r="A91" s="3">
        <v>40299</v>
      </c>
      <c r="B91" s="59">
        <v>2719789</v>
      </c>
      <c r="C91" s="216">
        <f>+'Purchased Power Model '!C91</f>
        <v>121.7</v>
      </c>
      <c r="D91" s="216">
        <f>+'Purchased Power Model '!D91</f>
        <v>23.2</v>
      </c>
      <c r="E91" s="126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61">
        <v>1</v>
      </c>
      <c r="I91" s="222">
        <f t="shared" si="3"/>
        <v>927482.36706985685</v>
      </c>
      <c r="J91" s="36">
        <f t="shared" si="4"/>
        <v>-1792306.6329301433</v>
      </c>
      <c r="K91" s="5">
        <f t="shared" si="5"/>
        <v>-0.65898738208373642</v>
      </c>
    </row>
    <row r="92" spans="1:17" x14ac:dyDescent="0.2">
      <c r="A92" s="3">
        <v>40330</v>
      </c>
      <c r="B92" s="59">
        <v>2764026</v>
      </c>
      <c r="C92" s="216">
        <f>+'Purchased Power Model '!C92</f>
        <v>19.399999999999999</v>
      </c>
      <c r="D92" s="216">
        <f>+'Purchased Power Model '!D92</f>
        <v>46.6</v>
      </c>
      <c r="E92" s="126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61">
        <v>1</v>
      </c>
      <c r="I92" s="222">
        <f t="shared" si="3"/>
        <v>723002.79574082233</v>
      </c>
      <c r="J92" s="36">
        <f t="shared" si="4"/>
        <v>-2041023.2042591777</v>
      </c>
      <c r="K92" s="5">
        <f t="shared" si="5"/>
        <v>-0.73842402504867088</v>
      </c>
    </row>
    <row r="93" spans="1:17" x14ac:dyDescent="0.2">
      <c r="A93" s="3">
        <v>40360</v>
      </c>
      <c r="B93" s="59">
        <v>2736535</v>
      </c>
      <c r="C93" s="216">
        <f>+'Purchased Power Model '!C93</f>
        <v>3.5</v>
      </c>
      <c r="D93" s="216">
        <f>+'Purchased Power Model '!D93</f>
        <v>124</v>
      </c>
      <c r="E93" s="126">
        <f>+'Purchased Power Model '!E93</f>
        <v>0.10400000000000001</v>
      </c>
      <c r="F93" s="57">
        <f>+'Purchased Power Model '!F93</f>
        <v>31</v>
      </c>
      <c r="G93" s="57">
        <f>+'Purchased Power Model '!G93</f>
        <v>0</v>
      </c>
      <c r="H93" s="61">
        <v>1</v>
      </c>
      <c r="I93" s="222">
        <f t="shared" si="3"/>
        <v>-35699.185454613529</v>
      </c>
      <c r="J93" s="36">
        <f t="shared" si="4"/>
        <v>-2772234.1854546135</v>
      </c>
      <c r="K93" s="5">
        <f t="shared" si="5"/>
        <v>-1.0130453969909443</v>
      </c>
    </row>
    <row r="94" spans="1:17" x14ac:dyDescent="0.2">
      <c r="A94" s="3">
        <v>40391</v>
      </c>
      <c r="B94" s="59">
        <v>3218359</v>
      </c>
      <c r="C94" s="216">
        <f>+'Purchased Power Model '!C94</f>
        <v>3.2</v>
      </c>
      <c r="D94" s="216">
        <f>+'Purchased Power Model '!D94</f>
        <v>96.8</v>
      </c>
      <c r="E94" s="126">
        <f>+'Purchased Power Model '!E94</f>
        <v>0.10400000000000001</v>
      </c>
      <c r="F94" s="57">
        <f>+'Purchased Power Model '!F94</f>
        <v>31</v>
      </c>
      <c r="G94" s="57">
        <f>+'Purchased Power Model '!G94</f>
        <v>0</v>
      </c>
      <c r="H94" s="61">
        <v>1</v>
      </c>
      <c r="I94" s="222">
        <f t="shared" si="3"/>
        <v>-121270.13263284322</v>
      </c>
      <c r="J94" s="36">
        <f t="shared" si="4"/>
        <v>-3339629.1326328432</v>
      </c>
      <c r="K94" s="5">
        <f t="shared" si="5"/>
        <v>-1.037680735005897</v>
      </c>
    </row>
    <row r="95" spans="1:17" x14ac:dyDescent="0.2">
      <c r="A95" s="3">
        <v>40422</v>
      </c>
      <c r="B95" s="59">
        <v>3274455</v>
      </c>
      <c r="C95" s="216">
        <f>+'Purchased Power Model '!C95</f>
        <v>85.5</v>
      </c>
      <c r="D95" s="216">
        <f>+'Purchased Power Model '!D95</f>
        <v>18.5</v>
      </c>
      <c r="E95" s="126">
        <f>+'Purchased Power Model '!E95</f>
        <v>0.10400000000000001</v>
      </c>
      <c r="F95" s="57">
        <f>+'Purchased Power Model '!F95</f>
        <v>30</v>
      </c>
      <c r="G95" s="57">
        <f>+'Purchased Power Model '!G95</f>
        <v>1</v>
      </c>
      <c r="H95" s="61">
        <v>1</v>
      </c>
      <c r="I95" s="222">
        <f t="shared" si="3"/>
        <v>279191.21820554382</v>
      </c>
      <c r="J95" s="36">
        <f t="shared" si="4"/>
        <v>-2995263.7817944563</v>
      </c>
      <c r="K95" s="5">
        <f t="shared" si="5"/>
        <v>-0.91473658419323411</v>
      </c>
    </row>
    <row r="96" spans="1:17" x14ac:dyDescent="0.2">
      <c r="A96" s="3">
        <v>40452</v>
      </c>
      <c r="B96" s="59">
        <v>3318812</v>
      </c>
      <c r="C96" s="216">
        <f>+'Purchased Power Model '!C96</f>
        <v>247.8</v>
      </c>
      <c r="D96" s="216">
        <f>+'Purchased Power Model '!D96</f>
        <v>0</v>
      </c>
      <c r="E96" s="126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61">
        <v>1</v>
      </c>
      <c r="I96" s="222">
        <f t="shared" si="3"/>
        <v>1972432.0957618053</v>
      </c>
      <c r="J96" s="36">
        <f t="shared" si="4"/>
        <v>-1346379.9042381947</v>
      </c>
      <c r="K96" s="5">
        <f t="shared" si="5"/>
        <v>-0.40568128120489944</v>
      </c>
    </row>
    <row r="97" spans="1:11" x14ac:dyDescent="0.2">
      <c r="A97" s="3">
        <v>40483</v>
      </c>
      <c r="B97" s="59">
        <v>2858543</v>
      </c>
      <c r="C97" s="216">
        <f>+'Purchased Power Model '!C97</f>
        <v>389.2</v>
      </c>
      <c r="D97" s="216">
        <f>+'Purchased Power Model '!D97</f>
        <v>0</v>
      </c>
      <c r="E97" s="126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61">
        <v>1</v>
      </c>
      <c r="I97" s="222">
        <f t="shared" si="3"/>
        <v>2374787.5512007535</v>
      </c>
      <c r="J97" s="36">
        <f t="shared" si="4"/>
        <v>-483755.44879924646</v>
      </c>
      <c r="K97" s="5">
        <f t="shared" si="5"/>
        <v>-0.16923147519531678</v>
      </c>
    </row>
    <row r="98" spans="1:11" x14ac:dyDescent="0.2">
      <c r="A98" s="3">
        <v>40513</v>
      </c>
      <c r="B98" s="59">
        <v>2805612</v>
      </c>
      <c r="C98" s="216">
        <f>+'Purchased Power Model '!C98</f>
        <v>628.70000000000005</v>
      </c>
      <c r="D98" s="216">
        <f>+'Purchased Power Model '!D98</f>
        <v>0</v>
      </c>
      <c r="E98" s="126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61">
        <v>1</v>
      </c>
      <c r="I98" s="222">
        <f t="shared" si="3"/>
        <v>2193542.7572271759</v>
      </c>
      <c r="J98" s="36">
        <f t="shared" si="4"/>
        <v>-612069.24277282413</v>
      </c>
      <c r="K98" s="5">
        <f t="shared" si="5"/>
        <v>-0.21815890535570284</v>
      </c>
    </row>
    <row r="99" spans="1:11" x14ac:dyDescent="0.2">
      <c r="A99" s="3">
        <v>40544</v>
      </c>
      <c r="B99" s="129">
        <v>2686101</v>
      </c>
      <c r="C99" s="219">
        <f>+'Purchased Power Model '!C99</f>
        <v>760.9</v>
      </c>
      <c r="D99" s="219">
        <f>+'Purchased Power Model '!D99</f>
        <v>0</v>
      </c>
      <c r="E99" s="126">
        <f>+'Purchased Power Model '!E99</f>
        <v>8.6999999999999994E-2</v>
      </c>
      <c r="F99" s="57">
        <f>+'Purchased Power Model '!F99</f>
        <v>31</v>
      </c>
      <c r="G99" s="57">
        <f>+'Purchased Power Model '!G99</f>
        <v>0</v>
      </c>
      <c r="H99" s="61">
        <v>1</v>
      </c>
      <c r="I99" s="222">
        <f t="shared" si="3"/>
        <v>3319911.51866988</v>
      </c>
      <c r="J99" s="36">
        <f t="shared" si="4"/>
        <v>633810.51866988</v>
      </c>
      <c r="K99" s="5">
        <f t="shared" si="5"/>
        <v>0.23595930259877793</v>
      </c>
    </row>
    <row r="100" spans="1:11" x14ac:dyDescent="0.2">
      <c r="A100" s="3">
        <v>40575</v>
      </c>
      <c r="B100" s="129">
        <v>2882506</v>
      </c>
      <c r="C100" s="219">
        <f>+'Purchased Power Model '!C100</f>
        <v>634.19999999999993</v>
      </c>
      <c r="D100" s="219">
        <f>+'Purchased Power Model '!D100</f>
        <v>0</v>
      </c>
      <c r="E100" s="126">
        <f>+'Purchased Power Model '!E100</f>
        <v>8.6999999999999994E-2</v>
      </c>
      <c r="F100" s="57">
        <f>+'Purchased Power Model '!F100</f>
        <v>28</v>
      </c>
      <c r="G100" s="57">
        <f>+'Purchased Power Model '!G100</f>
        <v>0</v>
      </c>
      <c r="H100" s="61">
        <v>1</v>
      </c>
      <c r="I100" s="222">
        <f t="shared" si="3"/>
        <v>3732124.711221965</v>
      </c>
      <c r="J100" s="36">
        <f t="shared" si="4"/>
        <v>849618.71122196503</v>
      </c>
      <c r="K100" s="5">
        <f t="shared" si="5"/>
        <v>0.29475002349412804</v>
      </c>
    </row>
    <row r="101" spans="1:11" x14ac:dyDescent="0.2">
      <c r="A101" s="3">
        <v>40603</v>
      </c>
      <c r="B101" s="129">
        <v>2542043</v>
      </c>
      <c r="C101" s="219">
        <f>+'Purchased Power Model '!C101</f>
        <v>559.80000000000007</v>
      </c>
      <c r="D101" s="219">
        <f>+'Purchased Power Model '!D101</f>
        <v>0</v>
      </c>
      <c r="E101" s="126">
        <f>+'Purchased Power Model '!E101</f>
        <v>8.6999999999999994E-2</v>
      </c>
      <c r="F101" s="57">
        <f>+'Purchased Power Model '!F101</f>
        <v>31</v>
      </c>
      <c r="G101" s="57">
        <f>+'Purchased Power Model '!G101</f>
        <v>1</v>
      </c>
      <c r="H101" s="61">
        <v>1</v>
      </c>
      <c r="I101" s="222">
        <f t="shared" si="3"/>
        <v>3358221.0798273175</v>
      </c>
      <c r="J101" s="36">
        <f t="shared" si="4"/>
        <v>816178.0798273175</v>
      </c>
      <c r="K101" s="5">
        <f t="shared" si="5"/>
        <v>0.32107170485602232</v>
      </c>
    </row>
    <row r="102" spans="1:11" x14ac:dyDescent="0.2">
      <c r="A102" s="3">
        <v>40634</v>
      </c>
      <c r="B102" s="129">
        <v>2789869</v>
      </c>
      <c r="C102" s="219">
        <f>+'Purchased Power Model '!C102</f>
        <v>350.79999999999995</v>
      </c>
      <c r="D102" s="219">
        <f>+'Purchased Power Model '!D102</f>
        <v>0</v>
      </c>
      <c r="E102" s="126">
        <f>+'Purchased Power Model '!E102</f>
        <v>9.3000000000000013E-2</v>
      </c>
      <c r="F102" s="57">
        <f>+'Purchased Power Model '!F102</f>
        <v>30</v>
      </c>
      <c r="G102" s="57">
        <f>+'Purchased Power Model '!G102</f>
        <v>1</v>
      </c>
      <c r="H102" s="61">
        <v>1</v>
      </c>
      <c r="I102" s="222">
        <f t="shared" si="3"/>
        <v>2319383.0097729699</v>
      </c>
      <c r="J102" s="36">
        <f t="shared" si="4"/>
        <v>-470485.99022703012</v>
      </c>
      <c r="K102" s="5">
        <f t="shared" si="5"/>
        <v>-0.16864088967153301</v>
      </c>
    </row>
    <row r="103" spans="1:11" x14ac:dyDescent="0.2">
      <c r="A103" s="3">
        <v>40664</v>
      </c>
      <c r="B103" s="129">
        <v>2721007</v>
      </c>
      <c r="C103" s="219">
        <f>+'Purchased Power Model '!C103</f>
        <v>157.69999999999996</v>
      </c>
      <c r="D103" s="219">
        <f>+'Purchased Power Model '!D103</f>
        <v>2.8</v>
      </c>
      <c r="E103" s="126">
        <f>+'Purchased Power Model '!E103</f>
        <v>9.3000000000000013E-2</v>
      </c>
      <c r="F103" s="57">
        <f>+'Purchased Power Model '!F103</f>
        <v>31</v>
      </c>
      <c r="G103" s="57">
        <f>+'Purchased Power Model '!G103</f>
        <v>1</v>
      </c>
      <c r="H103" s="61">
        <v>1</v>
      </c>
      <c r="I103" s="222">
        <f t="shared" si="3"/>
        <v>1851197.6352244089</v>
      </c>
      <c r="J103" s="36">
        <f t="shared" si="4"/>
        <v>-869809.36477559106</v>
      </c>
      <c r="K103" s="5">
        <f t="shared" si="5"/>
        <v>-0.3196645083146023</v>
      </c>
    </row>
    <row r="104" spans="1:11" x14ac:dyDescent="0.2">
      <c r="A104" s="3">
        <v>40695</v>
      </c>
      <c r="B104" s="129">
        <v>3001831</v>
      </c>
      <c r="C104" s="219">
        <f>+'Purchased Power Model '!C104</f>
        <v>26.699999999999996</v>
      </c>
      <c r="D104" s="219">
        <f>+'Purchased Power Model '!D104</f>
        <v>36.900000000000006</v>
      </c>
      <c r="E104" s="126">
        <f>+'Purchased Power Model '!E104</f>
        <v>9.3000000000000013E-2</v>
      </c>
      <c r="F104" s="57">
        <f>+'Purchased Power Model '!F104</f>
        <v>30</v>
      </c>
      <c r="G104" s="57">
        <f>+'Purchased Power Model '!G104</f>
        <v>0</v>
      </c>
      <c r="H104" s="61">
        <v>1</v>
      </c>
      <c r="I104" s="222">
        <f t="shared" si="3"/>
        <v>1638800.7662720829</v>
      </c>
      <c r="J104" s="36">
        <f t="shared" si="4"/>
        <v>-1363030.2337279171</v>
      </c>
      <c r="K104" s="5">
        <f t="shared" si="5"/>
        <v>-0.45406627945674394</v>
      </c>
    </row>
    <row r="105" spans="1:11" x14ac:dyDescent="0.2">
      <c r="A105" s="3">
        <v>40725</v>
      </c>
      <c r="B105" s="129">
        <v>3204634</v>
      </c>
      <c r="C105" s="219">
        <f>+'Purchased Power Model '!C105</f>
        <v>0.2</v>
      </c>
      <c r="D105" s="219">
        <f>+'Purchased Power Model '!D105</f>
        <v>141.19999999999999</v>
      </c>
      <c r="E105" s="126">
        <f>+'Purchased Power Model '!E105</f>
        <v>7.2000000000000008E-2</v>
      </c>
      <c r="F105" s="57">
        <f>+'Purchased Power Model '!F105</f>
        <v>31</v>
      </c>
      <c r="G105" s="57">
        <f>+'Purchased Power Model '!G105</f>
        <v>0</v>
      </c>
      <c r="H105" s="61">
        <v>1</v>
      </c>
      <c r="I105" s="222">
        <f t="shared" si="3"/>
        <v>5003387.9340126915</v>
      </c>
      <c r="J105" s="36">
        <f t="shared" si="4"/>
        <v>1798753.9340126915</v>
      </c>
      <c r="K105" s="5">
        <f t="shared" si="5"/>
        <v>0.56129777503848843</v>
      </c>
    </row>
    <row r="106" spans="1:11" x14ac:dyDescent="0.2">
      <c r="A106" s="3">
        <v>40756</v>
      </c>
      <c r="B106" s="129">
        <v>3925006</v>
      </c>
      <c r="C106" s="219">
        <f>+'Purchased Power Model '!C106</f>
        <v>3.7</v>
      </c>
      <c r="D106" s="219">
        <f>+'Purchased Power Model '!D106</f>
        <v>80.499999999999957</v>
      </c>
      <c r="E106" s="126">
        <f>+'Purchased Power Model '!E106</f>
        <v>7.2000000000000008E-2</v>
      </c>
      <c r="F106" s="57">
        <f>+'Purchased Power Model '!F106</f>
        <v>31</v>
      </c>
      <c r="G106" s="57">
        <f>+'Purchased Power Model '!G106</f>
        <v>0</v>
      </c>
      <c r="H106" s="61">
        <v>1</v>
      </c>
      <c r="I106" s="222">
        <f t="shared" si="3"/>
        <v>4818442.1425035475</v>
      </c>
      <c r="J106" s="36">
        <f t="shared" si="4"/>
        <v>893436.14250354748</v>
      </c>
      <c r="K106" s="5">
        <f t="shared" si="5"/>
        <v>0.22762669471168898</v>
      </c>
    </row>
    <row r="107" spans="1:11" x14ac:dyDescent="0.2">
      <c r="A107" s="3">
        <v>40787</v>
      </c>
      <c r="B107" s="129">
        <v>3836000</v>
      </c>
      <c r="C107" s="219">
        <f>+'Purchased Power Model '!C107</f>
        <v>48.900000000000006</v>
      </c>
      <c r="D107" s="219">
        <f>+'Purchased Power Model '!D107</f>
        <v>34.6</v>
      </c>
      <c r="E107" s="126">
        <f>+'Purchased Power Model '!E107</f>
        <v>7.2000000000000008E-2</v>
      </c>
      <c r="F107" s="57">
        <f>+'Purchased Power Model '!F107</f>
        <v>30</v>
      </c>
      <c r="G107" s="57">
        <f>+'Purchased Power Model '!G107</f>
        <v>1</v>
      </c>
      <c r="H107" s="61">
        <v>1</v>
      </c>
      <c r="I107" s="222">
        <f t="shared" si="3"/>
        <v>5266789.1270093927</v>
      </c>
      <c r="J107" s="36">
        <f t="shared" si="4"/>
        <v>1430789.1270093927</v>
      </c>
      <c r="K107" s="5">
        <f t="shared" si="5"/>
        <v>0.37298986626939329</v>
      </c>
    </row>
    <row r="108" spans="1:11" x14ac:dyDescent="0.2">
      <c r="A108" s="3">
        <v>40817</v>
      </c>
      <c r="B108" s="129">
        <v>3713124</v>
      </c>
      <c r="C108" s="219">
        <f>+'Purchased Power Model '!C108</f>
        <v>225.29999999999998</v>
      </c>
      <c r="D108" s="219">
        <f>+'Purchased Power Model '!D108</f>
        <v>0</v>
      </c>
      <c r="E108" s="126">
        <f>+'Purchased Power Model '!E108</f>
        <v>7.2000000000000008E-2</v>
      </c>
      <c r="F108" s="57">
        <f>+'Purchased Power Model '!F108</f>
        <v>31</v>
      </c>
      <c r="G108" s="57">
        <f>+'Purchased Power Model '!G108</f>
        <v>1</v>
      </c>
      <c r="H108" s="61">
        <v>1</v>
      </c>
      <c r="I108" s="222">
        <f t="shared" si="3"/>
        <v>5214663.2946456019</v>
      </c>
      <c r="J108" s="36">
        <f t="shared" si="4"/>
        <v>1501539.2946456019</v>
      </c>
      <c r="K108" s="5">
        <f t="shared" si="5"/>
        <v>0.40438705915708761</v>
      </c>
    </row>
    <row r="109" spans="1:11" x14ac:dyDescent="0.2">
      <c r="A109" s="3">
        <v>40848</v>
      </c>
      <c r="B109" s="129">
        <v>3269758</v>
      </c>
      <c r="C109" s="219">
        <f>+'Purchased Power Model '!C109</f>
        <v>349.69999999999993</v>
      </c>
      <c r="D109" s="219">
        <f>+'Purchased Power Model '!D109</f>
        <v>0</v>
      </c>
      <c r="E109" s="126">
        <f>+'Purchased Power Model '!E109</f>
        <v>7.2000000000000008E-2</v>
      </c>
      <c r="F109" s="57">
        <f>+'Purchased Power Model '!F109</f>
        <v>30</v>
      </c>
      <c r="G109" s="57">
        <f>+'Purchased Power Model '!G109</f>
        <v>1</v>
      </c>
      <c r="H109" s="61">
        <v>1</v>
      </c>
      <c r="I109" s="222">
        <f t="shared" si="3"/>
        <v>5592490.6978899585</v>
      </c>
      <c r="J109" s="36">
        <f t="shared" si="4"/>
        <v>2322732.6978899585</v>
      </c>
      <c r="K109" s="5">
        <f t="shared" si="5"/>
        <v>0.7103683813572621</v>
      </c>
    </row>
    <row r="110" spans="1:11" x14ac:dyDescent="0.2">
      <c r="A110" s="3">
        <v>40878</v>
      </c>
      <c r="B110" s="129">
        <v>3168820</v>
      </c>
      <c r="C110" s="219">
        <f>+'Purchased Power Model '!C110</f>
        <v>531.20000000000005</v>
      </c>
      <c r="D110" s="219">
        <f>+'Purchased Power Model '!D110</f>
        <v>0</v>
      </c>
      <c r="E110" s="126">
        <f>+'Purchased Power Model '!E110</f>
        <v>7.2000000000000008E-2</v>
      </c>
      <c r="F110" s="57">
        <f>+'Purchased Power Model '!F110</f>
        <v>31</v>
      </c>
      <c r="G110" s="57">
        <f>+'Purchased Power Model '!G110</f>
        <v>0</v>
      </c>
      <c r="H110" s="61">
        <v>1</v>
      </c>
      <c r="I110" s="222">
        <f t="shared" si="3"/>
        <v>5327561.9611348277</v>
      </c>
      <c r="J110" s="36">
        <f t="shared" si="4"/>
        <v>2158741.9611348277</v>
      </c>
      <c r="K110" s="5">
        <f t="shared" si="5"/>
        <v>0.68124474130270185</v>
      </c>
    </row>
    <row r="111" spans="1:11" x14ac:dyDescent="0.2">
      <c r="A111" s="3">
        <v>40909</v>
      </c>
      <c r="B111" s="129">
        <v>2959871</v>
      </c>
      <c r="C111" s="219">
        <f>+'Purchased Power Model '!C111</f>
        <v>611</v>
      </c>
      <c r="D111" s="219">
        <f>+'Purchased Power Model '!D111</f>
        <v>0</v>
      </c>
      <c r="E111" s="126">
        <f>+'Purchased Power Model '!E111</f>
        <v>0.08</v>
      </c>
      <c r="F111" s="57">
        <f>+'Purchased Power Model '!F111</f>
        <v>31</v>
      </c>
      <c r="G111" s="57">
        <f>+'Purchased Power Model '!G111</f>
        <v>0</v>
      </c>
      <c r="H111" s="61">
        <v>1</v>
      </c>
      <c r="I111" s="222">
        <f t="shared" si="3"/>
        <v>4195196.7438364374</v>
      </c>
      <c r="J111" s="36">
        <f t="shared" si="4"/>
        <v>1235325.7438364374</v>
      </c>
      <c r="K111" s="5">
        <f t="shared" si="5"/>
        <v>0.41735796723453061</v>
      </c>
    </row>
    <row r="112" spans="1:11" x14ac:dyDescent="0.2">
      <c r="A112" s="3">
        <v>40940</v>
      </c>
      <c r="B112" s="129">
        <v>3287020</v>
      </c>
      <c r="C112" s="219">
        <f>+'Purchased Power Model '!C112</f>
        <v>536.20000000000005</v>
      </c>
      <c r="D112" s="219">
        <f>+'Purchased Power Model '!D112</f>
        <v>0</v>
      </c>
      <c r="E112" s="126">
        <f>+'Purchased Power Model '!E112</f>
        <v>0.08</v>
      </c>
      <c r="F112" s="57">
        <f>+'Purchased Power Model '!F112</f>
        <v>29</v>
      </c>
      <c r="G112" s="57">
        <f>+'Purchased Power Model '!G112</f>
        <v>0</v>
      </c>
      <c r="H112" s="61">
        <v>1</v>
      </c>
      <c r="I112" s="222">
        <f t="shared" si="3"/>
        <v>4483952.8626680858</v>
      </c>
      <c r="J112" s="36">
        <f t="shared" si="4"/>
        <v>1196932.8626680858</v>
      </c>
      <c r="K112" s="5">
        <f t="shared" si="5"/>
        <v>0.36413920896985291</v>
      </c>
    </row>
    <row r="113" spans="1:11" x14ac:dyDescent="0.2">
      <c r="A113" s="3">
        <v>40969</v>
      </c>
      <c r="B113" s="129">
        <v>2969109</v>
      </c>
      <c r="C113" s="219">
        <f>+'Purchased Power Model '!C113</f>
        <v>399.39999999999992</v>
      </c>
      <c r="D113" s="219">
        <f>+'Purchased Power Model '!D113</f>
        <v>0</v>
      </c>
      <c r="E113" s="126">
        <f>+'Purchased Power Model '!E113</f>
        <v>0.08</v>
      </c>
      <c r="F113" s="57">
        <f>+'Purchased Power Model '!F113</f>
        <v>31</v>
      </c>
      <c r="G113" s="57">
        <f>+'Purchased Power Model '!G113</f>
        <v>1</v>
      </c>
      <c r="H113" s="61">
        <v>1</v>
      </c>
      <c r="I113" s="222">
        <f t="shared" si="3"/>
        <v>4218356.6256972179</v>
      </c>
      <c r="J113" s="36">
        <f t="shared" si="4"/>
        <v>1249247.6256972179</v>
      </c>
      <c r="K113" s="5">
        <f t="shared" si="5"/>
        <v>0.42074832069055662</v>
      </c>
    </row>
    <row r="114" spans="1:11" x14ac:dyDescent="0.2">
      <c r="A114" s="3">
        <v>41000</v>
      </c>
      <c r="B114" s="129">
        <v>3450052</v>
      </c>
      <c r="C114" s="219">
        <f>+'Purchased Power Model '!C114</f>
        <v>336.89999999999992</v>
      </c>
      <c r="D114" s="219">
        <f>+'Purchased Power Model '!D114</f>
        <v>0</v>
      </c>
      <c r="E114" s="126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61">
        <v>1</v>
      </c>
      <c r="I114" s="222">
        <f t="shared" si="3"/>
        <v>3702768.3474845239</v>
      </c>
      <c r="J114" s="36">
        <f t="shared" si="4"/>
        <v>252716.3474845239</v>
      </c>
      <c r="K114" s="5">
        <f t="shared" si="5"/>
        <v>7.3250011154766329E-2</v>
      </c>
    </row>
    <row r="115" spans="1:11" x14ac:dyDescent="0.2">
      <c r="A115" s="3">
        <v>41030</v>
      </c>
      <c r="B115" s="129">
        <v>3188267</v>
      </c>
      <c r="C115" s="219">
        <f>+'Purchased Power Model '!C115</f>
        <v>109.30000000000001</v>
      </c>
      <c r="D115" s="219">
        <f>+'Purchased Power Model '!D115</f>
        <v>21.8</v>
      </c>
      <c r="E115" s="126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61">
        <v>1</v>
      </c>
      <c r="I115" s="222">
        <f t="shared" si="3"/>
        <v>3244276.9215987097</v>
      </c>
      <c r="J115" s="36">
        <f t="shared" si="4"/>
        <v>56009.921598709654</v>
      </c>
      <c r="K115" s="5">
        <f t="shared" si="5"/>
        <v>1.7567512883553873E-2</v>
      </c>
    </row>
    <row r="116" spans="1:11" x14ac:dyDescent="0.2">
      <c r="A116" s="3">
        <v>41061</v>
      </c>
      <c r="B116" s="129">
        <v>3602012</v>
      </c>
      <c r="C116" s="219">
        <f>+'Purchased Power Model '!C116</f>
        <v>28.2</v>
      </c>
      <c r="D116" s="219">
        <f>+'Purchased Power Model '!D116</f>
        <v>64.3</v>
      </c>
      <c r="E116" s="126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61">
        <v>1</v>
      </c>
      <c r="I116" s="222">
        <f t="shared" si="3"/>
        <v>3130169.7482523471</v>
      </c>
      <c r="J116" s="36">
        <f t="shared" si="4"/>
        <v>-471842.25174765289</v>
      </c>
      <c r="K116" s="5">
        <f t="shared" si="5"/>
        <v>-0.1309940810157359</v>
      </c>
    </row>
    <row r="117" spans="1:11" x14ac:dyDescent="0.2">
      <c r="A117" s="3">
        <v>41091</v>
      </c>
      <c r="B117" s="129">
        <v>3485626</v>
      </c>
      <c r="C117" s="219">
        <f>+'Purchased Power Model '!C117</f>
        <v>0</v>
      </c>
      <c r="D117" s="219">
        <f>+'Purchased Power Model '!D117</f>
        <v>155.30000000000001</v>
      </c>
      <c r="E117" s="126">
        <f>+'Purchased Power Model '!E117</f>
        <v>9.3000000000000013E-2</v>
      </c>
      <c r="F117" s="57">
        <f>+'Purchased Power Model '!F117</f>
        <v>31</v>
      </c>
      <c r="G117" s="57">
        <f>+'Purchased Power Model '!G117</f>
        <v>0</v>
      </c>
      <c r="H117" s="61">
        <v>1</v>
      </c>
      <c r="I117" s="222">
        <f t="shared" si="3"/>
        <v>1772538.6595034832</v>
      </c>
      <c r="J117" s="36">
        <f t="shared" si="4"/>
        <v>-1713087.3404965168</v>
      </c>
      <c r="K117" s="5">
        <f t="shared" si="5"/>
        <v>-0.49147193086593821</v>
      </c>
    </row>
    <row r="118" spans="1:11" x14ac:dyDescent="0.2">
      <c r="A118" s="3">
        <v>41122</v>
      </c>
      <c r="B118" s="129">
        <v>3748751</v>
      </c>
      <c r="C118" s="219">
        <f>+'Purchased Power Model '!C118</f>
        <v>4.4000000000000004</v>
      </c>
      <c r="D118" s="219">
        <f>+'Purchased Power Model '!D118</f>
        <v>102.79999999999998</v>
      </c>
      <c r="E118" s="126">
        <f>+'Purchased Power Model '!E118</f>
        <v>9.3000000000000013E-2</v>
      </c>
      <c r="F118" s="57">
        <f>+'Purchased Power Model '!F118</f>
        <v>31</v>
      </c>
      <c r="G118" s="57">
        <f>+'Purchased Power Model '!G118</f>
        <v>0</v>
      </c>
      <c r="H118" s="61">
        <v>1</v>
      </c>
      <c r="I118" s="222">
        <f t="shared" si="3"/>
        <v>1614558.0447806092</v>
      </c>
      <c r="J118" s="36">
        <f t="shared" si="4"/>
        <v>-2134192.9552193908</v>
      </c>
      <c r="K118" s="5">
        <f t="shared" si="5"/>
        <v>-0.56930773882271479</v>
      </c>
    </row>
    <row r="119" spans="1:11" x14ac:dyDescent="0.2">
      <c r="A119" s="3">
        <v>41153</v>
      </c>
      <c r="B119" s="129">
        <v>3917950</v>
      </c>
      <c r="C119" s="219">
        <f>+'Purchased Power Model '!C119</f>
        <v>84</v>
      </c>
      <c r="D119" s="219">
        <f>+'Purchased Power Model '!D119</f>
        <v>24.400000000000002</v>
      </c>
      <c r="E119" s="126">
        <f>+'Purchased Power Model '!E119</f>
        <v>9.3000000000000013E-2</v>
      </c>
      <c r="F119" s="57">
        <f>+'Purchased Power Model '!F119</f>
        <v>30</v>
      </c>
      <c r="G119" s="57">
        <f>+'Purchased Power Model '!G119</f>
        <v>1</v>
      </c>
      <c r="H119" s="61">
        <v>1</v>
      </c>
      <c r="I119" s="222">
        <f t="shared" si="3"/>
        <v>2010810.7560822167</v>
      </c>
      <c r="J119" s="36">
        <f t="shared" si="4"/>
        <v>-1907139.2439177833</v>
      </c>
      <c r="K119" s="5">
        <f t="shared" si="5"/>
        <v>-0.48676967391564041</v>
      </c>
    </row>
    <row r="120" spans="1:11" x14ac:dyDescent="0.2">
      <c r="A120" s="3">
        <v>41183</v>
      </c>
      <c r="B120" s="129">
        <v>3658530</v>
      </c>
      <c r="C120" s="219">
        <f>+'Purchased Power Model '!C120</f>
        <v>228.99999999999994</v>
      </c>
      <c r="D120" s="219">
        <f>+'Purchased Power Model '!D120</f>
        <v>0</v>
      </c>
      <c r="E120" s="126">
        <f>+'Purchased Power Model '!E120</f>
        <v>9.4E-2</v>
      </c>
      <c r="F120" s="57">
        <f>+'Purchased Power Model '!F120</f>
        <v>31</v>
      </c>
      <c r="G120" s="57">
        <f>+'Purchased Power Model '!G120</f>
        <v>1</v>
      </c>
      <c r="H120" s="61">
        <v>1</v>
      </c>
      <c r="I120" s="222">
        <f t="shared" si="3"/>
        <v>1789369.1081936597</v>
      </c>
      <c r="J120" s="36">
        <f t="shared" si="4"/>
        <v>-1869160.8918063403</v>
      </c>
      <c r="K120" s="5">
        <f t="shared" si="5"/>
        <v>-0.51090489672254713</v>
      </c>
    </row>
    <row r="121" spans="1:11" x14ac:dyDescent="0.2">
      <c r="A121" s="3">
        <v>41214</v>
      </c>
      <c r="B121" s="129">
        <v>3306121</v>
      </c>
      <c r="C121" s="219">
        <f>+'Purchased Power Model '!C121</f>
        <v>427.89999999999992</v>
      </c>
      <c r="D121" s="219">
        <f>+'Purchased Power Model '!D121</f>
        <v>0</v>
      </c>
      <c r="E121" s="126">
        <f>+'Purchased Power Model '!E121</f>
        <v>9.4E-2</v>
      </c>
      <c r="F121" s="57">
        <f>+'Purchased Power Model '!F121</f>
        <v>30</v>
      </c>
      <c r="G121" s="57">
        <f>+'Purchased Power Model '!G121</f>
        <v>1</v>
      </c>
      <c r="H121" s="61">
        <v>1</v>
      </c>
      <c r="I121" s="222">
        <f t="shared" si="3"/>
        <v>2274687.0931143207</v>
      </c>
      <c r="J121" s="36">
        <f t="shared" si="4"/>
        <v>-1031433.9068856793</v>
      </c>
      <c r="K121" s="5">
        <f t="shared" si="5"/>
        <v>-0.31197705918376228</v>
      </c>
    </row>
    <row r="122" spans="1:11" x14ac:dyDescent="0.2">
      <c r="A122" s="3">
        <v>41244</v>
      </c>
      <c r="B122" s="129">
        <v>3239428</v>
      </c>
      <c r="C122" s="219">
        <f>+'Purchased Power Model '!C122</f>
        <v>451.09999999999997</v>
      </c>
      <c r="D122" s="219">
        <f>+'Purchased Power Model '!D122</f>
        <v>0</v>
      </c>
      <c r="E122" s="126">
        <f>+'Purchased Power Model '!E122</f>
        <v>9.4E-2</v>
      </c>
      <c r="F122" s="57">
        <f>+'Purchased Power Model '!F122</f>
        <v>31</v>
      </c>
      <c r="G122" s="57">
        <f>+'Purchased Power Model '!G122</f>
        <v>0</v>
      </c>
      <c r="H122" s="61">
        <v>1</v>
      </c>
      <c r="I122" s="222">
        <f t="shared" si="3"/>
        <v>1781358.9056295445</v>
      </c>
      <c r="J122" s="36">
        <f t="shared" si="4"/>
        <v>-1458069.0943704555</v>
      </c>
      <c r="K122" s="5">
        <f t="shared" si="5"/>
        <v>-0.45010078766080169</v>
      </c>
    </row>
    <row r="123" spans="1:11" x14ac:dyDescent="0.2">
      <c r="A123" s="3">
        <v>41275</v>
      </c>
      <c r="B123" s="129">
        <v>3277833</v>
      </c>
      <c r="C123" s="219">
        <f>+'Purchased Power Model '!C123</f>
        <v>615.40000000000009</v>
      </c>
      <c r="D123" s="219">
        <f>+'Purchased Power Model '!D123</f>
        <v>0</v>
      </c>
      <c r="E123" s="126">
        <f>+'Purchased Power Model '!E123</f>
        <v>8.4000000000000005E-2</v>
      </c>
      <c r="F123" s="57">
        <f>+'Purchased Power Model '!F123</f>
        <v>31</v>
      </c>
      <c r="G123" s="57">
        <f>+'Purchased Power Model '!G123</f>
        <v>0</v>
      </c>
      <c r="H123" s="61">
        <v>1</v>
      </c>
      <c r="I123" s="222">
        <f t="shared" si="3"/>
        <v>3577793.7908985363</v>
      </c>
      <c r="J123" s="36">
        <f t="shared" si="4"/>
        <v>299960.79089853633</v>
      </c>
      <c r="K123" s="5">
        <f t="shared" si="5"/>
        <v>9.1511919886869256E-2</v>
      </c>
    </row>
    <row r="124" spans="1:11" x14ac:dyDescent="0.2">
      <c r="A124" s="3">
        <v>41306</v>
      </c>
      <c r="B124" s="129">
        <v>3479368</v>
      </c>
      <c r="C124" s="219">
        <f>+'Purchased Power Model '!C124</f>
        <v>611.5</v>
      </c>
      <c r="D124" s="219">
        <f>+'Purchased Power Model '!D124</f>
        <v>0</v>
      </c>
      <c r="E124" s="126">
        <f>+'Purchased Power Model '!E124</f>
        <v>8.4000000000000005E-2</v>
      </c>
      <c r="F124" s="57">
        <f>+'Purchased Power Model '!F124</f>
        <v>28</v>
      </c>
      <c r="G124" s="57">
        <f>+'Purchased Power Model '!G124</f>
        <v>0</v>
      </c>
      <c r="H124" s="61">
        <v>1</v>
      </c>
      <c r="I124" s="222">
        <f t="shared" si="3"/>
        <v>4167186.0898915604</v>
      </c>
      <c r="J124" s="36">
        <f t="shared" si="4"/>
        <v>687818.08989156038</v>
      </c>
      <c r="K124" s="5">
        <f t="shared" si="5"/>
        <v>0.19768477777905655</v>
      </c>
    </row>
    <row r="125" spans="1:11" x14ac:dyDescent="0.2">
      <c r="A125" s="3">
        <v>41334</v>
      </c>
      <c r="B125" s="129">
        <v>3193324</v>
      </c>
      <c r="C125" s="219">
        <f>+'Purchased Power Model '!C125</f>
        <v>545</v>
      </c>
      <c r="D125" s="219">
        <f>+'Purchased Power Model '!D125</f>
        <v>0</v>
      </c>
      <c r="E125" s="126">
        <f>+'Purchased Power Model '!E125</f>
        <v>8.4000000000000005E-2</v>
      </c>
      <c r="F125" s="57">
        <f>+'Purchased Power Model '!F125</f>
        <v>31</v>
      </c>
      <c r="G125" s="57">
        <f>+'Purchased Power Model '!G125</f>
        <v>1</v>
      </c>
      <c r="H125" s="61">
        <v>1</v>
      </c>
      <c r="I125" s="222">
        <f t="shared" si="3"/>
        <v>3804680.7886344003</v>
      </c>
      <c r="J125" s="36">
        <f t="shared" si="4"/>
        <v>611356.78863440035</v>
      </c>
      <c r="K125" s="5">
        <f t="shared" si="5"/>
        <v>0.19144840568460963</v>
      </c>
    </row>
    <row r="126" spans="1:11" x14ac:dyDescent="0.2">
      <c r="A126" s="3">
        <v>41365</v>
      </c>
      <c r="B126" s="129">
        <v>3548485</v>
      </c>
      <c r="C126" s="219">
        <f>+'Purchased Power Model '!C126</f>
        <v>366.49999999999994</v>
      </c>
      <c r="D126" s="219">
        <f>+'Purchased Power Model '!D126</f>
        <v>0</v>
      </c>
      <c r="E126" s="126">
        <f>+'Purchased Power Model '!E126</f>
        <v>7.0999999999999994E-2</v>
      </c>
      <c r="F126" s="57">
        <f>+'Purchased Power Model '!F126</f>
        <v>30</v>
      </c>
      <c r="G126" s="57">
        <f>+'Purchased Power Model '!G126</f>
        <v>1</v>
      </c>
      <c r="H126" s="61">
        <v>1</v>
      </c>
      <c r="I126" s="222">
        <f t="shared" si="3"/>
        <v>5772668.0322587406</v>
      </c>
      <c r="J126" s="36">
        <f t="shared" si="4"/>
        <v>2224183.0322587406</v>
      </c>
      <c r="K126" s="5">
        <f t="shared" si="5"/>
        <v>0.62679792425746217</v>
      </c>
    </row>
    <row r="127" spans="1:11" x14ac:dyDescent="0.2">
      <c r="A127" s="3">
        <v>41395</v>
      </c>
      <c r="B127" s="129">
        <v>3540879</v>
      </c>
      <c r="C127" s="219">
        <f>+'Purchased Power Model '!C127</f>
        <v>133.4</v>
      </c>
      <c r="D127" s="219">
        <f>+'Purchased Power Model '!D127</f>
        <v>3</v>
      </c>
      <c r="E127" s="126">
        <f>+'Purchased Power Model '!E127</f>
        <v>7.0999999999999994E-2</v>
      </c>
      <c r="F127" s="57">
        <f>+'Purchased Power Model '!F127</f>
        <v>31</v>
      </c>
      <c r="G127" s="57">
        <f>+'Purchased Power Model '!G127</f>
        <v>1</v>
      </c>
      <c r="H127" s="61">
        <v>1</v>
      </c>
      <c r="I127" s="222">
        <f t="shared" si="3"/>
        <v>5247395.6091581881</v>
      </c>
      <c r="J127" s="36">
        <f t="shared" si="4"/>
        <v>1706516.6091581881</v>
      </c>
      <c r="K127" s="5">
        <f t="shared" si="5"/>
        <v>0.48194716881265587</v>
      </c>
    </row>
    <row r="128" spans="1:11" x14ac:dyDescent="0.2">
      <c r="A128" s="3">
        <v>41426</v>
      </c>
      <c r="B128" s="129">
        <v>3666680</v>
      </c>
      <c r="C128" s="219">
        <f>+'Purchased Power Model '!C128</f>
        <v>42.900000000000006</v>
      </c>
      <c r="D128" s="219">
        <f>+'Purchased Power Model '!D128</f>
        <v>32.200000000000003</v>
      </c>
      <c r="E128" s="126">
        <f>+'Purchased Power Model '!E128</f>
        <v>7.0999999999999994E-2</v>
      </c>
      <c r="F128" s="57">
        <f>+'Purchased Power Model '!F128</f>
        <v>30</v>
      </c>
      <c r="G128" s="57">
        <f>+'Purchased Power Model '!G128</f>
        <v>0</v>
      </c>
      <c r="H128" s="61">
        <v>1</v>
      </c>
      <c r="I128" s="222">
        <f t="shared" si="3"/>
        <v>5078095.8393285759</v>
      </c>
      <c r="J128" s="36">
        <f t="shared" si="4"/>
        <v>1411415.8393285759</v>
      </c>
      <c r="K128" s="5">
        <f t="shared" si="5"/>
        <v>0.38493019279800145</v>
      </c>
    </row>
    <row r="129" spans="1:11" x14ac:dyDescent="0.2">
      <c r="A129" s="3">
        <v>41456</v>
      </c>
      <c r="B129" s="129">
        <v>3569231</v>
      </c>
      <c r="C129" s="219">
        <f>+'Purchased Power Model '!C129</f>
        <v>4.4000000000000004</v>
      </c>
      <c r="D129" s="219">
        <f>+'Purchased Power Model '!D129</f>
        <v>109.99999999999999</v>
      </c>
      <c r="E129" s="126">
        <f>+'Purchased Power Model '!E129</f>
        <v>6.3E-2</v>
      </c>
      <c r="F129" s="57">
        <f>+'Purchased Power Model '!F129</f>
        <v>31</v>
      </c>
      <c r="G129" s="57">
        <f>+'Purchased Power Model '!G129</f>
        <v>0</v>
      </c>
      <c r="H129" s="61">
        <v>1</v>
      </c>
      <c r="I129" s="222">
        <f t="shared" si="3"/>
        <v>6315230.0252745198</v>
      </c>
      <c r="J129" s="36">
        <f t="shared" si="4"/>
        <v>2745999.0252745198</v>
      </c>
      <c r="K129" s="5">
        <f t="shared" si="5"/>
        <v>0.76935312544201251</v>
      </c>
    </row>
    <row r="130" spans="1:11" x14ac:dyDescent="0.2">
      <c r="A130" s="3">
        <v>41487</v>
      </c>
      <c r="B130" s="129">
        <v>3684619</v>
      </c>
      <c r="C130" s="219">
        <f>+'Purchased Power Model '!C130</f>
        <v>11</v>
      </c>
      <c r="D130" s="219">
        <f>+'Purchased Power Model '!D130</f>
        <v>57.899999999999991</v>
      </c>
      <c r="E130" s="126">
        <f>+'Purchased Power Model '!E130</f>
        <v>6.3E-2</v>
      </c>
      <c r="F130" s="57">
        <f>+'Purchased Power Model '!F130</f>
        <v>31</v>
      </c>
      <c r="G130" s="57">
        <f>+'Purchased Power Model '!G130</f>
        <v>0</v>
      </c>
      <c r="H130" s="61">
        <v>1</v>
      </c>
      <c r="I130" s="222">
        <f t="shared" si="3"/>
        <v>6161675.6599415103</v>
      </c>
      <c r="J130" s="36">
        <f t="shared" si="4"/>
        <v>2477056.6599415103</v>
      </c>
      <c r="K130" s="5">
        <f t="shared" si="5"/>
        <v>0.67226941508511739</v>
      </c>
    </row>
    <row r="131" spans="1:11" x14ac:dyDescent="0.2">
      <c r="A131" s="3">
        <v>41518</v>
      </c>
      <c r="B131" s="129">
        <v>3802385</v>
      </c>
      <c r="C131" s="219">
        <f>+'Purchased Power Model '!C131</f>
        <v>96.600000000000009</v>
      </c>
      <c r="D131" s="219">
        <f>+'Purchased Power Model '!D131</f>
        <v>15.700000000000001</v>
      </c>
      <c r="E131" s="126">
        <f>+'Purchased Power Model '!E131</f>
        <v>6.3E-2</v>
      </c>
      <c r="F131" s="57">
        <f>+'Purchased Power Model '!F131</f>
        <v>30</v>
      </c>
      <c r="G131" s="57">
        <f>+'Purchased Power Model '!G131</f>
        <v>1</v>
      </c>
      <c r="H131" s="61">
        <v>1</v>
      </c>
      <c r="I131" s="222">
        <f t="shared" si="3"/>
        <v>6679894.1246272204</v>
      </c>
      <c r="J131" s="36">
        <f t="shared" si="4"/>
        <v>2877509.1246272204</v>
      </c>
      <c r="K131" s="5">
        <f t="shared" si="5"/>
        <v>0.75676427416666658</v>
      </c>
    </row>
    <row r="132" spans="1:11" x14ac:dyDescent="0.2">
      <c r="A132" s="3">
        <v>41548</v>
      </c>
      <c r="B132" s="129">
        <v>3795973</v>
      </c>
      <c r="C132" s="219">
        <f>+'Purchased Power Model '!C132</f>
        <v>221</v>
      </c>
      <c r="D132" s="219">
        <f>+'Purchased Power Model '!D132</f>
        <v>3</v>
      </c>
      <c r="E132" s="126">
        <f>+'Purchased Power Model '!E132</f>
        <v>7.0000000000000007E-2</v>
      </c>
      <c r="F132" s="57">
        <f>+'Purchased Power Model '!F132</f>
        <v>31</v>
      </c>
      <c r="G132" s="57">
        <f>+'Purchased Power Model '!G132</f>
        <v>1</v>
      </c>
      <c r="H132" s="61">
        <v>1</v>
      </c>
      <c r="I132" s="222">
        <f t="shared" ref="I132:I195" si="6">$N$18+C132*$N$19+D132*$N$20+E132*$N$21+F132*$N$22+G132*$N$23</f>
        <v>5529725.0667844471</v>
      </c>
      <c r="J132" s="36">
        <f t="shared" ref="J132:J133" si="7">I132-B132</f>
        <v>1733752.0667844471</v>
      </c>
      <c r="K132" s="5">
        <f t="shared" ref="K132:K133" si="8">J132/B132</f>
        <v>0.45673456233341148</v>
      </c>
    </row>
    <row r="133" spans="1:11" x14ac:dyDescent="0.2">
      <c r="A133" s="3">
        <v>41579</v>
      </c>
      <c r="B133" s="129">
        <v>3374463</v>
      </c>
      <c r="C133" s="219">
        <f>+'Purchased Power Model '!C133</f>
        <v>458.6</v>
      </c>
      <c r="D133" s="219">
        <f>+'Purchased Power Model '!D133</f>
        <v>0</v>
      </c>
      <c r="E133" s="126">
        <f>+'Purchased Power Model '!E133</f>
        <v>7.0000000000000007E-2</v>
      </c>
      <c r="F133" s="57">
        <f>+'Purchased Power Model '!F133</f>
        <v>30</v>
      </c>
      <c r="G133" s="57">
        <f>+'Purchased Power Model '!G133</f>
        <v>1</v>
      </c>
      <c r="H133" s="61">
        <v>1</v>
      </c>
      <c r="I133" s="222">
        <f t="shared" si="6"/>
        <v>6061490.2095835702</v>
      </c>
      <c r="J133" s="36">
        <f t="shared" si="7"/>
        <v>2687027.2095835702</v>
      </c>
      <c r="K133" s="5">
        <f t="shared" si="8"/>
        <v>0.7962829077051875</v>
      </c>
    </row>
    <row r="134" spans="1:11" x14ac:dyDescent="0.2">
      <c r="A134" s="3">
        <v>41609</v>
      </c>
      <c r="B134" s="129">
        <v>3392979</v>
      </c>
      <c r="C134" s="219">
        <f>+'Purchased Power Model '!C134</f>
        <v>472.8</v>
      </c>
      <c r="D134" s="219">
        <f ca="1">+'Purchased Power Model '!D134</f>
        <v>0</v>
      </c>
      <c r="E134" s="126">
        <f>+'Purchased Power Model '!E134</f>
        <v>7.0000000000000007E-2</v>
      </c>
      <c r="F134" s="57">
        <f>+'Purchased Power Model '!F134</f>
        <v>31</v>
      </c>
      <c r="G134" s="57">
        <f>+'Purchased Power Model '!G134</f>
        <v>0</v>
      </c>
      <c r="H134" s="61">
        <v>1</v>
      </c>
      <c r="I134" s="222">
        <f t="shared" ca="1" si="6"/>
        <v>5555176.5827016523</v>
      </c>
      <c r="J134" s="36">
        <f t="shared" ref="J134" ca="1" si="9">I134-B134</f>
        <v>2162197.5827016523</v>
      </c>
      <c r="K134" s="5">
        <f t="shared" ref="K134" ca="1" si="10">J134/B134</f>
        <v>0.63725639996641659</v>
      </c>
    </row>
    <row r="135" spans="1:11" x14ac:dyDescent="0.2">
      <c r="A135" s="3">
        <v>41640</v>
      </c>
      <c r="B135" s="6">
        <v>3344486</v>
      </c>
      <c r="C135" s="217">
        <f>+'Purchased Power Model '!C135</f>
        <v>771.3</v>
      </c>
      <c r="D135" s="217">
        <f>+'Purchased Power Model '!D135</f>
        <v>0</v>
      </c>
      <c r="E135" s="126">
        <f>+'Purchased Power Model '!E135</f>
        <v>7.0999869999999993E-2</v>
      </c>
      <c r="F135" s="57">
        <f>+'Purchased Power Model '!F135</f>
        <v>31</v>
      </c>
      <c r="G135" s="57">
        <f>+'Purchased Power Model '!G135</f>
        <v>0</v>
      </c>
      <c r="H135" s="221">
        <v>1</v>
      </c>
      <c r="I135" s="222">
        <f t="shared" si="6"/>
        <v>5829942.747132753</v>
      </c>
      <c r="J135" s="36"/>
      <c r="K135" s="5"/>
    </row>
    <row r="136" spans="1:11" x14ac:dyDescent="0.2">
      <c r="A136" s="3">
        <v>41671</v>
      </c>
      <c r="B136" s="6">
        <v>3641313</v>
      </c>
      <c r="C136" s="217">
        <f>+'Purchased Power Model '!C136</f>
        <v>690.84999999999991</v>
      </c>
      <c r="D136" s="217">
        <f>+'Purchased Power Model '!D136</f>
        <v>0</v>
      </c>
      <c r="E136" s="126">
        <f>+'Purchased Power Model '!E136</f>
        <v>7.0999869999999993E-2</v>
      </c>
      <c r="F136" s="57">
        <f>+'Purchased Power Model '!F136</f>
        <v>28</v>
      </c>
      <c r="G136" s="57">
        <f>+'Purchased Power Model '!G136</f>
        <v>0</v>
      </c>
      <c r="H136" s="221">
        <v>1</v>
      </c>
      <c r="I136" s="222">
        <f t="shared" si="6"/>
        <v>6308886.6699201278</v>
      </c>
      <c r="J136" s="36"/>
      <c r="K136" s="5"/>
    </row>
    <row r="137" spans="1:11" x14ac:dyDescent="0.2">
      <c r="A137" s="3">
        <v>41699</v>
      </c>
      <c r="B137" s="6">
        <v>3195183</v>
      </c>
      <c r="C137" s="217">
        <f>+'Purchased Power Model '!C137</f>
        <v>677.95</v>
      </c>
      <c r="D137" s="217">
        <f>+'Purchased Power Model '!D137</f>
        <v>0</v>
      </c>
      <c r="E137" s="126">
        <f>+'Purchased Power Model '!E137</f>
        <v>7.0999869999999993E-2</v>
      </c>
      <c r="F137" s="57">
        <f>+'Purchased Power Model '!F137</f>
        <v>31</v>
      </c>
      <c r="G137" s="57">
        <f>+'Purchased Power Model '!G137</f>
        <v>1</v>
      </c>
      <c r="H137" s="221">
        <v>1</v>
      </c>
      <c r="I137" s="222">
        <f t="shared" si="6"/>
        <v>6023716.8744059205</v>
      </c>
      <c r="J137" s="36"/>
      <c r="K137" s="5"/>
    </row>
    <row r="138" spans="1:11" x14ac:dyDescent="0.2">
      <c r="A138" s="3">
        <v>41730</v>
      </c>
      <c r="B138" s="6">
        <v>3465780</v>
      </c>
      <c r="C138" s="217">
        <f>+'Purchased Power Model '!C138</f>
        <v>371.2999999999999</v>
      </c>
      <c r="D138" s="217">
        <f>+'Purchased Power Model '!D138</f>
        <v>0</v>
      </c>
      <c r="E138" s="126">
        <f>+'Purchased Power Model '!E138</f>
        <v>7.2000069999999999E-2</v>
      </c>
      <c r="F138" s="57">
        <f>+'Purchased Power Model '!F138</f>
        <v>30</v>
      </c>
      <c r="G138" s="57">
        <f>+'Purchased Power Model '!G138</f>
        <v>1</v>
      </c>
      <c r="H138" s="221">
        <v>1</v>
      </c>
      <c r="I138" s="222">
        <f t="shared" si="6"/>
        <v>5623644.8367937626</v>
      </c>
      <c r="J138" s="36"/>
      <c r="K138" s="5"/>
    </row>
    <row r="139" spans="1:11" x14ac:dyDescent="0.2">
      <c r="A139" s="3">
        <v>41760</v>
      </c>
      <c r="B139" s="6">
        <v>3295872</v>
      </c>
      <c r="C139" s="217">
        <f>+'Purchased Power Model '!C139</f>
        <v>160.49999999999994</v>
      </c>
      <c r="D139" s="217">
        <f>+'Purchased Power Model '!D139</f>
        <v>1.3</v>
      </c>
      <c r="E139" s="126">
        <f>+'Purchased Power Model '!E139</f>
        <v>7.2000069999999999E-2</v>
      </c>
      <c r="F139" s="57">
        <f>+'Purchased Power Model '!F139</f>
        <v>31</v>
      </c>
      <c r="G139" s="57">
        <f>+'Purchased Power Model '!G139</f>
        <v>1</v>
      </c>
      <c r="H139" s="221">
        <v>1</v>
      </c>
      <c r="I139" s="222">
        <f t="shared" si="6"/>
        <v>5125226.3156662192</v>
      </c>
      <c r="J139" s="36"/>
      <c r="K139" s="5"/>
    </row>
    <row r="140" spans="1:11" x14ac:dyDescent="0.2">
      <c r="A140" s="3">
        <v>41791</v>
      </c>
      <c r="B140" s="6">
        <v>3402507</v>
      </c>
      <c r="C140" s="217">
        <f>+'Purchased Power Model '!C140</f>
        <v>26.9</v>
      </c>
      <c r="D140" s="217">
        <f>+'Purchased Power Model '!D140</f>
        <v>40.1</v>
      </c>
      <c r="E140" s="126">
        <f>+'Purchased Power Model '!E140</f>
        <v>7.2000069999999999E-2</v>
      </c>
      <c r="F140" s="57">
        <f>+'Purchased Power Model '!F140</f>
        <v>30</v>
      </c>
      <c r="G140" s="57">
        <f>+'Purchased Power Model '!G140</f>
        <v>0</v>
      </c>
      <c r="H140" s="221">
        <v>1</v>
      </c>
      <c r="I140" s="222">
        <f t="shared" si="6"/>
        <v>4923789.4602838438</v>
      </c>
      <c r="J140" s="36"/>
      <c r="K140" s="5"/>
    </row>
    <row r="141" spans="1:11" x14ac:dyDescent="0.2">
      <c r="A141" s="3">
        <v>41821</v>
      </c>
      <c r="B141" s="6">
        <v>3555897</v>
      </c>
      <c r="C141" s="217">
        <f>+'Purchased Power Model '!C141</f>
        <v>9.5999999999999979</v>
      </c>
      <c r="D141" s="217">
        <f>+'Purchased Power Model '!D141</f>
        <v>54.599999999999994</v>
      </c>
      <c r="E141" s="126">
        <f>+'Purchased Power Model '!E141</f>
        <v>7.6999829999999991E-2</v>
      </c>
      <c r="F141" s="57">
        <f>+'Purchased Power Model '!F141</f>
        <v>31</v>
      </c>
      <c r="G141" s="57">
        <f>+'Purchased Power Model '!G141</f>
        <v>0</v>
      </c>
      <c r="H141" s="221">
        <v>1</v>
      </c>
      <c r="I141" s="222">
        <f t="shared" si="6"/>
        <v>3966223.0925361244</v>
      </c>
      <c r="J141" s="36"/>
      <c r="K141" s="5"/>
    </row>
    <row r="142" spans="1:11" x14ac:dyDescent="0.2">
      <c r="A142" s="3">
        <v>41852</v>
      </c>
      <c r="B142" s="6">
        <v>3730175</v>
      </c>
      <c r="C142" s="217">
        <f>+'Purchased Power Model '!C142</f>
        <v>12.7</v>
      </c>
      <c r="D142" s="217">
        <f>+'Purchased Power Model '!D142</f>
        <v>58</v>
      </c>
      <c r="E142" s="126">
        <f>+'Purchased Power Model '!E142</f>
        <v>7.6999829999999991E-2</v>
      </c>
      <c r="F142" s="57">
        <f>+'Purchased Power Model '!F142</f>
        <v>31</v>
      </c>
      <c r="G142" s="57">
        <f>+'Purchased Power Model '!G142</f>
        <v>0</v>
      </c>
      <c r="H142" s="221">
        <v>1</v>
      </c>
      <c r="I142" s="222">
        <f t="shared" si="6"/>
        <v>3981338.117394927</v>
      </c>
      <c r="J142" s="36"/>
      <c r="K142" s="5"/>
    </row>
    <row r="143" spans="1:11" x14ac:dyDescent="0.2">
      <c r="A143" s="3">
        <v>41883</v>
      </c>
      <c r="B143" s="6">
        <v>3915106</v>
      </c>
      <c r="C143" s="217">
        <f>+'Purchased Power Model '!C143</f>
        <v>77.400000000000006</v>
      </c>
      <c r="D143" s="217">
        <f>+'Purchased Power Model '!D143</f>
        <v>22.5</v>
      </c>
      <c r="E143" s="126">
        <f>+'Purchased Power Model '!E143</f>
        <v>7.6999829999999991E-2</v>
      </c>
      <c r="F143" s="57">
        <f>+'Purchased Power Model '!F143</f>
        <v>30</v>
      </c>
      <c r="G143" s="57">
        <f>+'Purchased Power Model '!G143</f>
        <v>1</v>
      </c>
      <c r="H143" s="221">
        <v>1</v>
      </c>
      <c r="I143" s="222">
        <f t="shared" si="6"/>
        <v>4490373.0232292274</v>
      </c>
      <c r="J143" s="36"/>
      <c r="K143" s="5"/>
    </row>
    <row r="144" spans="1:11" x14ac:dyDescent="0.2">
      <c r="A144" s="3">
        <v>41913</v>
      </c>
      <c r="B144" s="6">
        <v>3925976</v>
      </c>
      <c r="C144" s="217">
        <f>+'Purchased Power Model '!C144</f>
        <v>216.29999999999998</v>
      </c>
      <c r="D144" s="217">
        <f>+'Purchased Power Model '!D144</f>
        <v>0.5</v>
      </c>
      <c r="E144" s="126">
        <f>+'Purchased Power Model '!E144</f>
        <v>7.3406150000000003E-2</v>
      </c>
      <c r="F144" s="57">
        <f>+'Purchased Power Model '!F144</f>
        <v>31</v>
      </c>
      <c r="G144" s="57">
        <f>+'Purchased Power Model '!G144</f>
        <v>1</v>
      </c>
      <c r="H144" s="221">
        <v>1</v>
      </c>
      <c r="I144" s="222">
        <f t="shared" si="6"/>
        <v>4983970.8895828035</v>
      </c>
      <c r="J144" s="36"/>
      <c r="K144" s="5"/>
    </row>
    <row r="145" spans="1:11" x14ac:dyDescent="0.2">
      <c r="A145" s="3">
        <v>41944</v>
      </c>
      <c r="B145" s="6">
        <v>3823200</v>
      </c>
      <c r="C145" s="217">
        <f>+'Purchased Power Model '!C145</f>
        <v>407.30000000000013</v>
      </c>
      <c r="D145" s="217">
        <f>+'Purchased Power Model '!D145</f>
        <v>0</v>
      </c>
      <c r="E145" s="126">
        <f>+'Purchased Power Model '!E145</f>
        <v>7.3406150000000003E-2</v>
      </c>
      <c r="F145" s="57">
        <f>+'Purchased Power Model '!F145</f>
        <v>30</v>
      </c>
      <c r="G145" s="57">
        <f>+'Purchased Power Model '!G145</f>
        <v>1</v>
      </c>
      <c r="H145" s="221">
        <v>1</v>
      </c>
      <c r="I145" s="222">
        <f t="shared" si="6"/>
        <v>5456325.5057777734</v>
      </c>
      <c r="J145" s="36"/>
      <c r="K145" s="5"/>
    </row>
    <row r="146" spans="1:11" x14ac:dyDescent="0.2">
      <c r="A146" s="3">
        <v>41974</v>
      </c>
      <c r="B146" s="6">
        <v>3404940</v>
      </c>
      <c r="C146" s="217">
        <f>+'Purchased Power Model '!C146</f>
        <v>551.79999999999995</v>
      </c>
      <c r="D146" s="217">
        <f>+'Purchased Power Model '!D146</f>
        <v>0</v>
      </c>
      <c r="E146" s="126">
        <f>+'Purchased Power Model '!E146</f>
        <v>7.3406150000000003E-2</v>
      </c>
      <c r="F146" s="57">
        <f>+'Purchased Power Model '!F146</f>
        <v>31</v>
      </c>
      <c r="G146" s="57">
        <f>+'Purchased Power Model '!G146</f>
        <v>0</v>
      </c>
      <c r="H146" s="221">
        <v>1</v>
      </c>
      <c r="I146" s="222">
        <f t="shared" si="6"/>
        <v>5138012.1848344086</v>
      </c>
      <c r="J146" s="36"/>
      <c r="K146" s="5"/>
    </row>
    <row r="147" spans="1:11" x14ac:dyDescent="0.2">
      <c r="A147" s="3">
        <v>42005</v>
      </c>
      <c r="C147" s="217">
        <f>+'Purchased Power Model '!C147</f>
        <v>665.29813270224599</v>
      </c>
      <c r="D147" s="217">
        <f ca="1">+'Purchased Power Model '!D147</f>
        <v>0</v>
      </c>
      <c r="E147" s="126">
        <f>+'Purchased Power Model '!E147</f>
        <v>7.3406150000000003E-2</v>
      </c>
      <c r="F147" s="57">
        <f>+'Purchased Power Model '!F147</f>
        <v>31</v>
      </c>
      <c r="G147" s="57">
        <f>+'Purchased Power Model '!G147</f>
        <v>0</v>
      </c>
      <c r="H147" s="221"/>
      <c r="I147" s="222">
        <f t="shared" ca="1" si="6"/>
        <v>5301770.3097114367</v>
      </c>
      <c r="J147" s="36"/>
      <c r="K147" s="5"/>
    </row>
    <row r="148" spans="1:11" x14ac:dyDescent="0.2">
      <c r="A148" s="3">
        <v>42036</v>
      </c>
      <c r="C148" s="217">
        <f>+'Purchased Power Model '!C148</f>
        <v>595.90459610702271</v>
      </c>
      <c r="D148" s="217">
        <f ca="1">+'Purchased Power Model '!D148</f>
        <v>0</v>
      </c>
      <c r="E148" s="126">
        <f>+'Purchased Power Model '!E148</f>
        <v>7.3406150000000003E-2</v>
      </c>
      <c r="F148" s="57">
        <f>+'Purchased Power Model '!F148</f>
        <v>28</v>
      </c>
      <c r="G148" s="57">
        <f>+'Purchased Power Model '!G148</f>
        <v>0</v>
      </c>
      <c r="H148" s="221"/>
      <c r="I148" s="222">
        <f t="shared" ca="1" si="6"/>
        <v>5796666.791997632</v>
      </c>
      <c r="J148" s="36"/>
      <c r="K148" s="5"/>
    </row>
    <row r="149" spans="1:11" x14ac:dyDescent="0.2">
      <c r="A149" s="3">
        <v>42064</v>
      </c>
      <c r="C149" s="217">
        <f>+'Purchased Power Model '!C149</f>
        <v>584.77747836832327</v>
      </c>
      <c r="D149" s="217">
        <f ca="1">+'Purchased Power Model '!D149</f>
        <v>0</v>
      </c>
      <c r="E149" s="126">
        <f>+'Purchased Power Model '!E149</f>
        <v>7.3406150000000003E-2</v>
      </c>
      <c r="F149" s="57">
        <f>+'Purchased Power Model '!F149</f>
        <v>31</v>
      </c>
      <c r="G149" s="57">
        <f>+'Purchased Power Model '!G149</f>
        <v>1</v>
      </c>
      <c r="H149" s="221"/>
      <c r="I149" s="222">
        <f t="shared" ca="1" si="6"/>
        <v>5514054.9581681322</v>
      </c>
      <c r="J149" s="36"/>
      <c r="K149" s="5"/>
    </row>
    <row r="150" spans="1:11" x14ac:dyDescent="0.2">
      <c r="A150" s="3">
        <v>42095</v>
      </c>
      <c r="C150" s="217">
        <f>+'Purchased Power Model '!C150</f>
        <v>320.27122607590286</v>
      </c>
      <c r="D150" s="217">
        <f ca="1">+'Purchased Power Model '!D150</f>
        <v>0</v>
      </c>
      <c r="E150" s="126">
        <f>+'Purchased Power Model '!E150</f>
        <v>7.3406150000000003E-2</v>
      </c>
      <c r="F150" s="57">
        <f>+'Purchased Power Model '!F150</f>
        <v>30</v>
      </c>
      <c r="G150" s="57">
        <f>+'Purchased Power Model '!G150</f>
        <v>1</v>
      </c>
      <c r="H150" s="221"/>
      <c r="I150" s="222">
        <f t="shared" ca="1" si="6"/>
        <v>5330758.0758223804</v>
      </c>
      <c r="J150" s="36"/>
      <c r="K150" s="5"/>
    </row>
    <row r="151" spans="1:11" x14ac:dyDescent="0.2">
      <c r="A151" s="3">
        <v>42125</v>
      </c>
      <c r="C151" s="217">
        <f>+'Purchased Power Model '!C151</f>
        <v>138.4420462838201</v>
      </c>
      <c r="D151" s="217">
        <f ca="1">+'Purchased Power Model '!D151</f>
        <v>1.8457952405410045</v>
      </c>
      <c r="E151" s="126">
        <f>+'Purchased Power Model '!E151</f>
        <v>7.3406150000000003E-2</v>
      </c>
      <c r="F151" s="57">
        <f>+'Purchased Power Model '!F151</f>
        <v>31</v>
      </c>
      <c r="G151" s="57">
        <f>+'Purchased Power Model '!G151</f>
        <v>1</v>
      </c>
      <c r="H151" s="221"/>
      <c r="I151" s="222">
        <f t="shared" ca="1" si="6"/>
        <v>4875847.8059308361</v>
      </c>
      <c r="J151" s="36"/>
      <c r="K151" s="5"/>
    </row>
    <row r="152" spans="1:11" x14ac:dyDescent="0.2">
      <c r="A152" s="3">
        <v>42156</v>
      </c>
      <c r="C152" s="217">
        <f>+'Purchased Power Model '!C152</f>
        <v>23.203059470621568</v>
      </c>
      <c r="D152" s="217">
        <f ca="1">+'Purchased Power Model '!D152</f>
        <v>56.93568395822637</v>
      </c>
      <c r="E152" s="126">
        <f>+'Purchased Power Model '!E152</f>
        <v>7.3406150000000003E-2</v>
      </c>
      <c r="F152" s="57">
        <f>+'Purchased Power Model '!F152</f>
        <v>30</v>
      </c>
      <c r="G152" s="57">
        <f>+'Purchased Power Model '!G152</f>
        <v>0</v>
      </c>
      <c r="H152" s="221"/>
      <c r="I152" s="222">
        <f t="shared" ca="1" si="6"/>
        <v>4751891.3176529575</v>
      </c>
      <c r="J152" s="36"/>
      <c r="K152" s="5"/>
    </row>
    <row r="153" spans="1:11" x14ac:dyDescent="0.2">
      <c r="A153" s="3">
        <v>42186</v>
      </c>
      <c r="C153" s="217">
        <f>+'Purchased Power Model '!C153</f>
        <v>8.2806457590322324</v>
      </c>
      <c r="D153" s="217">
        <f ca="1">+'Purchased Power Model '!D153</f>
        <v>77.523400102722178</v>
      </c>
      <c r="E153" s="126">
        <f>+'Purchased Power Model '!E153</f>
        <v>7.3406150000000003E-2</v>
      </c>
      <c r="F153" s="57">
        <f>+'Purchased Power Model '!F153</f>
        <v>31</v>
      </c>
      <c r="G153" s="57">
        <f>+'Purchased Power Model '!G153</f>
        <v>0</v>
      </c>
      <c r="H153" s="221"/>
      <c r="I153" s="222">
        <f t="shared" ca="1" si="6"/>
        <v>4596462.2283927603</v>
      </c>
      <c r="J153" s="36"/>
      <c r="K153" s="5"/>
    </row>
    <row r="154" spans="1:11" x14ac:dyDescent="0.2">
      <c r="A154" s="3">
        <v>42217</v>
      </c>
      <c r="C154" s="217">
        <f>+'Purchased Power Model '!C154</f>
        <v>10.954604285386392</v>
      </c>
      <c r="D154" s="217">
        <f ca="1">+'Purchased Power Model '!D154</f>
        <v>82.350864577983273</v>
      </c>
      <c r="E154" s="126">
        <f>+'Purchased Power Model '!E154</f>
        <v>7.3406150000000003E-2</v>
      </c>
      <c r="F154" s="57">
        <f>+'Purchased Power Model '!F154</f>
        <v>31</v>
      </c>
      <c r="G154" s="57">
        <f>+'Purchased Power Model '!G154</f>
        <v>0</v>
      </c>
      <c r="H154" s="221"/>
      <c r="I154" s="222">
        <f t="shared" ca="1" si="6"/>
        <v>4615430.6232549725</v>
      </c>
      <c r="J154" s="36"/>
      <c r="K154" s="5"/>
    </row>
    <row r="155" spans="1:11" x14ac:dyDescent="0.2">
      <c r="A155" s="3">
        <v>42248</v>
      </c>
      <c r="C155" s="217">
        <f>+'Purchased Power Model '!C155</f>
        <v>66.76270643219739</v>
      </c>
      <c r="D155" s="217">
        <f ca="1">+'Purchased Power Model '!D155</f>
        <v>31.946456086286616</v>
      </c>
      <c r="E155" s="126">
        <f>+'Purchased Power Model '!E155</f>
        <v>7.3406150000000003E-2</v>
      </c>
      <c r="F155" s="57">
        <f>+'Purchased Power Model '!F155</f>
        <v>30</v>
      </c>
      <c r="G155" s="57">
        <f>+'Purchased Power Model '!G155</f>
        <v>1</v>
      </c>
      <c r="H155" s="221"/>
      <c r="I155" s="222">
        <f t="shared" ca="1" si="6"/>
        <v>5064984.1134972991</v>
      </c>
      <c r="J155" s="36"/>
      <c r="K155" s="5"/>
    </row>
    <row r="156" spans="1:11" x14ac:dyDescent="0.2">
      <c r="A156" s="3">
        <v>42278</v>
      </c>
      <c r="C156" s="217">
        <f>+'Purchased Power Model '!C156</f>
        <v>186.57329975819502</v>
      </c>
      <c r="D156" s="217">
        <f ca="1">+'Purchased Power Model '!D156</f>
        <v>0.70992124636192477</v>
      </c>
      <c r="E156" s="126">
        <f>+'Purchased Power Model '!E156</f>
        <v>7.3406150000000003E-2</v>
      </c>
      <c r="F156" s="57">
        <f>+'Purchased Power Model '!F156</f>
        <v>31</v>
      </c>
      <c r="G156" s="57">
        <f>+'Purchased Power Model '!G156</f>
        <v>1</v>
      </c>
      <c r="H156" s="221"/>
      <c r="I156" s="222">
        <f t="shared" ca="1" si="6"/>
        <v>4941737.4854552355</v>
      </c>
      <c r="J156" s="36"/>
      <c r="K156" s="5"/>
    </row>
    <row r="157" spans="1:11" x14ac:dyDescent="0.2">
      <c r="A157" s="3">
        <v>42309</v>
      </c>
      <c r="C157" s="217">
        <f>+'Purchased Power Model '!C157</f>
        <v>351.32364767227392</v>
      </c>
      <c r="D157" s="217">
        <f ca="1">+'Purchased Power Model '!D157</f>
        <v>0</v>
      </c>
      <c r="E157" s="126">
        <f>+'Purchased Power Model '!E157</f>
        <v>7.3406150000000003E-2</v>
      </c>
      <c r="F157" s="57">
        <f>+'Purchased Power Model '!F157</f>
        <v>30</v>
      </c>
      <c r="G157" s="57">
        <f>+'Purchased Power Model '!G157</f>
        <v>1</v>
      </c>
      <c r="H157" s="221"/>
      <c r="I157" s="222">
        <f t="shared" ca="1" si="6"/>
        <v>5375561.335686163</v>
      </c>
      <c r="J157" s="36"/>
      <c r="K157" s="5"/>
    </row>
    <row r="158" spans="1:11" x14ac:dyDescent="0.2">
      <c r="A158" s="3">
        <v>42339</v>
      </c>
      <c r="C158" s="217">
        <f>+'Purchased Power Model '!C158</f>
        <v>475.96461769104019</v>
      </c>
      <c r="D158" s="217">
        <f ca="1">+'Purchased Power Model '!D158</f>
        <v>0</v>
      </c>
      <c r="E158" s="126">
        <f>+'Purchased Power Model '!E158</f>
        <v>7.3406150000000003E-2</v>
      </c>
      <c r="F158" s="57">
        <f>+'Purchased Power Model '!F158</f>
        <v>31</v>
      </c>
      <c r="G158" s="57">
        <f>+'Purchased Power Model '!G158</f>
        <v>0</v>
      </c>
      <c r="H158" s="221"/>
      <c r="I158" s="222">
        <f t="shared" ca="1" si="6"/>
        <v>5028594.8780419929</v>
      </c>
      <c r="J158" s="36"/>
      <c r="K158" s="5"/>
    </row>
    <row r="159" spans="1:11" x14ac:dyDescent="0.2">
      <c r="A159" s="3">
        <v>42370</v>
      </c>
      <c r="C159" s="217">
        <f>+'Purchased Power Model '!C159</f>
        <v>663.68561281945165</v>
      </c>
      <c r="D159" s="217">
        <f ca="1">+'Purchased Power Model '!D159</f>
        <v>0</v>
      </c>
      <c r="E159" s="126">
        <f>+'Purchased Power Model '!E159</f>
        <v>7.3406150000000003E-2</v>
      </c>
      <c r="F159" s="57">
        <f>+'Purchased Power Model '!F159</f>
        <v>31</v>
      </c>
      <c r="G159" s="57">
        <f>+'Purchased Power Model '!G159</f>
        <v>0</v>
      </c>
      <c r="H159" s="221"/>
      <c r="I159" s="222">
        <f t="shared" ca="1" si="6"/>
        <v>5299443.7231320245</v>
      </c>
      <c r="J159" s="36"/>
      <c r="K159" s="5"/>
    </row>
    <row r="160" spans="1:11" x14ac:dyDescent="0.2">
      <c r="A160" s="3">
        <v>42401</v>
      </c>
      <c r="C160" s="217">
        <f>+'Purchased Power Model '!C160</f>
        <v>594.4602691771272</v>
      </c>
      <c r="D160" s="217">
        <f ca="1">+'Purchased Power Model '!D160</f>
        <v>0</v>
      </c>
      <c r="E160" s="126">
        <f>+'Purchased Power Model '!E160</f>
        <v>7.3406150000000003E-2</v>
      </c>
      <c r="F160" s="57">
        <f>+'Purchased Power Model '!F160</f>
        <v>29</v>
      </c>
      <c r="G160" s="57">
        <f>+'Purchased Power Model '!G160</f>
        <v>0</v>
      </c>
      <c r="H160" s="221"/>
      <c r="I160" s="222">
        <f t="shared" ca="1" si="6"/>
        <v>5596243.1044406127</v>
      </c>
      <c r="J160" s="36"/>
      <c r="K160" s="5"/>
    </row>
    <row r="161" spans="1:11" x14ac:dyDescent="0.2">
      <c r="A161" s="3">
        <v>42430</v>
      </c>
      <c r="C161" s="217">
        <f>+'Purchased Power Model '!C161</f>
        <v>583.36012084914728</v>
      </c>
      <c r="D161" s="217">
        <f ca="1">+'Purchased Power Model '!D161</f>
        <v>0</v>
      </c>
      <c r="E161" s="126">
        <f>+'Purchased Power Model '!E161</f>
        <v>7.3406150000000003E-2</v>
      </c>
      <c r="F161" s="57">
        <f>+'Purchased Power Model '!F161</f>
        <v>31</v>
      </c>
      <c r="G161" s="57">
        <f>+'Purchased Power Model '!G161</f>
        <v>1</v>
      </c>
      <c r="H161" s="221"/>
      <c r="I161" s="222">
        <f t="shared" ca="1" si="6"/>
        <v>5512009.957038207</v>
      </c>
      <c r="J161" s="36"/>
      <c r="K161" s="5"/>
    </row>
    <row r="162" spans="1:11" x14ac:dyDescent="0.2">
      <c r="A162" s="3">
        <v>42461</v>
      </c>
      <c r="C162" s="217">
        <f>+'Purchased Power Model '!C162</f>
        <v>319.49496699061632</v>
      </c>
      <c r="D162" s="217">
        <f ca="1">+'Purchased Power Model '!D162</f>
        <v>0</v>
      </c>
      <c r="E162" s="126">
        <f>+'Purchased Power Model '!E162</f>
        <v>7.3406150000000003E-2</v>
      </c>
      <c r="F162" s="57">
        <f>+'Purchased Power Model '!F162</f>
        <v>30</v>
      </c>
      <c r="G162" s="57">
        <f>+'Purchased Power Model '!G162</f>
        <v>1</v>
      </c>
      <c r="H162" s="221"/>
      <c r="I162" s="222">
        <f t="shared" ca="1" si="6"/>
        <v>5329638.0685658837</v>
      </c>
      <c r="J162" s="36"/>
      <c r="K162" s="5"/>
    </row>
    <row r="163" spans="1:11" x14ac:dyDescent="0.2">
      <c r="A163" s="3">
        <v>42491</v>
      </c>
      <c r="C163" s="217">
        <f>+'Purchased Power Model '!C163</f>
        <v>138.10649663882012</v>
      </c>
      <c r="D163" s="217">
        <f ca="1">+'Purchased Power Model '!D163</f>
        <v>1.8640104434172213</v>
      </c>
      <c r="E163" s="126">
        <f>+'Purchased Power Model '!E163</f>
        <v>7.3406150000000003E-2</v>
      </c>
      <c r="F163" s="57">
        <f>+'Purchased Power Model '!F163</f>
        <v>31</v>
      </c>
      <c r="G163" s="57">
        <f>+'Purchased Power Model '!G163</f>
        <v>1</v>
      </c>
      <c r="H163" s="221"/>
      <c r="I163" s="222">
        <f t="shared" ca="1" si="6"/>
        <v>4875420.6809682976</v>
      </c>
      <c r="J163" s="36"/>
      <c r="K163" s="5"/>
    </row>
    <row r="164" spans="1:11" x14ac:dyDescent="0.2">
      <c r="A164" s="3">
        <v>42522</v>
      </c>
      <c r="C164" s="217">
        <f>+'Purchased Power Model '!C164</f>
        <v>23.146820931989172</v>
      </c>
      <c r="D164" s="217">
        <f ca="1">+'Purchased Power Model '!D164</f>
        <v>57.497552908485055</v>
      </c>
      <c r="E164" s="126">
        <f>+'Purchased Power Model '!E164</f>
        <v>7.3406150000000003E-2</v>
      </c>
      <c r="F164" s="57">
        <f>+'Purchased Power Model '!F164</f>
        <v>30</v>
      </c>
      <c r="G164" s="57">
        <f>+'Purchased Power Model '!G164</f>
        <v>0</v>
      </c>
      <c r="H164" s="221"/>
      <c r="I164" s="222">
        <f t="shared" ca="1" si="6"/>
        <v>4753568.8683708254</v>
      </c>
      <c r="J164" s="36"/>
      <c r="K164" s="5"/>
    </row>
    <row r="165" spans="1:11" x14ac:dyDescent="0.2">
      <c r="A165" s="3">
        <v>42552</v>
      </c>
      <c r="C165" s="217">
        <f>+'Purchased Power Model '!C165</f>
        <v>8.2605754998920471</v>
      </c>
      <c r="D165" s="217">
        <f ca="1">+'Purchased Power Model '!D165</f>
        <v>78.288438623523277</v>
      </c>
      <c r="E165" s="126">
        <f>+'Purchased Power Model '!E165</f>
        <v>7.3406150000000003E-2</v>
      </c>
      <c r="F165" s="57">
        <f>+'Purchased Power Model '!F165</f>
        <v>31</v>
      </c>
      <c r="G165" s="57">
        <f>+'Purchased Power Model '!G165</f>
        <v>0</v>
      </c>
      <c r="H165" s="221"/>
      <c r="I165" s="222">
        <f t="shared" ca="1" si="6"/>
        <v>4598827.9001020482</v>
      </c>
      <c r="J165" s="36"/>
      <c r="K165" s="5"/>
    </row>
    <row r="166" spans="1:11" x14ac:dyDescent="0.2">
      <c r="A166" s="3">
        <v>42583</v>
      </c>
      <c r="C166" s="217">
        <f>+'Purchased Power Model '!C166</f>
        <v>10.92805300506552</v>
      </c>
      <c r="D166" s="217">
        <f ca="1">+'Purchased Power Model '!D166</f>
        <v>83.163542860152944</v>
      </c>
      <c r="E166" s="126">
        <f>+'Purchased Power Model '!E166</f>
        <v>7.3406150000000003E-2</v>
      </c>
      <c r="F166" s="57">
        <f>+'Purchased Power Model '!F166</f>
        <v>31</v>
      </c>
      <c r="G166" s="57">
        <f>+'Purchased Power Model '!G166</f>
        <v>0</v>
      </c>
      <c r="H166" s="221"/>
      <c r="I166" s="222">
        <f t="shared" ca="1" si="6"/>
        <v>4617936.0601042537</v>
      </c>
      <c r="J166" s="36"/>
      <c r="K166" s="5"/>
    </row>
    <row r="167" spans="1:11" x14ac:dyDescent="0.2">
      <c r="A167" s="3">
        <v>42614</v>
      </c>
      <c r="C167" s="217">
        <f>+'Purchased Power Model '!C167</f>
        <v>66.600889967879638</v>
      </c>
      <c r="D167" s="217">
        <f ca="1">+'Purchased Power Model '!D167</f>
        <v>32.261719212990371</v>
      </c>
      <c r="E167" s="126">
        <f>+'Purchased Power Model '!E167</f>
        <v>7.3406150000000003E-2</v>
      </c>
      <c r="F167" s="57">
        <f>+'Purchased Power Model '!F167</f>
        <v>30</v>
      </c>
      <c r="G167" s="57">
        <f>+'Purchased Power Model '!G167</f>
        <v>1</v>
      </c>
      <c r="H167" s="221"/>
      <c r="I167" s="222">
        <f t="shared" ca="1" si="6"/>
        <v>5065737.4383157725</v>
      </c>
      <c r="J167" s="36"/>
      <c r="K167" s="5"/>
    </row>
    <row r="168" spans="1:11" x14ac:dyDescent="0.2">
      <c r="A168" s="3">
        <v>42644</v>
      </c>
      <c r="C168" s="217">
        <f>+'Purchased Power Model '!C168</f>
        <v>186.1210917319427</v>
      </c>
      <c r="D168" s="217">
        <f ca="1">+'Purchased Power Model '!D168</f>
        <v>0.71692709362200813</v>
      </c>
      <c r="E168" s="126">
        <f>+'Purchased Power Model '!E168</f>
        <v>7.3406150000000003E-2</v>
      </c>
      <c r="F168" s="57">
        <f>+'Purchased Power Model '!F168</f>
        <v>31</v>
      </c>
      <c r="G168" s="57">
        <f>+'Purchased Power Model '!G168</f>
        <v>1</v>
      </c>
      <c r="H168" s="221"/>
      <c r="I168" s="222">
        <f t="shared" ca="1" si="6"/>
        <v>4941106.9565289821</v>
      </c>
      <c r="J168" s="36"/>
      <c r="K168" s="5"/>
    </row>
    <row r="169" spans="1:11" x14ac:dyDescent="0.2">
      <c r="A169" s="3">
        <v>42675</v>
      </c>
      <c r="C169" s="217">
        <f>+'Purchased Power Model '!C169</f>
        <v>350.47212511521167</v>
      </c>
      <c r="D169" s="217">
        <f ca="1">+'Purchased Power Model '!D169</f>
        <v>0</v>
      </c>
      <c r="E169" s="126">
        <f>+'Purchased Power Model '!E169</f>
        <v>7.3406150000000003E-2</v>
      </c>
      <c r="F169" s="57">
        <f>+'Purchased Power Model '!F169</f>
        <v>30</v>
      </c>
      <c r="G169" s="57">
        <f>+'Purchased Power Model '!G169</f>
        <v>1</v>
      </c>
      <c r="H169" s="221"/>
      <c r="I169" s="222">
        <f t="shared" ca="1" si="6"/>
        <v>5374332.7362906048</v>
      </c>
      <c r="J169" s="36"/>
      <c r="K169" s="5"/>
    </row>
    <row r="170" spans="1:11" x14ac:dyDescent="0.2">
      <c r="A170" s="3">
        <v>42705</v>
      </c>
      <c r="C170" s="217">
        <f>+'Purchased Power Model '!C170</f>
        <v>474.81099592087827</v>
      </c>
      <c r="D170" s="217">
        <f ca="1">+'Purchased Power Model '!D170</f>
        <v>0</v>
      </c>
      <c r="E170" s="126">
        <f>+'Purchased Power Model '!E170</f>
        <v>7.3406150000000003E-2</v>
      </c>
      <c r="F170" s="57">
        <f>+'Purchased Power Model '!F170</f>
        <v>31</v>
      </c>
      <c r="G170" s="57">
        <f>+'Purchased Power Model '!G170</f>
        <v>0</v>
      </c>
      <c r="H170" s="221"/>
      <c r="I170" s="222">
        <f t="shared" ca="1" si="6"/>
        <v>5026930.4018660327</v>
      </c>
      <c r="J170" s="36"/>
      <c r="K170" s="5"/>
    </row>
    <row r="171" spans="1:11" x14ac:dyDescent="0.2">
      <c r="A171" s="3">
        <v>42736</v>
      </c>
      <c r="C171" s="217">
        <f>+'Purchased Power Model '!C171</f>
        <v>662.07309293665651</v>
      </c>
      <c r="D171" s="217">
        <f ca="1">+'Purchased Power Model '!D171</f>
        <v>0</v>
      </c>
      <c r="E171" s="126">
        <f>+'Purchased Power Model '!E171</f>
        <v>7.3406150000000003E-2</v>
      </c>
      <c r="F171" s="57">
        <f>+'Purchased Power Model '!F171</f>
        <v>31</v>
      </c>
      <c r="G171" s="57">
        <f>+'Purchased Power Model '!G171</f>
        <v>0</v>
      </c>
      <c r="H171" s="221"/>
      <c r="I171" s="222">
        <f t="shared" ca="1" si="6"/>
        <v>5297117.1365526123</v>
      </c>
      <c r="J171" s="36"/>
      <c r="K171" s="5"/>
    </row>
    <row r="172" spans="1:11" x14ac:dyDescent="0.2">
      <c r="A172" s="3">
        <v>42767</v>
      </c>
      <c r="C172" s="217">
        <f>+'Purchased Power Model '!C172</f>
        <v>593.0159422472309</v>
      </c>
      <c r="D172" s="217">
        <f ca="1">+'Purchased Power Model '!D172</f>
        <v>0</v>
      </c>
      <c r="E172" s="126">
        <f>+'Purchased Power Model '!E172</f>
        <v>7.3406150000000003E-2</v>
      </c>
      <c r="F172" s="57">
        <f>+'Purchased Power Model '!F172</f>
        <v>28</v>
      </c>
      <c r="G172" s="57">
        <f>+'Purchased Power Model '!G172</f>
        <v>0</v>
      </c>
      <c r="H172" s="221"/>
      <c r="I172" s="222">
        <f t="shared" ca="1" si="6"/>
        <v>5792498.9653714504</v>
      </c>
      <c r="J172" s="36"/>
      <c r="K172" s="5"/>
    </row>
    <row r="173" spans="1:11" x14ac:dyDescent="0.2">
      <c r="A173" s="3">
        <v>42795</v>
      </c>
      <c r="C173" s="217">
        <f>+'Purchased Power Model '!C173</f>
        <v>581.9427633299706</v>
      </c>
      <c r="D173" s="217">
        <f ca="1">+'Purchased Power Model '!D173</f>
        <v>0</v>
      </c>
      <c r="E173" s="126">
        <f>+'Purchased Power Model '!E173</f>
        <v>7.3406150000000003E-2</v>
      </c>
      <c r="F173" s="57">
        <f>+'Purchased Power Model '!F173</f>
        <v>31</v>
      </c>
      <c r="G173" s="57">
        <f>+'Purchased Power Model '!G173</f>
        <v>1</v>
      </c>
      <c r="H173" s="221"/>
      <c r="I173" s="222">
        <f t="shared" ca="1" si="6"/>
        <v>5509964.955908278</v>
      </c>
      <c r="J173" s="36"/>
      <c r="K173" s="5"/>
    </row>
    <row r="174" spans="1:11" x14ac:dyDescent="0.2">
      <c r="A174" s="3">
        <v>42826</v>
      </c>
      <c r="C174" s="217">
        <f>+'Purchased Power Model '!C174</f>
        <v>318.71870790532938</v>
      </c>
      <c r="D174" s="217">
        <f ca="1">+'Purchased Power Model '!D174</f>
        <v>0</v>
      </c>
      <c r="E174" s="126">
        <f>+'Purchased Power Model '!E174</f>
        <v>7.3406150000000003E-2</v>
      </c>
      <c r="F174" s="57">
        <f>+'Purchased Power Model '!F174</f>
        <v>30</v>
      </c>
      <c r="G174" s="57">
        <f>+'Purchased Power Model '!G174</f>
        <v>1</v>
      </c>
      <c r="H174" s="221"/>
      <c r="I174" s="222">
        <f t="shared" ca="1" si="6"/>
        <v>5328518.061309387</v>
      </c>
      <c r="J174" s="36"/>
      <c r="K174" s="5"/>
    </row>
    <row r="175" spans="1:11" x14ac:dyDescent="0.2">
      <c r="A175" s="3">
        <v>42856</v>
      </c>
      <c r="C175" s="217">
        <f>+'Purchased Power Model '!C175</f>
        <v>137.77094699381996</v>
      </c>
      <c r="D175" s="217">
        <f ca="1">+'Purchased Power Model '!D175</f>
        <v>1.8822256462934444</v>
      </c>
      <c r="E175" s="126">
        <f>+'Purchased Power Model '!E175</f>
        <v>7.3406150000000003E-2</v>
      </c>
      <c r="F175" s="57">
        <f>+'Purchased Power Model '!F175</f>
        <v>31</v>
      </c>
      <c r="G175" s="57">
        <f>+'Purchased Power Model '!G175</f>
        <v>1</v>
      </c>
      <c r="H175" s="221"/>
      <c r="I175" s="222">
        <f t="shared" ca="1" si="6"/>
        <v>4874993.5560057666</v>
      </c>
      <c r="J175" s="36"/>
      <c r="K175" s="5"/>
    </row>
    <row r="176" spans="1:11" x14ac:dyDescent="0.2">
      <c r="A176" s="3">
        <v>42887</v>
      </c>
      <c r="C176" s="217">
        <f>+'Purchased Power Model '!C176</f>
        <v>23.090582393356748</v>
      </c>
      <c r="D176" s="217">
        <f ca="1">+'Purchased Power Model '!D176</f>
        <v>58.059421858743939</v>
      </c>
      <c r="E176" s="126">
        <f>+'Purchased Power Model '!E176</f>
        <v>7.3406150000000003E-2</v>
      </c>
      <c r="F176" s="57">
        <f>+'Purchased Power Model '!F176</f>
        <v>30</v>
      </c>
      <c r="G176" s="57">
        <f>+'Purchased Power Model '!G176</f>
        <v>0</v>
      </c>
      <c r="H176" s="221"/>
      <c r="I176" s="222">
        <f t="shared" ca="1" si="6"/>
        <v>4755246.4190886971</v>
      </c>
      <c r="J176" s="36"/>
      <c r="K176" s="5"/>
    </row>
    <row r="177" spans="1:11" x14ac:dyDescent="0.2">
      <c r="A177" s="3">
        <v>42917</v>
      </c>
      <c r="C177" s="217">
        <f>+'Purchased Power Model '!C177</f>
        <v>8.2405052407518511</v>
      </c>
      <c r="D177" s="217">
        <f ca="1">+'Purchased Power Model '!D177</f>
        <v>79.053477144324646</v>
      </c>
      <c r="E177" s="126">
        <f>+'Purchased Power Model '!E177</f>
        <v>7.3406150000000003E-2</v>
      </c>
      <c r="F177" s="57">
        <f>+'Purchased Power Model '!F177</f>
        <v>31</v>
      </c>
      <c r="G177" s="57">
        <f>+'Purchased Power Model '!G177</f>
        <v>0</v>
      </c>
      <c r="H177" s="221"/>
      <c r="I177" s="222">
        <f t="shared" ca="1" si="6"/>
        <v>4601193.5718113324</v>
      </c>
      <c r="J177" s="36"/>
      <c r="K177" s="5"/>
    </row>
    <row r="178" spans="1:11" x14ac:dyDescent="0.2">
      <c r="A178" s="3">
        <v>42948</v>
      </c>
      <c r="C178" s="217">
        <f>+'Purchased Power Model '!C178</f>
        <v>10.901501724744636</v>
      </c>
      <c r="D178" s="217">
        <f ca="1">+'Purchased Power Model '!D178</f>
        <v>83.976221142322899</v>
      </c>
      <c r="E178" s="126">
        <f>+'Purchased Power Model '!E178</f>
        <v>7.3406150000000003E-2</v>
      </c>
      <c r="F178" s="57">
        <f>+'Purchased Power Model '!F178</f>
        <v>31</v>
      </c>
      <c r="G178" s="57">
        <f>+'Purchased Power Model '!G178</f>
        <v>0</v>
      </c>
      <c r="H178" s="221"/>
      <c r="I178" s="222">
        <f t="shared" ca="1" si="6"/>
        <v>4620441.4969535312</v>
      </c>
      <c r="J178" s="36"/>
      <c r="K178" s="5"/>
    </row>
    <row r="179" spans="1:11" x14ac:dyDescent="0.2">
      <c r="A179" s="3">
        <v>42979</v>
      </c>
      <c r="C179" s="217">
        <f>+'Purchased Power Model '!C179</f>
        <v>66.439073503561801</v>
      </c>
      <c r="D179" s="217">
        <f ca="1">+'Purchased Power Model '!D179</f>
        <v>32.576982339694233</v>
      </c>
      <c r="E179" s="126">
        <f>+'Purchased Power Model '!E179</f>
        <v>7.3406150000000003E-2</v>
      </c>
      <c r="F179" s="57">
        <f>+'Purchased Power Model '!F179</f>
        <v>30</v>
      </c>
      <c r="G179" s="57">
        <f>+'Purchased Power Model '!G179</f>
        <v>1</v>
      </c>
      <c r="H179" s="221"/>
      <c r="I179" s="222">
        <f t="shared" ca="1" si="6"/>
        <v>5066490.7631342458</v>
      </c>
      <c r="J179" s="36"/>
      <c r="K179" s="5"/>
    </row>
    <row r="180" spans="1:11" x14ac:dyDescent="0.2">
      <c r="A180" s="3">
        <v>43009</v>
      </c>
      <c r="C180" s="217">
        <f>+'Purchased Power Model '!C180</f>
        <v>185.66888370569015</v>
      </c>
      <c r="D180" s="217">
        <f ca="1">+'Purchased Power Model '!D180</f>
        <v>0.72393294088209392</v>
      </c>
      <c r="E180" s="126">
        <f>+'Purchased Power Model '!E180</f>
        <v>7.3406150000000003E-2</v>
      </c>
      <c r="F180" s="57">
        <f>+'Purchased Power Model '!F180</f>
        <v>31</v>
      </c>
      <c r="G180" s="57">
        <f>+'Purchased Power Model '!G180</f>
        <v>1</v>
      </c>
      <c r="H180" s="221"/>
      <c r="I180" s="222">
        <f t="shared" ca="1" si="6"/>
        <v>4940476.4276027214</v>
      </c>
      <c r="J180" s="36"/>
      <c r="K180" s="5"/>
    </row>
    <row r="181" spans="1:11" x14ac:dyDescent="0.2">
      <c r="A181" s="3">
        <v>43040</v>
      </c>
      <c r="C181" s="217">
        <f>+'Purchased Power Model '!C181</f>
        <v>349.62060255814896</v>
      </c>
      <c r="D181" s="217">
        <f ca="1">+'Purchased Power Model '!D181</f>
        <v>0</v>
      </c>
      <c r="E181" s="126">
        <f>+'Purchased Power Model '!E181</f>
        <v>7.3406150000000003E-2</v>
      </c>
      <c r="F181" s="57">
        <f>+'Purchased Power Model '!F181</f>
        <v>30</v>
      </c>
      <c r="G181" s="57">
        <f>+'Purchased Power Model '!G181</f>
        <v>1</v>
      </c>
      <c r="H181" s="221"/>
      <c r="I181" s="222">
        <f t="shared" ca="1" si="6"/>
        <v>5373104.1368950428</v>
      </c>
      <c r="J181" s="36"/>
      <c r="K181" s="5"/>
    </row>
    <row r="182" spans="1:11" x14ac:dyDescent="0.2">
      <c r="A182" s="3">
        <v>43070</v>
      </c>
      <c r="C182" s="217">
        <f>+'Purchased Power Model '!C182</f>
        <v>473.65737415071578</v>
      </c>
      <c r="D182" s="217">
        <f ca="1">+'Purchased Power Model '!D182</f>
        <v>0</v>
      </c>
      <c r="E182" s="126">
        <f>+'Purchased Power Model '!E182</f>
        <v>7.3406150000000003E-2</v>
      </c>
      <c r="F182" s="57">
        <f>+'Purchased Power Model '!F182</f>
        <v>31</v>
      </c>
      <c r="G182" s="57">
        <f>+'Purchased Power Model '!G182</f>
        <v>0</v>
      </c>
      <c r="H182" s="221"/>
      <c r="I182" s="222">
        <f t="shared" ca="1" si="6"/>
        <v>5025265.9256900689</v>
      </c>
      <c r="J182" s="36"/>
      <c r="K182" s="5"/>
    </row>
    <row r="183" spans="1:11" x14ac:dyDescent="0.2">
      <c r="A183" s="3">
        <v>43101</v>
      </c>
      <c r="C183" s="217">
        <f>+'Purchased Power Model '!C183</f>
        <v>660.46057305386228</v>
      </c>
      <c r="D183" s="217">
        <f ca="1">+'Purchased Power Model '!D183</f>
        <v>0</v>
      </c>
      <c r="E183" s="126">
        <f>+'Purchased Power Model '!E183</f>
        <v>7.3406150000000003E-2</v>
      </c>
      <c r="F183" s="57">
        <f>+'Purchased Power Model '!F183</f>
        <v>31</v>
      </c>
      <c r="G183" s="57">
        <f>+'Purchased Power Model '!G183</f>
        <v>0</v>
      </c>
      <c r="H183" s="221"/>
      <c r="I183" s="222">
        <f t="shared" ca="1" si="6"/>
        <v>5294790.5499732001</v>
      </c>
      <c r="J183" s="36"/>
      <c r="K183" s="5"/>
    </row>
    <row r="184" spans="1:11" x14ac:dyDescent="0.2">
      <c r="A184" s="3">
        <v>43132</v>
      </c>
      <c r="C184" s="217">
        <f>+'Purchased Power Model '!C184</f>
        <v>591.57161531733539</v>
      </c>
      <c r="D184" s="217">
        <f ca="1">+'Purchased Power Model '!D184</f>
        <v>0</v>
      </c>
      <c r="E184" s="126">
        <f>+'Purchased Power Model '!E184</f>
        <v>7.3406150000000003E-2</v>
      </c>
      <c r="F184" s="57">
        <f>+'Purchased Power Model '!F184</f>
        <v>28</v>
      </c>
      <c r="G184" s="57">
        <f>+'Purchased Power Model '!G184</f>
        <v>0</v>
      </c>
      <c r="H184" s="221"/>
      <c r="I184" s="222">
        <f t="shared" ca="1" si="6"/>
        <v>5790415.0520583596</v>
      </c>
      <c r="J184" s="36"/>
      <c r="K184" s="5"/>
    </row>
    <row r="185" spans="1:11" x14ac:dyDescent="0.2">
      <c r="A185" s="3">
        <v>43160</v>
      </c>
      <c r="C185" s="217">
        <f>+'Purchased Power Model '!C185</f>
        <v>580.52540581079472</v>
      </c>
      <c r="D185" s="217">
        <f ca="1">+'Purchased Power Model '!D185</f>
        <v>0</v>
      </c>
      <c r="E185" s="126">
        <f>+'Purchased Power Model '!E185</f>
        <v>7.3406150000000003E-2</v>
      </c>
      <c r="F185" s="57">
        <f>+'Purchased Power Model '!F185</f>
        <v>31</v>
      </c>
      <c r="G185" s="57">
        <f>+'Purchased Power Model '!G185</f>
        <v>1</v>
      </c>
      <c r="H185" s="221"/>
      <c r="I185" s="222">
        <f t="shared" ca="1" si="6"/>
        <v>5507919.9547783528</v>
      </c>
      <c r="J185" s="36"/>
      <c r="K185" s="5"/>
    </row>
    <row r="186" spans="1:11" x14ac:dyDescent="0.2">
      <c r="A186" s="3">
        <v>43191</v>
      </c>
      <c r="C186" s="217">
        <f>+'Purchased Power Model '!C186</f>
        <v>317.94244882004284</v>
      </c>
      <c r="D186" s="217">
        <f ca="1">+'Purchased Power Model '!D186</f>
        <v>0</v>
      </c>
      <c r="E186" s="126">
        <f>+'Purchased Power Model '!E186</f>
        <v>7.3406150000000003E-2</v>
      </c>
      <c r="F186" s="57">
        <f>+'Purchased Power Model '!F186</f>
        <v>30</v>
      </c>
      <c r="G186" s="57">
        <f>+'Purchased Power Model '!G186</f>
        <v>1</v>
      </c>
      <c r="H186" s="221"/>
      <c r="I186" s="222">
        <f t="shared" ca="1" si="6"/>
        <v>5327398.0540528903</v>
      </c>
      <c r="J186" s="36"/>
      <c r="K186" s="5"/>
    </row>
    <row r="187" spans="1:11" x14ac:dyDescent="0.2">
      <c r="A187" s="3">
        <v>43221</v>
      </c>
      <c r="C187" s="217">
        <f>+'Purchased Power Model '!C187</f>
        <v>137.43539734882</v>
      </c>
      <c r="D187" s="217">
        <f ca="1">+'Purchased Power Model '!D187</f>
        <v>1.9004408491696605</v>
      </c>
      <c r="E187" s="126">
        <f>+'Purchased Power Model '!E187</f>
        <v>7.3406150000000003E-2</v>
      </c>
      <c r="F187" s="57">
        <f>+'Purchased Power Model '!F187</f>
        <v>31</v>
      </c>
      <c r="G187" s="57">
        <f>+'Purchased Power Model '!G187</f>
        <v>1</v>
      </c>
      <c r="H187" s="221"/>
      <c r="I187" s="222">
        <f t="shared" ca="1" si="6"/>
        <v>4874566.4310432356</v>
      </c>
      <c r="J187" s="36"/>
      <c r="K187" s="5"/>
    </row>
    <row r="188" spans="1:11" x14ac:dyDescent="0.2">
      <c r="A188" s="3">
        <v>43252</v>
      </c>
      <c r="C188" s="217">
        <f>+'Purchased Power Model '!C188</f>
        <v>23.034343854724352</v>
      </c>
      <c r="D188" s="217">
        <f ca="1">+'Purchased Power Model '!D188</f>
        <v>58.621290809002602</v>
      </c>
      <c r="E188" s="126">
        <f>+'Purchased Power Model '!E188</f>
        <v>7.3406150000000003E-2</v>
      </c>
      <c r="F188" s="57">
        <f>+'Purchased Power Model '!F188</f>
        <v>30</v>
      </c>
      <c r="G188" s="57">
        <f>+'Purchased Power Model '!G188</f>
        <v>0</v>
      </c>
      <c r="H188" s="221"/>
      <c r="I188" s="222">
        <f t="shared" ca="1" si="6"/>
        <v>4756923.9698065687</v>
      </c>
      <c r="J188" s="36"/>
      <c r="K188" s="5"/>
    </row>
    <row r="189" spans="1:11" x14ac:dyDescent="0.2">
      <c r="A189" s="3">
        <v>43282</v>
      </c>
      <c r="C189" s="217">
        <f>+'Purchased Power Model '!C189</f>
        <v>8.2204349816116657</v>
      </c>
      <c r="D189" s="217">
        <f ca="1">+'Purchased Power Model '!D189</f>
        <v>79.81851566512573</v>
      </c>
      <c r="E189" s="126">
        <f>+'Purchased Power Model '!E189</f>
        <v>7.3406150000000003E-2</v>
      </c>
      <c r="F189" s="57">
        <f>+'Purchased Power Model '!F189</f>
        <v>31</v>
      </c>
      <c r="G189" s="57">
        <f>+'Purchased Power Model '!G189</f>
        <v>0</v>
      </c>
      <c r="H189" s="221"/>
      <c r="I189" s="222">
        <f t="shared" ca="1" si="6"/>
        <v>4603559.2435206166</v>
      </c>
      <c r="J189" s="36"/>
      <c r="K189" s="5"/>
    </row>
    <row r="190" spans="1:11" x14ac:dyDescent="0.2">
      <c r="A190" s="3">
        <v>43313</v>
      </c>
      <c r="C190" s="217">
        <f>+'Purchased Power Model '!C190</f>
        <v>10.874950444423765</v>
      </c>
      <c r="D190" s="217">
        <f ca="1">+'Purchased Power Model '!D190</f>
        <v>84.788899424492527</v>
      </c>
      <c r="E190" s="126">
        <f>+'Purchased Power Model '!E190</f>
        <v>7.3406150000000003E-2</v>
      </c>
      <c r="F190" s="57">
        <f>+'Purchased Power Model '!F190</f>
        <v>31</v>
      </c>
      <c r="G190" s="57">
        <f>+'Purchased Power Model '!G190</f>
        <v>0</v>
      </c>
      <c r="H190" s="221"/>
      <c r="I190" s="222">
        <f t="shared" ca="1" si="6"/>
        <v>4622946.9338028124</v>
      </c>
      <c r="J190" s="36"/>
      <c r="K190" s="5"/>
    </row>
    <row r="191" spans="1:11" x14ac:dyDescent="0.2">
      <c r="A191" s="3">
        <v>43344</v>
      </c>
      <c r="C191" s="217">
        <f>+'Purchased Power Model '!C191</f>
        <v>66.277257039244049</v>
      </c>
      <c r="D191" s="217">
        <f ca="1">+'Purchased Power Model '!D191</f>
        <v>32.892245466397974</v>
      </c>
      <c r="E191" s="126">
        <f>+'Purchased Power Model '!E191</f>
        <v>7.3406150000000003E-2</v>
      </c>
      <c r="F191" s="57">
        <f>+'Purchased Power Model '!F191</f>
        <v>30</v>
      </c>
      <c r="G191" s="57">
        <f>+'Purchased Power Model '!G191</f>
        <v>1</v>
      </c>
      <c r="H191" s="221"/>
      <c r="I191" s="222">
        <f t="shared" ca="1" si="6"/>
        <v>5067244.0879527228</v>
      </c>
      <c r="J191" s="36"/>
      <c r="K191" s="5"/>
    </row>
    <row r="192" spans="1:11" x14ac:dyDescent="0.2">
      <c r="A192" s="3">
        <v>43374</v>
      </c>
      <c r="C192" s="217">
        <f>+'Purchased Power Model '!C192</f>
        <v>185.21667567943786</v>
      </c>
      <c r="D192" s="217">
        <f ca="1">+'Purchased Power Model '!D192</f>
        <v>0.73093878814217705</v>
      </c>
      <c r="E192" s="126">
        <f>+'Purchased Power Model '!E192</f>
        <v>7.3406150000000003E-2</v>
      </c>
      <c r="F192" s="57">
        <f>+'Purchased Power Model '!F192</f>
        <v>31</v>
      </c>
      <c r="G192" s="57">
        <f>+'Purchased Power Model '!G192</f>
        <v>1</v>
      </c>
      <c r="H192" s="221"/>
      <c r="I192" s="222">
        <f t="shared" ca="1" si="6"/>
        <v>4939845.8986764681</v>
      </c>
      <c r="J192" s="36"/>
      <c r="K192" s="5"/>
    </row>
    <row r="193" spans="1:11" x14ac:dyDescent="0.2">
      <c r="A193" s="3">
        <v>43405</v>
      </c>
      <c r="C193" s="217">
        <f>+'Purchased Power Model '!C193</f>
        <v>348.76908000108671</v>
      </c>
      <c r="D193" s="217">
        <f ca="1">+'Purchased Power Model '!D193</f>
        <v>0</v>
      </c>
      <c r="E193" s="126">
        <f>+'Purchased Power Model '!E193</f>
        <v>7.3406150000000003E-2</v>
      </c>
      <c r="F193" s="57">
        <f>+'Purchased Power Model '!F193</f>
        <v>30</v>
      </c>
      <c r="G193" s="57">
        <f>+'Purchased Power Model '!G193</f>
        <v>1</v>
      </c>
      <c r="H193" s="221"/>
      <c r="I193" s="222">
        <f t="shared" ca="1" si="6"/>
        <v>5371875.5374994846</v>
      </c>
      <c r="J193" s="36"/>
      <c r="K193" s="5"/>
    </row>
    <row r="194" spans="1:11" x14ac:dyDescent="0.2">
      <c r="A194" s="3">
        <v>43435</v>
      </c>
      <c r="C194" s="217">
        <f>+'Purchased Power Model '!C194</f>
        <v>472.50375238055386</v>
      </c>
      <c r="D194" s="217">
        <f ca="1">+'Purchased Power Model '!D194</f>
        <v>0</v>
      </c>
      <c r="E194" s="126">
        <f>+'Purchased Power Model '!E194</f>
        <v>7.3406150000000003E-2</v>
      </c>
      <c r="F194" s="57">
        <f>+'Purchased Power Model '!F194</f>
        <v>31</v>
      </c>
      <c r="G194" s="57">
        <f>+'Purchased Power Model '!G194</f>
        <v>0</v>
      </c>
      <c r="H194" s="221"/>
      <c r="I194" s="222">
        <f t="shared" ca="1" si="6"/>
        <v>5023601.4495141087</v>
      </c>
      <c r="J194" s="36"/>
      <c r="K194" s="5"/>
    </row>
    <row r="195" spans="1:11" x14ac:dyDescent="0.2">
      <c r="A195" s="3">
        <v>43466</v>
      </c>
      <c r="C195" s="217">
        <f>+'Purchased Power Model '!C195</f>
        <v>658.84805317106725</v>
      </c>
      <c r="D195" s="217">
        <f ca="1">+'Purchased Power Model '!D195</f>
        <v>0</v>
      </c>
      <c r="E195" s="126">
        <f>+'Purchased Power Model '!E195</f>
        <v>7.3406150000000003E-2</v>
      </c>
      <c r="F195" s="57">
        <f>+'Purchased Power Model '!F195</f>
        <v>31</v>
      </c>
      <c r="G195" s="57">
        <f>+'Purchased Power Model '!G195</f>
        <v>0</v>
      </c>
      <c r="H195" s="221"/>
      <c r="I195" s="222">
        <f t="shared" ca="1" si="6"/>
        <v>5292463.9633937879</v>
      </c>
      <c r="J195" s="36"/>
      <c r="K195" s="5"/>
    </row>
    <row r="196" spans="1:11" x14ac:dyDescent="0.2">
      <c r="A196" s="3">
        <v>43497</v>
      </c>
      <c r="C196" s="217">
        <f>+'Purchased Power Model '!C196</f>
        <v>590.12728838743919</v>
      </c>
      <c r="D196" s="217">
        <f ca="1">+'Purchased Power Model '!D196</f>
        <v>0</v>
      </c>
      <c r="E196" s="126">
        <f>+'Purchased Power Model '!E196</f>
        <v>7.3406150000000003E-2</v>
      </c>
      <c r="F196" s="57">
        <f>+'Purchased Power Model '!F196</f>
        <v>28</v>
      </c>
      <c r="G196" s="57">
        <f>+'Purchased Power Model '!G196</f>
        <v>0</v>
      </c>
      <c r="H196" s="221"/>
      <c r="I196" s="222">
        <f t="shared" ref="I196:I206" ca="1" si="11">$N$18+C196*$N$19+D196*$N$20+E196*$N$21+F196*$N$22+G196*$N$23</f>
        <v>5788331.1387452688</v>
      </c>
      <c r="J196" s="36"/>
      <c r="K196" s="5"/>
    </row>
    <row r="197" spans="1:11" x14ac:dyDescent="0.2">
      <c r="A197" s="3">
        <v>43525</v>
      </c>
      <c r="C197" s="217">
        <f>+'Purchased Power Model '!C197</f>
        <v>579.10804829161816</v>
      </c>
      <c r="D197" s="217">
        <f ca="1">+'Purchased Power Model '!D197</f>
        <v>0</v>
      </c>
      <c r="E197" s="126">
        <f>+'Purchased Power Model '!E197</f>
        <v>7.3406150000000003E-2</v>
      </c>
      <c r="F197" s="57">
        <f>+'Purchased Power Model '!F197</f>
        <v>31</v>
      </c>
      <c r="G197" s="57">
        <f>+'Purchased Power Model '!G197</f>
        <v>1</v>
      </c>
      <c r="H197" s="221"/>
      <c r="I197" s="222">
        <f t="shared" ca="1" si="11"/>
        <v>5505874.9536484238</v>
      </c>
      <c r="J197" s="36"/>
      <c r="K197" s="5"/>
    </row>
    <row r="198" spans="1:11" x14ac:dyDescent="0.2">
      <c r="A198" s="3">
        <v>43556</v>
      </c>
      <c r="C198" s="217">
        <f>+'Purchased Power Model '!C198</f>
        <v>317.1661897347559</v>
      </c>
      <c r="D198" s="217">
        <f ca="1">+'Purchased Power Model '!D198</f>
        <v>0</v>
      </c>
      <c r="E198" s="126">
        <f>+'Purchased Power Model '!E198</f>
        <v>7.3406150000000003E-2</v>
      </c>
      <c r="F198" s="57">
        <f>+'Purchased Power Model '!F198</f>
        <v>30</v>
      </c>
      <c r="G198" s="57">
        <f>+'Purchased Power Model '!G198</f>
        <v>1</v>
      </c>
      <c r="H198" s="221"/>
      <c r="I198" s="222">
        <f t="shared" ca="1" si="11"/>
        <v>5326278.0467963936</v>
      </c>
      <c r="J198" s="36"/>
      <c r="K198" s="5"/>
    </row>
    <row r="199" spans="1:11" x14ac:dyDescent="0.2">
      <c r="A199" s="3">
        <v>43586</v>
      </c>
      <c r="C199" s="217">
        <f>+'Purchased Power Model '!C199</f>
        <v>137.09984770381988</v>
      </c>
      <c r="D199" s="217">
        <f ca="1">+'Purchased Power Model '!D199</f>
        <v>1.9186560520458842</v>
      </c>
      <c r="E199" s="126">
        <f>+'Purchased Power Model '!E199</f>
        <v>7.3406150000000003E-2</v>
      </c>
      <c r="F199" s="57">
        <f>+'Purchased Power Model '!F199</f>
        <v>31</v>
      </c>
      <c r="G199" s="57">
        <f>+'Purchased Power Model '!G199</f>
        <v>1</v>
      </c>
      <c r="H199" s="221"/>
      <c r="I199" s="222">
        <f t="shared" ca="1" si="11"/>
        <v>4874139.3060807008</v>
      </c>
      <c r="J199" s="36"/>
      <c r="K199" s="5"/>
    </row>
    <row r="200" spans="1:11" x14ac:dyDescent="0.2">
      <c r="A200" s="3">
        <v>43617</v>
      </c>
      <c r="C200" s="217">
        <f>+'Purchased Power Model '!C200</f>
        <v>22.978105316091931</v>
      </c>
      <c r="D200" s="217">
        <f ca="1">+'Purchased Power Model '!D200</f>
        <v>59.1831597592615</v>
      </c>
      <c r="E200" s="126">
        <f>+'Purchased Power Model '!E200</f>
        <v>7.3406150000000003E-2</v>
      </c>
      <c r="F200" s="57">
        <f>+'Purchased Power Model '!F200</f>
        <v>30</v>
      </c>
      <c r="G200" s="57">
        <f>+'Purchased Power Model '!G200</f>
        <v>0</v>
      </c>
      <c r="H200" s="221"/>
      <c r="I200" s="222">
        <f t="shared" ca="1" si="11"/>
        <v>4758601.5205244441</v>
      </c>
      <c r="J200" s="36"/>
      <c r="K200" s="5"/>
    </row>
    <row r="201" spans="1:11" x14ac:dyDescent="0.2">
      <c r="A201" s="3">
        <v>43647</v>
      </c>
      <c r="C201" s="217">
        <f>+'Purchased Power Model '!C201</f>
        <v>8.2003647224714715</v>
      </c>
      <c r="D201" s="217">
        <f ca="1">+'Purchased Power Model '!D201</f>
        <v>80.583554185927127</v>
      </c>
      <c r="E201" s="126">
        <f>+'Purchased Power Model '!E201</f>
        <v>7.3406150000000003E-2</v>
      </c>
      <c r="F201" s="57">
        <f>+'Purchased Power Model '!F201</f>
        <v>31</v>
      </c>
      <c r="G201" s="57">
        <f>+'Purchased Power Model '!G201</f>
        <v>0</v>
      </c>
      <c r="H201" s="221"/>
      <c r="I201" s="222">
        <f t="shared" ca="1" si="11"/>
        <v>4605924.915229897</v>
      </c>
      <c r="J201" s="36"/>
      <c r="K201" s="5"/>
    </row>
    <row r="202" spans="1:11" x14ac:dyDescent="0.2">
      <c r="A202" s="3">
        <v>43678</v>
      </c>
      <c r="C202" s="217">
        <f>+'Purchased Power Model '!C202</f>
        <v>10.848399164102883</v>
      </c>
      <c r="D202" s="217">
        <f ca="1">+'Purchased Power Model '!D202</f>
        <v>85.601577706662511</v>
      </c>
      <c r="E202" s="126">
        <f>+'Purchased Power Model '!E202</f>
        <v>7.3406150000000003E-2</v>
      </c>
      <c r="F202" s="57">
        <f>+'Purchased Power Model '!F202</f>
        <v>31</v>
      </c>
      <c r="G202" s="57">
        <f>+'Purchased Power Model '!G202</f>
        <v>0</v>
      </c>
      <c r="H202" s="221"/>
      <c r="I202" s="222">
        <f t="shared" ca="1" si="11"/>
        <v>4625452.3706520936</v>
      </c>
      <c r="J202" s="36"/>
      <c r="K202" s="5"/>
    </row>
    <row r="203" spans="1:11" x14ac:dyDescent="0.2">
      <c r="A203" s="3">
        <v>43709</v>
      </c>
      <c r="C203" s="217">
        <f>+'Purchased Power Model '!C203</f>
        <v>66.115440574926225</v>
      </c>
      <c r="D203" s="217">
        <f ca="1">+'Purchased Power Model '!D203</f>
        <v>33.207508593101842</v>
      </c>
      <c r="E203" s="126">
        <f>+'Purchased Power Model '!E203</f>
        <v>7.3406150000000003E-2</v>
      </c>
      <c r="F203" s="57">
        <f>+'Purchased Power Model '!F203</f>
        <v>30</v>
      </c>
      <c r="G203" s="57">
        <f>+'Purchased Power Model '!G203</f>
        <v>1</v>
      </c>
      <c r="H203" s="221"/>
      <c r="I203" s="222">
        <f t="shared" ca="1" si="11"/>
        <v>5067997.4127711961</v>
      </c>
      <c r="J203" s="36"/>
      <c r="K203" s="5"/>
    </row>
    <row r="204" spans="1:11" x14ac:dyDescent="0.2">
      <c r="A204" s="3">
        <v>43739</v>
      </c>
      <c r="C204" s="217">
        <f>+'Purchased Power Model '!C204</f>
        <v>184.76446765318536</v>
      </c>
      <c r="D204" s="217">
        <f ca="1">+'Purchased Power Model '!D204</f>
        <v>0.73794463540226296</v>
      </c>
      <c r="E204" s="126">
        <f>+'Purchased Power Model '!E204</f>
        <v>7.3406150000000003E-2</v>
      </c>
      <c r="F204" s="57">
        <f>+'Purchased Power Model '!F204</f>
        <v>31</v>
      </c>
      <c r="G204" s="57">
        <f>+'Purchased Power Model '!G204</f>
        <v>1</v>
      </c>
      <c r="H204" s="221"/>
      <c r="I204" s="222">
        <f t="shared" ca="1" si="11"/>
        <v>4939215.3697502147</v>
      </c>
      <c r="J204" s="36"/>
      <c r="K204" s="5"/>
    </row>
    <row r="205" spans="1:11" x14ac:dyDescent="0.2">
      <c r="A205" s="3">
        <v>43770</v>
      </c>
      <c r="C205" s="217">
        <f>+'Purchased Power Model '!C205</f>
        <v>347.91755744402406</v>
      </c>
      <c r="D205" s="217">
        <f ca="1">+'Purchased Power Model '!D205</f>
        <v>0</v>
      </c>
      <c r="E205" s="126">
        <f>+'Purchased Power Model '!E205</f>
        <v>7.3406150000000003E-2</v>
      </c>
      <c r="F205" s="57">
        <f>+'Purchased Power Model '!F205</f>
        <v>30</v>
      </c>
      <c r="G205" s="57">
        <f>+'Purchased Power Model '!G205</f>
        <v>1</v>
      </c>
      <c r="H205" s="221"/>
      <c r="I205" s="222">
        <f t="shared" ca="1" si="11"/>
        <v>5370646.9381039264</v>
      </c>
      <c r="J205" s="36"/>
      <c r="K205" s="5"/>
    </row>
    <row r="206" spans="1:11" x14ac:dyDescent="0.2">
      <c r="A206" s="3">
        <v>43800</v>
      </c>
      <c r="C206" s="217">
        <f>+'Purchased Power Model '!C206</f>
        <v>471.35013061039143</v>
      </c>
      <c r="D206" s="217">
        <f ca="1">+'Purchased Power Model '!D206</f>
        <v>0</v>
      </c>
      <c r="E206" s="126">
        <f>+'Purchased Power Model '!E206</f>
        <v>7.3406150000000003E-2</v>
      </c>
      <c r="F206" s="57">
        <f>+'Purchased Power Model '!F206</f>
        <v>31</v>
      </c>
      <c r="G206" s="57">
        <f>+'Purchased Power Model '!G206</f>
        <v>0</v>
      </c>
      <c r="H206" s="221"/>
      <c r="I206" s="222">
        <f t="shared" ca="1" si="11"/>
        <v>5021936.9733381448</v>
      </c>
      <c r="J206" s="36"/>
      <c r="K206" s="5"/>
    </row>
    <row r="207" spans="1:11" x14ac:dyDescent="0.2">
      <c r="A207" s="3"/>
      <c r="J207" s="11"/>
      <c r="K207" s="11"/>
    </row>
    <row r="208" spans="1:11" x14ac:dyDescent="0.2">
      <c r="A208" s="3"/>
      <c r="C208" s="18"/>
      <c r="D208" s="63" t="s">
        <v>60</v>
      </c>
      <c r="I208" s="47">
        <f ca="1">SUM(I3:I206)</f>
        <v>1051524913.8073709</v>
      </c>
    </row>
    <row r="209" spans="1:11" x14ac:dyDescent="0.2">
      <c r="A209" s="3"/>
      <c r="C209" s="23"/>
      <c r="D209" s="23"/>
      <c r="F209" s="209"/>
      <c r="G209" s="209"/>
      <c r="H209"/>
      <c r="I209" s="209"/>
      <c r="J209" s="36"/>
      <c r="K209" s="5" t="s">
        <v>201</v>
      </c>
    </row>
    <row r="210" spans="1:11" x14ac:dyDescent="0.2">
      <c r="A210" s="16">
        <v>2003</v>
      </c>
      <c r="B210" s="6">
        <f>SUM(B3:B14)</f>
        <v>169257212.5</v>
      </c>
      <c r="C210" s="131"/>
      <c r="D210" s="23" t="s">
        <v>200</v>
      </c>
      <c r="E210" s="132" t="s">
        <v>112</v>
      </c>
      <c r="F210" s="209"/>
      <c r="G210" s="209"/>
      <c r="H210"/>
      <c r="I210" s="6">
        <f>SUM(I3:I14)</f>
        <v>104738869.82584473</v>
      </c>
      <c r="J210" s="36">
        <f>I210-B210</f>
        <v>-64518342.674155265</v>
      </c>
      <c r="K210" s="5">
        <f>J210/B210</f>
        <v>-0.38118518981372962</v>
      </c>
    </row>
    <row r="211" spans="1:11" x14ac:dyDescent="0.2">
      <c r="A211">
        <v>2004</v>
      </c>
      <c r="B211" s="6">
        <f>SUM(B15:B26)</f>
        <v>112144196</v>
      </c>
      <c r="C211" s="131">
        <f>+B211-B210</f>
        <v>-57113016.5</v>
      </c>
      <c r="D211" s="133">
        <f>+C211/B210</f>
        <v>-0.33743328072356149</v>
      </c>
      <c r="E211" s="133">
        <f>RATE(1,0,-B$210,B211)</f>
        <v>-0.33743328072356149</v>
      </c>
      <c r="F211" s="209"/>
      <c r="G211" s="209"/>
      <c r="H211"/>
      <c r="I211" s="6">
        <f>SUM(I15:I26)</f>
        <v>97164828.978180408</v>
      </c>
      <c r="J211" s="36">
        <f t="shared" ref="J211:J226" si="12">I211-B211</f>
        <v>-14979367.021819592</v>
      </c>
      <c r="K211" s="5">
        <f t="shared" ref="K211:K226" si="13">J211/B211</f>
        <v>-0.13357237874191538</v>
      </c>
    </row>
    <row r="212" spans="1:11" x14ac:dyDescent="0.2">
      <c r="A212" s="16">
        <v>2005</v>
      </c>
      <c r="B212" s="6">
        <f>SUM(B27:B38)</f>
        <v>62904833</v>
      </c>
      <c r="C212" s="131">
        <f t="shared" ref="C212:C226" si="14">+B212-B211</f>
        <v>-49239363</v>
      </c>
      <c r="D212" s="133">
        <f t="shared" ref="D212:D226" si="15">+C212/B211</f>
        <v>-0.43907188027813765</v>
      </c>
      <c r="E212" s="133">
        <f>RATE(2,0,-B$210,B212)</f>
        <v>-0.39036707435210188</v>
      </c>
      <c r="F212" s="209"/>
      <c r="G212" s="209"/>
      <c r="H212"/>
      <c r="I212" s="6">
        <f>SUM(I27:I38)</f>
        <v>77367686.599207893</v>
      </c>
      <c r="J212" s="36">
        <f t="shared" si="12"/>
        <v>14462853.599207893</v>
      </c>
      <c r="K212" s="5">
        <f t="shared" si="13"/>
        <v>0.22991641356408804</v>
      </c>
    </row>
    <row r="213" spans="1:11" x14ac:dyDescent="0.2">
      <c r="A213">
        <v>2006</v>
      </c>
      <c r="B213" s="6">
        <f>SUM(B39:B50)</f>
        <v>59654446</v>
      </c>
      <c r="C213" s="131">
        <f t="shared" si="14"/>
        <v>-3250387</v>
      </c>
      <c r="D213" s="133">
        <f t="shared" si="15"/>
        <v>-5.1671498754316703E-2</v>
      </c>
      <c r="E213" s="133">
        <f>RATE(3,0,-B$210,B213)</f>
        <v>-0.29363059957985366</v>
      </c>
      <c r="F213" s="209"/>
      <c r="G213" s="209"/>
      <c r="H213"/>
      <c r="I213" s="6">
        <f>SUM(I39:I50)</f>
        <v>74068078.038889915</v>
      </c>
      <c r="J213" s="36">
        <f t="shared" si="12"/>
        <v>14413632.038889915</v>
      </c>
      <c r="K213" s="5">
        <f t="shared" si="13"/>
        <v>0.24161873934576333</v>
      </c>
    </row>
    <row r="214" spans="1:11" x14ac:dyDescent="0.2">
      <c r="A214" s="16">
        <v>2007</v>
      </c>
      <c r="B214" s="6">
        <f>SUM(B51:B62)</f>
        <v>61811846</v>
      </c>
      <c r="C214" s="131">
        <f t="shared" si="14"/>
        <v>2157400</v>
      </c>
      <c r="D214" s="133">
        <f t="shared" si="15"/>
        <v>3.6164949046714807E-2</v>
      </c>
      <c r="E214" s="133">
        <f>RATE(4,0,-B$210,B214)</f>
        <v>-0.2226239929459839</v>
      </c>
      <c r="F214" s="209"/>
      <c r="G214" s="209"/>
      <c r="H214"/>
      <c r="I214" s="6">
        <f>SUM(I51:I62)</f>
        <v>81067665.145564467</v>
      </c>
      <c r="J214" s="36">
        <f t="shared" si="12"/>
        <v>19255819.145564467</v>
      </c>
      <c r="K214" s="5">
        <f t="shared" si="13"/>
        <v>0.31152312043171249</v>
      </c>
    </row>
    <row r="215" spans="1:11" x14ac:dyDescent="0.2">
      <c r="A215">
        <v>2008</v>
      </c>
      <c r="B215" s="6">
        <f>SUM(B63:B74)</f>
        <v>46461021</v>
      </c>
      <c r="C215" s="131">
        <f t="shared" si="14"/>
        <v>-15350825</v>
      </c>
      <c r="D215" s="133">
        <f t="shared" si="15"/>
        <v>-0.24834762255765666</v>
      </c>
      <c r="E215" s="133">
        <f>RATE(5,0,-B$210,B215)</f>
        <v>-0.22783819926497662</v>
      </c>
      <c r="F215" s="209"/>
      <c r="G215" s="209"/>
      <c r="H215"/>
      <c r="I215" s="6">
        <f>SUM(I63:I74)</f>
        <v>63180087.335224047</v>
      </c>
      <c r="J215" s="36">
        <f t="shared" si="12"/>
        <v>16719066.335224047</v>
      </c>
      <c r="K215" s="5">
        <f t="shared" si="13"/>
        <v>0.35985146205082424</v>
      </c>
    </row>
    <row r="216" spans="1:11" x14ac:dyDescent="0.2">
      <c r="A216" s="16">
        <v>2009</v>
      </c>
      <c r="B216" s="6">
        <f>SUM(B75:B86)</f>
        <v>36580289</v>
      </c>
      <c r="C216" s="131">
        <f t="shared" si="14"/>
        <v>-9880732</v>
      </c>
      <c r="D216" s="133">
        <f t="shared" si="15"/>
        <v>-0.21266713015196115</v>
      </c>
      <c r="E216" s="133">
        <f>RATE(6,0,-B$210,B216)</f>
        <v>-0.22533014219921019</v>
      </c>
      <c r="F216" s="209"/>
      <c r="G216" s="209"/>
      <c r="H216"/>
      <c r="I216" s="6">
        <f>SUM(I75:I86)</f>
        <v>28653052.685576759</v>
      </c>
      <c r="J216" s="36">
        <f t="shared" si="12"/>
        <v>-7927236.3144232407</v>
      </c>
      <c r="K216" s="5">
        <f t="shared" si="13"/>
        <v>-0.21670786456671354</v>
      </c>
    </row>
    <row r="217" spans="1:11" x14ac:dyDescent="0.2">
      <c r="A217">
        <v>2010</v>
      </c>
      <c r="B217" s="6">
        <f>SUM(B87:B98)</f>
        <v>33402763</v>
      </c>
      <c r="C217" s="131">
        <f t="shared" si="14"/>
        <v>-3177526</v>
      </c>
      <c r="D217" s="133">
        <f t="shared" si="15"/>
        <v>-8.6864431278823415E-2</v>
      </c>
      <c r="E217" s="133">
        <f>RATE(7,0,-B$210,B217)</f>
        <v>-0.20691576791731983</v>
      </c>
      <c r="F217" s="209"/>
      <c r="G217" s="209"/>
      <c r="H217"/>
      <c r="I217" s="6">
        <f>SUM(I87:I98)</f>
        <v>12092948.659844588</v>
      </c>
      <c r="J217" s="36">
        <f t="shared" si="12"/>
        <v>-21309814.340155412</v>
      </c>
      <c r="K217" s="5">
        <f t="shared" si="13"/>
        <v>-0.63796561799858931</v>
      </c>
    </row>
    <row r="218" spans="1:11" x14ac:dyDescent="0.2">
      <c r="A218">
        <v>2011</v>
      </c>
      <c r="B218" s="6">
        <f>SUM(B99:B110)</f>
        <v>37740699</v>
      </c>
      <c r="C218" s="131">
        <f t="shared" si="14"/>
        <v>4337936</v>
      </c>
      <c r="D218" s="133">
        <f t="shared" si="15"/>
        <v>0.12986758011605207</v>
      </c>
      <c r="E218" s="133">
        <f>RATE(8,0,-B$210,B218)</f>
        <v>-0.17104139439277968</v>
      </c>
      <c r="F218" s="209"/>
      <c r="G218" s="209"/>
      <c r="H218"/>
      <c r="I218" s="6">
        <f>SUM(I99:I110)</f>
        <v>47442973.878184646</v>
      </c>
      <c r="J218" s="36">
        <f t="shared" si="12"/>
        <v>9702274.8781846464</v>
      </c>
      <c r="K218" s="5">
        <f t="shared" si="13"/>
        <v>0.257077243804749</v>
      </c>
    </row>
    <row r="219" spans="1:11" x14ac:dyDescent="0.2">
      <c r="A219">
        <v>2012</v>
      </c>
      <c r="B219" s="6">
        <f>SUM(B111:B122)</f>
        <v>40812737</v>
      </c>
      <c r="C219" s="131">
        <f t="shared" si="14"/>
        <v>3072038</v>
      </c>
      <c r="D219" s="133">
        <f t="shared" si="15"/>
        <v>8.1398545374053624E-2</v>
      </c>
      <c r="E219" s="133">
        <f>RATE(9,0,-B$210,B219)</f>
        <v>-0.14619056729559121</v>
      </c>
      <c r="F219" s="209"/>
      <c r="G219" s="209"/>
      <c r="H219"/>
      <c r="I219" s="6">
        <f>SUM(I111:I122)</f>
        <v>34218043.816841148</v>
      </c>
      <c r="J219" s="36">
        <f t="shared" si="12"/>
        <v>-6594693.1831588522</v>
      </c>
      <c r="K219" s="5">
        <f t="shared" si="13"/>
        <v>-0.16158419326689244</v>
      </c>
    </row>
    <row r="220" spans="1:11" x14ac:dyDescent="0.2">
      <c r="A220">
        <v>2013</v>
      </c>
      <c r="B220" s="6">
        <f>SUM(B123:B134)</f>
        <v>42326219</v>
      </c>
      <c r="C220" s="131">
        <f t="shared" si="14"/>
        <v>1513482</v>
      </c>
      <c r="D220" s="133">
        <f t="shared" si="15"/>
        <v>3.7083570258961071E-2</v>
      </c>
      <c r="E220" s="133">
        <f>RATE(10,0,-B$210,B220)</f>
        <v>-0.12942492476197995</v>
      </c>
      <c r="F220" s="209"/>
      <c r="G220" s="209"/>
      <c r="H220"/>
      <c r="I220" s="6">
        <f ca="1">SUM(I123:I134)</f>
        <v>63951011.819082923</v>
      </c>
      <c r="J220" s="36">
        <f t="shared" ca="1" si="12"/>
        <v>21624792.819082923</v>
      </c>
      <c r="K220" s="5">
        <f t="shared" ca="1" si="13"/>
        <v>0.51090773827643154</v>
      </c>
    </row>
    <row r="221" spans="1:11" x14ac:dyDescent="0.2">
      <c r="A221">
        <v>2014</v>
      </c>
      <c r="B221" s="6">
        <f>SUM(B135:B146)</f>
        <v>42700435</v>
      </c>
      <c r="C221" s="131">
        <f t="shared" ref="C221" si="16">+B221-B220</f>
        <v>374216</v>
      </c>
      <c r="D221" s="133">
        <f t="shared" ref="D221" si="17">+C221/B220</f>
        <v>8.8412338460943079E-3</v>
      </c>
      <c r="E221" s="133">
        <f>RATE(10,0,-B$210,B221)</f>
        <v>-0.12865827421917983</v>
      </c>
      <c r="F221" s="126"/>
      <c r="G221" s="209"/>
      <c r="H221"/>
      <c r="I221" s="6">
        <f>SUM(I135:I146)</f>
        <v>61851449.717557885</v>
      </c>
      <c r="J221" s="36">
        <f t="shared" si="12"/>
        <v>19151014.717557885</v>
      </c>
      <c r="K221" s="5">
        <f t="shared" si="13"/>
        <v>0.44849694663667677</v>
      </c>
    </row>
    <row r="222" spans="1:11" x14ac:dyDescent="0.2">
      <c r="A222">
        <v>2015</v>
      </c>
      <c r="B222" s="6">
        <f t="shared" ref="B222:B226" ca="1" si="18">+I222</f>
        <v>61193759.92361179</v>
      </c>
      <c r="C222" s="131">
        <f t="shared" ca="1" si="14"/>
        <v>18493324.92361179</v>
      </c>
      <c r="D222" s="133">
        <f t="shared" ca="1" si="15"/>
        <v>0.433094532259725</v>
      </c>
      <c r="E222" s="133">
        <f ca="1">RATE(12,0,-B$210,B222)</f>
        <v>-8.1286715702242981E-2</v>
      </c>
      <c r="F222" s="126"/>
      <c r="G222" s="209"/>
      <c r="H222"/>
      <c r="I222" s="6">
        <f ca="1">SUM(I147:I158)</f>
        <v>61193759.92361179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t="shared" ca="1" si="18"/>
        <v>60991195.895723544</v>
      </c>
      <c r="C223" s="131">
        <f t="shared" ca="1" si="14"/>
        <v>-202564.02788824588</v>
      </c>
      <c r="D223" s="133">
        <f t="shared" ca="1" si="15"/>
        <v>-3.3102072521954311E-3</v>
      </c>
      <c r="E223" s="133">
        <f ca="1">RATE(13,0,-B$210,B223)</f>
        <v>-7.5511452006914948E-2</v>
      </c>
      <c r="F223" s="126"/>
      <c r="G223" s="209"/>
      <c r="H223"/>
      <c r="I223" s="6">
        <f ca="1">SUM(I159:I170)</f>
        <v>60991195.895723544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t="shared" ca="1" si="18"/>
        <v>61185311.416323148</v>
      </c>
      <c r="C224" s="131">
        <f t="shared" ca="1" si="14"/>
        <v>194115.52059960365</v>
      </c>
      <c r="D224" s="133">
        <f t="shared" ca="1" si="15"/>
        <v>3.1826810041810354E-3</v>
      </c>
      <c r="E224" s="133">
        <f ca="1">RATE(14,0,-B$210,B224)</f>
        <v>-7.0101143591251067E-2</v>
      </c>
      <c r="F224" s="126"/>
      <c r="G224" s="209"/>
      <c r="H224"/>
      <c r="I224" s="6">
        <f ca="1">SUM(I171:I182)</f>
        <v>61185311.416323148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61181087.162678823</v>
      </c>
      <c r="C225" s="131">
        <f t="shared" ca="1" si="14"/>
        <v>-4224.2536443248391</v>
      </c>
      <c r="D225" s="133">
        <f t="shared" ca="1" si="15"/>
        <v>-6.9040322694147204E-5</v>
      </c>
      <c r="E225" s="133">
        <f ca="1">RATE(15,0,-B$210,B225)</f>
        <v>-6.5588875171032832E-2</v>
      </c>
      <c r="F225" s="126"/>
      <c r="G225" s="209"/>
      <c r="H225"/>
      <c r="I225" s="6">
        <f ca="1">SUM(I183:I194)</f>
        <v>61181087.162678823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61176862.909034491</v>
      </c>
      <c r="C226" s="131">
        <f t="shared" ca="1" si="14"/>
        <v>-4224.2536443322897</v>
      </c>
      <c r="D226" s="133">
        <f t="shared" ca="1" si="15"/>
        <v>-6.9045089589534685E-5</v>
      </c>
      <c r="E226" s="133">
        <f ca="1">RATE(16,0,-B$210,B226)</f>
        <v>-6.1622683087198815E-2</v>
      </c>
      <c r="F226" s="126"/>
      <c r="G226" s="209"/>
      <c r="H226"/>
      <c r="I226" s="6">
        <f ca="1">SUM(I195:I206)</f>
        <v>61176862.909034491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24"/>
      <c r="D227" s="209"/>
      <c r="F227" s="209"/>
      <c r="G227" s="209"/>
      <c r="H227"/>
      <c r="J227" s="209"/>
      <c r="K227" s="209"/>
    </row>
    <row r="228" spans="1:11" x14ac:dyDescent="0.2">
      <c r="A228" t="s">
        <v>9</v>
      </c>
      <c r="B228" s="6">
        <f ca="1">SUM(B210:B226)</f>
        <v>1051524913.8073719</v>
      </c>
      <c r="C228" s="124"/>
      <c r="D228" s="209"/>
      <c r="F228" s="209"/>
      <c r="G228" s="209"/>
      <c r="H228"/>
      <c r="I228" s="6">
        <f ca="1">SUM(I210:I226)</f>
        <v>1051524913.8073713</v>
      </c>
      <c r="J228" s="213">
        <f ca="1">I228-B228</f>
        <v>0</v>
      </c>
      <c r="K228" s="209"/>
    </row>
    <row r="229" spans="1:11" x14ac:dyDescent="0.2">
      <c r="C229" s="209"/>
      <c r="D229" s="209"/>
      <c r="F229" s="209"/>
      <c r="G229" s="209"/>
      <c r="H229"/>
      <c r="I229" s="209"/>
      <c r="J229" s="62"/>
      <c r="K229" s="209"/>
    </row>
    <row r="230" spans="1:11" x14ac:dyDescent="0.2">
      <c r="C230" s="209"/>
      <c r="D230" s="209"/>
      <c r="F230" s="209"/>
      <c r="G230" s="209"/>
      <c r="H230"/>
      <c r="I230" s="6">
        <f ca="1">SUM(I210:I226)</f>
        <v>1051524913.8073713</v>
      </c>
      <c r="J230" s="213">
        <f ca="1">I208-I230</f>
        <v>0</v>
      </c>
      <c r="K230" s="209"/>
    </row>
    <row r="231" spans="1:11" x14ac:dyDescent="0.2">
      <c r="C231" s="209"/>
      <c r="D231" s="209"/>
      <c r="F231" s="209"/>
      <c r="G231" s="209"/>
      <c r="H231"/>
      <c r="I231" s="23"/>
      <c r="J231" s="214" t="s">
        <v>69</v>
      </c>
      <c r="K231" s="18"/>
    </row>
    <row r="242" spans="9:11" x14ac:dyDescent="0.2">
      <c r="I242" s="11"/>
    </row>
    <row r="243" spans="9:11" x14ac:dyDescent="0.2">
      <c r="J243" s="11"/>
      <c r="K243" s="11"/>
    </row>
    <row r="247" spans="9:11" x14ac:dyDescent="0.2">
      <c r="I247" s="11"/>
    </row>
    <row r="271" spans="9:9" x14ac:dyDescent="0.2">
      <c r="I271" s="1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AH345"/>
  <sheetViews>
    <sheetView showGridLines="0" topLeftCell="A40" workbookViewId="0">
      <selection activeCell="M74" sqref="M74"/>
    </sheetView>
  </sheetViews>
  <sheetFormatPr defaultRowHeight="12.75" x14ac:dyDescent="0.2"/>
  <cols>
    <col min="1" max="1" width="25.85546875" customWidth="1"/>
    <col min="2" max="2" width="12.7109375" bestFit="1" customWidth="1"/>
    <col min="3" max="3" width="10.7109375" bestFit="1" customWidth="1"/>
    <col min="4" max="4" width="9.5703125" bestFit="1" customWidth="1"/>
    <col min="5" max="5" width="10" customWidth="1"/>
    <col min="6" max="7" width="11.140625" customWidth="1"/>
    <col min="9" max="9" width="10.140625" customWidth="1"/>
    <col min="10" max="10" width="10.5703125" customWidth="1"/>
    <col min="12" max="12" width="25.85546875" customWidth="1"/>
    <col min="13" max="13" width="11.140625" customWidth="1"/>
    <col min="14" max="14" width="11" bestFit="1" customWidth="1"/>
    <col min="15" max="15" width="18" bestFit="1" customWidth="1"/>
    <col min="21" max="21" width="9.5703125" bestFit="1" customWidth="1"/>
    <col min="23" max="23" width="25.85546875" customWidth="1"/>
    <col min="24" max="24" width="12.7109375" bestFit="1" customWidth="1"/>
    <col min="25" max="25" width="10.7109375" bestFit="1" customWidth="1"/>
    <col min="26" max="26" width="9.5703125" bestFit="1" customWidth="1"/>
    <col min="27" max="27" width="10" customWidth="1"/>
    <col min="28" max="29" width="11.140625" customWidth="1"/>
    <col min="31" max="31" width="10.140625" customWidth="1"/>
    <col min="32" max="32" width="10.5703125" customWidth="1"/>
  </cols>
  <sheetData>
    <row r="2" spans="1:9" x14ac:dyDescent="0.2">
      <c r="A2" s="66" t="s">
        <v>252</v>
      </c>
    </row>
    <row r="3" spans="1:9" ht="13.5" thickBot="1" x14ac:dyDescent="0.25"/>
    <row r="4" spans="1:9" ht="48.75" thickBot="1" x14ac:dyDescent="0.25">
      <c r="A4" s="286" t="s">
        <v>117</v>
      </c>
      <c r="B4" s="279" t="s">
        <v>230</v>
      </c>
      <c r="C4" s="279" t="s">
        <v>231</v>
      </c>
      <c r="D4" s="279" t="s">
        <v>200</v>
      </c>
      <c r="E4" s="279" t="s">
        <v>232</v>
      </c>
      <c r="F4" s="279" t="s">
        <v>240</v>
      </c>
      <c r="G4" s="279" t="s">
        <v>231</v>
      </c>
      <c r="H4" s="279" t="s">
        <v>200</v>
      </c>
      <c r="I4" s="280" t="s">
        <v>232</v>
      </c>
    </row>
    <row r="5" spans="1:9" x14ac:dyDescent="0.2">
      <c r="A5" s="287" t="s">
        <v>119</v>
      </c>
      <c r="B5" s="288">
        <v>1192455603</v>
      </c>
      <c r="C5" s="288">
        <f>+B13-B5</f>
        <v>-33573677</v>
      </c>
      <c r="D5" s="289">
        <f>+C5/B5</f>
        <v>-2.8155075053138058E-2</v>
      </c>
      <c r="E5" s="289"/>
      <c r="F5" s="288">
        <f>+J30</f>
        <v>63653</v>
      </c>
      <c r="G5" s="288">
        <f>+F13-F5</f>
        <v>-308.5</v>
      </c>
      <c r="H5" s="289">
        <f>+G5/F5</f>
        <v>-4.846590105729502E-3</v>
      </c>
      <c r="I5" s="290"/>
    </row>
    <row r="6" spans="1:9" ht="13.5" thickBot="1" x14ac:dyDescent="0.25">
      <c r="A6" s="302" t="s">
        <v>233</v>
      </c>
      <c r="B6" s="303">
        <v>1161936612</v>
      </c>
      <c r="C6" s="303">
        <f>+B17-B6</f>
        <v>-25724659.329020977</v>
      </c>
      <c r="D6" s="304">
        <f>+C6/B6</f>
        <v>-2.2139468765634333E-2</v>
      </c>
      <c r="E6" s="304"/>
      <c r="F6" s="303">
        <f>+J31</f>
        <v>67507.012231684101</v>
      </c>
      <c r="G6" s="303">
        <f>+F17-F6</f>
        <v>-1580.0122316841007</v>
      </c>
      <c r="H6" s="304">
        <f>+G6/F6</f>
        <v>-2.3405157174805749E-2</v>
      </c>
      <c r="I6" s="305"/>
    </row>
    <row r="7" spans="1:9" x14ac:dyDescent="0.2">
      <c r="A7" s="297"/>
      <c r="B7" s="298"/>
      <c r="C7" s="299"/>
      <c r="D7" s="300"/>
      <c r="E7" s="300"/>
      <c r="F7" s="299"/>
      <c r="G7" s="299"/>
      <c r="H7" s="300"/>
      <c r="I7" s="301"/>
    </row>
    <row r="8" spans="1:9" x14ac:dyDescent="0.2">
      <c r="A8" s="306">
        <v>2003</v>
      </c>
      <c r="B8" s="281">
        <f>+Chart!C7</f>
        <v>1232724170</v>
      </c>
      <c r="C8" s="281"/>
      <c r="D8" s="282"/>
      <c r="E8" s="282"/>
      <c r="F8" s="281">
        <f>+J33</f>
        <v>57960.5</v>
      </c>
      <c r="G8" s="281"/>
      <c r="H8" s="282"/>
      <c r="I8" s="292"/>
    </row>
    <row r="9" spans="1:9" x14ac:dyDescent="0.2">
      <c r="A9" s="307">
        <v>2004</v>
      </c>
      <c r="B9" s="281">
        <f>+Chart!C8</f>
        <v>1178441190</v>
      </c>
      <c r="C9" s="281">
        <f>+B9-B8</f>
        <v>-54282980</v>
      </c>
      <c r="D9" s="282">
        <f>+C9/B8</f>
        <v>-4.4034976616058402E-2</v>
      </c>
      <c r="E9" s="282">
        <f>RATE(1,0,-B$8,B9)</f>
        <v>-4.4034976616058499E-2</v>
      </c>
      <c r="F9" s="281">
        <f t="shared" ref="F9:F24" si="0">+J34</f>
        <v>58730.5</v>
      </c>
      <c r="G9" s="281">
        <f>+F9-F8</f>
        <v>770</v>
      </c>
      <c r="H9" s="282">
        <f>+G9/F8</f>
        <v>1.3284909550469716E-2</v>
      </c>
      <c r="I9" s="293">
        <f>RATE(1,0,-F$8,F9)</f>
        <v>1.3284909550469686E-2</v>
      </c>
    </row>
    <row r="10" spans="1:9" x14ac:dyDescent="0.2">
      <c r="A10" s="306">
        <v>2005</v>
      </c>
      <c r="B10" s="281">
        <f>+Chart!C9</f>
        <v>1174501350</v>
      </c>
      <c r="C10" s="281">
        <f t="shared" ref="C10:C24" si="1">+B10-B9</f>
        <v>-3939840</v>
      </c>
      <c r="D10" s="282">
        <f t="shared" ref="D10:D24" si="2">+C10/B9</f>
        <v>-3.3432639943619079E-3</v>
      </c>
      <c r="E10" s="282">
        <f>RATE(2,0,-B$8,B10)</f>
        <v>-2.3901142331683341E-2</v>
      </c>
      <c r="F10" s="281">
        <f t="shared" si="0"/>
        <v>59614.5</v>
      </c>
      <c r="G10" s="281">
        <f t="shared" ref="G10:G24" si="3">+F10-F9</f>
        <v>884</v>
      </c>
      <c r="H10" s="282">
        <f t="shared" ref="H10:H24" si="4">+G10/F9</f>
        <v>1.5051804428703996E-2</v>
      </c>
      <c r="I10" s="293">
        <f>RATE(2,0,-F$8,F10)</f>
        <v>1.4167972201637047E-2</v>
      </c>
    </row>
    <row r="11" spans="1:9" x14ac:dyDescent="0.2">
      <c r="A11" s="307">
        <v>2006</v>
      </c>
      <c r="B11" s="281">
        <f>+Chart!C10</f>
        <v>1151360440</v>
      </c>
      <c r="C11" s="281">
        <f t="shared" si="1"/>
        <v>-23140910</v>
      </c>
      <c r="D11" s="282">
        <f t="shared" si="2"/>
        <v>-1.9702753002369899E-2</v>
      </c>
      <c r="E11" s="282">
        <f>RATE(3,0,-B$8,B11)</f>
        <v>-2.2503680894619967E-2</v>
      </c>
      <c r="F11" s="281">
        <f t="shared" si="0"/>
        <v>60872.5</v>
      </c>
      <c r="G11" s="281">
        <f t="shared" si="3"/>
        <v>1258</v>
      </c>
      <c r="H11" s="282">
        <f t="shared" si="4"/>
        <v>2.1102248614011693E-2</v>
      </c>
      <c r="I11" s="293">
        <f>RATE(3,0,-F$8,F11)</f>
        <v>1.6474149542546394E-2</v>
      </c>
    </row>
    <row r="12" spans="1:9" x14ac:dyDescent="0.2">
      <c r="A12" s="306">
        <v>2007</v>
      </c>
      <c r="B12" s="281">
        <f>+Chart!C11</f>
        <v>1191153590</v>
      </c>
      <c r="C12" s="281">
        <f t="shared" si="1"/>
        <v>39793150</v>
      </c>
      <c r="D12" s="282">
        <f t="shared" si="2"/>
        <v>3.4561852759158546E-2</v>
      </c>
      <c r="E12" s="282">
        <f>RATE(4,0,-B$8,B12)</f>
        <v>-8.5393934317338754E-3</v>
      </c>
      <c r="F12" s="281">
        <f t="shared" si="0"/>
        <v>62211</v>
      </c>
      <c r="G12" s="281">
        <f t="shared" si="3"/>
        <v>1338.5</v>
      </c>
      <c r="H12" s="282">
        <f t="shared" si="4"/>
        <v>2.1988582693334428E-2</v>
      </c>
      <c r="I12" s="293">
        <f>RATE(4,0,-F$8,F12)</f>
        <v>1.78499620360448E-2</v>
      </c>
    </row>
    <row r="13" spans="1:9" x14ac:dyDescent="0.2">
      <c r="A13" s="307">
        <v>2008</v>
      </c>
      <c r="B13" s="281">
        <f>+Chart!C12</f>
        <v>1158881926</v>
      </c>
      <c r="C13" s="281">
        <f t="shared" si="1"/>
        <v>-32271664</v>
      </c>
      <c r="D13" s="282">
        <f t="shared" si="2"/>
        <v>-2.70927815446537E-2</v>
      </c>
      <c r="E13" s="282">
        <f>RATE(5,0,-B$8,B13)</f>
        <v>-1.2278162500929547E-2</v>
      </c>
      <c r="F13" s="281">
        <f t="shared" si="0"/>
        <v>63344.5</v>
      </c>
      <c r="G13" s="281">
        <f t="shared" si="3"/>
        <v>1133.5</v>
      </c>
      <c r="H13" s="282">
        <f t="shared" si="4"/>
        <v>1.8220250438025429E-2</v>
      </c>
      <c r="I13" s="293">
        <f>RATE(5,0,-F$8,F13)</f>
        <v>1.7924008941779188E-2</v>
      </c>
    </row>
    <row r="14" spans="1:9" x14ac:dyDescent="0.2">
      <c r="A14" s="306">
        <v>2009</v>
      </c>
      <c r="B14" s="281">
        <f>+Chart!C13</f>
        <v>1128390784.5107694</v>
      </c>
      <c r="C14" s="281">
        <f t="shared" si="1"/>
        <v>-30491141.489230633</v>
      </c>
      <c r="D14" s="282">
        <f t="shared" si="2"/>
        <v>-2.6310826672803447E-2</v>
      </c>
      <c r="E14" s="282">
        <f>RATE(6,0,-B$8,B14)</f>
        <v>-1.4630905973235077E-2</v>
      </c>
      <c r="F14" s="281">
        <f t="shared" si="0"/>
        <v>64128</v>
      </c>
      <c r="G14" s="281">
        <f t="shared" si="3"/>
        <v>783.5</v>
      </c>
      <c r="H14" s="282">
        <f t="shared" si="4"/>
        <v>1.2368871804181895E-2</v>
      </c>
      <c r="I14" s="293">
        <f>RATE(6,0,-F$8,F14)</f>
        <v>1.6996040414734147E-2</v>
      </c>
    </row>
    <row r="15" spans="1:9" x14ac:dyDescent="0.2">
      <c r="A15" s="307">
        <v>2010</v>
      </c>
      <c r="B15" s="281">
        <f>+Chart!C14</f>
        <v>1148489331.8146157</v>
      </c>
      <c r="C15" s="281">
        <f t="shared" si="1"/>
        <v>20098547.303846359</v>
      </c>
      <c r="D15" s="282">
        <f t="shared" si="2"/>
        <v>1.781169039993568E-2</v>
      </c>
      <c r="E15" s="282">
        <f>RATE(7,0,-B$8,B15)</f>
        <v>-1.0060343960087228E-2</v>
      </c>
      <c r="F15" s="281">
        <f t="shared" si="0"/>
        <v>64894</v>
      </c>
      <c r="G15" s="281">
        <f t="shared" si="3"/>
        <v>766</v>
      </c>
      <c r="H15" s="282">
        <f t="shared" si="4"/>
        <v>1.1944860279441118E-2</v>
      </c>
      <c r="I15" s="293">
        <f>RATE(7,0,-F$8,F15)</f>
        <v>1.6272902511597749E-2</v>
      </c>
    </row>
    <row r="16" spans="1:9" x14ac:dyDescent="0.2">
      <c r="A16" s="307">
        <v>2011</v>
      </c>
      <c r="B16" s="281">
        <f>+Chart!C15</f>
        <v>1148632387.3953846</v>
      </c>
      <c r="C16" s="281">
        <f t="shared" si="1"/>
        <v>143055.58076882362</v>
      </c>
      <c r="D16" s="282">
        <f t="shared" si="2"/>
        <v>1.2455978197272019E-4</v>
      </c>
      <c r="E16" s="282">
        <f>RATE(8,0,-B$8,B16)</f>
        <v>-8.7929249231188996E-3</v>
      </c>
      <c r="F16" s="281">
        <f t="shared" si="0"/>
        <v>65524.5</v>
      </c>
      <c r="G16" s="281">
        <f t="shared" si="3"/>
        <v>630.5</v>
      </c>
      <c r="H16" s="282">
        <f t="shared" si="4"/>
        <v>9.7158442999352793E-3</v>
      </c>
      <c r="I16" s="293">
        <f>RATE(8,0,-F$8,F16)</f>
        <v>1.5450947221827164E-2</v>
      </c>
    </row>
    <row r="17" spans="1:32" x14ac:dyDescent="0.2">
      <c r="A17" s="307">
        <v>2012</v>
      </c>
      <c r="B17" s="281">
        <f>+Chart!C16</f>
        <v>1136211952.670979</v>
      </c>
      <c r="C17" s="281">
        <f t="shared" si="1"/>
        <v>-12420434.724405527</v>
      </c>
      <c r="D17" s="282">
        <f t="shared" si="2"/>
        <v>-1.0813237429748827E-2</v>
      </c>
      <c r="E17" s="282">
        <f>RATE(9,0,-B$8,B17)</f>
        <v>-9.0176077035169049E-3</v>
      </c>
      <c r="F17" s="281">
        <f t="shared" si="0"/>
        <v>65927</v>
      </c>
      <c r="G17" s="281">
        <f t="shared" si="3"/>
        <v>402.5</v>
      </c>
      <c r="H17" s="282">
        <f t="shared" si="4"/>
        <v>6.1427405016444229E-3</v>
      </c>
      <c r="I17" s="293">
        <f>RATE(9,0,-F$8,F17)</f>
        <v>1.441246400059943E-2</v>
      </c>
    </row>
    <row r="18" spans="1:32" x14ac:dyDescent="0.2">
      <c r="A18" s="307">
        <v>2013</v>
      </c>
      <c r="B18" s="281">
        <f>+Chart!C17</f>
        <v>1130407041.6666667</v>
      </c>
      <c r="C18" s="281">
        <f t="shared" si="1"/>
        <v>-5804911.0043122768</v>
      </c>
      <c r="D18" s="282">
        <f t="shared" si="2"/>
        <v>-5.1090036420284399E-3</v>
      </c>
      <c r="E18" s="282">
        <f>RATE(10,0,-B$8,B18)</f>
        <v>-8.6274392985243292E-3</v>
      </c>
      <c r="F18" s="281">
        <f t="shared" si="0"/>
        <v>66584</v>
      </c>
      <c r="G18" s="281">
        <f t="shared" si="3"/>
        <v>657</v>
      </c>
      <c r="H18" s="282">
        <f t="shared" si="4"/>
        <v>9.9655679767015025E-3</v>
      </c>
      <c r="I18" s="293">
        <f>RATE(10,0,-F$8,F18)</f>
        <v>1.3966894728159518E-2</v>
      </c>
    </row>
    <row r="19" spans="1:32" x14ac:dyDescent="0.2">
      <c r="A19" s="307" t="s">
        <v>318</v>
      </c>
      <c r="B19" s="281">
        <f>+Chart!C18</f>
        <v>1134970142.7733078</v>
      </c>
      <c r="C19" s="281">
        <f t="shared" si="1"/>
        <v>4563101.1066410542</v>
      </c>
      <c r="D19" s="282">
        <f t="shared" si="2"/>
        <v>4.0366885010847415E-3</v>
      </c>
      <c r="E19" s="282">
        <f>RATE(11,0,-B$8,B19)</f>
        <v>-7.4827860624175138E-3</v>
      </c>
      <c r="F19" s="281">
        <f t="shared" si="0"/>
        <v>67453.5</v>
      </c>
      <c r="G19" s="281">
        <f t="shared" si="3"/>
        <v>869.5</v>
      </c>
      <c r="H19" s="282">
        <f t="shared" si="4"/>
        <v>1.3058692779046017E-2</v>
      </c>
      <c r="I19" s="293">
        <f>RATE(11,0,-F$8,F19)</f>
        <v>1.3884297281004271E-2</v>
      </c>
    </row>
    <row r="20" spans="1:32" x14ac:dyDescent="0.2">
      <c r="A20" s="307" t="s">
        <v>235</v>
      </c>
      <c r="B20" s="281">
        <f ca="1">+Chart!D19</f>
        <v>1170789222.604636</v>
      </c>
      <c r="C20" s="281">
        <f t="shared" ca="1" si="1"/>
        <v>35819079.831328154</v>
      </c>
      <c r="D20" s="282">
        <f t="shared" ca="1" si="2"/>
        <v>3.1559490845991744E-2</v>
      </c>
      <c r="E20" s="282">
        <f ca="1">RATE(12,0,-B$8,B20)</f>
        <v>-4.2864885126954501E-3</v>
      </c>
      <c r="F20" s="281">
        <f t="shared" si="0"/>
        <v>69466.984052257045</v>
      </c>
      <c r="G20" s="281">
        <f t="shared" si="3"/>
        <v>2013.4840522570448</v>
      </c>
      <c r="H20" s="282">
        <f t="shared" si="4"/>
        <v>2.9849956670254987E-2</v>
      </c>
      <c r="I20" s="293">
        <f>RATE(12,0,-F$8,F20)</f>
        <v>1.5205261881554419E-2</v>
      </c>
    </row>
    <row r="21" spans="1:32" x14ac:dyDescent="0.2">
      <c r="A21" s="307" t="s">
        <v>236</v>
      </c>
      <c r="B21" s="281">
        <f ca="1">+Chart!D20</f>
        <v>1186826722.6269789</v>
      </c>
      <c r="C21" s="281">
        <f t="shared" ca="1" si="1"/>
        <v>16037500.02234292</v>
      </c>
      <c r="D21" s="282">
        <f t="shared" ca="1" si="2"/>
        <v>1.3698024984091117E-2</v>
      </c>
      <c r="E21" s="282">
        <f ca="1">RATE(13,0,-B$8,B21)</f>
        <v>-2.9144652170344826E-3</v>
      </c>
      <c r="F21" s="281">
        <f t="shared" si="0"/>
        <v>71541.023355824931</v>
      </c>
      <c r="G21" s="281">
        <f t="shared" si="3"/>
        <v>2074.0393035678862</v>
      </c>
      <c r="H21" s="282">
        <f t="shared" si="4"/>
        <v>2.9856475444618051E-2</v>
      </c>
      <c r="I21" s="293">
        <f>RATE(13,0,-F$8,F21)</f>
        <v>1.6324840179688178E-2</v>
      </c>
    </row>
    <row r="22" spans="1:32" x14ac:dyDescent="0.2">
      <c r="A22" s="307" t="s">
        <v>237</v>
      </c>
      <c r="B22" s="281">
        <f ca="1">+Chart!D21</f>
        <v>1201655752.4623165</v>
      </c>
      <c r="C22" s="281">
        <f t="shared" ca="1" si="1"/>
        <v>14829029.835337639</v>
      </c>
      <c r="D22" s="282">
        <f t="shared" ca="1" si="2"/>
        <v>1.2494688190466724E-2</v>
      </c>
      <c r="E22" s="282">
        <f ca="1">RATE(14,0,-B$8,B22)</f>
        <v>-1.8216311891560281E-3</v>
      </c>
      <c r="F22" s="281">
        <f t="shared" si="0"/>
        <v>73677.236538212819</v>
      </c>
      <c r="G22" s="281">
        <f t="shared" si="3"/>
        <v>2136.2131823878881</v>
      </c>
      <c r="H22" s="282">
        <f t="shared" si="4"/>
        <v>2.9859975188822285E-2</v>
      </c>
      <c r="I22" s="293">
        <f>RATE(14,0,-F$8,F22)</f>
        <v>1.7285708305310215E-2</v>
      </c>
    </row>
    <row r="23" spans="1:32" x14ac:dyDescent="0.2">
      <c r="A23" s="307" t="s">
        <v>238</v>
      </c>
      <c r="B23" s="281">
        <f ca="1">+Chart!D22</f>
        <v>1217915398.7826724</v>
      </c>
      <c r="C23" s="281">
        <f t="shared" ca="1" si="1"/>
        <v>16259646.320355892</v>
      </c>
      <c r="D23" s="282">
        <f t="shared" ca="1" si="2"/>
        <v>1.3531035229547399E-2</v>
      </c>
      <c r="E23" s="282">
        <f ca="1">RATE(15,0,-B$8,B23)</f>
        <v>-8.0539449569059238E-4</v>
      </c>
      <c r="F23" s="281">
        <f t="shared" si="0"/>
        <v>75877.745796300442</v>
      </c>
      <c r="G23" s="281">
        <f t="shared" si="3"/>
        <v>2200.5092580876226</v>
      </c>
      <c r="H23" s="282">
        <f t="shared" si="4"/>
        <v>2.9866881027036416E-2</v>
      </c>
      <c r="I23" s="293">
        <f>RATE(15,0,-F$8,F23)</f>
        <v>1.8119650614059596E-2</v>
      </c>
    </row>
    <row r="24" spans="1:32" ht="13.5" thickBot="1" x14ac:dyDescent="0.25">
      <c r="A24" s="308" t="s">
        <v>239</v>
      </c>
      <c r="B24" s="294">
        <f ca="1">+Chart!D23</f>
        <v>1226740333.9186592</v>
      </c>
      <c r="C24" s="294">
        <f t="shared" ca="1" si="1"/>
        <v>8824935.135986805</v>
      </c>
      <c r="D24" s="295">
        <f t="shared" ca="1" si="2"/>
        <v>7.2459344424148676E-3</v>
      </c>
      <c r="E24" s="295">
        <f ca="1">RATE(16,0,-B$8,B24)</f>
        <v>-3.0407727254172024E-4</v>
      </c>
      <c r="F24" s="294">
        <f t="shared" si="0"/>
        <v>78143.9769548201</v>
      </c>
      <c r="G24" s="294">
        <f t="shared" si="3"/>
        <v>2266.2311585196585</v>
      </c>
      <c r="H24" s="295">
        <f t="shared" si="4"/>
        <v>2.9866875125725636E-2</v>
      </c>
      <c r="I24" s="296">
        <f>RATE(16,0,-F$8,F24)</f>
        <v>1.8849910550727007E-2</v>
      </c>
    </row>
    <row r="26" spans="1:32" x14ac:dyDescent="0.2">
      <c r="A26" s="66" t="s">
        <v>296</v>
      </c>
    </row>
    <row r="27" spans="1:32" ht="13.5" thickBot="1" x14ac:dyDescent="0.25"/>
    <row r="28" spans="1:32" ht="24.75" thickBot="1" x14ac:dyDescent="0.25">
      <c r="A28" s="286" t="s">
        <v>117</v>
      </c>
      <c r="B28" s="279" t="s">
        <v>71</v>
      </c>
      <c r="C28" s="279" t="s">
        <v>242</v>
      </c>
      <c r="D28" s="279" t="s">
        <v>241</v>
      </c>
      <c r="E28" s="279" t="s">
        <v>74</v>
      </c>
      <c r="F28" s="279" t="s">
        <v>243</v>
      </c>
      <c r="G28" s="279" t="s">
        <v>244</v>
      </c>
      <c r="H28" s="279" t="s">
        <v>245</v>
      </c>
      <c r="I28" s="279" t="s">
        <v>76</v>
      </c>
      <c r="J28" s="280" t="s">
        <v>9</v>
      </c>
      <c r="L28" s="286" t="s">
        <v>117</v>
      </c>
      <c r="M28" s="279" t="s">
        <v>71</v>
      </c>
      <c r="N28" s="279" t="s">
        <v>242</v>
      </c>
      <c r="O28" s="279" t="s">
        <v>241</v>
      </c>
      <c r="P28" s="279" t="s">
        <v>74</v>
      </c>
      <c r="Q28" s="279" t="s">
        <v>243</v>
      </c>
      <c r="R28" s="279" t="s">
        <v>244</v>
      </c>
      <c r="S28" s="279" t="s">
        <v>245</v>
      </c>
      <c r="T28" s="279" t="s">
        <v>76</v>
      </c>
      <c r="U28" s="280" t="s">
        <v>9</v>
      </c>
      <c r="W28" s="286" t="s">
        <v>117</v>
      </c>
      <c r="X28" s="279" t="s">
        <v>71</v>
      </c>
      <c r="Y28" s="279" t="s">
        <v>242</v>
      </c>
      <c r="Z28" s="279" t="s">
        <v>241</v>
      </c>
      <c r="AA28" s="279" t="s">
        <v>74</v>
      </c>
      <c r="AB28" s="279" t="s">
        <v>243</v>
      </c>
      <c r="AC28" s="279" t="s">
        <v>244</v>
      </c>
      <c r="AD28" s="279" t="s">
        <v>245</v>
      </c>
      <c r="AE28" s="279" t="s">
        <v>76</v>
      </c>
      <c r="AF28" s="280" t="s">
        <v>9</v>
      </c>
    </row>
    <row r="29" spans="1:32" x14ac:dyDescent="0.2">
      <c r="A29" s="309" t="s">
        <v>268</v>
      </c>
      <c r="B29" s="310"/>
      <c r="C29" s="310"/>
      <c r="D29" s="310"/>
      <c r="E29" s="310"/>
      <c r="F29" s="310"/>
      <c r="G29" s="310"/>
      <c r="H29" s="310"/>
      <c r="I29" s="310"/>
      <c r="J29" s="311"/>
      <c r="L29" s="309" t="s">
        <v>268</v>
      </c>
      <c r="M29" s="310"/>
      <c r="N29" s="310"/>
      <c r="O29" s="310"/>
      <c r="P29" s="310"/>
      <c r="Q29" s="310"/>
      <c r="R29" s="310"/>
      <c r="S29" s="310"/>
      <c r="T29" s="310"/>
      <c r="U29" s="311"/>
      <c r="W29" s="309" t="s">
        <v>268</v>
      </c>
      <c r="X29" s="310"/>
      <c r="Y29" s="310"/>
      <c r="Z29" s="310"/>
      <c r="AA29" s="310"/>
      <c r="AB29" s="310"/>
      <c r="AC29" s="310"/>
      <c r="AD29" s="310"/>
      <c r="AE29" s="310"/>
      <c r="AF29" s="311"/>
    </row>
    <row r="30" spans="1:32" x14ac:dyDescent="0.2">
      <c r="A30" s="312" t="s">
        <v>119</v>
      </c>
      <c r="B30" s="284">
        <v>47243</v>
      </c>
      <c r="C30" s="284">
        <v>3845</v>
      </c>
      <c r="D30" s="284">
        <v>522</v>
      </c>
      <c r="E30" s="284">
        <v>2</v>
      </c>
      <c r="F30" s="284">
        <v>9</v>
      </c>
      <c r="G30" s="284">
        <v>11650</v>
      </c>
      <c r="H30" s="284">
        <v>77</v>
      </c>
      <c r="I30" s="284">
        <v>305</v>
      </c>
      <c r="J30" s="291">
        <f>SUM(B30:I30)</f>
        <v>63653</v>
      </c>
      <c r="L30" s="312" t="s">
        <v>119</v>
      </c>
      <c r="M30" s="284"/>
      <c r="N30" s="284"/>
      <c r="O30" s="284"/>
      <c r="P30" s="284"/>
      <c r="Q30" s="284"/>
      <c r="R30" s="284"/>
      <c r="S30" s="284"/>
      <c r="T30" s="284"/>
      <c r="U30" s="291"/>
      <c r="W30" s="312" t="s">
        <v>119</v>
      </c>
      <c r="X30" s="284">
        <v>47243</v>
      </c>
      <c r="Y30" s="284">
        <v>3845</v>
      </c>
      <c r="Z30" s="284">
        <v>522</v>
      </c>
      <c r="AA30" s="284">
        <v>2</v>
      </c>
      <c r="AB30" s="284">
        <v>9</v>
      </c>
      <c r="AC30" s="284">
        <v>11650</v>
      </c>
      <c r="AD30" s="284">
        <v>77</v>
      </c>
      <c r="AE30" s="284">
        <v>305</v>
      </c>
      <c r="AF30" s="291">
        <f>SUM(X30:AE30)</f>
        <v>63653</v>
      </c>
    </row>
    <row r="31" spans="1:32" x14ac:dyDescent="0.2">
      <c r="A31" s="312" t="s">
        <v>233</v>
      </c>
      <c r="B31" s="284">
        <v>49919.725406979574</v>
      </c>
      <c r="C31" s="284">
        <v>3961</v>
      </c>
      <c r="D31" s="284">
        <v>518</v>
      </c>
      <c r="E31" s="284">
        <v>1</v>
      </c>
      <c r="F31" s="284">
        <v>10</v>
      </c>
      <c r="G31" s="284">
        <v>12761.899782618997</v>
      </c>
      <c r="H31" s="284">
        <v>22.307657589073369</v>
      </c>
      <c r="I31" s="284">
        <v>313.0793844964528</v>
      </c>
      <c r="J31" s="291">
        <f>SUM(B31:I31)</f>
        <v>67507.012231684101</v>
      </c>
      <c r="L31" s="312" t="s">
        <v>233</v>
      </c>
      <c r="M31" s="284"/>
      <c r="N31" s="284"/>
      <c r="O31" s="284"/>
      <c r="P31" s="284"/>
      <c r="Q31" s="284"/>
      <c r="R31" s="284"/>
      <c r="S31" s="284"/>
      <c r="T31" s="284"/>
      <c r="U31" s="291"/>
      <c r="W31" s="312" t="s">
        <v>233</v>
      </c>
      <c r="X31" s="284">
        <v>49919.725406979574</v>
      </c>
      <c r="Y31" s="284">
        <v>3961</v>
      </c>
      <c r="Z31" s="284">
        <v>518</v>
      </c>
      <c r="AA31" s="284">
        <v>1</v>
      </c>
      <c r="AB31" s="284">
        <v>10</v>
      </c>
      <c r="AC31" s="284">
        <v>12761.899782618997</v>
      </c>
      <c r="AD31" s="284">
        <v>22.307657589073369</v>
      </c>
      <c r="AE31" s="284">
        <v>313.0793844964528</v>
      </c>
      <c r="AF31" s="291">
        <f>SUM(X31:AE31)</f>
        <v>67507.012231684101</v>
      </c>
    </row>
    <row r="32" spans="1:32" x14ac:dyDescent="0.2">
      <c r="A32" s="306"/>
      <c r="B32" s="283"/>
      <c r="C32" s="313"/>
      <c r="D32" s="313"/>
      <c r="E32" s="313"/>
      <c r="F32" s="313"/>
      <c r="G32" s="313"/>
      <c r="H32" s="313"/>
      <c r="I32" s="313"/>
      <c r="J32" s="314"/>
      <c r="L32" s="306"/>
      <c r="M32" s="283"/>
      <c r="N32" s="313"/>
      <c r="O32" s="313"/>
      <c r="P32" s="313"/>
      <c r="Q32" s="313"/>
      <c r="R32" s="313"/>
      <c r="S32" s="313"/>
      <c r="T32" s="313"/>
      <c r="U32" s="314"/>
      <c r="W32" s="306"/>
      <c r="X32" s="283"/>
      <c r="Y32" s="313"/>
      <c r="Z32" s="313"/>
      <c r="AA32" s="313"/>
      <c r="AB32" s="313"/>
      <c r="AC32" s="313"/>
      <c r="AD32" s="313"/>
      <c r="AE32" s="313"/>
      <c r="AF32" s="314"/>
    </row>
    <row r="33" spans="1:34" x14ac:dyDescent="0.2">
      <c r="A33" s="306">
        <v>2003</v>
      </c>
      <c r="B33" s="281">
        <f>+'Rate Class Customer Model'!B3</f>
        <v>43319.5</v>
      </c>
      <c r="C33" s="281">
        <f>+'Rate Class Customer Model'!C3</f>
        <v>3689</v>
      </c>
      <c r="D33" s="281">
        <f>+'Rate Class Customer Model'!D3</f>
        <v>559</v>
      </c>
      <c r="E33" s="281">
        <f>+'Rate Class Customer Model'!E3</f>
        <v>2.5</v>
      </c>
      <c r="F33" s="281">
        <f>+'Rate Class Customer Model'!F3</f>
        <v>5</v>
      </c>
      <c r="G33" s="281">
        <f>+'Rate Class Customer Model'!G3</f>
        <v>10059</v>
      </c>
      <c r="H33" s="281">
        <f>+'Rate Class Customer Model'!H3</f>
        <v>34.5</v>
      </c>
      <c r="I33" s="281">
        <f>+'Rate Class Customer Model'!I3</f>
        <v>292</v>
      </c>
      <c r="J33" s="315">
        <f t="shared" ref="J33:J49" si="5">SUM(B33:I33)</f>
        <v>57960.5</v>
      </c>
      <c r="L33" s="306">
        <v>2003</v>
      </c>
      <c r="M33" s="281"/>
      <c r="N33" s="281"/>
      <c r="O33" s="281"/>
      <c r="P33" s="281"/>
      <c r="Q33" s="281"/>
      <c r="R33" s="281"/>
      <c r="S33" s="281"/>
      <c r="T33" s="281"/>
      <c r="U33" s="315"/>
      <c r="W33" s="306">
        <v>2003</v>
      </c>
      <c r="X33" s="281">
        <f>+B33-M33</f>
        <v>43319.5</v>
      </c>
      <c r="Y33" s="281">
        <f t="shared" ref="Y33:AE48" si="6">+C33-N33</f>
        <v>3689</v>
      </c>
      <c r="Z33" s="281">
        <f t="shared" si="6"/>
        <v>559</v>
      </c>
      <c r="AA33" s="281">
        <f t="shared" si="6"/>
        <v>2.5</v>
      </c>
      <c r="AB33" s="281">
        <f t="shared" si="6"/>
        <v>5</v>
      </c>
      <c r="AC33" s="281">
        <f t="shared" si="6"/>
        <v>10059</v>
      </c>
      <c r="AD33" s="281">
        <f t="shared" si="6"/>
        <v>34.5</v>
      </c>
      <c r="AE33" s="281">
        <f t="shared" si="6"/>
        <v>292</v>
      </c>
      <c r="AF33" s="315">
        <f t="shared" ref="AF33:AF49" si="7">SUM(X33:AE33)</f>
        <v>57960.5</v>
      </c>
    </row>
    <row r="34" spans="1:34" x14ac:dyDescent="0.2">
      <c r="A34" s="307">
        <v>2004</v>
      </c>
      <c r="B34" s="281">
        <f>+'Rate Class Customer Model'!B4</f>
        <v>43979.5</v>
      </c>
      <c r="C34" s="281">
        <f>+'Rate Class Customer Model'!C4</f>
        <v>3626.5</v>
      </c>
      <c r="D34" s="281">
        <f>+'Rate Class Customer Model'!D4</f>
        <v>530</v>
      </c>
      <c r="E34" s="281">
        <f>+'Rate Class Customer Model'!E4</f>
        <v>2.5</v>
      </c>
      <c r="F34" s="281">
        <f>+'Rate Class Customer Model'!F4</f>
        <v>6</v>
      </c>
      <c r="G34" s="281">
        <f>+'Rate Class Customer Model'!G4</f>
        <v>10262</v>
      </c>
      <c r="H34" s="281">
        <f>+'Rate Class Customer Model'!H4</f>
        <v>30</v>
      </c>
      <c r="I34" s="281">
        <f>+'Rate Class Customer Model'!I4</f>
        <v>294</v>
      </c>
      <c r="J34" s="315">
        <f t="shared" si="5"/>
        <v>58730.5</v>
      </c>
      <c r="L34" s="307">
        <v>2004</v>
      </c>
      <c r="M34" s="281"/>
      <c r="N34" s="281"/>
      <c r="O34" s="281"/>
      <c r="P34" s="281"/>
      <c r="Q34" s="281"/>
      <c r="R34" s="281"/>
      <c r="S34" s="281"/>
      <c r="T34" s="281"/>
      <c r="U34" s="315"/>
      <c r="W34" s="307">
        <v>2004</v>
      </c>
      <c r="X34" s="281">
        <f t="shared" ref="X34:X49" si="8">+B34-M34</f>
        <v>43979.5</v>
      </c>
      <c r="Y34" s="281">
        <f t="shared" si="6"/>
        <v>3626.5</v>
      </c>
      <c r="Z34" s="281">
        <f t="shared" si="6"/>
        <v>530</v>
      </c>
      <c r="AA34" s="281">
        <f t="shared" si="6"/>
        <v>2.5</v>
      </c>
      <c r="AB34" s="281">
        <f t="shared" si="6"/>
        <v>6</v>
      </c>
      <c r="AC34" s="281">
        <f t="shared" si="6"/>
        <v>10262</v>
      </c>
      <c r="AD34" s="281">
        <f t="shared" si="6"/>
        <v>30</v>
      </c>
      <c r="AE34" s="281">
        <f t="shared" si="6"/>
        <v>294</v>
      </c>
      <c r="AF34" s="315">
        <f t="shared" si="7"/>
        <v>58730.5</v>
      </c>
      <c r="AG34" s="444">
        <f>(+AF34/AF33)-1</f>
        <v>1.3284909550469681E-2</v>
      </c>
      <c r="AH34" s="445">
        <f>(+J34/J33)-1</f>
        <v>1.3284909550469681E-2</v>
      </c>
    </row>
    <row r="35" spans="1:34" x14ac:dyDescent="0.2">
      <c r="A35" s="306">
        <v>2005</v>
      </c>
      <c r="B35" s="281">
        <f>+'Rate Class Customer Model'!B5</f>
        <v>44598.5</v>
      </c>
      <c r="C35" s="281">
        <f>+'Rate Class Customer Model'!C5</f>
        <v>3662</v>
      </c>
      <c r="D35" s="281">
        <f>+'Rate Class Customer Model'!D5</f>
        <v>521.5</v>
      </c>
      <c r="E35" s="281">
        <f>+'Rate Class Customer Model'!E5</f>
        <v>2</v>
      </c>
      <c r="F35" s="281">
        <f>+'Rate Class Customer Model'!F5</f>
        <v>7.5</v>
      </c>
      <c r="G35" s="281">
        <f>+'Rate Class Customer Model'!G5</f>
        <v>10498.5</v>
      </c>
      <c r="H35" s="281">
        <f>+'Rate Class Customer Model'!H5</f>
        <v>29.5</v>
      </c>
      <c r="I35" s="281">
        <f>+'Rate Class Customer Model'!I5</f>
        <v>295</v>
      </c>
      <c r="J35" s="315">
        <f t="shared" si="5"/>
        <v>59614.5</v>
      </c>
      <c r="L35" s="306">
        <v>2005</v>
      </c>
      <c r="M35" s="281"/>
      <c r="N35" s="281"/>
      <c r="O35" s="281"/>
      <c r="P35" s="281"/>
      <c r="Q35" s="281"/>
      <c r="R35" s="281"/>
      <c r="S35" s="281"/>
      <c r="T35" s="281"/>
      <c r="U35" s="315"/>
      <c r="W35" s="306">
        <v>2005</v>
      </c>
      <c r="X35" s="281">
        <f t="shared" si="8"/>
        <v>44598.5</v>
      </c>
      <c r="Y35" s="281">
        <f t="shared" si="6"/>
        <v>3662</v>
      </c>
      <c r="Z35" s="281">
        <f t="shared" si="6"/>
        <v>521.5</v>
      </c>
      <c r="AA35" s="281">
        <f t="shared" si="6"/>
        <v>2</v>
      </c>
      <c r="AB35" s="281">
        <f t="shared" si="6"/>
        <v>7.5</v>
      </c>
      <c r="AC35" s="281">
        <f t="shared" si="6"/>
        <v>10498.5</v>
      </c>
      <c r="AD35" s="281">
        <f t="shared" si="6"/>
        <v>29.5</v>
      </c>
      <c r="AE35" s="281">
        <f t="shared" si="6"/>
        <v>295</v>
      </c>
      <c r="AF35" s="315">
        <f t="shared" si="7"/>
        <v>59614.5</v>
      </c>
      <c r="AG35" s="444">
        <f t="shared" ref="AG35:AG49" si="9">(+AF35/AF34)-1</f>
        <v>1.5051804428704019E-2</v>
      </c>
      <c r="AH35" s="445">
        <f t="shared" ref="AH35:AH49" si="10">(+J35/J34)-1</f>
        <v>1.5051804428704019E-2</v>
      </c>
    </row>
    <row r="36" spans="1:34" x14ac:dyDescent="0.2">
      <c r="A36" s="307">
        <v>2006</v>
      </c>
      <c r="B36" s="281">
        <f>+'Rate Class Customer Model'!B6</f>
        <v>45439</v>
      </c>
      <c r="C36" s="281">
        <f>+'Rate Class Customer Model'!C6</f>
        <v>3740.5</v>
      </c>
      <c r="D36" s="281">
        <f>+'Rate Class Customer Model'!D6</f>
        <v>525</v>
      </c>
      <c r="E36" s="281">
        <f>+'Rate Class Customer Model'!E6</f>
        <v>2</v>
      </c>
      <c r="F36" s="281">
        <f>+'Rate Class Customer Model'!F6</f>
        <v>8.5</v>
      </c>
      <c r="G36" s="281">
        <f>+'Rate Class Customer Model'!G6</f>
        <v>10831</v>
      </c>
      <c r="H36" s="281">
        <f>+'Rate Class Customer Model'!H6</f>
        <v>28.5</v>
      </c>
      <c r="I36" s="281">
        <f>+'Rate Class Customer Model'!I6</f>
        <v>298</v>
      </c>
      <c r="J36" s="315">
        <f t="shared" si="5"/>
        <v>60872.5</v>
      </c>
      <c r="L36" s="307">
        <v>2006</v>
      </c>
      <c r="M36" s="281"/>
      <c r="N36" s="281"/>
      <c r="O36" s="281"/>
      <c r="P36" s="281"/>
      <c r="Q36" s="281"/>
      <c r="R36" s="281"/>
      <c r="S36" s="281"/>
      <c r="T36" s="281"/>
      <c r="U36" s="315"/>
      <c r="W36" s="307">
        <v>2006</v>
      </c>
      <c r="X36" s="281">
        <f t="shared" si="8"/>
        <v>45439</v>
      </c>
      <c r="Y36" s="281">
        <f t="shared" si="6"/>
        <v>3740.5</v>
      </c>
      <c r="Z36" s="281">
        <f t="shared" si="6"/>
        <v>525</v>
      </c>
      <c r="AA36" s="281">
        <f t="shared" si="6"/>
        <v>2</v>
      </c>
      <c r="AB36" s="281">
        <f t="shared" si="6"/>
        <v>8.5</v>
      </c>
      <c r="AC36" s="281">
        <f t="shared" si="6"/>
        <v>10831</v>
      </c>
      <c r="AD36" s="281">
        <f t="shared" si="6"/>
        <v>28.5</v>
      </c>
      <c r="AE36" s="281">
        <f t="shared" si="6"/>
        <v>298</v>
      </c>
      <c r="AF36" s="315">
        <f t="shared" si="7"/>
        <v>60872.5</v>
      </c>
      <c r="AG36" s="444">
        <f t="shared" si="9"/>
        <v>2.1102248614011776E-2</v>
      </c>
      <c r="AH36" s="445">
        <f t="shared" si="10"/>
        <v>2.1102248614011776E-2</v>
      </c>
    </row>
    <row r="37" spans="1:34" x14ac:dyDescent="0.2">
      <c r="A37" s="306">
        <v>2007</v>
      </c>
      <c r="B37" s="281">
        <f>+'Rate Class Customer Model'!B7</f>
        <v>46320</v>
      </c>
      <c r="C37" s="281">
        <f>+'Rate Class Customer Model'!C7</f>
        <v>3749</v>
      </c>
      <c r="D37" s="281">
        <f>+'Rate Class Customer Model'!D7</f>
        <v>523</v>
      </c>
      <c r="E37" s="281">
        <f>+'Rate Class Customer Model'!E7</f>
        <v>2</v>
      </c>
      <c r="F37" s="281">
        <f>+'Rate Class Customer Model'!F7</f>
        <v>9</v>
      </c>
      <c r="G37" s="281">
        <f>+'Rate Class Customer Model'!G7</f>
        <v>11280.5</v>
      </c>
      <c r="H37" s="281">
        <f>+'Rate Class Customer Model'!H7</f>
        <v>26.5</v>
      </c>
      <c r="I37" s="281">
        <f>+'Rate Class Customer Model'!I7</f>
        <v>301</v>
      </c>
      <c r="J37" s="315">
        <f t="shared" si="5"/>
        <v>62211</v>
      </c>
      <c r="L37" s="306">
        <v>2007</v>
      </c>
      <c r="M37" s="281"/>
      <c r="N37" s="281"/>
      <c r="O37" s="281"/>
      <c r="P37" s="281"/>
      <c r="Q37" s="281"/>
      <c r="R37" s="281"/>
      <c r="S37" s="281"/>
      <c r="T37" s="281"/>
      <c r="U37" s="315"/>
      <c r="W37" s="306">
        <v>2007</v>
      </c>
      <c r="X37" s="281">
        <f t="shared" si="8"/>
        <v>46320</v>
      </c>
      <c r="Y37" s="281">
        <f t="shared" si="6"/>
        <v>3749</v>
      </c>
      <c r="Z37" s="281">
        <f t="shared" si="6"/>
        <v>523</v>
      </c>
      <c r="AA37" s="281">
        <f t="shared" si="6"/>
        <v>2</v>
      </c>
      <c r="AB37" s="281">
        <f t="shared" si="6"/>
        <v>9</v>
      </c>
      <c r="AC37" s="281">
        <f t="shared" si="6"/>
        <v>11280.5</v>
      </c>
      <c r="AD37" s="281">
        <f t="shared" si="6"/>
        <v>26.5</v>
      </c>
      <c r="AE37" s="281">
        <f t="shared" si="6"/>
        <v>301</v>
      </c>
      <c r="AF37" s="315">
        <f t="shared" si="7"/>
        <v>62211</v>
      </c>
      <c r="AG37" s="444">
        <f t="shared" si="9"/>
        <v>2.1988582693334369E-2</v>
      </c>
      <c r="AH37" s="445">
        <f t="shared" si="10"/>
        <v>2.1988582693334369E-2</v>
      </c>
    </row>
    <row r="38" spans="1:34" x14ac:dyDescent="0.2">
      <c r="A38" s="307">
        <v>2008</v>
      </c>
      <c r="B38" s="281">
        <f>+'Rate Class Customer Model'!B8</f>
        <v>47057.5</v>
      </c>
      <c r="C38" s="281">
        <f>+'Rate Class Customer Model'!C8</f>
        <v>3793.5</v>
      </c>
      <c r="D38" s="281">
        <f>+'Rate Class Customer Model'!D8</f>
        <v>533.5</v>
      </c>
      <c r="E38" s="281">
        <f>+'Rate Class Customer Model'!E8</f>
        <v>2.5</v>
      </c>
      <c r="F38" s="281">
        <f>+'Rate Class Customer Model'!F8</f>
        <v>9</v>
      </c>
      <c r="G38" s="281">
        <f>+'Rate Class Customer Model'!G8</f>
        <v>11621.5</v>
      </c>
      <c r="H38" s="281">
        <f>+'Rate Class Customer Model'!H8</f>
        <v>26</v>
      </c>
      <c r="I38" s="281">
        <f>+'Rate Class Customer Model'!I8</f>
        <v>301</v>
      </c>
      <c r="J38" s="315">
        <f t="shared" si="5"/>
        <v>63344.5</v>
      </c>
      <c r="L38" s="307">
        <v>2008</v>
      </c>
      <c r="M38" s="281"/>
      <c r="N38" s="281"/>
      <c r="O38" s="281"/>
      <c r="P38" s="281"/>
      <c r="Q38" s="281"/>
      <c r="R38" s="281"/>
      <c r="S38" s="281"/>
      <c r="T38" s="281"/>
      <c r="U38" s="315"/>
      <c r="W38" s="307">
        <v>2008</v>
      </c>
      <c r="X38" s="281">
        <f t="shared" si="8"/>
        <v>47057.5</v>
      </c>
      <c r="Y38" s="281">
        <f t="shared" si="6"/>
        <v>3793.5</v>
      </c>
      <c r="Z38" s="281">
        <f t="shared" si="6"/>
        <v>533.5</v>
      </c>
      <c r="AA38" s="281">
        <f t="shared" si="6"/>
        <v>2.5</v>
      </c>
      <c r="AB38" s="281">
        <f t="shared" si="6"/>
        <v>9</v>
      </c>
      <c r="AC38" s="281">
        <f t="shared" si="6"/>
        <v>11621.5</v>
      </c>
      <c r="AD38" s="281">
        <f t="shared" si="6"/>
        <v>26</v>
      </c>
      <c r="AE38" s="281">
        <f t="shared" si="6"/>
        <v>301</v>
      </c>
      <c r="AF38" s="315">
        <f t="shared" si="7"/>
        <v>63344.5</v>
      </c>
      <c r="AG38" s="444">
        <f t="shared" si="9"/>
        <v>1.8220250438025332E-2</v>
      </c>
      <c r="AH38" s="445">
        <f t="shared" si="10"/>
        <v>1.8220250438025332E-2</v>
      </c>
    </row>
    <row r="39" spans="1:34" x14ac:dyDescent="0.2">
      <c r="A39" s="306">
        <v>2009</v>
      </c>
      <c r="B39" s="281">
        <f>+'Rate Class Customer Model'!B9</f>
        <v>47602.5</v>
      </c>
      <c r="C39" s="281">
        <f>+'Rate Class Customer Model'!C9</f>
        <v>3859.5</v>
      </c>
      <c r="D39" s="281">
        <f>+'Rate Class Customer Model'!D9</f>
        <v>525</v>
      </c>
      <c r="E39" s="281">
        <f>+'Rate Class Customer Model'!E9</f>
        <v>2</v>
      </c>
      <c r="F39" s="281">
        <f>+'Rate Class Customer Model'!F9</f>
        <v>9.5</v>
      </c>
      <c r="G39" s="281">
        <f>+'Rate Class Customer Model'!G9</f>
        <v>11801</v>
      </c>
      <c r="H39" s="281">
        <f>+'Rate Class Customer Model'!H9</f>
        <v>26</v>
      </c>
      <c r="I39" s="281">
        <f>+'Rate Class Customer Model'!I9</f>
        <v>302.5</v>
      </c>
      <c r="J39" s="315">
        <f t="shared" si="5"/>
        <v>64128</v>
      </c>
      <c r="L39" s="306">
        <v>2009</v>
      </c>
      <c r="M39" s="281"/>
      <c r="N39" s="281"/>
      <c r="O39" s="281"/>
      <c r="P39" s="281"/>
      <c r="Q39" s="281"/>
      <c r="R39" s="281"/>
      <c r="S39" s="281"/>
      <c r="T39" s="281"/>
      <c r="U39" s="315"/>
      <c r="W39" s="306">
        <v>2009</v>
      </c>
      <c r="X39" s="281">
        <f t="shared" si="8"/>
        <v>47602.5</v>
      </c>
      <c r="Y39" s="281">
        <f t="shared" si="6"/>
        <v>3859.5</v>
      </c>
      <c r="Z39" s="281">
        <f t="shared" si="6"/>
        <v>525</v>
      </c>
      <c r="AA39" s="281">
        <f t="shared" si="6"/>
        <v>2</v>
      </c>
      <c r="AB39" s="281">
        <f t="shared" si="6"/>
        <v>9.5</v>
      </c>
      <c r="AC39" s="281">
        <f t="shared" si="6"/>
        <v>11801</v>
      </c>
      <c r="AD39" s="281">
        <f t="shared" si="6"/>
        <v>26</v>
      </c>
      <c r="AE39" s="281">
        <f t="shared" si="6"/>
        <v>302.5</v>
      </c>
      <c r="AF39" s="315">
        <f t="shared" si="7"/>
        <v>64128</v>
      </c>
      <c r="AG39" s="444">
        <f t="shared" si="9"/>
        <v>1.2368871804181891E-2</v>
      </c>
      <c r="AH39" s="445">
        <f t="shared" si="10"/>
        <v>1.2368871804181891E-2</v>
      </c>
    </row>
    <row r="40" spans="1:34" x14ac:dyDescent="0.2">
      <c r="A40" s="307">
        <v>2010</v>
      </c>
      <c r="B40" s="281">
        <f>+'Rate Class Customer Model'!B10</f>
        <v>48114.5</v>
      </c>
      <c r="C40" s="281">
        <f>+'Rate Class Customer Model'!C10</f>
        <v>3929</v>
      </c>
      <c r="D40" s="281">
        <f>+'Rate Class Customer Model'!D10</f>
        <v>512.5</v>
      </c>
      <c r="E40" s="281">
        <f>+'Rate Class Customer Model'!E10</f>
        <v>1</v>
      </c>
      <c r="F40" s="281">
        <f>+'Rate Class Customer Model'!F10</f>
        <v>10</v>
      </c>
      <c r="G40" s="281">
        <f>+'Rate Class Customer Model'!G10</f>
        <v>11995.5</v>
      </c>
      <c r="H40" s="281">
        <f>+'Rate Class Customer Model'!H10</f>
        <v>25</v>
      </c>
      <c r="I40" s="281">
        <f>+'Rate Class Customer Model'!I10</f>
        <v>306.5</v>
      </c>
      <c r="J40" s="315">
        <f t="shared" si="5"/>
        <v>64894</v>
      </c>
      <c r="L40" s="307">
        <v>2010</v>
      </c>
      <c r="M40" s="281"/>
      <c r="N40" s="281"/>
      <c r="O40" s="281"/>
      <c r="P40" s="281"/>
      <c r="Q40" s="281"/>
      <c r="R40" s="281"/>
      <c r="S40" s="281"/>
      <c r="T40" s="281"/>
      <c r="U40" s="315"/>
      <c r="W40" s="307">
        <v>2010</v>
      </c>
      <c r="X40" s="281">
        <f t="shared" si="8"/>
        <v>48114.5</v>
      </c>
      <c r="Y40" s="281">
        <f t="shared" si="6"/>
        <v>3929</v>
      </c>
      <c r="Z40" s="281">
        <f t="shared" si="6"/>
        <v>512.5</v>
      </c>
      <c r="AA40" s="281">
        <f t="shared" si="6"/>
        <v>1</v>
      </c>
      <c r="AB40" s="281">
        <f t="shared" si="6"/>
        <v>10</v>
      </c>
      <c r="AC40" s="281">
        <f t="shared" si="6"/>
        <v>11995.5</v>
      </c>
      <c r="AD40" s="281">
        <f t="shared" si="6"/>
        <v>25</v>
      </c>
      <c r="AE40" s="281">
        <f t="shared" si="6"/>
        <v>306.5</v>
      </c>
      <c r="AF40" s="315">
        <f t="shared" si="7"/>
        <v>64894</v>
      </c>
      <c r="AG40" s="444">
        <f t="shared" si="9"/>
        <v>1.1944860279441194E-2</v>
      </c>
      <c r="AH40" s="445">
        <f t="shared" si="10"/>
        <v>1.1944860279441194E-2</v>
      </c>
    </row>
    <row r="41" spans="1:34" x14ac:dyDescent="0.2">
      <c r="A41" s="307">
        <v>2011</v>
      </c>
      <c r="B41" s="281">
        <f>+'Rate Class Customer Model'!B11</f>
        <v>48650.5</v>
      </c>
      <c r="C41" s="281">
        <f>+'Rate Class Customer Model'!C11</f>
        <v>3888.5</v>
      </c>
      <c r="D41" s="281">
        <f>+'Rate Class Customer Model'!D11</f>
        <v>520.5</v>
      </c>
      <c r="E41" s="281">
        <f>+'Rate Class Customer Model'!E11</f>
        <v>1</v>
      </c>
      <c r="F41" s="281">
        <f>+'Rate Class Customer Model'!F11</f>
        <v>10</v>
      </c>
      <c r="G41" s="281">
        <f>+'Rate Class Customer Model'!G11</f>
        <v>12127.5</v>
      </c>
      <c r="H41" s="281">
        <f>+'Rate Class Customer Model'!H11</f>
        <v>24</v>
      </c>
      <c r="I41" s="281">
        <f>+'Rate Class Customer Model'!I11</f>
        <v>302.5</v>
      </c>
      <c r="J41" s="315">
        <f t="shared" si="5"/>
        <v>65524.5</v>
      </c>
      <c r="L41" s="307">
        <v>2011</v>
      </c>
      <c r="M41" s="281"/>
      <c r="N41" s="281"/>
      <c r="O41" s="281"/>
      <c r="P41" s="281"/>
      <c r="Q41" s="281"/>
      <c r="R41" s="281"/>
      <c r="S41" s="281"/>
      <c r="T41" s="281"/>
      <c r="U41" s="315"/>
      <c r="W41" s="307">
        <v>2011</v>
      </c>
      <c r="X41" s="281">
        <f t="shared" si="8"/>
        <v>48650.5</v>
      </c>
      <c r="Y41" s="281">
        <f t="shared" si="6"/>
        <v>3888.5</v>
      </c>
      <c r="Z41" s="281">
        <f t="shared" si="6"/>
        <v>520.5</v>
      </c>
      <c r="AA41" s="281">
        <f t="shared" si="6"/>
        <v>1</v>
      </c>
      <c r="AB41" s="281">
        <f t="shared" si="6"/>
        <v>10</v>
      </c>
      <c r="AC41" s="281">
        <f t="shared" si="6"/>
        <v>12127.5</v>
      </c>
      <c r="AD41" s="281">
        <f t="shared" si="6"/>
        <v>24</v>
      </c>
      <c r="AE41" s="281">
        <f t="shared" si="6"/>
        <v>302.5</v>
      </c>
      <c r="AF41" s="315">
        <f t="shared" si="7"/>
        <v>65524.5</v>
      </c>
      <c r="AG41" s="444">
        <f t="shared" si="9"/>
        <v>9.7158442999352168E-3</v>
      </c>
      <c r="AH41" s="445">
        <f t="shared" si="10"/>
        <v>9.7158442999352168E-3</v>
      </c>
    </row>
    <row r="42" spans="1:34" x14ac:dyDescent="0.2">
      <c r="A42" s="307">
        <v>2012</v>
      </c>
      <c r="B42" s="281">
        <f>+'Rate Class Customer Model'!B12</f>
        <v>49021</v>
      </c>
      <c r="C42" s="281">
        <f>+'Rate Class Customer Model'!C12</f>
        <v>3850.5</v>
      </c>
      <c r="D42" s="281">
        <f>+'Rate Class Customer Model'!D12</f>
        <v>511.5</v>
      </c>
      <c r="E42" s="281">
        <f>+'Rate Class Customer Model'!E12</f>
        <v>1</v>
      </c>
      <c r="F42" s="281">
        <f>+'Rate Class Customer Model'!F12</f>
        <v>10.5</v>
      </c>
      <c r="G42" s="281">
        <f>+'Rate Class Customer Model'!G12</f>
        <v>12213</v>
      </c>
      <c r="H42" s="281">
        <f>+'Rate Class Customer Model'!H12</f>
        <v>24</v>
      </c>
      <c r="I42" s="281">
        <f>+'Rate Class Customer Model'!I12</f>
        <v>295.5</v>
      </c>
      <c r="J42" s="315">
        <f t="shared" si="5"/>
        <v>65927</v>
      </c>
      <c r="L42" s="307">
        <v>2012</v>
      </c>
      <c r="M42" s="281"/>
      <c r="N42" s="281"/>
      <c r="O42" s="281"/>
      <c r="P42" s="281"/>
      <c r="Q42" s="281"/>
      <c r="R42" s="281"/>
      <c r="S42" s="281"/>
      <c r="T42" s="281"/>
      <c r="U42" s="315"/>
      <c r="W42" s="307">
        <v>2012</v>
      </c>
      <c r="X42" s="281">
        <f t="shared" si="8"/>
        <v>49021</v>
      </c>
      <c r="Y42" s="281">
        <f t="shared" si="6"/>
        <v>3850.5</v>
      </c>
      <c r="Z42" s="281">
        <f t="shared" si="6"/>
        <v>511.5</v>
      </c>
      <c r="AA42" s="281">
        <f t="shared" si="6"/>
        <v>1</v>
      </c>
      <c r="AB42" s="281">
        <f t="shared" si="6"/>
        <v>10.5</v>
      </c>
      <c r="AC42" s="281">
        <f t="shared" si="6"/>
        <v>12213</v>
      </c>
      <c r="AD42" s="281">
        <f t="shared" si="6"/>
        <v>24</v>
      </c>
      <c r="AE42" s="281">
        <f t="shared" si="6"/>
        <v>295.5</v>
      </c>
      <c r="AF42" s="315">
        <f t="shared" si="7"/>
        <v>65927</v>
      </c>
      <c r="AG42" s="444">
        <f t="shared" si="9"/>
        <v>6.1427405016443171E-3</v>
      </c>
      <c r="AH42" s="445">
        <f t="shared" si="10"/>
        <v>6.1427405016443171E-3</v>
      </c>
    </row>
    <row r="43" spans="1:34" x14ac:dyDescent="0.2">
      <c r="A43" s="307">
        <v>2013</v>
      </c>
      <c r="B43" s="281">
        <f>+'Rate Class Customer Model'!B13</f>
        <v>49516</v>
      </c>
      <c r="C43" s="281">
        <f>+'Rate Class Customer Model'!C13</f>
        <v>3904.5</v>
      </c>
      <c r="D43" s="281">
        <f>+'Rate Class Customer Model'!D13</f>
        <v>500</v>
      </c>
      <c r="E43" s="281">
        <f>+'Rate Class Customer Model'!E13</f>
        <v>1</v>
      </c>
      <c r="F43" s="281">
        <f>+'Rate Class Customer Model'!F13</f>
        <v>11</v>
      </c>
      <c r="G43" s="281">
        <f>+'Rate Class Customer Model'!G13</f>
        <v>12332.5</v>
      </c>
      <c r="H43" s="281">
        <f>+'Rate Class Customer Model'!H13</f>
        <v>24</v>
      </c>
      <c r="I43" s="281">
        <f>+'Rate Class Customer Model'!I13</f>
        <v>295</v>
      </c>
      <c r="J43" s="315">
        <f t="shared" si="5"/>
        <v>66584</v>
      </c>
      <c r="L43" s="307">
        <v>2013</v>
      </c>
      <c r="M43" s="281"/>
      <c r="N43" s="281"/>
      <c r="O43" s="281"/>
      <c r="P43" s="281"/>
      <c r="Q43" s="281"/>
      <c r="R43" s="281"/>
      <c r="S43" s="281"/>
      <c r="T43" s="281"/>
      <c r="U43" s="315"/>
      <c r="W43" s="307">
        <v>2013</v>
      </c>
      <c r="X43" s="281">
        <f t="shared" si="8"/>
        <v>49516</v>
      </c>
      <c r="Y43" s="281">
        <f t="shared" si="6"/>
        <v>3904.5</v>
      </c>
      <c r="Z43" s="281">
        <f t="shared" si="6"/>
        <v>500</v>
      </c>
      <c r="AA43" s="281">
        <f t="shared" si="6"/>
        <v>1</v>
      </c>
      <c r="AB43" s="281">
        <f t="shared" si="6"/>
        <v>11</v>
      </c>
      <c r="AC43" s="281">
        <f t="shared" si="6"/>
        <v>12332.5</v>
      </c>
      <c r="AD43" s="281">
        <f t="shared" si="6"/>
        <v>24</v>
      </c>
      <c r="AE43" s="281">
        <f t="shared" si="6"/>
        <v>295</v>
      </c>
      <c r="AF43" s="315">
        <f t="shared" si="7"/>
        <v>66584</v>
      </c>
      <c r="AG43" s="444">
        <f t="shared" si="9"/>
        <v>9.9655679767014504E-3</v>
      </c>
      <c r="AH43" s="445">
        <f t="shared" si="10"/>
        <v>9.9655679767014504E-3</v>
      </c>
    </row>
    <row r="44" spans="1:34" x14ac:dyDescent="0.2">
      <c r="A44" s="307" t="s">
        <v>318</v>
      </c>
      <c r="B44" s="281">
        <f>+'Rate Class Customer Model'!B14+M44</f>
        <v>50202.5</v>
      </c>
      <c r="C44" s="281">
        <f>+'Rate Class Customer Model'!C14+N44</f>
        <v>3952.5</v>
      </c>
      <c r="D44" s="281">
        <f>+'Rate Class Customer Model'!D14+O44</f>
        <v>502.5</v>
      </c>
      <c r="E44" s="281">
        <f>+'Rate Class Customer Model'!E14+P44</f>
        <v>1</v>
      </c>
      <c r="F44" s="281">
        <f>+'Rate Class Customer Model'!F14+Q44</f>
        <v>11</v>
      </c>
      <c r="G44" s="281">
        <f>+'Rate Class Customer Model'!G14+R44</f>
        <v>12464.5</v>
      </c>
      <c r="H44" s="281">
        <f>+'Rate Class Customer Model'!H14+S44</f>
        <v>24</v>
      </c>
      <c r="I44" s="281">
        <f>+'Rate Class Customer Model'!I14+T44</f>
        <v>295.5</v>
      </c>
      <c r="J44" s="315">
        <f t="shared" si="5"/>
        <v>67453.5</v>
      </c>
      <c r="L44" s="307" t="s">
        <v>318</v>
      </c>
      <c r="M44" s="281">
        <f>+'City Expansion'!B67</f>
        <v>0</v>
      </c>
      <c r="N44" s="281">
        <f>+'City Expansion'!C67</f>
        <v>0</v>
      </c>
      <c r="O44" s="281">
        <f>+'City Expansion'!D67</f>
        <v>0</v>
      </c>
      <c r="P44" s="281">
        <f>+'City Expansion'!E67</f>
        <v>0</v>
      </c>
      <c r="Q44" s="281">
        <f>+'City Expansion'!F67</f>
        <v>0</v>
      </c>
      <c r="R44" s="281">
        <f>+'City Expansion'!G67</f>
        <v>0</v>
      </c>
      <c r="S44" s="281">
        <f>+'City Expansion'!H67</f>
        <v>0</v>
      </c>
      <c r="T44" s="281">
        <f>+'City Expansion'!I67</f>
        <v>0</v>
      </c>
      <c r="U44" s="315">
        <f t="shared" ref="U44:U49" si="11">SUM(M44:T44)</f>
        <v>0</v>
      </c>
      <c r="W44" s="307" t="s">
        <v>318</v>
      </c>
      <c r="X44" s="281">
        <f>+B44-M44</f>
        <v>50202.5</v>
      </c>
      <c r="Y44" s="281">
        <f t="shared" si="6"/>
        <v>3952.5</v>
      </c>
      <c r="Z44" s="281">
        <f t="shared" si="6"/>
        <v>502.5</v>
      </c>
      <c r="AA44" s="281">
        <f t="shared" si="6"/>
        <v>1</v>
      </c>
      <c r="AB44" s="281">
        <f t="shared" si="6"/>
        <v>11</v>
      </c>
      <c r="AC44" s="281">
        <f t="shared" si="6"/>
        <v>12464.5</v>
      </c>
      <c r="AD44" s="281">
        <f t="shared" si="6"/>
        <v>24</v>
      </c>
      <c r="AE44" s="281">
        <f t="shared" si="6"/>
        <v>295.5</v>
      </c>
      <c r="AF44" s="315">
        <f t="shared" si="7"/>
        <v>67453.5</v>
      </c>
      <c r="AG44" s="444">
        <f t="shared" si="9"/>
        <v>1.3058692779045922E-2</v>
      </c>
      <c r="AH44" s="445">
        <f t="shared" si="10"/>
        <v>1.3058692779045922E-2</v>
      </c>
    </row>
    <row r="45" spans="1:34" x14ac:dyDescent="0.2">
      <c r="A45" s="307" t="s">
        <v>235</v>
      </c>
      <c r="B45" s="281">
        <f>+'Rate Class Customer Model'!B15+M45</f>
        <v>51708.527408831855</v>
      </c>
      <c r="C45" s="281">
        <f>+'Rate Class Customer Model'!C15+N45</f>
        <v>4071.0682995893244</v>
      </c>
      <c r="D45" s="281">
        <f>+'Rate Class Customer Model'!D15+O45</f>
        <v>517.6</v>
      </c>
      <c r="E45" s="281">
        <f>+'Rate Class Customer Model'!E15+P45</f>
        <v>1</v>
      </c>
      <c r="F45" s="281">
        <f>+'Rate Class Customer Model'!F15+Q45</f>
        <v>11.3</v>
      </c>
      <c r="G45" s="281">
        <f>+'Rate Class Customer Model'!G15+R45</f>
        <v>12838.446964330369</v>
      </c>
      <c r="H45" s="281">
        <f>+'Rate Class Customer Model'!H15+S45</f>
        <v>23.221124933174856</v>
      </c>
      <c r="I45" s="281">
        <f>+'Rate Class Customer Model'!I15+T45</f>
        <v>295.82025457231583</v>
      </c>
      <c r="J45" s="315">
        <f t="shared" si="5"/>
        <v>69466.984052257045</v>
      </c>
      <c r="K45" s="202"/>
      <c r="L45" s="307" t="s">
        <v>235</v>
      </c>
      <c r="M45" s="281">
        <f>+'City Expansion'!B68</f>
        <v>828.5</v>
      </c>
      <c r="N45" s="281">
        <f>+'City Expansion'!C68</f>
        <v>93.7</v>
      </c>
      <c r="O45" s="281">
        <f>+'City Expansion'!D68</f>
        <v>15.1</v>
      </c>
      <c r="P45" s="281">
        <f>+'City Expansion'!E68</f>
        <v>0</v>
      </c>
      <c r="Q45" s="281">
        <f>+'City Expansion'!F68</f>
        <v>0.3</v>
      </c>
      <c r="R45" s="281">
        <f>+'City Expansion'!G68</f>
        <v>128.6</v>
      </c>
      <c r="S45" s="281">
        <f>+'City Expansion'!H68</f>
        <v>0</v>
      </c>
      <c r="T45" s="281">
        <f>+'City Expansion'!I68</f>
        <v>0</v>
      </c>
      <c r="U45" s="315">
        <f t="shared" si="11"/>
        <v>1066.2</v>
      </c>
      <c r="W45" s="307" t="s">
        <v>235</v>
      </c>
      <c r="X45" s="281">
        <f t="shared" si="8"/>
        <v>50880.027408831855</v>
      </c>
      <c r="Y45" s="281">
        <f t="shared" si="6"/>
        <v>3977.3682995893246</v>
      </c>
      <c r="Z45" s="281">
        <f t="shared" si="6"/>
        <v>502.5</v>
      </c>
      <c r="AA45" s="281">
        <f t="shared" si="6"/>
        <v>1</v>
      </c>
      <c r="AB45" s="281">
        <f t="shared" si="6"/>
        <v>11</v>
      </c>
      <c r="AC45" s="281">
        <f t="shared" si="6"/>
        <v>12709.846964330369</v>
      </c>
      <c r="AD45" s="281">
        <f t="shared" si="6"/>
        <v>23.221124933174856</v>
      </c>
      <c r="AE45" s="281">
        <f t="shared" si="6"/>
        <v>295.82025457231583</v>
      </c>
      <c r="AF45" s="315">
        <f t="shared" si="7"/>
        <v>68400.784052257033</v>
      </c>
      <c r="AG45" s="444">
        <f t="shared" si="9"/>
        <v>1.4043512230752064E-2</v>
      </c>
      <c r="AH45" s="445">
        <f t="shared" si="10"/>
        <v>2.9849956670255029E-2</v>
      </c>
    </row>
    <row r="46" spans="1:34" x14ac:dyDescent="0.2">
      <c r="A46" s="307" t="s">
        <v>236</v>
      </c>
      <c r="B46" s="281">
        <f>+'Rate Class Customer Model'!B16+M46</f>
        <v>53259.798652925267</v>
      </c>
      <c r="C46" s="281">
        <f>+'Rate Class Customer Model'!C16+N46</f>
        <v>4193.1930652948959</v>
      </c>
      <c r="D46" s="281">
        <f>+'Rate Class Customer Model'!D16+O46</f>
        <v>533.1</v>
      </c>
      <c r="E46" s="281">
        <f>+'Rate Class Customer Model'!E16+P46</f>
        <v>1</v>
      </c>
      <c r="F46" s="281">
        <f>+'Rate Class Customer Model'!F16+Q46</f>
        <v>11.7</v>
      </c>
      <c r="G46" s="281">
        <f>+'Rate Class Customer Model'!G16+R46</f>
        <v>13223.623254578835</v>
      </c>
      <c r="H46" s="281">
        <f>+'Rate Class Customer Model'!H16+S46</f>
        <v>22.46752679842146</v>
      </c>
      <c r="I46" s="281">
        <f>+'Rate Class Customer Model'!I16+T46</f>
        <v>296.14085622751179</v>
      </c>
      <c r="J46" s="315">
        <f t="shared" si="5"/>
        <v>71541.023355824931</v>
      </c>
      <c r="L46" s="307" t="s">
        <v>236</v>
      </c>
      <c r="M46" s="281">
        <f>+'City Expansion'!B69</f>
        <v>1693.1</v>
      </c>
      <c r="N46" s="281">
        <f>+'City Expansion'!C69</f>
        <v>190.8</v>
      </c>
      <c r="O46" s="281">
        <f>+'City Expansion'!D69</f>
        <v>30.6</v>
      </c>
      <c r="P46" s="281">
        <f>+'City Expansion'!E69</f>
        <v>0</v>
      </c>
      <c r="Q46" s="281">
        <f>+'City Expansion'!F69</f>
        <v>0.7</v>
      </c>
      <c r="R46" s="281">
        <f>+'City Expansion'!G69</f>
        <v>263.60000000000002</v>
      </c>
      <c r="S46" s="281">
        <f>+'City Expansion'!H69</f>
        <v>0</v>
      </c>
      <c r="T46" s="281">
        <f>+'City Expansion'!I69</f>
        <v>0</v>
      </c>
      <c r="U46" s="315">
        <f t="shared" si="11"/>
        <v>2178.7999999999997</v>
      </c>
      <c r="W46" s="307" t="s">
        <v>236</v>
      </c>
      <c r="X46" s="281">
        <f t="shared" si="8"/>
        <v>51566.698652925268</v>
      </c>
      <c r="Y46" s="281">
        <f t="shared" si="6"/>
        <v>4002.3930652948957</v>
      </c>
      <c r="Z46" s="281">
        <f t="shared" si="6"/>
        <v>502.5</v>
      </c>
      <c r="AA46" s="281">
        <f t="shared" si="6"/>
        <v>1</v>
      </c>
      <c r="AB46" s="281">
        <f t="shared" si="6"/>
        <v>11</v>
      </c>
      <c r="AC46" s="281">
        <f t="shared" si="6"/>
        <v>12960.023254578835</v>
      </c>
      <c r="AD46" s="281">
        <f t="shared" si="6"/>
        <v>22.46752679842146</v>
      </c>
      <c r="AE46" s="281">
        <f t="shared" si="6"/>
        <v>296.14085622751179</v>
      </c>
      <c r="AF46" s="315">
        <f t="shared" si="7"/>
        <v>69362.223355824943</v>
      </c>
      <c r="AG46" s="444">
        <f t="shared" si="9"/>
        <v>1.4055969049030059E-2</v>
      </c>
      <c r="AH46" s="445">
        <f t="shared" si="10"/>
        <v>2.9856475444618003E-2</v>
      </c>
    </row>
    <row r="47" spans="1:34" x14ac:dyDescent="0.2">
      <c r="A47" s="307" t="s">
        <v>237</v>
      </c>
      <c r="B47" s="281">
        <f>+'Rate Class Customer Model'!B17+M47</f>
        <v>54857.637136473488</v>
      </c>
      <c r="C47" s="281">
        <f>+'Rate Class Customer Model'!C17+N47</f>
        <v>4318.9752815686434</v>
      </c>
      <c r="D47" s="281">
        <f>+'Rate Class Customer Model'!D17+O47</f>
        <v>549.1</v>
      </c>
      <c r="E47" s="281">
        <f>+'Rate Class Customer Model'!E17+P47</f>
        <v>1</v>
      </c>
      <c r="F47" s="281">
        <f>+'Rate Class Customer Model'!F17+Q47</f>
        <v>12</v>
      </c>
      <c r="G47" s="281">
        <f>+'Rate Class Customer Model'!G17+R47</f>
        <v>13620.323929548704</v>
      </c>
      <c r="H47" s="281">
        <f>+'Rate Class Customer Model'!H17+S47</f>
        <v>21.738385280233285</v>
      </c>
      <c r="I47" s="281">
        <f>+'Rate Class Customer Model'!I17+T47</f>
        <v>296.46180534174658</v>
      </c>
      <c r="J47" s="315">
        <f t="shared" si="5"/>
        <v>73677.236538212819</v>
      </c>
      <c r="L47" s="307" t="s">
        <v>237</v>
      </c>
      <c r="M47" s="281">
        <f>+'City Expansion'!B70</f>
        <v>2595</v>
      </c>
      <c r="N47" s="281">
        <f>+'City Expansion'!C70</f>
        <v>291.39999999999998</v>
      </c>
      <c r="O47" s="281">
        <f>+'City Expansion'!D70</f>
        <v>46.6</v>
      </c>
      <c r="P47" s="281">
        <f>+'City Expansion'!E70</f>
        <v>0</v>
      </c>
      <c r="Q47" s="281">
        <f>+'City Expansion'!F70</f>
        <v>1</v>
      </c>
      <c r="R47" s="281">
        <f>+'City Expansion'!G70</f>
        <v>405.2</v>
      </c>
      <c r="S47" s="281">
        <f>+'City Expansion'!H70</f>
        <v>0</v>
      </c>
      <c r="T47" s="281">
        <f>+'City Expansion'!I70</f>
        <v>0</v>
      </c>
      <c r="U47" s="315">
        <f t="shared" si="11"/>
        <v>3339.2</v>
      </c>
      <c r="W47" s="307" t="s">
        <v>237</v>
      </c>
      <c r="X47" s="281">
        <f t="shared" si="8"/>
        <v>52262.637136473488</v>
      </c>
      <c r="Y47" s="281">
        <f t="shared" si="6"/>
        <v>4027.5752815686433</v>
      </c>
      <c r="Z47" s="281">
        <f t="shared" si="6"/>
        <v>502.5</v>
      </c>
      <c r="AA47" s="281">
        <f t="shared" si="6"/>
        <v>1</v>
      </c>
      <c r="AB47" s="281">
        <f t="shared" si="6"/>
        <v>11</v>
      </c>
      <c r="AC47" s="281">
        <f t="shared" si="6"/>
        <v>13215.123929548703</v>
      </c>
      <c r="AD47" s="281">
        <f t="shared" si="6"/>
        <v>21.738385280233285</v>
      </c>
      <c r="AE47" s="281">
        <f t="shared" si="6"/>
        <v>296.46180534174658</v>
      </c>
      <c r="AF47" s="315">
        <f t="shared" si="7"/>
        <v>70338.036538212822</v>
      </c>
      <c r="AG47" s="444">
        <f t="shared" si="9"/>
        <v>1.40683665427217E-2</v>
      </c>
      <c r="AH47" s="445">
        <f t="shared" si="10"/>
        <v>2.9859975188822219E-2</v>
      </c>
    </row>
    <row r="48" spans="1:34" x14ac:dyDescent="0.2">
      <c r="A48" s="307" t="s">
        <v>238</v>
      </c>
      <c r="B48" s="281">
        <f>+'Rate Class Customer Model'!B18+M48</f>
        <v>56503.367929119158</v>
      </c>
      <c r="C48" s="281">
        <f>+'Rate Class Customer Model'!C18+N48</f>
        <v>4448.6159390564635</v>
      </c>
      <c r="D48" s="281">
        <f>+'Rate Class Customer Model'!D18+O48</f>
        <v>565.6</v>
      </c>
      <c r="E48" s="281">
        <f>+'Rate Class Customer Model'!E18+P48</f>
        <v>1</v>
      </c>
      <c r="F48" s="281">
        <f>+'Rate Class Customer Model'!F18+Q48</f>
        <v>12.4</v>
      </c>
      <c r="G48" s="281">
        <f>+'Rate Class Customer Model'!G18+R48</f>
        <v>14028.945919148318</v>
      </c>
      <c r="H48" s="281">
        <f>+'Rate Class Customer Model'!H18+S48</f>
        <v>21.032906684907768</v>
      </c>
      <c r="I48" s="281">
        <f>+'Rate Class Customer Model'!I18+T48</f>
        <v>296.78310229158649</v>
      </c>
      <c r="J48" s="315">
        <f t="shared" si="5"/>
        <v>75877.745796300442</v>
      </c>
      <c r="L48" s="307" t="s">
        <v>238</v>
      </c>
      <c r="M48" s="281">
        <f>+'City Expansion'!B71</f>
        <v>3535.4</v>
      </c>
      <c r="N48" s="281">
        <f>+'City Expansion'!C71</f>
        <v>395.7</v>
      </c>
      <c r="O48" s="281">
        <f>+'City Expansion'!D71</f>
        <v>63.1</v>
      </c>
      <c r="P48" s="281">
        <f>+'City Expansion'!E71</f>
        <v>0</v>
      </c>
      <c r="Q48" s="281">
        <f>+'City Expansion'!F71</f>
        <v>1.4</v>
      </c>
      <c r="R48" s="281">
        <f>+'City Expansion'!G71</f>
        <v>553.70000000000005</v>
      </c>
      <c r="S48" s="281">
        <f>+'City Expansion'!H71</f>
        <v>0</v>
      </c>
      <c r="T48" s="281">
        <f>+'City Expansion'!I71</f>
        <v>0</v>
      </c>
      <c r="U48" s="315">
        <f t="shared" si="11"/>
        <v>4549.3</v>
      </c>
      <c r="W48" s="307" t="s">
        <v>238</v>
      </c>
      <c r="X48" s="281">
        <f t="shared" si="8"/>
        <v>52967.967929119157</v>
      </c>
      <c r="Y48" s="281">
        <f t="shared" si="6"/>
        <v>4052.9159390564637</v>
      </c>
      <c r="Z48" s="281">
        <f t="shared" si="6"/>
        <v>502.5</v>
      </c>
      <c r="AA48" s="281">
        <f t="shared" si="6"/>
        <v>1</v>
      </c>
      <c r="AB48" s="281">
        <f t="shared" si="6"/>
        <v>11</v>
      </c>
      <c r="AC48" s="281">
        <f t="shared" si="6"/>
        <v>13475.245919148318</v>
      </c>
      <c r="AD48" s="281">
        <f t="shared" si="6"/>
        <v>21.032906684907768</v>
      </c>
      <c r="AE48" s="281">
        <f t="shared" si="6"/>
        <v>296.78310229158649</v>
      </c>
      <c r="AF48" s="315">
        <f t="shared" si="7"/>
        <v>71328.445796300439</v>
      </c>
      <c r="AG48" s="444">
        <f t="shared" si="9"/>
        <v>1.408070663942329E-2</v>
      </c>
      <c r="AH48" s="445">
        <f t="shared" si="10"/>
        <v>2.9866881027036385E-2</v>
      </c>
    </row>
    <row r="49" spans="1:34" ht="13.5" thickBot="1" x14ac:dyDescent="0.25">
      <c r="A49" s="308" t="s">
        <v>239</v>
      </c>
      <c r="B49" s="294">
        <f>+'Rate Class Customer Model'!B19+M49</f>
        <v>58198.417788431041</v>
      </c>
      <c r="C49" s="294">
        <f>+'Rate Class Customer Model'!C19+N49</f>
        <v>4582.0160346371858</v>
      </c>
      <c r="D49" s="294">
        <f>+'Rate Class Customer Model'!D19+O49</f>
        <v>582.5</v>
      </c>
      <c r="E49" s="294">
        <f>+'Rate Class Customer Model'!E19+P49</f>
        <v>1</v>
      </c>
      <c r="F49" s="294">
        <f>+'Rate Class Customer Model'!F19+Q49</f>
        <v>12.8</v>
      </c>
      <c r="G49" s="294">
        <f>+'Rate Class Customer Model'!G19+R49</f>
        <v>14449.788061221263</v>
      </c>
      <c r="H49" s="294">
        <f>+'Rate Class Customer Model'!H19+S49</f>
        <v>20.350323076585497</v>
      </c>
      <c r="I49" s="294">
        <f>+'Rate Class Customer Model'!I19+T49</f>
        <v>297.10474745400597</v>
      </c>
      <c r="J49" s="316">
        <f t="shared" si="5"/>
        <v>78143.9769548201</v>
      </c>
      <c r="L49" s="308" t="s">
        <v>239</v>
      </c>
      <c r="M49" s="294">
        <f>+'City Expansion'!B72</f>
        <v>4515.6000000000004</v>
      </c>
      <c r="N49" s="294">
        <f>+'City Expansion'!C72</f>
        <v>503.6</v>
      </c>
      <c r="O49" s="294">
        <f>+'City Expansion'!D72</f>
        <v>80</v>
      </c>
      <c r="P49" s="294">
        <f>+'City Expansion'!E72</f>
        <v>0</v>
      </c>
      <c r="Q49" s="294">
        <f>+'City Expansion'!F72</f>
        <v>1.8</v>
      </c>
      <c r="R49" s="294">
        <f>+'City Expansion'!G72</f>
        <v>709.3</v>
      </c>
      <c r="S49" s="294">
        <f>+'City Expansion'!H72</f>
        <v>0</v>
      </c>
      <c r="T49" s="294">
        <f>+'City Expansion'!I72</f>
        <v>0</v>
      </c>
      <c r="U49" s="316">
        <f t="shared" si="11"/>
        <v>5810.3000000000011</v>
      </c>
      <c r="W49" s="308" t="s">
        <v>239</v>
      </c>
      <c r="X49" s="294">
        <f t="shared" si="8"/>
        <v>53682.817788431043</v>
      </c>
      <c r="Y49" s="294">
        <f t="shared" ref="Y49:AE49" si="12">+C49-N49</f>
        <v>4078.4160346371859</v>
      </c>
      <c r="Z49" s="294">
        <f t="shared" si="12"/>
        <v>502.5</v>
      </c>
      <c r="AA49" s="294">
        <f t="shared" si="12"/>
        <v>1</v>
      </c>
      <c r="AB49" s="294">
        <f t="shared" si="12"/>
        <v>11</v>
      </c>
      <c r="AC49" s="294">
        <f t="shared" si="12"/>
        <v>13740.488061221264</v>
      </c>
      <c r="AD49" s="294">
        <f t="shared" si="12"/>
        <v>20.350323076585497</v>
      </c>
      <c r="AE49" s="294">
        <f t="shared" si="12"/>
        <v>297.10474745400597</v>
      </c>
      <c r="AF49" s="316">
        <f t="shared" si="7"/>
        <v>72333.676954820097</v>
      </c>
      <c r="AG49" s="444">
        <f t="shared" si="9"/>
        <v>1.4092991194430304E-2</v>
      </c>
      <c r="AH49" s="445">
        <f t="shared" si="10"/>
        <v>2.9866875125725612E-2</v>
      </c>
    </row>
    <row r="50" spans="1:34" x14ac:dyDescent="0.2">
      <c r="B50" s="202"/>
      <c r="C50" s="202"/>
      <c r="D50" s="202"/>
      <c r="E50" s="202"/>
      <c r="F50" s="202"/>
      <c r="G50" s="202"/>
      <c r="H50" s="202"/>
      <c r="I50" s="202"/>
      <c r="J50" s="202"/>
    </row>
    <row r="51" spans="1:34" x14ac:dyDescent="0.2">
      <c r="A51" s="66" t="s">
        <v>253</v>
      </c>
    </row>
    <row r="52" spans="1:34" ht="13.5" thickBot="1" x14ac:dyDescent="0.25"/>
    <row r="53" spans="1:34" ht="24.75" thickBot="1" x14ac:dyDescent="0.25">
      <c r="A53" s="286" t="s">
        <v>117</v>
      </c>
      <c r="B53" s="279" t="s">
        <v>71</v>
      </c>
      <c r="C53" s="279" t="s">
        <v>242</v>
      </c>
      <c r="D53" s="279" t="s">
        <v>241</v>
      </c>
      <c r="E53" s="279" t="s">
        <v>74</v>
      </c>
      <c r="F53" s="279" t="s">
        <v>243</v>
      </c>
      <c r="G53" s="279" t="s">
        <v>244</v>
      </c>
      <c r="H53" s="279" t="s">
        <v>245</v>
      </c>
      <c r="I53" s="279" t="s">
        <v>76</v>
      </c>
      <c r="J53" s="280" t="s">
        <v>9</v>
      </c>
      <c r="L53" s="286" t="s">
        <v>117</v>
      </c>
      <c r="M53" s="279" t="s">
        <v>71</v>
      </c>
      <c r="N53" s="279" t="s">
        <v>242</v>
      </c>
      <c r="O53" s="279" t="s">
        <v>241</v>
      </c>
      <c r="P53" s="279" t="s">
        <v>74</v>
      </c>
      <c r="Q53" s="279" t="s">
        <v>243</v>
      </c>
      <c r="R53" s="279" t="s">
        <v>244</v>
      </c>
      <c r="S53" s="279" t="s">
        <v>245</v>
      </c>
      <c r="T53" s="279" t="s">
        <v>76</v>
      </c>
      <c r="U53" s="280" t="s">
        <v>9</v>
      </c>
    </row>
    <row r="54" spans="1:34" x14ac:dyDescent="0.2">
      <c r="A54" s="309" t="s">
        <v>246</v>
      </c>
      <c r="B54" s="310"/>
      <c r="C54" s="310"/>
      <c r="D54" s="310"/>
      <c r="E54" s="310"/>
      <c r="F54" s="310"/>
      <c r="G54" s="310"/>
      <c r="H54" s="310"/>
      <c r="I54" s="310"/>
      <c r="J54" s="311"/>
      <c r="L54" s="309" t="s">
        <v>246</v>
      </c>
      <c r="M54" s="310"/>
      <c r="N54" s="310"/>
      <c r="O54" s="310"/>
      <c r="P54" s="310"/>
      <c r="Q54" s="310"/>
      <c r="R54" s="310"/>
      <c r="S54" s="310"/>
      <c r="T54" s="310"/>
      <c r="U54" s="311"/>
    </row>
    <row r="55" spans="1:34" x14ac:dyDescent="0.2">
      <c r="A55" s="312" t="s">
        <v>119</v>
      </c>
      <c r="B55" s="284">
        <v>487192399</v>
      </c>
      <c r="C55" s="284">
        <v>140097188</v>
      </c>
      <c r="D55" s="284">
        <v>358858375</v>
      </c>
      <c r="E55" s="284">
        <v>60139982</v>
      </c>
      <c r="F55" s="284">
        <v>80956601</v>
      </c>
      <c r="G55" s="284">
        <v>10072853</v>
      </c>
      <c r="H55" s="284">
        <v>40813</v>
      </c>
      <c r="I55" s="284">
        <v>3841944</v>
      </c>
      <c r="J55" s="291">
        <f>SUM(B55:I55)</f>
        <v>1141200155</v>
      </c>
      <c r="L55" s="312" t="s">
        <v>119</v>
      </c>
      <c r="M55" s="284"/>
      <c r="N55" s="284"/>
      <c r="O55" s="284"/>
      <c r="P55" s="284"/>
      <c r="Q55" s="284"/>
      <c r="R55" s="284"/>
      <c r="S55" s="284"/>
      <c r="T55" s="284"/>
      <c r="U55" s="291"/>
    </row>
    <row r="56" spans="1:34" x14ac:dyDescent="0.2">
      <c r="A56" s="312" t="s">
        <v>233</v>
      </c>
      <c r="B56" s="284">
        <v>496447375</v>
      </c>
      <c r="C56" s="284">
        <v>132319612</v>
      </c>
      <c r="D56" s="284">
        <v>359363080</v>
      </c>
      <c r="E56" s="284">
        <v>33402763</v>
      </c>
      <c r="F56" s="284">
        <v>78175306</v>
      </c>
      <c r="G56" s="284">
        <v>11044796</v>
      </c>
      <c r="H56" s="284">
        <v>38567</v>
      </c>
      <c r="I56" s="284">
        <v>3208501</v>
      </c>
      <c r="J56" s="291">
        <f>SUM(B56:I56)</f>
        <v>1114000000</v>
      </c>
      <c r="L56" s="312" t="s">
        <v>233</v>
      </c>
      <c r="M56" s="284"/>
      <c r="N56" s="284"/>
      <c r="O56" s="284"/>
      <c r="P56" s="284"/>
      <c r="Q56" s="284"/>
      <c r="R56" s="284"/>
      <c r="S56" s="284"/>
      <c r="T56" s="284"/>
      <c r="U56" s="291"/>
    </row>
    <row r="57" spans="1:34" x14ac:dyDescent="0.2">
      <c r="A57" s="306"/>
      <c r="B57" s="283"/>
      <c r="C57" s="313"/>
      <c r="D57" s="313"/>
      <c r="E57" s="313"/>
      <c r="F57" s="313"/>
      <c r="G57" s="313"/>
      <c r="H57" s="313"/>
      <c r="I57" s="313"/>
      <c r="J57" s="314"/>
      <c r="L57" s="306"/>
      <c r="M57" s="283"/>
      <c r="N57" s="313"/>
      <c r="O57" s="313"/>
      <c r="P57" s="313"/>
      <c r="Q57" s="313"/>
      <c r="R57" s="313"/>
      <c r="S57" s="313"/>
      <c r="T57" s="313"/>
      <c r="U57" s="314"/>
    </row>
    <row r="58" spans="1:34" x14ac:dyDescent="0.2">
      <c r="A58" s="306">
        <v>2003</v>
      </c>
      <c r="B58" s="281">
        <f>+'Rate Class Energy Model'!H7</f>
        <v>457616904</v>
      </c>
      <c r="C58" s="281">
        <f>+'Rate Class Energy Model'!I7</f>
        <v>121224653</v>
      </c>
      <c r="D58" s="281">
        <f>+'Rate Class Energy Model'!J7</f>
        <v>281244125.5</v>
      </c>
      <c r="E58" s="281">
        <f>+'Rate Class Energy Model'!K7</f>
        <v>169257212.5</v>
      </c>
      <c r="F58" s="281">
        <f>+'Rate Class Energy Model'!L7</f>
        <v>96172091</v>
      </c>
      <c r="G58" s="281">
        <f>+'Rate Class Energy Model'!M7</f>
        <v>8359780.5</v>
      </c>
      <c r="H58" s="281">
        <f>+'Rate Class Energy Model'!N7</f>
        <v>45541</v>
      </c>
      <c r="I58" s="281">
        <f>+'Rate Class Energy Model'!O7</f>
        <v>2920000</v>
      </c>
      <c r="J58" s="315">
        <f t="shared" ref="J58:J68" si="13">SUM(B58:I58)</f>
        <v>1136840307.5</v>
      </c>
      <c r="L58" s="306">
        <v>2003</v>
      </c>
      <c r="M58" s="281"/>
      <c r="N58" s="281"/>
      <c r="O58" s="281"/>
      <c r="P58" s="281"/>
      <c r="Q58" s="281"/>
      <c r="R58" s="281"/>
      <c r="S58" s="281"/>
      <c r="T58" s="281"/>
      <c r="U58" s="315"/>
    </row>
    <row r="59" spans="1:34" ht="13.5" customHeight="1" x14ac:dyDescent="0.2">
      <c r="A59" s="307">
        <v>2004</v>
      </c>
      <c r="B59" s="281">
        <f>+'Rate Class Energy Model'!H8</f>
        <v>448138859</v>
      </c>
      <c r="C59" s="281">
        <f>+'Rate Class Energy Model'!I8</f>
        <v>129998490</v>
      </c>
      <c r="D59" s="281">
        <f>+'Rate Class Energy Model'!J8</f>
        <v>360631980</v>
      </c>
      <c r="E59" s="281">
        <f>+'Rate Class Energy Model'!K8</f>
        <v>112144196</v>
      </c>
      <c r="F59" s="281">
        <f>+'Rate Class Energy Model'!L8</f>
        <v>65676068</v>
      </c>
      <c r="G59" s="281">
        <f>+'Rate Class Energy Model'!M8</f>
        <v>8743099.0634733941</v>
      </c>
      <c r="H59" s="281">
        <f>+'Rate Class Energy Model'!N8</f>
        <v>27821</v>
      </c>
      <c r="I59" s="281">
        <f>+'Rate Class Energy Model'!O8</f>
        <v>2940000</v>
      </c>
      <c r="J59" s="315">
        <f t="shared" si="13"/>
        <v>1128300513.0634735</v>
      </c>
      <c r="L59" s="307">
        <v>2004</v>
      </c>
      <c r="M59" s="281"/>
      <c r="N59" s="281"/>
      <c r="O59" s="281"/>
      <c r="P59" s="281"/>
      <c r="Q59" s="281"/>
      <c r="R59" s="281"/>
      <c r="S59" s="281"/>
      <c r="T59" s="281"/>
      <c r="U59" s="315"/>
    </row>
    <row r="60" spans="1:34" x14ac:dyDescent="0.2">
      <c r="A60" s="306">
        <v>2005</v>
      </c>
      <c r="B60" s="281">
        <f>+'Rate Class Energy Model'!H9</f>
        <v>485961504</v>
      </c>
      <c r="C60" s="281">
        <f>+'Rate Class Energy Model'!I9</f>
        <v>135909028</v>
      </c>
      <c r="D60" s="281">
        <f>+'Rate Class Energy Model'!J9</f>
        <v>361962669</v>
      </c>
      <c r="E60" s="281">
        <f>+'Rate Class Energy Model'!K9</f>
        <v>62904833</v>
      </c>
      <c r="F60" s="281">
        <f>+'Rate Class Energy Model'!L9</f>
        <v>67016961</v>
      </c>
      <c r="G60" s="281">
        <f>+'Rate Class Energy Model'!M9</f>
        <v>9182978</v>
      </c>
      <c r="H60" s="281">
        <f>+'Rate Class Energy Model'!N9</f>
        <v>43197</v>
      </c>
      <c r="I60" s="281">
        <f>+'Rate Class Energy Model'!O9</f>
        <v>2950000</v>
      </c>
      <c r="J60" s="315">
        <f t="shared" si="13"/>
        <v>1125931170</v>
      </c>
      <c r="L60" s="306">
        <v>2005</v>
      </c>
      <c r="M60" s="281"/>
      <c r="N60" s="281"/>
      <c r="O60" s="281"/>
      <c r="P60" s="281"/>
      <c r="Q60" s="281"/>
      <c r="R60" s="281"/>
      <c r="S60" s="281"/>
      <c r="T60" s="281"/>
      <c r="U60" s="315"/>
    </row>
    <row r="61" spans="1:34" x14ac:dyDescent="0.2">
      <c r="A61" s="307">
        <v>2006</v>
      </c>
      <c r="B61" s="281">
        <f>+'Rate Class Energy Model'!H10</f>
        <v>466401366</v>
      </c>
      <c r="C61" s="281">
        <f>+'Rate Class Energy Model'!I10</f>
        <v>134155770</v>
      </c>
      <c r="D61" s="281">
        <f>+'Rate Class Energy Model'!J10</f>
        <v>357086593</v>
      </c>
      <c r="E61" s="281">
        <f>+'Rate Class Energy Model'!K10</f>
        <v>59654446</v>
      </c>
      <c r="F61" s="281">
        <f>+'Rate Class Energy Model'!L10</f>
        <v>80518764</v>
      </c>
      <c r="G61" s="281">
        <f>+'Rate Class Energy Model'!M10</f>
        <v>9398525</v>
      </c>
      <c r="H61" s="281">
        <f>+'Rate Class Energy Model'!N10</f>
        <v>42595</v>
      </c>
      <c r="I61" s="281">
        <f>+'Rate Class Energy Model'!O10</f>
        <v>3705188</v>
      </c>
      <c r="J61" s="315">
        <f t="shared" si="13"/>
        <v>1110963247</v>
      </c>
      <c r="L61" s="307">
        <v>2006</v>
      </c>
      <c r="M61" s="281"/>
      <c r="N61" s="281"/>
      <c r="O61" s="281"/>
      <c r="P61" s="281"/>
      <c r="Q61" s="281"/>
      <c r="R61" s="281"/>
      <c r="S61" s="281"/>
      <c r="T61" s="281"/>
      <c r="U61" s="315"/>
    </row>
    <row r="62" spans="1:34" x14ac:dyDescent="0.2">
      <c r="A62" s="306">
        <v>2007</v>
      </c>
      <c r="B62" s="281">
        <f>+'Rate Class Energy Model'!H11</f>
        <v>473023155</v>
      </c>
      <c r="C62" s="281">
        <f>+'Rate Class Energy Model'!I11</f>
        <v>132346004</v>
      </c>
      <c r="D62" s="281">
        <f>+'Rate Class Energy Model'!J11</f>
        <v>359144720</v>
      </c>
      <c r="E62" s="281">
        <f>+'Rate Class Energy Model'!K11</f>
        <v>61811846</v>
      </c>
      <c r="F62" s="281">
        <f>+'Rate Class Energy Model'!L11</f>
        <v>103869997</v>
      </c>
      <c r="G62" s="281">
        <f>+'Rate Class Energy Model'!M11</f>
        <v>9704521</v>
      </c>
      <c r="H62" s="281">
        <f>+'Rate Class Energy Model'!N11</f>
        <v>41408</v>
      </c>
      <c r="I62" s="281">
        <f>+'Rate Class Energy Model'!O11</f>
        <v>3818865</v>
      </c>
      <c r="J62" s="315">
        <f t="shared" si="13"/>
        <v>1143760516</v>
      </c>
      <c r="L62" s="306">
        <v>2007</v>
      </c>
      <c r="M62" s="281"/>
      <c r="N62" s="281"/>
      <c r="O62" s="281"/>
      <c r="P62" s="281"/>
      <c r="Q62" s="281"/>
      <c r="R62" s="281"/>
      <c r="S62" s="281"/>
      <c r="T62" s="281"/>
      <c r="U62" s="315"/>
    </row>
    <row r="63" spans="1:34" x14ac:dyDescent="0.2">
      <c r="A63" s="307">
        <v>2008</v>
      </c>
      <c r="B63" s="281">
        <f>+'Rate Class Energy Model'!H12</f>
        <v>470718851</v>
      </c>
      <c r="C63" s="281">
        <f>+'Rate Class Energy Model'!I12</f>
        <v>131868017</v>
      </c>
      <c r="D63" s="281">
        <f>+'Rate Class Energy Model'!J12</f>
        <v>352632150</v>
      </c>
      <c r="E63" s="281">
        <f>+'Rate Class Energy Model'!K12</f>
        <v>46461021</v>
      </c>
      <c r="F63" s="281">
        <f>+'Rate Class Energy Model'!L12</f>
        <v>102433272</v>
      </c>
      <c r="G63" s="281">
        <f>+'Rate Class Energy Model'!M12</f>
        <v>9725840</v>
      </c>
      <c r="H63" s="281">
        <f>+'Rate Class Energy Model'!N12</f>
        <v>39233</v>
      </c>
      <c r="I63" s="281">
        <f>+'Rate Class Energy Model'!O12</f>
        <v>3372873</v>
      </c>
      <c r="J63" s="315">
        <f t="shared" si="13"/>
        <v>1117251257</v>
      </c>
      <c r="L63" s="307">
        <v>2008</v>
      </c>
      <c r="M63" s="281"/>
      <c r="N63" s="281"/>
      <c r="O63" s="281"/>
      <c r="P63" s="281"/>
      <c r="Q63" s="281"/>
      <c r="R63" s="281"/>
      <c r="S63" s="281"/>
      <c r="T63" s="281"/>
      <c r="U63" s="315"/>
    </row>
    <row r="64" spans="1:34" x14ac:dyDescent="0.2">
      <c r="A64" s="306">
        <v>2009</v>
      </c>
      <c r="B64" s="281">
        <f>+'Rate Class Energy Model'!H13</f>
        <v>467977819</v>
      </c>
      <c r="C64" s="281">
        <f>+'Rate Class Energy Model'!I13</f>
        <v>128019505</v>
      </c>
      <c r="D64" s="281">
        <f>+'Rate Class Energy Model'!J13</f>
        <v>349784301</v>
      </c>
      <c r="E64" s="281">
        <f>+'Rate Class Energy Model'!K13</f>
        <v>36580289</v>
      </c>
      <c r="F64" s="281">
        <f>+'Rate Class Energy Model'!L13</f>
        <v>87237589</v>
      </c>
      <c r="G64" s="281">
        <f>+'Rate Class Energy Model'!M13</f>
        <v>10202758</v>
      </c>
      <c r="H64" s="281">
        <f>+'Rate Class Energy Model'!N13</f>
        <v>36792</v>
      </c>
      <c r="I64" s="281">
        <f>+'Rate Class Energy Model'!O13</f>
        <v>2825455</v>
      </c>
      <c r="J64" s="315">
        <f t="shared" si="13"/>
        <v>1082664508</v>
      </c>
      <c r="L64" s="306">
        <v>2009</v>
      </c>
      <c r="M64" s="281"/>
      <c r="N64" s="281"/>
      <c r="O64" s="281"/>
      <c r="P64" s="281"/>
      <c r="Q64" s="281"/>
      <c r="R64" s="281"/>
      <c r="S64" s="281"/>
      <c r="T64" s="281"/>
      <c r="U64" s="315"/>
    </row>
    <row r="65" spans="1:21" x14ac:dyDescent="0.2">
      <c r="A65" s="307">
        <v>2010</v>
      </c>
      <c r="B65" s="281">
        <f>+'Rate Class Energy Model'!H14</f>
        <v>476941035</v>
      </c>
      <c r="C65" s="281">
        <f>+'Rate Class Energy Model'!I14</f>
        <v>131282103</v>
      </c>
      <c r="D65" s="281">
        <f>+'Rate Class Energy Model'!J14</f>
        <v>355234224</v>
      </c>
      <c r="E65" s="281">
        <f>+'Rate Class Energy Model'!K14</f>
        <v>33402763</v>
      </c>
      <c r="F65" s="281">
        <f>+'Rate Class Energy Model'!L14</f>
        <v>80783141</v>
      </c>
      <c r="G65" s="281">
        <f>+'Rate Class Energy Model'!M14</f>
        <v>10427904</v>
      </c>
      <c r="H65" s="281">
        <f>+'Rate Class Energy Model'!N14</f>
        <v>35812</v>
      </c>
      <c r="I65" s="281">
        <f>+'Rate Class Energy Model'!O14</f>
        <v>2831501</v>
      </c>
      <c r="J65" s="315">
        <f t="shared" si="13"/>
        <v>1090938483</v>
      </c>
      <c r="L65" s="307">
        <v>2010</v>
      </c>
      <c r="M65" s="281"/>
      <c r="N65" s="281"/>
      <c r="O65" s="281"/>
      <c r="P65" s="281"/>
      <c r="Q65" s="281"/>
      <c r="R65" s="281"/>
      <c r="S65" s="281"/>
      <c r="T65" s="281"/>
      <c r="U65" s="315"/>
    </row>
    <row r="66" spans="1:21" x14ac:dyDescent="0.2">
      <c r="A66" s="307">
        <v>2011</v>
      </c>
      <c r="B66" s="281">
        <f>+'Rate Class Energy Model'!H15</f>
        <v>484582022</v>
      </c>
      <c r="C66" s="281">
        <f>+'Rate Class Energy Model'!I15</f>
        <v>135695878</v>
      </c>
      <c r="D66" s="281">
        <f>+'Rate Class Energy Model'!J15</f>
        <v>359534375</v>
      </c>
      <c r="E66" s="281">
        <f>+'Rate Class Energy Model'!K15</f>
        <v>37740699</v>
      </c>
      <c r="F66" s="281">
        <f>+'Rate Class Energy Model'!L15</f>
        <v>79908016</v>
      </c>
      <c r="G66" s="281">
        <f>+'Rate Class Energy Model'!M15</f>
        <v>10253017</v>
      </c>
      <c r="H66" s="281">
        <f>+'Rate Class Energy Model'!N15</f>
        <v>35812</v>
      </c>
      <c r="I66" s="281">
        <f>+'Rate Class Energy Model'!O15</f>
        <v>2769028</v>
      </c>
      <c r="J66" s="315">
        <f t="shared" si="13"/>
        <v>1110518847</v>
      </c>
      <c r="L66" s="307">
        <v>2011</v>
      </c>
      <c r="M66" s="281"/>
      <c r="N66" s="281"/>
      <c r="O66" s="281"/>
      <c r="P66" s="281"/>
      <c r="Q66" s="281"/>
      <c r="R66" s="281"/>
      <c r="S66" s="281"/>
      <c r="T66" s="281"/>
      <c r="U66" s="315"/>
    </row>
    <row r="67" spans="1:21" x14ac:dyDescent="0.2">
      <c r="A67" s="307">
        <v>2012</v>
      </c>
      <c r="B67" s="281">
        <f>+'Rate Class Energy Model'!H16</f>
        <v>473288468</v>
      </c>
      <c r="C67" s="281">
        <f>+'Rate Class Energy Model'!I16</f>
        <v>131590801</v>
      </c>
      <c r="D67" s="281">
        <f>+'Rate Class Energy Model'!J16</f>
        <v>338342507</v>
      </c>
      <c r="E67" s="281">
        <f>+'Rate Class Energy Model'!K16</f>
        <v>40812737</v>
      </c>
      <c r="F67" s="281">
        <f>+'Rate Class Energy Model'!L16</f>
        <v>76828137</v>
      </c>
      <c r="G67" s="281">
        <f>+'Rate Class Energy Model'!M16</f>
        <v>10139708</v>
      </c>
      <c r="H67" s="281">
        <f>+'Rate Class Energy Model'!N16</f>
        <v>35812</v>
      </c>
      <c r="I67" s="281">
        <f>+'Rate Class Energy Model'!O16</f>
        <v>2745701</v>
      </c>
      <c r="J67" s="315">
        <f t="shared" si="13"/>
        <v>1073783871</v>
      </c>
      <c r="L67" s="307">
        <v>2012</v>
      </c>
      <c r="M67" s="281"/>
      <c r="N67" s="281"/>
      <c r="O67" s="281"/>
      <c r="P67" s="281"/>
      <c r="Q67" s="281"/>
      <c r="R67" s="281"/>
      <c r="S67" s="281"/>
      <c r="T67" s="281"/>
      <c r="U67" s="315"/>
    </row>
    <row r="68" spans="1:21" x14ac:dyDescent="0.2">
      <c r="A68" s="307">
        <v>2013</v>
      </c>
      <c r="B68" s="281">
        <f>+'Rate Class Energy Model'!H17</f>
        <v>475282449</v>
      </c>
      <c r="C68" s="281">
        <f>+'Rate Class Energy Model'!I17</f>
        <v>132382128</v>
      </c>
      <c r="D68" s="281">
        <f>+'Rate Class Energy Model'!J17</f>
        <v>337123668</v>
      </c>
      <c r="E68" s="281">
        <f>+'Rate Class Energy Model'!K17</f>
        <v>42326219</v>
      </c>
      <c r="F68" s="281">
        <f>+'Rate Class Energy Model'!L17</f>
        <v>79176233</v>
      </c>
      <c r="G68" s="281">
        <f>+'Rate Class Energy Model'!M17</f>
        <v>9082284</v>
      </c>
      <c r="H68" s="281">
        <f>+'Rate Class Energy Model'!N17</f>
        <v>35812</v>
      </c>
      <c r="I68" s="281">
        <f>+'Rate Class Energy Model'!O17</f>
        <v>2752416</v>
      </c>
      <c r="J68" s="315">
        <f t="shared" si="13"/>
        <v>1078161209</v>
      </c>
      <c r="L68" s="307">
        <v>2013</v>
      </c>
      <c r="M68" s="281"/>
      <c r="N68" s="281"/>
      <c r="O68" s="281"/>
      <c r="P68" s="281"/>
      <c r="Q68" s="281"/>
      <c r="R68" s="281"/>
      <c r="S68" s="281"/>
      <c r="T68" s="281"/>
      <c r="U68" s="315"/>
    </row>
    <row r="69" spans="1:21" x14ac:dyDescent="0.2">
      <c r="A69" s="307" t="s">
        <v>318</v>
      </c>
      <c r="B69" s="281">
        <f>+'Rate Class Energy Model'!H18</f>
        <v>485503507</v>
      </c>
      <c r="C69" s="281">
        <f>+'Rate Class Energy Model'!I18</f>
        <v>133729082</v>
      </c>
      <c r="D69" s="281">
        <f>+'Rate Class Energy Model'!J18</f>
        <v>336406114</v>
      </c>
      <c r="E69" s="281">
        <f>+'Rate Class Energy Model'!K18</f>
        <v>42700435</v>
      </c>
      <c r="F69" s="281">
        <f>+'Rate Class Energy Model'!L18</f>
        <v>81400346</v>
      </c>
      <c r="G69" s="281">
        <f>+'Rate Class Energy Model'!M18</f>
        <v>9155875</v>
      </c>
      <c r="H69" s="281">
        <f>+'Rate Class Energy Model'!N18</f>
        <v>35812</v>
      </c>
      <c r="I69" s="281">
        <f>+'Rate Class Energy Model'!O18</f>
        <v>2711219</v>
      </c>
      <c r="J69" s="315">
        <f t="shared" ref="J69" si="14">SUM(B69:I69)</f>
        <v>1091642390</v>
      </c>
      <c r="L69" s="307" t="s">
        <v>318</v>
      </c>
      <c r="M69" s="281">
        <v>0</v>
      </c>
      <c r="N69" s="281">
        <v>0</v>
      </c>
      <c r="O69" s="281">
        <v>0</v>
      </c>
      <c r="P69" s="281">
        <v>0</v>
      </c>
      <c r="Q69" s="281">
        <v>0</v>
      </c>
      <c r="R69" s="281">
        <f>+LED!C34</f>
        <v>0</v>
      </c>
      <c r="S69" s="281">
        <v>0</v>
      </c>
      <c r="T69" s="281">
        <v>0</v>
      </c>
      <c r="U69" s="315">
        <f t="shared" ref="U69:U74" si="15">SUM(M69:T69)</f>
        <v>0</v>
      </c>
    </row>
    <row r="70" spans="1:21" x14ac:dyDescent="0.2">
      <c r="A70" s="307" t="s">
        <v>235</v>
      </c>
      <c r="B70" s="442">
        <f ca="1">+'Rate Class Energy Model'!H19+M70-'Rate Class Energy Model'!H94</f>
        <v>497610662.85013276</v>
      </c>
      <c r="C70" s="442">
        <f ca="1">+'Rate Class Energy Model'!I19+N70-'Rate Class Energy Model'!I94</f>
        <v>136996360.64027488</v>
      </c>
      <c r="D70" s="442">
        <f ca="1">+'Rate Class Energy Model'!J19+O70-'Rate Class Energy Model'!J94</f>
        <v>345908558.91293103</v>
      </c>
      <c r="E70" s="442">
        <f ca="1">+'Rate Class Energy Model'!K19+P70-'Rate Class Energy Model'!K94</f>
        <v>42704672.351565883</v>
      </c>
      <c r="F70" s="442">
        <f ca="1">+'Rate Class Energy Model'!L19+Q70-'Rate Class Energy Model'!L94</f>
        <v>83553088.298685014</v>
      </c>
      <c r="G70" s="442">
        <f>+LED!E44</f>
        <v>6934206.2815438015</v>
      </c>
      <c r="H70" s="442">
        <f ca="1">+'Rate Class Energy Model'!N19+S70-'Rate Class Energy Model'!N94</f>
        <v>34349.534768978912</v>
      </c>
      <c r="I70" s="442">
        <f ca="1">+'Rate Class Energy Model'!O19+T70-'Rate Class Energy Model'!O94</f>
        <v>2690638.1196790505</v>
      </c>
      <c r="J70" s="436">
        <f t="shared" ref="J70:J74" ca="1" si="16">SUM(B70:I70)</f>
        <v>1116432536.9895813</v>
      </c>
      <c r="L70" s="307" t="s">
        <v>235</v>
      </c>
      <c r="M70" s="281">
        <f ca="1">+'City Expansion'!B95</f>
        <v>8040929.5232944591</v>
      </c>
      <c r="N70" s="281">
        <f ca="1">+'City Expansion'!C95</f>
        <v>3179802.5762307039</v>
      </c>
      <c r="O70" s="281">
        <f ca="1">+'City Expansion'!D95</f>
        <v>10176131.338382518</v>
      </c>
      <c r="P70" s="281">
        <f ca="1">+'City Expansion'!E95</f>
        <v>0</v>
      </c>
      <c r="Q70" s="281">
        <f ca="1">+'City Expansion'!F95</f>
        <v>2236950.1003034217</v>
      </c>
      <c r="R70" s="281">
        <f>+LED!C35</f>
        <v>135969.09404380183</v>
      </c>
      <c r="S70" s="281">
        <f ca="1">+'City Expansion'!H95</f>
        <v>0</v>
      </c>
      <c r="T70" s="281">
        <f ca="1">+'City Expansion'!I95</f>
        <v>0</v>
      </c>
      <c r="U70" s="315">
        <f t="shared" ca="1" si="15"/>
        <v>23769782.632254906</v>
      </c>
    </row>
    <row r="71" spans="1:21" x14ac:dyDescent="0.2">
      <c r="A71" s="307" t="s">
        <v>236</v>
      </c>
      <c r="B71" s="442">
        <f ca="1">+'Rate Class Energy Model'!H20+M71-'Rate Class Energy Model'!H95</f>
        <v>504749333.27643669</v>
      </c>
      <c r="C71" s="442">
        <f ca="1">+'Rate Class Energy Model'!I20+N71-'Rate Class Energy Model'!I95</f>
        <v>138910441.31964967</v>
      </c>
      <c r="D71" s="442">
        <f ca="1">+'Rate Class Energy Model'!J20+O71-'Rate Class Energy Model'!J95</f>
        <v>352266716.64249188</v>
      </c>
      <c r="E71" s="442">
        <f ca="1">+'Rate Class Energy Model'!K20+P71-'Rate Class Energy Model'!K95</f>
        <v>42684717.3443489</v>
      </c>
      <c r="F71" s="442">
        <f ca="1">+'Rate Class Energy Model'!L20+Q71-'Rate Class Energy Model'!L95</f>
        <v>85692156.524740934</v>
      </c>
      <c r="G71" s="442">
        <f>+LED!E45</f>
        <v>4625488.1587263634</v>
      </c>
      <c r="H71" s="442">
        <f ca="1">+'Rate Class Energy Model'!N20+S71-'Rate Class Energy Model'!N95</f>
        <v>32928.129707592547</v>
      </c>
      <c r="I71" s="442">
        <f ca="1">+'Rate Class Energy Model'!O20+T71-'Rate Class Energy Model'!O95</f>
        <v>2668700.9067017306</v>
      </c>
      <c r="J71" s="436">
        <f t="shared" ca="1" si="16"/>
        <v>1131630482.302804</v>
      </c>
      <c r="L71" s="307" t="s">
        <v>236</v>
      </c>
      <c r="M71" s="281">
        <f ca="1">+'City Expansion'!B96</f>
        <v>16325155.135504376</v>
      </c>
      <c r="N71" s="281">
        <f ca="1">+'City Expansion'!C96</f>
        <v>6429241.8885597922</v>
      </c>
      <c r="O71" s="281">
        <f ca="1">+'City Expansion'!D96</f>
        <v>20562984.975988053</v>
      </c>
      <c r="P71" s="281">
        <f ca="1">+'City Expansion'!E96</f>
        <v>0</v>
      </c>
      <c r="Q71" s="281">
        <f ca="1">+'City Expansion'!F96</f>
        <v>5213629.2799006114</v>
      </c>
      <c r="R71" s="281">
        <f>+LED!C36</f>
        <v>138651.61497636285</v>
      </c>
      <c r="S71" s="281">
        <f ca="1">+'City Expansion'!H96</f>
        <v>0</v>
      </c>
      <c r="T71" s="281">
        <f ca="1">+'City Expansion'!I96</f>
        <v>0</v>
      </c>
      <c r="U71" s="315">
        <f t="shared" ca="1" si="15"/>
        <v>48669662.894929193</v>
      </c>
    </row>
    <row r="72" spans="1:21" x14ac:dyDescent="0.2">
      <c r="A72" s="307" t="s">
        <v>237</v>
      </c>
      <c r="B72" s="442">
        <f ca="1">+'Rate Class Energy Model'!H21+M72-'Rate Class Energy Model'!H96</f>
        <v>510469391.34748471</v>
      </c>
      <c r="C72" s="442">
        <f ca="1">+'Rate Class Energy Model'!I21+N72-'Rate Class Energy Model'!I96</f>
        <v>140443159.56641656</v>
      </c>
      <c r="D72" s="442">
        <f ca="1">+'Rate Class Energy Model'!J21+O72-'Rate Class Energy Model'!J96</f>
        <v>357867688.71367508</v>
      </c>
      <c r="E72" s="442">
        <f ca="1">+'Rate Class Energy Model'!K21+P72-'Rate Class Energy Model'!K96</f>
        <v>42762817.834401838</v>
      </c>
      <c r="F72" s="442">
        <f ca="1">+'Rate Class Energy Model'!L21+Q72-'Rate Class Energy Model'!L96</f>
        <v>86862136.274436489</v>
      </c>
      <c r="G72" s="442">
        <f>+LED!E46</f>
        <v>4583340.2168644872</v>
      </c>
      <c r="H72" s="442">
        <f ca="1">+'Rate Class Energy Model'!N21+S72-'Rate Class Energy Model'!N96</f>
        <v>31638.082757930551</v>
      </c>
      <c r="I72" s="442">
        <f ca="1">+'Rate Class Energy Model'!O21+T72-'Rate Class Energy Model'!O96</f>
        <v>2653025.3821984963</v>
      </c>
      <c r="J72" s="436">
        <f t="shared" ca="1" si="16"/>
        <v>1145673197.4182358</v>
      </c>
      <c r="L72" s="307" t="s">
        <v>237</v>
      </c>
      <c r="M72" s="281">
        <f ca="1">+'City Expansion'!B97</f>
        <v>24727295.929313343</v>
      </c>
      <c r="N72" s="281">
        <f ca="1">+'City Expansion'!C97</f>
        <v>9698294.4245020077</v>
      </c>
      <c r="O72" s="281">
        <f ca="1">+'City Expansion'!D97</f>
        <v>31070849.50758585</v>
      </c>
      <c r="P72" s="281">
        <f ca="1">+'City Expansion'!E97</f>
        <v>0</v>
      </c>
      <c r="Q72" s="281">
        <f ca="1">+'City Expansion'!F97</f>
        <v>7405644.2451661201</v>
      </c>
      <c r="R72" s="281">
        <f>+LED!C37</f>
        <v>141372.03855198732</v>
      </c>
      <c r="S72" s="281">
        <f ca="1">+'City Expansion'!H97</f>
        <v>0</v>
      </c>
      <c r="T72" s="281">
        <f ca="1">+'City Expansion'!I97</f>
        <v>0</v>
      </c>
      <c r="U72" s="315">
        <f t="shared" ca="1" si="15"/>
        <v>73043456.145119309</v>
      </c>
    </row>
    <row r="73" spans="1:21" x14ac:dyDescent="0.2">
      <c r="A73" s="307" t="s">
        <v>238</v>
      </c>
      <c r="B73" s="442">
        <f ca="1">+'Rate Class Energy Model'!H22+M73-'Rate Class Energy Model'!H97</f>
        <v>516502314.78977972</v>
      </c>
      <c r="C73" s="442">
        <f ca="1">+'Rate Class Energy Model'!I22+N73-'Rate Class Energy Model'!I97</f>
        <v>142085760.01485717</v>
      </c>
      <c r="D73" s="442">
        <f ca="1">+'Rate Class Energy Model'!J22+O73-'Rate Class Energy Model'!J97</f>
        <v>363791390.6049161</v>
      </c>
      <c r="E73" s="442">
        <f ca="1">+'Rate Class Energy Model'!K22+P73-'Rate Class Energy Model'!K97</f>
        <v>42734648.790182367</v>
      </c>
      <c r="F73" s="442">
        <f ca="1">+'Rate Class Energy Model'!L22+Q73-'Rate Class Energy Model'!L97</f>
        <v>88760313.469612524</v>
      </c>
      <c r="G73" s="442">
        <f>+LED!E47</f>
        <v>4541712.7242170181</v>
      </c>
      <c r="H73" s="442">
        <f ca="1">+'Rate Class Energy Model'!N22+S73-'Rate Class Energy Model'!N97</f>
        <v>30323.070137644703</v>
      </c>
      <c r="I73" s="442">
        <f ca="1">+'Rate Class Energy Model'!O22+T73-'Rate Class Energy Model'!O97</f>
        <v>2630890.8205649224</v>
      </c>
      <c r="J73" s="436">
        <f t="shared" ca="1" si="16"/>
        <v>1161077354.2842677</v>
      </c>
      <c r="L73" s="307" t="s">
        <v>238</v>
      </c>
      <c r="M73" s="281">
        <f ca="1">+'City Expansion'!B98</f>
        <v>33379059.925902888</v>
      </c>
      <c r="N73" s="281">
        <f ca="1">+'City Expansion'!C98</f>
        <v>13041513.990323585</v>
      </c>
      <c r="O73" s="281">
        <f ca="1">+'City Expansion'!D98</f>
        <v>41846815.064560317</v>
      </c>
      <c r="P73" s="281">
        <f ca="1">+'City Expansion'!E98</f>
        <v>0</v>
      </c>
      <c r="Q73" s="281">
        <f ca="1">+'City Expansion'!F98</f>
        <v>10332174.454937154</v>
      </c>
      <c r="R73" s="281">
        <f>+LED!C38</f>
        <v>144164.22768764308</v>
      </c>
      <c r="S73" s="281">
        <f ca="1">+'City Expansion'!H98</f>
        <v>0</v>
      </c>
      <c r="T73" s="281">
        <f ca="1">+'City Expansion'!I98</f>
        <v>0</v>
      </c>
      <c r="U73" s="315">
        <f t="shared" ca="1" si="15"/>
        <v>98743727.663411602</v>
      </c>
    </row>
    <row r="74" spans="1:21" ht="13.5" thickBot="1" x14ac:dyDescent="0.25">
      <c r="A74" s="308" t="s">
        <v>239</v>
      </c>
      <c r="B74" s="443">
        <f ca="1">+'Rate Class Energy Model'!H23+M74-'Rate Class Energy Model'!H98</f>
        <v>519267546.5319913</v>
      </c>
      <c r="C74" s="443">
        <f ca="1">+'Rate Class Energy Model'!I23+N74-'Rate Class Energy Model'!I98</f>
        <v>142875985.37385976</v>
      </c>
      <c r="D74" s="443">
        <f ca="1">+'Rate Class Energy Model'!J23+O74-'Rate Class Energy Model'!J98</f>
        <v>367631758.53428179</v>
      </c>
      <c r="E74" s="443">
        <f ca="1">+'Rate Class Energy Model'!K23+P74-'Rate Class Energy Model'!K98</f>
        <v>42402886.405189961</v>
      </c>
      <c r="F74" s="443">
        <f ca="1">+'Rate Class Energy Model'!L23+Q74-'Rate Class Energy Model'!L98</f>
        <v>90090497.322299674</v>
      </c>
      <c r="G74" s="443">
        <f>+LED!E48</f>
        <v>4500563.824822342</v>
      </c>
      <c r="H74" s="443">
        <f ca="1">+'Rate Class Energy Model'!N23+S74-'Rate Class Energy Model'!N98</f>
        <v>28856.100408357815</v>
      </c>
      <c r="I74" s="443">
        <f ca="1">+'Rate Class Energy Model'!O23+T74-'Rate Class Energy Model'!O98</f>
        <v>2590393.2731665666</v>
      </c>
      <c r="J74" s="437">
        <f t="shared" ca="1" si="16"/>
        <v>1169388487.36602</v>
      </c>
      <c r="L74" s="308" t="s">
        <v>239</v>
      </c>
      <c r="M74" s="294">
        <f ca="1">+'City Expansion'!B99</f>
        <v>42241202.927366234</v>
      </c>
      <c r="N74" s="294">
        <f ca="1">+'City Expansion'!C99</f>
        <v>16435874.520829463</v>
      </c>
      <c r="O74" s="294">
        <f ca="1">+'City Expansion'!D99</f>
        <v>52769009.554125056</v>
      </c>
      <c r="P74" s="294">
        <f ca="1">+'City Expansion'!E99</f>
        <v>0</v>
      </c>
      <c r="Q74" s="294">
        <f ca="1">+'City Expansion'!F99</f>
        <v>13238182.126614895</v>
      </c>
      <c r="R74" s="294">
        <f>+LED!C39</f>
        <v>146990.81325826055</v>
      </c>
      <c r="S74" s="294">
        <f ca="1">+'City Expansion'!H99</f>
        <v>0</v>
      </c>
      <c r="T74" s="294">
        <f ca="1">+'City Expansion'!I99</f>
        <v>0</v>
      </c>
      <c r="U74" s="316">
        <f t="shared" ca="1" si="15"/>
        <v>124831259.94219391</v>
      </c>
    </row>
    <row r="75" spans="1:21" x14ac:dyDescent="0.2">
      <c r="B75" s="479">
        <v>518224214.67578351</v>
      </c>
      <c r="C75" s="479">
        <v>142599440.90765992</v>
      </c>
      <c r="D75" s="479">
        <v>366943421.10315788</v>
      </c>
      <c r="E75" s="479">
        <v>42310838.43731001</v>
      </c>
      <c r="F75" s="479">
        <v>89922580.567019552</v>
      </c>
      <c r="G75" s="479">
        <v>5294732.7741390485</v>
      </c>
      <c r="H75" s="479">
        <v>28793.459733896463</v>
      </c>
      <c r="I75" s="479">
        <v>2584770.0607624291</v>
      </c>
      <c r="J75" s="479">
        <v>1167908791.9855664</v>
      </c>
    </row>
    <row r="76" spans="1:21" x14ac:dyDescent="0.2">
      <c r="A76" s="66" t="s">
        <v>255</v>
      </c>
    </row>
    <row r="77" spans="1:21" ht="13.5" thickBot="1" x14ac:dyDescent="0.25"/>
    <row r="78" spans="1:21" ht="24.75" thickBot="1" x14ac:dyDescent="0.25">
      <c r="A78" s="286" t="s">
        <v>117</v>
      </c>
      <c r="B78" s="279" t="s">
        <v>71</v>
      </c>
      <c r="C78" s="279" t="s">
        <v>242</v>
      </c>
      <c r="D78" s="279" t="s">
        <v>241</v>
      </c>
      <c r="E78" s="279" t="s">
        <v>74</v>
      </c>
      <c r="F78" s="279" t="s">
        <v>243</v>
      </c>
      <c r="G78" s="279" t="s">
        <v>244</v>
      </c>
      <c r="H78" s="279" t="s">
        <v>245</v>
      </c>
      <c r="I78" s="279" t="s">
        <v>76</v>
      </c>
      <c r="J78" s="280" t="s">
        <v>9</v>
      </c>
      <c r="L78" s="286" t="s">
        <v>117</v>
      </c>
      <c r="M78" s="279" t="s">
        <v>71</v>
      </c>
      <c r="N78" s="279" t="s">
        <v>242</v>
      </c>
      <c r="O78" s="279" t="s">
        <v>241</v>
      </c>
      <c r="P78" s="279" t="s">
        <v>74</v>
      </c>
      <c r="Q78" s="279" t="s">
        <v>243</v>
      </c>
      <c r="R78" s="279" t="s">
        <v>244</v>
      </c>
      <c r="S78" s="279" t="s">
        <v>245</v>
      </c>
      <c r="T78" s="279" t="s">
        <v>76</v>
      </c>
      <c r="U78" s="280" t="s">
        <v>9</v>
      </c>
    </row>
    <row r="79" spans="1:21" x14ac:dyDescent="0.2">
      <c r="A79" s="309" t="s">
        <v>267</v>
      </c>
      <c r="B79" s="310"/>
      <c r="C79" s="310"/>
      <c r="D79" s="310"/>
      <c r="E79" s="310"/>
      <c r="F79" s="310"/>
      <c r="G79" s="310"/>
      <c r="H79" s="310"/>
      <c r="I79" s="310"/>
      <c r="J79" s="311"/>
      <c r="L79" s="309" t="s">
        <v>267</v>
      </c>
      <c r="M79" s="310"/>
      <c r="N79" s="310"/>
      <c r="O79" s="310"/>
      <c r="P79" s="310"/>
      <c r="Q79" s="310"/>
      <c r="R79" s="310"/>
      <c r="S79" s="310"/>
      <c r="T79" s="310"/>
      <c r="U79" s="311"/>
    </row>
    <row r="80" spans="1:21" x14ac:dyDescent="0.2">
      <c r="A80" s="312" t="s">
        <v>119</v>
      </c>
      <c r="B80" s="284">
        <f>+B55/B30</f>
        <v>10312.478017907415</v>
      </c>
      <c r="C80" s="284">
        <f t="shared" ref="C80:J80" si="17">+C55/C30</f>
        <v>36436.199739921976</v>
      </c>
      <c r="D80" s="284">
        <f t="shared" si="17"/>
        <v>687468.15134099615</v>
      </c>
      <c r="E80" s="284">
        <f t="shared" si="17"/>
        <v>30069991</v>
      </c>
      <c r="F80" s="284">
        <f t="shared" si="17"/>
        <v>8995177.8888888881</v>
      </c>
      <c r="G80" s="284">
        <f t="shared" si="17"/>
        <v>864.62257510729614</v>
      </c>
      <c r="H80" s="284">
        <f t="shared" si="17"/>
        <v>530.03896103896102</v>
      </c>
      <c r="I80" s="284">
        <f t="shared" si="17"/>
        <v>12596.537704918033</v>
      </c>
      <c r="J80" s="291">
        <f t="shared" si="17"/>
        <v>17928.45828162066</v>
      </c>
      <c r="L80" s="312" t="s">
        <v>119</v>
      </c>
      <c r="M80" s="284"/>
      <c r="N80" s="284"/>
      <c r="O80" s="284"/>
      <c r="P80" s="284"/>
      <c r="Q80" s="284"/>
      <c r="R80" s="284"/>
      <c r="S80" s="284"/>
      <c r="T80" s="284"/>
      <c r="U80" s="291"/>
    </row>
    <row r="81" spans="1:21" x14ac:dyDescent="0.2">
      <c r="A81" s="312" t="s">
        <v>233</v>
      </c>
      <c r="B81" s="284">
        <f t="shared" ref="B81:J81" si="18">+B56/B31</f>
        <v>9944.9139784448562</v>
      </c>
      <c r="C81" s="284">
        <f t="shared" si="18"/>
        <v>33405.607674829589</v>
      </c>
      <c r="D81" s="284">
        <f t="shared" si="18"/>
        <v>693751.11969111965</v>
      </c>
      <c r="E81" s="284">
        <f t="shared" si="18"/>
        <v>33402763</v>
      </c>
      <c r="F81" s="284">
        <f t="shared" si="18"/>
        <v>7817530.5999999996</v>
      </c>
      <c r="G81" s="284">
        <f t="shared" si="18"/>
        <v>865.45077050694306</v>
      </c>
      <c r="H81" s="284">
        <f t="shared" si="18"/>
        <v>1728.868207968671</v>
      </c>
      <c r="I81" s="284">
        <f t="shared" si="18"/>
        <v>10248.202720726738</v>
      </c>
      <c r="J81" s="291">
        <f t="shared" si="18"/>
        <v>16501.989395957142</v>
      </c>
      <c r="L81" s="312" t="s">
        <v>233</v>
      </c>
      <c r="M81" s="284"/>
      <c r="N81" s="284"/>
      <c r="O81" s="284"/>
      <c r="P81" s="284"/>
      <c r="Q81" s="284"/>
      <c r="R81" s="284"/>
      <c r="S81" s="284"/>
      <c r="T81" s="284"/>
      <c r="U81" s="291"/>
    </row>
    <row r="82" spans="1:21" x14ac:dyDescent="0.2">
      <c r="A82" s="306"/>
      <c r="B82" s="283"/>
      <c r="C82" s="313"/>
      <c r="D82" s="313"/>
      <c r="E82" s="313"/>
      <c r="F82" s="313"/>
      <c r="G82" s="313"/>
      <c r="H82" s="313"/>
      <c r="I82" s="313"/>
      <c r="J82" s="314"/>
      <c r="L82" s="306"/>
      <c r="M82" s="283"/>
      <c r="N82" s="313"/>
      <c r="O82" s="313"/>
      <c r="P82" s="313"/>
      <c r="Q82" s="313"/>
      <c r="R82" s="313"/>
      <c r="S82" s="313"/>
      <c r="T82" s="313"/>
      <c r="U82" s="314"/>
    </row>
    <row r="83" spans="1:21" x14ac:dyDescent="0.2">
      <c r="A83" s="306">
        <v>2003</v>
      </c>
      <c r="B83" s="281">
        <f>+B58/B33</f>
        <v>10563.762370295133</v>
      </c>
      <c r="C83" s="281">
        <f t="shared" ref="C83:J83" si="19">+C58/C33</f>
        <v>32861.114936297097</v>
      </c>
      <c r="D83" s="281">
        <f t="shared" si="19"/>
        <v>503120.08139534883</v>
      </c>
      <c r="E83" s="281">
        <f t="shared" si="19"/>
        <v>67702885</v>
      </c>
      <c r="F83" s="281">
        <f t="shared" si="19"/>
        <v>19234418.199999999</v>
      </c>
      <c r="G83" s="281">
        <f t="shared" si="19"/>
        <v>831.07470921562776</v>
      </c>
      <c r="H83" s="281">
        <f t="shared" si="19"/>
        <v>1320.0289855072465</v>
      </c>
      <c r="I83" s="281">
        <f t="shared" si="19"/>
        <v>10000</v>
      </c>
      <c r="J83" s="315">
        <f t="shared" si="19"/>
        <v>19614.052803202179</v>
      </c>
      <c r="L83" s="306">
        <v>2003</v>
      </c>
      <c r="M83" s="281"/>
      <c r="N83" s="281"/>
      <c r="O83" s="281"/>
      <c r="P83" s="281"/>
      <c r="Q83" s="281"/>
      <c r="R83" s="281"/>
      <c r="S83" s="281"/>
      <c r="T83" s="281"/>
      <c r="U83" s="315"/>
    </row>
    <row r="84" spans="1:21" x14ac:dyDescent="0.2">
      <c r="A84" s="307">
        <v>2004</v>
      </c>
      <c r="B84" s="281">
        <f t="shared" ref="B84:J84" si="20">+B59/B34</f>
        <v>10189.721552086768</v>
      </c>
      <c r="C84" s="281">
        <f t="shared" si="20"/>
        <v>35846.819247208055</v>
      </c>
      <c r="D84" s="281">
        <f t="shared" si="20"/>
        <v>680437.69811320759</v>
      </c>
      <c r="E84" s="281">
        <f t="shared" si="20"/>
        <v>44857678.399999999</v>
      </c>
      <c r="F84" s="281">
        <f t="shared" si="20"/>
        <v>10946011.333333334</v>
      </c>
      <c r="G84" s="281">
        <f t="shared" si="20"/>
        <v>851.98782532385439</v>
      </c>
      <c r="H84" s="281">
        <f t="shared" si="20"/>
        <v>927.36666666666667</v>
      </c>
      <c r="I84" s="281">
        <f t="shared" si="20"/>
        <v>10000</v>
      </c>
      <c r="J84" s="315">
        <f t="shared" si="20"/>
        <v>19211.491696196583</v>
      </c>
      <c r="L84" s="307">
        <v>2004</v>
      </c>
      <c r="M84" s="281"/>
      <c r="N84" s="281"/>
      <c r="O84" s="281"/>
      <c r="P84" s="281"/>
      <c r="Q84" s="281"/>
      <c r="R84" s="281"/>
      <c r="S84" s="281"/>
      <c r="T84" s="281"/>
      <c r="U84" s="315"/>
    </row>
    <row r="85" spans="1:21" x14ac:dyDescent="0.2">
      <c r="A85" s="306">
        <v>2005</v>
      </c>
      <c r="B85" s="281">
        <f t="shared" ref="B85:J85" si="21">+B60/B35</f>
        <v>10896.364317185555</v>
      </c>
      <c r="C85" s="281">
        <f t="shared" si="21"/>
        <v>37113.333697433096</v>
      </c>
      <c r="D85" s="281">
        <f t="shared" si="21"/>
        <v>694079.90220517735</v>
      </c>
      <c r="E85" s="281">
        <f t="shared" si="21"/>
        <v>31452416.5</v>
      </c>
      <c r="F85" s="281">
        <f t="shared" si="21"/>
        <v>8935594.8000000007</v>
      </c>
      <c r="G85" s="281">
        <f t="shared" si="21"/>
        <v>874.69428966042767</v>
      </c>
      <c r="H85" s="281">
        <f t="shared" si="21"/>
        <v>1464.3050847457628</v>
      </c>
      <c r="I85" s="281">
        <f t="shared" si="21"/>
        <v>10000</v>
      </c>
      <c r="J85" s="315">
        <f t="shared" si="21"/>
        <v>18886.867624487331</v>
      </c>
      <c r="L85" s="306">
        <v>2005</v>
      </c>
      <c r="M85" s="281"/>
      <c r="N85" s="281"/>
      <c r="O85" s="281"/>
      <c r="P85" s="281"/>
      <c r="Q85" s="281"/>
      <c r="R85" s="281"/>
      <c r="S85" s="281"/>
      <c r="T85" s="281"/>
      <c r="U85" s="315"/>
    </row>
    <row r="86" spans="1:21" x14ac:dyDescent="0.2">
      <c r="A86" s="307">
        <v>2006</v>
      </c>
      <c r="B86" s="281">
        <f t="shared" ref="B86:J86" si="22">+B61/B36</f>
        <v>10264.340456436101</v>
      </c>
      <c r="C86" s="281">
        <f t="shared" si="22"/>
        <v>35865.731854030208</v>
      </c>
      <c r="D86" s="281">
        <f t="shared" si="22"/>
        <v>680164.939047619</v>
      </c>
      <c r="E86" s="281">
        <f t="shared" si="22"/>
        <v>29827223</v>
      </c>
      <c r="F86" s="281">
        <f t="shared" si="22"/>
        <v>9472795.7647058815</v>
      </c>
      <c r="G86" s="281">
        <f t="shared" si="22"/>
        <v>867.7430523497369</v>
      </c>
      <c r="H86" s="281">
        <f t="shared" si="22"/>
        <v>1494.5614035087719</v>
      </c>
      <c r="I86" s="281">
        <f t="shared" si="22"/>
        <v>12433.51677852349</v>
      </c>
      <c r="J86" s="315">
        <f t="shared" si="22"/>
        <v>18250.65911536408</v>
      </c>
      <c r="L86" s="307">
        <v>2006</v>
      </c>
      <c r="M86" s="281"/>
      <c r="N86" s="281"/>
      <c r="O86" s="281"/>
      <c r="P86" s="281"/>
      <c r="Q86" s="281"/>
      <c r="R86" s="281"/>
      <c r="S86" s="281"/>
      <c r="T86" s="281"/>
      <c r="U86" s="315"/>
    </row>
    <row r="87" spans="1:21" x14ac:dyDescent="0.2">
      <c r="A87" s="306">
        <v>2007</v>
      </c>
      <c r="B87" s="281">
        <f t="shared" ref="B87:J87" si="23">+B62/B37</f>
        <v>10212.071567357512</v>
      </c>
      <c r="C87" s="281">
        <f t="shared" si="23"/>
        <v>35301.681515070683</v>
      </c>
      <c r="D87" s="281">
        <f t="shared" si="23"/>
        <v>686701.18546845124</v>
      </c>
      <c r="E87" s="281">
        <f t="shared" si="23"/>
        <v>30905923</v>
      </c>
      <c r="F87" s="281">
        <f t="shared" si="23"/>
        <v>11541110.777777778</v>
      </c>
      <c r="G87" s="281">
        <f t="shared" si="23"/>
        <v>860.29174238730548</v>
      </c>
      <c r="H87" s="281">
        <f t="shared" si="23"/>
        <v>1562.566037735849</v>
      </c>
      <c r="I87" s="281">
        <f t="shared" si="23"/>
        <v>12687.259136212624</v>
      </c>
      <c r="J87" s="315">
        <f t="shared" si="23"/>
        <v>18385.181334490684</v>
      </c>
      <c r="L87" s="306">
        <v>2007</v>
      </c>
      <c r="M87" s="281"/>
      <c r="N87" s="281"/>
      <c r="O87" s="281"/>
      <c r="P87" s="281"/>
      <c r="Q87" s="281"/>
      <c r="R87" s="281"/>
      <c r="S87" s="281"/>
      <c r="T87" s="281"/>
      <c r="U87" s="315"/>
    </row>
    <row r="88" spans="1:21" x14ac:dyDescent="0.2">
      <c r="A88" s="307">
        <v>2008</v>
      </c>
      <c r="B88" s="281">
        <f t="shared" ref="B88:J88" si="24">+B63/B38</f>
        <v>10003.056919725866</v>
      </c>
      <c r="C88" s="281">
        <f t="shared" si="24"/>
        <v>34761.570317648606</v>
      </c>
      <c r="D88" s="281">
        <f t="shared" si="24"/>
        <v>660978.72539831302</v>
      </c>
      <c r="E88" s="281">
        <f t="shared" si="24"/>
        <v>18584408.399999999</v>
      </c>
      <c r="F88" s="281">
        <f t="shared" si="24"/>
        <v>11381474.666666666</v>
      </c>
      <c r="G88" s="281">
        <f t="shared" si="24"/>
        <v>836.88336273286586</v>
      </c>
      <c r="H88" s="281">
        <f t="shared" si="24"/>
        <v>1508.9615384615386</v>
      </c>
      <c r="I88" s="281">
        <f t="shared" si="24"/>
        <v>11205.558139534884</v>
      </c>
      <c r="J88" s="315">
        <f t="shared" si="24"/>
        <v>17637.699516137945</v>
      </c>
      <c r="L88" s="307">
        <v>2008</v>
      </c>
      <c r="M88" s="281"/>
      <c r="N88" s="281"/>
      <c r="O88" s="281"/>
      <c r="P88" s="281"/>
      <c r="Q88" s="281"/>
      <c r="R88" s="281"/>
      <c r="S88" s="281"/>
      <c r="T88" s="281"/>
      <c r="U88" s="315"/>
    </row>
    <row r="89" spans="1:21" x14ac:dyDescent="0.2">
      <c r="A89" s="306">
        <v>2009</v>
      </c>
      <c r="B89" s="281">
        <f t="shared" ref="B89:J89" si="25">+B64/B39</f>
        <v>9830.9504542828636</v>
      </c>
      <c r="C89" s="281">
        <f t="shared" si="25"/>
        <v>33169.97149889882</v>
      </c>
      <c r="D89" s="281">
        <f t="shared" si="25"/>
        <v>666255.81142857147</v>
      </c>
      <c r="E89" s="281">
        <f t="shared" si="25"/>
        <v>18290144.5</v>
      </c>
      <c r="F89" s="281">
        <f t="shared" si="25"/>
        <v>9182904.1052631587</v>
      </c>
      <c r="G89" s="281">
        <f t="shared" si="25"/>
        <v>864.56724006440129</v>
      </c>
      <c r="H89" s="281">
        <f t="shared" si="25"/>
        <v>1415.0769230769231</v>
      </c>
      <c r="I89" s="281">
        <f t="shared" si="25"/>
        <v>9340.3471074380159</v>
      </c>
      <c r="J89" s="315">
        <f t="shared" si="25"/>
        <v>16882.867203093814</v>
      </c>
      <c r="L89" s="306">
        <v>2009</v>
      </c>
      <c r="M89" s="281"/>
      <c r="N89" s="281"/>
      <c r="O89" s="281"/>
      <c r="P89" s="281"/>
      <c r="Q89" s="281"/>
      <c r="R89" s="281"/>
      <c r="S89" s="281"/>
      <c r="T89" s="281"/>
      <c r="U89" s="315"/>
    </row>
    <row r="90" spans="1:21" x14ac:dyDescent="0.2">
      <c r="A90" s="307">
        <v>2010</v>
      </c>
      <c r="B90" s="281">
        <f t="shared" ref="B90:J90" si="26">+B65/B40</f>
        <v>9912.6258196593535</v>
      </c>
      <c r="C90" s="281">
        <f t="shared" si="26"/>
        <v>33413.617459913461</v>
      </c>
      <c r="D90" s="281">
        <f t="shared" si="26"/>
        <v>693139.94926829264</v>
      </c>
      <c r="E90" s="281">
        <f t="shared" si="26"/>
        <v>33402763</v>
      </c>
      <c r="F90" s="281">
        <f t="shared" si="26"/>
        <v>8078314.0999999996</v>
      </c>
      <c r="G90" s="281">
        <f t="shared" si="26"/>
        <v>869.31799424784299</v>
      </c>
      <c r="H90" s="281">
        <f t="shared" si="26"/>
        <v>1432.48</v>
      </c>
      <c r="I90" s="281">
        <f t="shared" si="26"/>
        <v>9238.1761827079936</v>
      </c>
      <c r="J90" s="315">
        <f t="shared" si="26"/>
        <v>16811.083967701175</v>
      </c>
      <c r="L90" s="307">
        <v>2010</v>
      </c>
      <c r="M90" s="281"/>
      <c r="N90" s="281"/>
      <c r="O90" s="281"/>
      <c r="P90" s="281"/>
      <c r="Q90" s="281"/>
      <c r="R90" s="281"/>
      <c r="S90" s="281"/>
      <c r="T90" s="281"/>
      <c r="U90" s="315"/>
    </row>
    <row r="91" spans="1:21" x14ac:dyDescent="0.2">
      <c r="A91" s="307">
        <v>2011</v>
      </c>
      <c r="B91" s="281">
        <f t="shared" ref="B91:J91" si="27">+B66/B41</f>
        <v>9960.4736230871222</v>
      </c>
      <c r="C91" s="281">
        <f t="shared" si="27"/>
        <v>34896.715442972869</v>
      </c>
      <c r="D91" s="281">
        <f t="shared" si="27"/>
        <v>690748.07877041306</v>
      </c>
      <c r="E91" s="281">
        <f t="shared" si="27"/>
        <v>37740699</v>
      </c>
      <c r="F91" s="281">
        <f t="shared" si="27"/>
        <v>7990801.5999999996</v>
      </c>
      <c r="G91" s="281">
        <f t="shared" si="27"/>
        <v>845.43533292104723</v>
      </c>
      <c r="H91" s="281">
        <f t="shared" si="27"/>
        <v>1492.1666666666667</v>
      </c>
      <c r="I91" s="281">
        <f t="shared" si="27"/>
        <v>9153.8115702479336</v>
      </c>
      <c r="J91" s="315">
        <f t="shared" si="27"/>
        <v>16948.146830574824</v>
      </c>
      <c r="L91" s="307">
        <v>2011</v>
      </c>
      <c r="M91" s="281"/>
      <c r="N91" s="281"/>
      <c r="O91" s="281"/>
      <c r="P91" s="281"/>
      <c r="Q91" s="281"/>
      <c r="R91" s="281"/>
      <c r="S91" s="281"/>
      <c r="T91" s="281"/>
      <c r="U91" s="315"/>
    </row>
    <row r="92" spans="1:21" x14ac:dyDescent="0.2">
      <c r="A92" s="307">
        <v>2012</v>
      </c>
      <c r="B92" s="281">
        <f t="shared" ref="B92:J92" si="28">+B67/B42</f>
        <v>9654.8105505803633</v>
      </c>
      <c r="C92" s="281">
        <f t="shared" si="28"/>
        <v>34174.990520711595</v>
      </c>
      <c r="D92" s="281">
        <f t="shared" si="28"/>
        <v>661471.17693059624</v>
      </c>
      <c r="E92" s="281">
        <f t="shared" si="28"/>
        <v>40812737</v>
      </c>
      <c r="F92" s="281">
        <f t="shared" si="28"/>
        <v>7316965.4285714282</v>
      </c>
      <c r="G92" s="281">
        <f t="shared" si="28"/>
        <v>830.23892573487262</v>
      </c>
      <c r="H92" s="281">
        <f t="shared" si="28"/>
        <v>1492.1666666666667</v>
      </c>
      <c r="I92" s="281">
        <f t="shared" si="28"/>
        <v>9291.7123519458546</v>
      </c>
      <c r="J92" s="315">
        <f t="shared" si="28"/>
        <v>16287.46751710225</v>
      </c>
      <c r="L92" s="307">
        <v>2012</v>
      </c>
      <c r="M92" s="281"/>
      <c r="N92" s="281"/>
      <c r="O92" s="281"/>
      <c r="P92" s="281"/>
      <c r="Q92" s="281"/>
      <c r="R92" s="281"/>
      <c r="S92" s="281"/>
      <c r="T92" s="281"/>
      <c r="U92" s="315"/>
    </row>
    <row r="93" spans="1:21" x14ac:dyDescent="0.2">
      <c r="A93" s="307">
        <v>2013</v>
      </c>
      <c r="B93" s="281">
        <f t="shared" ref="B93:J94" si="29">+B68/B43</f>
        <v>9598.5630705226595</v>
      </c>
      <c r="C93" s="281">
        <f t="shared" si="29"/>
        <v>33905.014214368035</v>
      </c>
      <c r="D93" s="281">
        <f t="shared" si="29"/>
        <v>674247.33600000001</v>
      </c>
      <c r="E93" s="281">
        <f t="shared" si="29"/>
        <v>42326219</v>
      </c>
      <c r="F93" s="281">
        <f t="shared" si="29"/>
        <v>7197839.3636363633</v>
      </c>
      <c r="G93" s="281">
        <f t="shared" si="29"/>
        <v>736.45116561929865</v>
      </c>
      <c r="H93" s="281">
        <f t="shared" si="29"/>
        <v>1492.1666666666667</v>
      </c>
      <c r="I93" s="281">
        <f t="shared" si="29"/>
        <v>9330.2237288135602</v>
      </c>
      <c r="J93" s="315">
        <f t="shared" si="29"/>
        <v>16192.496831070528</v>
      </c>
      <c r="L93" s="307">
        <v>2013</v>
      </c>
      <c r="M93" s="281"/>
      <c r="N93" s="281"/>
      <c r="O93" s="281"/>
      <c r="P93" s="281"/>
      <c r="Q93" s="281"/>
      <c r="R93" s="281"/>
      <c r="S93" s="281"/>
      <c r="T93" s="281"/>
      <c r="U93" s="315"/>
    </row>
    <row r="94" spans="1:21" x14ac:dyDescent="0.2">
      <c r="A94" s="307" t="s">
        <v>318</v>
      </c>
      <c r="B94" s="281">
        <f t="shared" si="29"/>
        <v>9670.9029829191768</v>
      </c>
      <c r="C94" s="281">
        <f t="shared" si="29"/>
        <v>33834.049841872235</v>
      </c>
      <c r="D94" s="281">
        <f t="shared" si="29"/>
        <v>669464.90348258708</v>
      </c>
      <c r="E94" s="281">
        <f t="shared" si="29"/>
        <v>42700435</v>
      </c>
      <c r="F94" s="281">
        <f t="shared" si="29"/>
        <v>7400031.4545454541</v>
      </c>
      <c r="G94" s="281">
        <f t="shared" si="29"/>
        <v>734.55613943599826</v>
      </c>
      <c r="H94" s="281">
        <f t="shared" si="29"/>
        <v>1492.1666666666667</v>
      </c>
      <c r="I94" s="281">
        <f t="shared" si="29"/>
        <v>9175.0219966159057</v>
      </c>
      <c r="J94" s="315">
        <f t="shared" si="29"/>
        <v>16183.628573758218</v>
      </c>
      <c r="L94" s="307" t="s">
        <v>318</v>
      </c>
      <c r="M94" s="281">
        <v>0</v>
      </c>
      <c r="N94" s="281">
        <v>0</v>
      </c>
      <c r="O94" s="281">
        <v>0</v>
      </c>
      <c r="P94" s="281">
        <v>0</v>
      </c>
      <c r="Q94" s="281">
        <v>0</v>
      </c>
      <c r="R94" s="281">
        <v>0</v>
      </c>
      <c r="S94" s="281">
        <v>0</v>
      </c>
      <c r="T94" s="281">
        <v>0</v>
      </c>
      <c r="U94" s="315">
        <v>0</v>
      </c>
    </row>
    <row r="95" spans="1:21" x14ac:dyDescent="0.2">
      <c r="A95" s="307" t="s">
        <v>235</v>
      </c>
      <c r="B95" s="442">
        <f ca="1">'Rate Class Energy Model'!H73/'Rate Class Customer Model'!B15</f>
        <v>9705.4067873198055</v>
      </c>
      <c r="C95" s="442">
        <f ca="1">'Rate Class Energy Model'!I73/'Rate Class Customer Model'!C15</f>
        <v>33935.993342910391</v>
      </c>
      <c r="D95" s="442">
        <f ca="1">'Rate Class Energy Model'!J73/'Rate Class Customer Model'!D15</f>
        <v>673915.98267433897</v>
      </c>
      <c r="E95" s="442">
        <f ca="1">'Rate Class Energy Model'!K73/'Rate Class Customer Model'!E15</f>
        <v>43077959.531164952</v>
      </c>
      <c r="F95" s="442">
        <f ca="1">'Rate Class Energy Model'!L73/'Rate Class Customer Model'!F15</f>
        <v>7456500.3343447391</v>
      </c>
      <c r="G95" s="442">
        <f ca="1">'Rate Class Energy Model'!M73/'Rate Class Customer Model'!G15</f>
        <v>727.21057804163843</v>
      </c>
      <c r="H95" s="442">
        <f ca="1">'Rate Class Energy Model'!N73/'Rate Class Customer Model'!H15</f>
        <v>1492.1666666666667</v>
      </c>
      <c r="I95" s="442">
        <f ca="1">'Rate Class Energy Model'!O73/'Rate Class Customer Model'!I15</f>
        <v>9175.0219966159057</v>
      </c>
      <c r="J95" s="416">
        <f ca="1">'Rate Class Energy Model'!P73/'Rate Class Customer Model'!J15</f>
        <v>16147.784116596127</v>
      </c>
      <c r="L95" s="307" t="s">
        <v>235</v>
      </c>
      <c r="M95" s="281">
        <f t="shared" ref="M95:U95" ca="1" si="30">+M70/M45</f>
        <v>9705.4067873198055</v>
      </c>
      <c r="N95" s="281">
        <f t="shared" ca="1" si="30"/>
        <v>33935.993342910391</v>
      </c>
      <c r="O95" s="281">
        <f t="shared" ca="1" si="30"/>
        <v>673915.98267433897</v>
      </c>
      <c r="P95" s="281">
        <v>0</v>
      </c>
      <c r="Q95" s="281">
        <f t="shared" ca="1" si="30"/>
        <v>7456500.3343447391</v>
      </c>
      <c r="R95" s="281">
        <f t="shared" si="30"/>
        <v>1057.3024420202321</v>
      </c>
      <c r="S95" s="281">
        <v>0</v>
      </c>
      <c r="T95" s="281">
        <v>0</v>
      </c>
      <c r="U95" s="315">
        <f t="shared" ca="1" si="30"/>
        <v>22293.92480984328</v>
      </c>
    </row>
    <row r="96" spans="1:21" x14ac:dyDescent="0.2">
      <c r="A96" s="307" t="s">
        <v>236</v>
      </c>
      <c r="B96" s="442">
        <f ca="1">'Rate Class Energy Model'!H74/'Rate Class Customer Model'!B16</f>
        <v>9642.1682921885167</v>
      </c>
      <c r="C96" s="442">
        <f ca="1">'Rate Class Energy Model'!I74/'Rate Class Customer Model'!C16</f>
        <v>33696.236313206457</v>
      </c>
      <c r="D96" s="442">
        <f ca="1">'Rate Class Energy Model'!J74/'Rate Class Customer Model'!D16</f>
        <v>671992.97307150497</v>
      </c>
      <c r="E96" s="442">
        <f ca="1">'Rate Class Energy Model'!K74/'Rate Class Customer Model'!E16</f>
        <v>43458821.844992571</v>
      </c>
      <c r="F96" s="442">
        <f ca="1">'Rate Class Energy Model'!L74/'Rate Class Customer Model'!F16</f>
        <v>7448041.8284294456</v>
      </c>
      <c r="G96" s="442">
        <f ca="1">'Rate Class Energy Model'!M74/'Rate Class Customer Model'!G16</f>
        <v>719.93847226122182</v>
      </c>
      <c r="H96" s="442">
        <f ca="1">'Rate Class Energy Model'!N74/'Rate Class Customer Model'!H16</f>
        <v>1492.1666666666667</v>
      </c>
      <c r="I96" s="442">
        <f ca="1">'Rate Class Energy Model'!O74/'Rate Class Customer Model'!I16</f>
        <v>9175.0219966159057</v>
      </c>
      <c r="J96" s="416">
        <f ca="1">'Rate Class Energy Model'!P74/'Rate Class Customer Model'!J16</f>
        <v>15962.94221976786</v>
      </c>
      <c r="L96" s="307" t="s">
        <v>236</v>
      </c>
      <c r="M96" s="281">
        <f t="shared" ref="M96:U96" ca="1" si="31">+M71/M46</f>
        <v>9642.1682921885167</v>
      </c>
      <c r="N96" s="281">
        <f t="shared" ca="1" si="31"/>
        <v>33696.236313206457</v>
      </c>
      <c r="O96" s="281">
        <f t="shared" ca="1" si="31"/>
        <v>671992.97307150497</v>
      </c>
      <c r="P96" s="281">
        <v>0</v>
      </c>
      <c r="Q96" s="281">
        <f t="shared" ca="1" si="31"/>
        <v>7448041.8284294456</v>
      </c>
      <c r="R96" s="281">
        <f t="shared" si="31"/>
        <v>525.99246956131572</v>
      </c>
      <c r="S96" s="281">
        <v>0</v>
      </c>
      <c r="T96" s="281">
        <v>0</v>
      </c>
      <c r="U96" s="315">
        <f t="shared" ca="1" si="31"/>
        <v>22337.829490971726</v>
      </c>
    </row>
    <row r="97" spans="1:21" x14ac:dyDescent="0.2">
      <c r="A97" s="307" t="s">
        <v>237</v>
      </c>
      <c r="B97" s="442">
        <f ca="1">'Rate Class Energy Model'!H75/'Rate Class Customer Model'!B17</f>
        <v>9528.8230941477232</v>
      </c>
      <c r="C97" s="442">
        <f ca="1">'Rate Class Energy Model'!I75/'Rate Class Customer Model'!C17</f>
        <v>33281.72417468088</v>
      </c>
      <c r="D97" s="442">
        <f ca="1">'Rate Class Energy Model'!J75/'Rate Class Customer Model'!D17</f>
        <v>666756.42720141308</v>
      </c>
      <c r="E97" s="442">
        <f ca="1">'Rate Class Energy Model'!K75/'Rate Class Customer Model'!E17</f>
        <v>43843051.451599903</v>
      </c>
      <c r="F97" s="442">
        <f ca="1">'Rate Class Energy Model'!L75/'Rate Class Customer Model'!F17</f>
        <v>7405644.2451661201</v>
      </c>
      <c r="G97" s="442">
        <f ca="1">'Rate Class Energy Model'!M75/'Rate Class Customer Model'!G17</f>
        <v>712.73908753860974</v>
      </c>
      <c r="H97" s="442">
        <f ca="1">'Rate Class Energy Model'!N75/'Rate Class Customer Model'!H17</f>
        <v>1492.1666666666667</v>
      </c>
      <c r="I97" s="442">
        <f ca="1">'Rate Class Energy Model'!O75/'Rate Class Customer Model'!I17</f>
        <v>9175.0219966159057</v>
      </c>
      <c r="J97" s="416">
        <f ca="1">'Rate Class Energy Model'!P75/'Rate Class Customer Model'!J17</f>
        <v>15703.70437890175</v>
      </c>
      <c r="L97" s="307" t="s">
        <v>237</v>
      </c>
      <c r="M97" s="281">
        <f t="shared" ref="M97:U97" ca="1" si="32">+M72/M47</f>
        <v>9528.8230941477232</v>
      </c>
      <c r="N97" s="281">
        <f t="shared" ca="1" si="32"/>
        <v>33281.72417468088</v>
      </c>
      <c r="O97" s="281">
        <f t="shared" ca="1" si="32"/>
        <v>666756.42720141308</v>
      </c>
      <c r="P97" s="281">
        <v>0</v>
      </c>
      <c r="Q97" s="281">
        <f t="shared" ca="1" si="32"/>
        <v>7405644.2451661201</v>
      </c>
      <c r="R97" s="281">
        <f t="shared" si="32"/>
        <v>348.89446829217013</v>
      </c>
      <c r="S97" s="281">
        <v>0</v>
      </c>
      <c r="T97" s="281">
        <v>0</v>
      </c>
      <c r="U97" s="315">
        <f t="shared" ca="1" si="32"/>
        <v>21874.537657259018</v>
      </c>
    </row>
    <row r="98" spans="1:21" x14ac:dyDescent="0.2">
      <c r="A98" s="307" t="s">
        <v>238</v>
      </c>
      <c r="B98" s="442">
        <f ca="1">'Rate Class Energy Model'!H76/'Rate Class Customer Model'!B18</f>
        <v>9441.3814351708115</v>
      </c>
      <c r="C98" s="442">
        <f ca="1">'Rate Class Energy Model'!I76/'Rate Class Customer Model'!C18</f>
        <v>32958.084382925408</v>
      </c>
      <c r="D98" s="442">
        <f ca="1">'Rate Class Energy Model'!J76/'Rate Class Customer Model'!D18</f>
        <v>663182.48913724744</v>
      </c>
      <c r="E98" s="442">
        <f ca="1">'Rate Class Energy Model'!K76/'Rate Class Customer Model'!E18</f>
        <v>44230678.122009844</v>
      </c>
      <c r="F98" s="442">
        <f ca="1">'Rate Class Energy Model'!L76/'Rate Class Customer Model'!F18</f>
        <v>7380124.6106693959</v>
      </c>
      <c r="G98" s="442">
        <f ca="1">'Rate Class Energy Model'!M76/'Rate Class Customer Model'!G18</f>
        <v>705.61169666322348</v>
      </c>
      <c r="H98" s="442">
        <f ca="1">'Rate Class Energy Model'!N76/'Rate Class Customer Model'!H18</f>
        <v>1492.1666666666667</v>
      </c>
      <c r="I98" s="442">
        <f ca="1">'Rate Class Energy Model'!O76/'Rate Class Customer Model'!I18</f>
        <v>9175.0219966159057</v>
      </c>
      <c r="J98" s="416">
        <f ca="1">'Rate Class Energy Model'!P76/'Rate Class Customer Model'!J18</f>
        <v>15485.982332999865</v>
      </c>
      <c r="L98" s="307" t="s">
        <v>238</v>
      </c>
      <c r="M98" s="281">
        <f t="shared" ref="M98:U98" ca="1" si="33">+M73/M48</f>
        <v>9441.3814351708115</v>
      </c>
      <c r="N98" s="281">
        <f t="shared" ca="1" si="33"/>
        <v>32958.084382925408</v>
      </c>
      <c r="O98" s="281">
        <f t="shared" ca="1" si="33"/>
        <v>663182.48913724744</v>
      </c>
      <c r="P98" s="281">
        <v>0</v>
      </c>
      <c r="Q98" s="281">
        <f t="shared" ca="1" si="33"/>
        <v>7380124.6106693968</v>
      </c>
      <c r="R98" s="281">
        <f t="shared" si="33"/>
        <v>260.36522970497214</v>
      </c>
      <c r="S98" s="281">
        <v>0</v>
      </c>
      <c r="T98" s="281">
        <v>0</v>
      </c>
      <c r="U98" s="315">
        <f t="shared" ca="1" si="33"/>
        <v>21705.257438157871</v>
      </c>
    </row>
    <row r="99" spans="1:21" ht="13.5" thickBot="1" x14ac:dyDescent="0.25">
      <c r="A99" s="308" t="s">
        <v>239</v>
      </c>
      <c r="B99" s="443">
        <f ca="1">'Rate Class Energy Model'!H77/'Rate Class Customer Model'!B19</f>
        <v>9354.5050330778267</v>
      </c>
      <c r="C99" s="443">
        <f ca="1">'Rate Class Energy Model'!I77/'Rate Class Customer Model'!C19</f>
        <v>32636.764338422287</v>
      </c>
      <c r="D99" s="443">
        <f ca="1">'Rate Class Energy Model'!J77/'Rate Class Customer Model'!D19</f>
        <v>659612.61942656315</v>
      </c>
      <c r="E99" s="443">
        <f ca="1">'Rate Class Energy Model'!K77/'Rate Class Customer Model'!E19</f>
        <v>44621731.890457861</v>
      </c>
      <c r="F99" s="443">
        <f ca="1">'Rate Class Energy Model'!L77/'Rate Class Customer Model'!F19</f>
        <v>7354545.6258971635</v>
      </c>
      <c r="G99" s="443">
        <f ca="1">'Rate Class Energy Model'!M77/'Rate Class Customer Model'!G19</f>
        <v>698.55557969659139</v>
      </c>
      <c r="H99" s="443">
        <f ca="1">'Rate Class Energy Model'!N77/'Rate Class Customer Model'!H19</f>
        <v>1492.1666666666667</v>
      </c>
      <c r="I99" s="443">
        <f ca="1">'Rate Class Energy Model'!O77/'Rate Class Customer Model'!I19</f>
        <v>9175.0219966159057</v>
      </c>
      <c r="J99" s="422">
        <f ca="1">'Rate Class Energy Model'!P77/'Rate Class Customer Model'!J19</f>
        <v>15271.093866625313</v>
      </c>
      <c r="L99" s="308" t="s">
        <v>239</v>
      </c>
      <c r="M99" s="294">
        <f t="shared" ref="M99:U99" ca="1" si="34">+M74/M49</f>
        <v>9354.5050330778267</v>
      </c>
      <c r="N99" s="294">
        <f t="shared" ca="1" si="34"/>
        <v>32636.764338422287</v>
      </c>
      <c r="O99" s="294">
        <f t="shared" ca="1" si="34"/>
        <v>659612.61942656315</v>
      </c>
      <c r="P99" s="294">
        <v>0</v>
      </c>
      <c r="Q99" s="294">
        <f t="shared" ca="1" si="34"/>
        <v>7354545.6258971635</v>
      </c>
      <c r="R99" s="294">
        <f t="shared" si="34"/>
        <v>207.23362929403717</v>
      </c>
      <c r="S99" s="294">
        <v>0</v>
      </c>
      <c r="T99" s="294">
        <v>0</v>
      </c>
      <c r="U99" s="316">
        <f t="shared" ca="1" si="34"/>
        <v>21484.477555753383</v>
      </c>
    </row>
    <row r="101" spans="1:21" x14ac:dyDescent="0.2">
      <c r="A101" t="s">
        <v>256</v>
      </c>
    </row>
    <row r="102" spans="1:21" ht="13.5" thickBot="1" x14ac:dyDescent="0.25"/>
    <row r="103" spans="1:21" ht="24.75" thickBot="1" x14ac:dyDescent="0.25">
      <c r="A103" s="286" t="s">
        <v>117</v>
      </c>
      <c r="B103" s="279" t="s">
        <v>71</v>
      </c>
      <c r="C103" s="279" t="s">
        <v>242</v>
      </c>
      <c r="D103" s="279" t="s">
        <v>241</v>
      </c>
      <c r="E103" s="279" t="s">
        <v>74</v>
      </c>
      <c r="F103" s="279" t="s">
        <v>243</v>
      </c>
      <c r="G103" s="279" t="s">
        <v>244</v>
      </c>
      <c r="H103" s="279" t="s">
        <v>245</v>
      </c>
      <c r="I103" s="279" t="s">
        <v>76</v>
      </c>
      <c r="J103" s="280" t="s">
        <v>9</v>
      </c>
      <c r="L103" s="286" t="s">
        <v>117</v>
      </c>
      <c r="M103" s="279" t="s">
        <v>71</v>
      </c>
      <c r="N103" s="279" t="s">
        <v>242</v>
      </c>
      <c r="O103" s="279" t="s">
        <v>241</v>
      </c>
      <c r="P103" s="279" t="s">
        <v>74</v>
      </c>
      <c r="Q103" s="279" t="s">
        <v>243</v>
      </c>
      <c r="R103" s="279" t="s">
        <v>244</v>
      </c>
      <c r="S103" s="279" t="s">
        <v>245</v>
      </c>
      <c r="T103" s="279" t="s">
        <v>76</v>
      </c>
      <c r="U103" s="280" t="s">
        <v>9</v>
      </c>
    </row>
    <row r="104" spans="1:21" x14ac:dyDescent="0.2">
      <c r="A104" s="309" t="s">
        <v>247</v>
      </c>
      <c r="B104" s="310"/>
      <c r="C104" s="310"/>
      <c r="D104" s="310"/>
      <c r="E104" s="310"/>
      <c r="F104" s="310"/>
      <c r="G104" s="310"/>
      <c r="H104" s="310"/>
      <c r="I104" s="310"/>
      <c r="J104" s="311"/>
      <c r="L104" s="309" t="s">
        <v>324</v>
      </c>
      <c r="M104" s="310"/>
      <c r="N104" s="310"/>
      <c r="O104" s="310"/>
      <c r="P104" s="310"/>
      <c r="Q104" s="310"/>
      <c r="R104" s="310"/>
      <c r="S104" s="310"/>
      <c r="T104" s="310"/>
      <c r="U104" s="311"/>
    </row>
    <row r="105" spans="1:21" x14ac:dyDescent="0.2">
      <c r="A105" s="307"/>
      <c r="B105" s="282"/>
      <c r="C105" s="282"/>
      <c r="D105" s="282"/>
      <c r="E105" s="282"/>
      <c r="F105" s="282"/>
      <c r="G105" s="282"/>
      <c r="H105" s="282"/>
      <c r="I105" s="282"/>
      <c r="J105" s="293"/>
      <c r="L105" s="312" t="s">
        <v>119</v>
      </c>
      <c r="M105" s="284"/>
      <c r="N105" s="284"/>
      <c r="O105" s="284"/>
      <c r="P105" s="284"/>
      <c r="Q105" s="284"/>
      <c r="R105" s="284"/>
      <c r="S105" s="284"/>
      <c r="T105" s="284"/>
      <c r="U105" s="291"/>
    </row>
    <row r="106" spans="1:21" x14ac:dyDescent="0.2">
      <c r="A106" s="307">
        <v>2004</v>
      </c>
      <c r="B106" s="282">
        <f t="shared" ref="B106:B115" si="35">(+B84/B83)</f>
        <v>0.96459208328463042</v>
      </c>
      <c r="C106" s="282">
        <f t="shared" ref="C106:H107" si="36">(+C84/C83)</f>
        <v>1.0908582778368565</v>
      </c>
      <c r="D106" s="282">
        <f t="shared" si="36"/>
        <v>1.3524359755748323</v>
      </c>
      <c r="E106" s="282">
        <f t="shared" si="36"/>
        <v>0.66256671927643851</v>
      </c>
      <c r="F106" s="282">
        <f t="shared" si="36"/>
        <v>0.56908460757775015</v>
      </c>
      <c r="G106" s="282">
        <f t="shared" si="36"/>
        <v>1.0251639423944985</v>
      </c>
      <c r="H106" s="282">
        <f t="shared" si="36"/>
        <v>0.70253507828110928</v>
      </c>
      <c r="I106" s="282">
        <f>(+I84/I83)</f>
        <v>1</v>
      </c>
      <c r="J106" s="293">
        <f t="shared" ref="J106:J107" si="37">(+J84/J83)</f>
        <v>0.97947588338602443</v>
      </c>
      <c r="L106" s="312" t="s">
        <v>233</v>
      </c>
      <c r="M106" s="284"/>
      <c r="N106" s="284"/>
      <c r="O106" s="284"/>
      <c r="P106" s="284"/>
      <c r="Q106" s="284"/>
      <c r="R106" s="284"/>
      <c r="S106" s="284"/>
      <c r="T106" s="284"/>
      <c r="U106" s="291"/>
    </row>
    <row r="107" spans="1:21" x14ac:dyDescent="0.2">
      <c r="A107" s="306">
        <v>2005</v>
      </c>
      <c r="B107" s="282">
        <f t="shared" si="35"/>
        <v>1.0693485844030812</v>
      </c>
      <c r="C107" s="282">
        <f t="shared" si="36"/>
        <v>1.0353312923384042</v>
      </c>
      <c r="D107" s="282">
        <f t="shared" si="36"/>
        <v>1.0200491597243926</v>
      </c>
      <c r="E107" s="282">
        <f t="shared" si="36"/>
        <v>0.70116014965232798</v>
      </c>
      <c r="F107" s="282">
        <f t="shared" si="36"/>
        <v>0.81633341387002645</v>
      </c>
      <c r="G107" s="282">
        <f t="shared" si="36"/>
        <v>1.0266511605702138</v>
      </c>
      <c r="H107" s="282">
        <f t="shared" si="36"/>
        <v>1.5789925790723871</v>
      </c>
      <c r="I107" s="282">
        <f>(+I85/I84)</f>
        <v>1</v>
      </c>
      <c r="J107" s="293">
        <f t="shared" si="37"/>
        <v>0.98310260978987285</v>
      </c>
      <c r="L107" s="306"/>
      <c r="M107" s="283"/>
      <c r="N107" s="313"/>
      <c r="O107" s="313"/>
      <c r="P107" s="313"/>
      <c r="Q107" s="313"/>
      <c r="R107" s="313"/>
      <c r="S107" s="313"/>
      <c r="T107" s="313"/>
      <c r="U107" s="314"/>
    </row>
    <row r="108" spans="1:21" x14ac:dyDescent="0.2">
      <c r="A108" s="307">
        <v>2006</v>
      </c>
      <c r="B108" s="282">
        <f t="shared" si="35"/>
        <v>0.94199681266597912</v>
      </c>
      <c r="C108" s="282">
        <f t="shared" ref="C108:H108" si="38">(+C86/C85)</f>
        <v>0.96638399951958032</v>
      </c>
      <c r="D108" s="282">
        <f t="shared" si="38"/>
        <v>0.97995192900219585</v>
      </c>
      <c r="E108" s="282">
        <f t="shared" si="38"/>
        <v>0.94832850124568335</v>
      </c>
      <c r="F108" s="282">
        <f t="shared" si="38"/>
        <v>1.060119217212701</v>
      </c>
      <c r="G108" s="282">
        <f t="shared" si="38"/>
        <v>0.9920529522224395</v>
      </c>
      <c r="H108" s="282">
        <f t="shared" si="38"/>
        <v>1.0206625785010248</v>
      </c>
      <c r="I108" s="282">
        <f>(+I86/I85)</f>
        <v>1.243351677852349</v>
      </c>
      <c r="J108" s="293">
        <f>(+J86/J85)</f>
        <v>0.96631476845327224</v>
      </c>
      <c r="L108" s="306">
        <v>2003</v>
      </c>
      <c r="M108" s="281"/>
      <c r="N108" s="281"/>
      <c r="O108" s="281"/>
      <c r="P108" s="281"/>
      <c r="Q108" s="281"/>
      <c r="R108" s="281"/>
      <c r="S108" s="281"/>
      <c r="T108" s="281"/>
      <c r="U108" s="315"/>
    </row>
    <row r="109" spans="1:21" x14ac:dyDescent="0.2">
      <c r="A109" s="306">
        <v>2007</v>
      </c>
      <c r="B109" s="282">
        <f t="shared" si="35"/>
        <v>0.9949077206372462</v>
      </c>
      <c r="C109" s="282">
        <f t="shared" ref="C109:H109" si="39">(+C87/C86)</f>
        <v>0.98427327954005928</v>
      </c>
      <c r="D109" s="282">
        <f t="shared" si="39"/>
        <v>1.0096097961620669</v>
      </c>
      <c r="E109" s="282">
        <f t="shared" si="39"/>
        <v>1.0361649490467149</v>
      </c>
      <c r="F109" s="282">
        <f t="shared" si="39"/>
        <v>1.2183426165249025</v>
      </c>
      <c r="G109" s="282">
        <f t="shared" si="39"/>
        <v>0.99141299957141205</v>
      </c>
      <c r="H109" s="282">
        <f t="shared" si="39"/>
        <v>1.0455013986494117</v>
      </c>
      <c r="I109" s="282">
        <f>(+I87/I86)</f>
        <v>1.0204079314170731</v>
      </c>
      <c r="J109" s="293">
        <f>SUM(B87:H87)/SUM(B86:H86)</f>
        <v>1.0787684181022261</v>
      </c>
      <c r="L109" s="307">
        <v>2004</v>
      </c>
      <c r="M109" s="281"/>
      <c r="N109" s="281"/>
      <c r="O109" s="281"/>
      <c r="P109" s="281"/>
      <c r="Q109" s="281"/>
      <c r="R109" s="281"/>
      <c r="S109" s="281"/>
      <c r="T109" s="281"/>
      <c r="U109" s="315"/>
    </row>
    <row r="110" spans="1:21" x14ac:dyDescent="0.2">
      <c r="A110" s="307">
        <v>2008</v>
      </c>
      <c r="B110" s="282">
        <f t="shared" si="35"/>
        <v>0.97953259079188659</v>
      </c>
      <c r="C110" s="282">
        <f t="shared" ref="C110:I110" si="40">(+C88/C87)</f>
        <v>0.98470012831565834</v>
      </c>
      <c r="D110" s="282">
        <f t="shared" si="40"/>
        <v>0.96254198971188476</v>
      </c>
      <c r="E110" s="282">
        <f t="shared" si="40"/>
        <v>0.60132190195387458</v>
      </c>
      <c r="F110" s="282">
        <f t="shared" si="40"/>
        <v>0.98616804619720932</v>
      </c>
      <c r="G110" s="282">
        <f t="shared" si="40"/>
        <v>0.97279018442106457</v>
      </c>
      <c r="H110" s="282">
        <f t="shared" si="40"/>
        <v>0.96569457035429807</v>
      </c>
      <c r="I110" s="282">
        <f t="shared" si="40"/>
        <v>0.88321346787592647</v>
      </c>
      <c r="J110" s="293">
        <f t="shared" ref="J110" si="41">(+J88/J87)</f>
        <v>0.95934324471684929</v>
      </c>
      <c r="L110" s="306">
        <v>2005</v>
      </c>
      <c r="M110" s="281"/>
      <c r="N110" s="281"/>
      <c r="O110" s="281"/>
      <c r="P110" s="281"/>
      <c r="Q110" s="281"/>
      <c r="R110" s="281"/>
      <c r="S110" s="281"/>
      <c r="T110" s="281"/>
      <c r="U110" s="315"/>
    </row>
    <row r="111" spans="1:21" x14ac:dyDescent="0.2">
      <c r="A111" s="306">
        <v>2009</v>
      </c>
      <c r="B111" s="282">
        <f t="shared" si="35"/>
        <v>0.98279461300438953</v>
      </c>
      <c r="C111" s="282">
        <f t="shared" ref="C111:J111" si="42">(+C89/C88)</f>
        <v>0.95421384004790699</v>
      </c>
      <c r="D111" s="282">
        <f t="shared" si="42"/>
        <v>1.0079837456600111</v>
      </c>
      <c r="E111" s="282">
        <f t="shared" si="42"/>
        <v>0.98416608731004862</v>
      </c>
      <c r="F111" s="282">
        <f t="shared" si="42"/>
        <v>0.80682902472712614</v>
      </c>
      <c r="G111" s="282">
        <f t="shared" si="42"/>
        <v>1.0330797319726048</v>
      </c>
      <c r="H111" s="282">
        <f t="shared" si="42"/>
        <v>0.93778196926057145</v>
      </c>
      <c r="I111" s="282">
        <f t="shared" si="42"/>
        <v>0.83354590562373465</v>
      </c>
      <c r="J111" s="293">
        <f t="shared" si="42"/>
        <v>0.95720347132836214</v>
      </c>
      <c r="L111" s="307">
        <v>2006</v>
      </c>
      <c r="M111" s="281"/>
      <c r="N111" s="281"/>
      <c r="O111" s="281"/>
      <c r="P111" s="281"/>
      <c r="Q111" s="281"/>
      <c r="R111" s="281"/>
      <c r="S111" s="281"/>
      <c r="T111" s="281"/>
      <c r="U111" s="315"/>
    </row>
    <row r="112" spans="1:21" x14ac:dyDescent="0.2">
      <c r="A112" s="307">
        <v>2010</v>
      </c>
      <c r="B112" s="282">
        <f t="shared" si="35"/>
        <v>1.0083079826061891</v>
      </c>
      <c r="C112" s="282">
        <f t="shared" ref="C112:J112" si="43">(+C90/C89)</f>
        <v>1.0073453774605363</v>
      </c>
      <c r="D112" s="282">
        <f t="shared" si="43"/>
        <v>1.0403510744350233</v>
      </c>
      <c r="E112" s="282">
        <f t="shared" si="43"/>
        <v>1.8262711374423533</v>
      </c>
      <c r="F112" s="282">
        <f t="shared" si="43"/>
        <v>0.87971234452616509</v>
      </c>
      <c r="G112" s="282">
        <f t="shared" si="43"/>
        <v>1.0054949504946402</v>
      </c>
      <c r="H112" s="282">
        <f t="shared" si="43"/>
        <v>1.0122983257229832</v>
      </c>
      <c r="I112" s="282">
        <f t="shared" si="43"/>
        <v>0.98906133534923335</v>
      </c>
      <c r="J112" s="293">
        <f t="shared" si="43"/>
        <v>0.99574816087047791</v>
      </c>
      <c r="L112" s="306">
        <v>2007</v>
      </c>
      <c r="M112" s="281"/>
      <c r="N112" s="281"/>
      <c r="O112" s="281"/>
      <c r="P112" s="281"/>
      <c r="Q112" s="281"/>
      <c r="R112" s="281"/>
      <c r="S112" s="281"/>
      <c r="T112" s="281"/>
      <c r="U112" s="315"/>
    </row>
    <row r="113" spans="1:21" x14ac:dyDescent="0.2">
      <c r="A113" s="307">
        <v>2011</v>
      </c>
      <c r="B113" s="282">
        <f t="shared" si="35"/>
        <v>1.0048269554705549</v>
      </c>
      <c r="C113" s="282">
        <f t="shared" ref="C113:J113" si="44">(+C91/C90)</f>
        <v>1.0443860346710048</v>
      </c>
      <c r="D113" s="282">
        <f t="shared" si="44"/>
        <v>0.99654922429387527</v>
      </c>
      <c r="E113" s="282">
        <f t="shared" si="44"/>
        <v>1.129867580116052</v>
      </c>
      <c r="F113" s="282">
        <f t="shared" si="44"/>
        <v>0.98916698473014308</v>
      </c>
      <c r="G113" s="282">
        <f t="shared" si="44"/>
        <v>0.97252712875515746</v>
      </c>
      <c r="H113" s="282">
        <f t="shared" si="44"/>
        <v>1.0416666666666667</v>
      </c>
      <c r="I113" s="282">
        <f t="shared" si="44"/>
        <v>0.99086782815227392</v>
      </c>
      <c r="J113" s="293">
        <f t="shared" si="44"/>
        <v>1.0081531246371136</v>
      </c>
      <c r="L113" s="307">
        <v>2008</v>
      </c>
      <c r="M113" s="281"/>
      <c r="N113" s="281"/>
      <c r="O113" s="281"/>
      <c r="P113" s="281"/>
      <c r="Q113" s="281"/>
      <c r="R113" s="281"/>
      <c r="S113" s="281"/>
      <c r="T113" s="281"/>
      <c r="U113" s="315"/>
    </row>
    <row r="114" spans="1:21" x14ac:dyDescent="0.2">
      <c r="A114" s="307">
        <v>2012</v>
      </c>
      <c r="B114" s="282">
        <f t="shared" si="35"/>
        <v>0.96931239576818207</v>
      </c>
      <c r="C114" s="282">
        <f t="shared" ref="C114:J114" si="45">(+C92/C91)</f>
        <v>0.97931825637170078</v>
      </c>
      <c r="D114" s="282">
        <f t="shared" si="45"/>
        <v>0.95761565939939775</v>
      </c>
      <c r="E114" s="282">
        <f t="shared" si="45"/>
        <v>1.0813985453740536</v>
      </c>
      <c r="F114" s="282">
        <f t="shared" si="45"/>
        <v>0.91567351998470703</v>
      </c>
      <c r="G114" s="282">
        <f t="shared" si="45"/>
        <v>0.98202534647603412</v>
      </c>
      <c r="H114" s="282">
        <f t="shared" si="45"/>
        <v>1</v>
      </c>
      <c r="I114" s="282">
        <f t="shared" si="45"/>
        <v>1.0150648481935254</v>
      </c>
      <c r="J114" s="293">
        <f t="shared" si="45"/>
        <v>0.96101760740704145</v>
      </c>
      <c r="L114" s="306">
        <v>2009</v>
      </c>
      <c r="M114" s="281"/>
      <c r="N114" s="281"/>
      <c r="O114" s="281"/>
      <c r="P114" s="281"/>
      <c r="Q114" s="281"/>
      <c r="R114" s="281"/>
      <c r="S114" s="281"/>
      <c r="T114" s="281"/>
      <c r="U114" s="315"/>
    </row>
    <row r="115" spans="1:21" x14ac:dyDescent="0.2">
      <c r="A115" s="307">
        <v>2013</v>
      </c>
      <c r="B115" s="282">
        <f t="shared" si="35"/>
        <v>0.99417414979164742</v>
      </c>
      <c r="C115" s="282">
        <f t="shared" ref="C115:J116" si="46">(+C93/C92)</f>
        <v>0.99210017904233383</v>
      </c>
      <c r="D115" s="282">
        <f t="shared" si="46"/>
        <v>1.019314763084143</v>
      </c>
      <c r="E115" s="282">
        <f t="shared" si="46"/>
        <v>1.0370835702589611</v>
      </c>
      <c r="F115" s="282">
        <f t="shared" si="46"/>
        <v>0.98371919806127561</v>
      </c>
      <c r="G115" s="282">
        <f t="shared" si="46"/>
        <v>0.88703521696172072</v>
      </c>
      <c r="H115" s="282">
        <f t="shared" si="46"/>
        <v>1</v>
      </c>
      <c r="I115" s="282">
        <f t="shared" si="46"/>
        <v>1.0041447017954275</v>
      </c>
      <c r="J115" s="293">
        <f t="shared" si="46"/>
        <v>0.99416909437074852</v>
      </c>
      <c r="L115" s="307">
        <v>2010</v>
      </c>
      <c r="M115" s="281"/>
      <c r="N115" s="281"/>
      <c r="O115" s="281"/>
      <c r="P115" s="281"/>
      <c r="Q115" s="281"/>
      <c r="R115" s="281"/>
      <c r="S115" s="281"/>
      <c r="T115" s="281"/>
      <c r="U115" s="315"/>
    </row>
    <row r="116" spans="1:21" x14ac:dyDescent="0.2">
      <c r="A116" s="307" t="s">
        <v>318</v>
      </c>
      <c r="B116" s="282">
        <f>(+B94/B93)</f>
        <v>1.0075365356111139</v>
      </c>
      <c r="C116" s="282">
        <f t="shared" si="46"/>
        <v>0.99790696526339373</v>
      </c>
      <c r="D116" s="282">
        <f t="shared" si="46"/>
        <v>0.99290700569054535</v>
      </c>
      <c r="E116" s="282">
        <f t="shared" si="46"/>
        <v>1.0088412338460944</v>
      </c>
      <c r="F116" s="282">
        <f t="shared" si="46"/>
        <v>1.0280906645306047</v>
      </c>
      <c r="G116" s="282">
        <f t="shared" si="46"/>
        <v>0.99742681351898355</v>
      </c>
      <c r="H116" s="282">
        <f t="shared" si="46"/>
        <v>1</v>
      </c>
      <c r="I116" s="282">
        <f t="shared" si="46"/>
        <v>0.98336570089757214</v>
      </c>
      <c r="J116" s="293">
        <f t="shared" si="46"/>
        <v>0.99945232304783949</v>
      </c>
      <c r="L116" s="307">
        <v>2011</v>
      </c>
      <c r="M116" s="281"/>
      <c r="N116" s="281"/>
      <c r="O116" s="281"/>
      <c r="P116" s="281"/>
      <c r="Q116" s="281"/>
      <c r="R116" s="281"/>
      <c r="S116" s="281"/>
      <c r="T116" s="281"/>
      <c r="U116" s="315"/>
    </row>
    <row r="117" spans="1:21" x14ac:dyDescent="0.2">
      <c r="A117" s="317" t="s">
        <v>248</v>
      </c>
      <c r="B117" s="285">
        <f>GEOMEAN(B106:B116)</f>
        <v>0.99200415501983619</v>
      </c>
      <c r="C117" s="285">
        <f t="shared" ref="C117:J117" si="47">GEOMEAN(C106:C116)</f>
        <v>1.0026560342306392</v>
      </c>
      <c r="D117" s="285">
        <f t="shared" si="47"/>
        <v>1.0263082805383894</v>
      </c>
      <c r="E117" s="285">
        <f t="shared" si="47"/>
        <v>0.95896395615114416</v>
      </c>
      <c r="F117" s="285">
        <f t="shared" si="47"/>
        <v>0.91682568953368548</v>
      </c>
      <c r="G117" s="285">
        <f t="shared" si="47"/>
        <v>0.98883971876667598</v>
      </c>
      <c r="H117" s="285">
        <f t="shared" si="47"/>
        <v>1.0112055449611201</v>
      </c>
      <c r="I117" s="285">
        <f t="shared" si="47"/>
        <v>0.99220325339865656</v>
      </c>
      <c r="J117" s="318">
        <f t="shared" si="47"/>
        <v>0.98881125706720852</v>
      </c>
      <c r="L117" s="307">
        <v>2012</v>
      </c>
      <c r="M117" s="281"/>
      <c r="N117" s="281"/>
      <c r="O117" s="281"/>
      <c r="P117" s="281"/>
      <c r="Q117" s="281"/>
      <c r="R117" s="281"/>
      <c r="S117" s="281"/>
      <c r="T117" s="281"/>
      <c r="U117" s="315"/>
    </row>
    <row r="118" spans="1:21" x14ac:dyDescent="0.2">
      <c r="A118" s="307" t="s">
        <v>235</v>
      </c>
      <c r="B118" s="282">
        <f t="shared" ref="B118:J118" ca="1" si="48">(+B95/B94)</f>
        <v>1.0035677955265987</v>
      </c>
      <c r="C118" s="282">
        <f t="shared" ca="1" si="48"/>
        <v>1.0030130445960388</v>
      </c>
      <c r="D118" s="282">
        <f t="shared" ca="1" si="48"/>
        <v>1.0066487117824956</v>
      </c>
      <c r="E118" s="282">
        <f t="shared" ca="1" si="48"/>
        <v>1.0088412338460944</v>
      </c>
      <c r="F118" s="282">
        <f t="shared" ca="1" si="48"/>
        <v>1.0076308972666055</v>
      </c>
      <c r="G118" s="282">
        <f t="shared" ca="1" si="48"/>
        <v>0.99000000000000021</v>
      </c>
      <c r="H118" s="282">
        <f t="shared" ca="1" si="48"/>
        <v>1</v>
      </c>
      <c r="I118" s="282">
        <f t="shared" ca="1" si="48"/>
        <v>1</v>
      </c>
      <c r="J118" s="293">
        <f t="shared" ca="1" si="48"/>
        <v>0.99778514089107229</v>
      </c>
      <c r="L118" s="307">
        <v>2013</v>
      </c>
      <c r="M118" s="281"/>
      <c r="N118" s="281"/>
      <c r="O118" s="281"/>
      <c r="P118" s="281"/>
      <c r="Q118" s="281"/>
      <c r="R118" s="281"/>
      <c r="S118" s="281"/>
      <c r="T118" s="281"/>
      <c r="U118" s="315"/>
    </row>
    <row r="119" spans="1:21" x14ac:dyDescent="0.2">
      <c r="A119" s="307" t="s">
        <v>236</v>
      </c>
      <c r="B119" s="282">
        <f t="shared" ref="B119:J119" ca="1" si="49">(+B96/B95)</f>
        <v>0.99348419942439603</v>
      </c>
      <c r="C119" s="282">
        <f t="shared" ca="1" si="49"/>
        <v>0.99293502249127408</v>
      </c>
      <c r="D119" s="282">
        <f t="shared" ca="1" si="49"/>
        <v>0.99714651432482304</v>
      </c>
      <c r="E119" s="282">
        <f t="shared" ca="1" si="49"/>
        <v>1.0088412338460944</v>
      </c>
      <c r="F119" s="282">
        <f t="shared" ca="1" si="49"/>
        <v>0.99886561985703493</v>
      </c>
      <c r="G119" s="282">
        <f t="shared" ca="1" si="49"/>
        <v>0.98999999999999966</v>
      </c>
      <c r="H119" s="282">
        <f t="shared" ca="1" si="49"/>
        <v>1</v>
      </c>
      <c r="I119" s="282">
        <f t="shared" ca="1" si="49"/>
        <v>1</v>
      </c>
      <c r="J119" s="293">
        <f t="shared" ca="1" si="49"/>
        <v>0.98855311072444341</v>
      </c>
      <c r="L119" s="307" t="s">
        <v>234</v>
      </c>
      <c r="M119" s="281">
        <f>+M69*'Rate Class Energy Model'!$F$25</f>
        <v>0</v>
      </c>
      <c r="N119" s="281">
        <f>+N69*'Rate Class Energy Model'!$F$25</f>
        <v>0</v>
      </c>
      <c r="O119" s="281">
        <f>+O69*'Rate Class Energy Model'!$F$25</f>
        <v>0</v>
      </c>
      <c r="P119" s="281">
        <f>+P69*'Rate Class Energy Model'!$F$26</f>
        <v>0</v>
      </c>
      <c r="Q119" s="281">
        <f>+Q69*'Rate Class Energy Model'!$F$25</f>
        <v>0</v>
      </c>
      <c r="R119" s="281">
        <f>+R69*'Rate Class Energy Model'!$F$25</f>
        <v>0</v>
      </c>
      <c r="S119" s="281">
        <f>+S69*'Rate Class Energy Model'!$F$25</f>
        <v>0</v>
      </c>
      <c r="T119" s="281">
        <f>+T69*'Rate Class Energy Model'!$F$25</f>
        <v>0</v>
      </c>
      <c r="U119" s="315">
        <f t="shared" ref="U119:U124" si="50">SUM(M119:T119)</f>
        <v>0</v>
      </c>
    </row>
    <row r="120" spans="1:21" x14ac:dyDescent="0.2">
      <c r="A120" s="307" t="s">
        <v>237</v>
      </c>
      <c r="B120" s="282">
        <f t="shared" ref="B120:J120" ca="1" si="51">(+B97/B96)</f>
        <v>0.98824484342047636</v>
      </c>
      <c r="C120" s="282">
        <f t="shared" ca="1" si="51"/>
        <v>0.98769856269190759</v>
      </c>
      <c r="D120" s="282">
        <f t="shared" ca="1" si="51"/>
        <v>0.9922074395418794</v>
      </c>
      <c r="E120" s="282">
        <f t="shared" ca="1" si="51"/>
        <v>1.0088412338460944</v>
      </c>
      <c r="F120" s="282">
        <f t="shared" ca="1" si="51"/>
        <v>0.99430755301326423</v>
      </c>
      <c r="G120" s="282">
        <f t="shared" ca="1" si="51"/>
        <v>0.99000000000000021</v>
      </c>
      <c r="H120" s="282">
        <f t="shared" ca="1" si="51"/>
        <v>1</v>
      </c>
      <c r="I120" s="282">
        <f t="shared" ca="1" si="51"/>
        <v>1</v>
      </c>
      <c r="J120" s="293">
        <f t="shared" ca="1" si="51"/>
        <v>0.9837600213483777</v>
      </c>
      <c r="L120" s="307" t="s">
        <v>235</v>
      </c>
      <c r="M120" s="281">
        <f ca="1">+M70*'Rate Class Energy Model'!$F$25</f>
        <v>8431718.6981265694</v>
      </c>
      <c r="N120" s="281">
        <f ca="1">+N70*'Rate Class Energy Model'!$F$25</f>
        <v>3334340.9814355159</v>
      </c>
      <c r="O120" s="281">
        <f ca="1">+O70*'Rate Class Energy Model'!$F$25</f>
        <v>10670691.321427908</v>
      </c>
      <c r="P120" s="281">
        <f ca="1">+P70*'Rate Class Energy Model'!$F$26</f>
        <v>0</v>
      </c>
      <c r="Q120" s="281">
        <f ca="1">+Q70*'Rate Class Energy Model'!$F$25</f>
        <v>2345665.8751781681</v>
      </c>
      <c r="R120" s="281">
        <f>+R70*'Rate Class Energy Model'!$F$25</f>
        <v>142577.19201433059</v>
      </c>
      <c r="S120" s="281">
        <f ca="1">+S70*'Rate Class Energy Model'!$F$25</f>
        <v>0</v>
      </c>
      <c r="T120" s="281">
        <f ca="1">+T70*'Rate Class Energy Model'!$F$25</f>
        <v>0</v>
      </c>
      <c r="U120" s="315">
        <f t="shared" ca="1" si="50"/>
        <v>24924994.068182491</v>
      </c>
    </row>
    <row r="121" spans="1:21" x14ac:dyDescent="0.2">
      <c r="A121" s="307" t="s">
        <v>238</v>
      </c>
      <c r="B121" s="282">
        <f t="shared" ref="B121:J121" ca="1" si="52">(+B98/B97)</f>
        <v>0.99082345656824977</v>
      </c>
      <c r="C121" s="282">
        <f t="shared" ca="1" si="52"/>
        <v>0.99027575043718197</v>
      </c>
      <c r="D121" s="282">
        <f t="shared" ca="1" si="52"/>
        <v>0.99463981460341289</v>
      </c>
      <c r="E121" s="282">
        <f t="shared" ca="1" si="52"/>
        <v>1.0088412338460944</v>
      </c>
      <c r="F121" s="282">
        <f t="shared" ca="1" si="52"/>
        <v>0.99655402910916469</v>
      </c>
      <c r="G121" s="282">
        <f t="shared" ca="1" si="52"/>
        <v>0.98999999999999977</v>
      </c>
      <c r="H121" s="282">
        <f t="shared" ca="1" si="52"/>
        <v>1</v>
      </c>
      <c r="I121" s="282">
        <f t="shared" ca="1" si="52"/>
        <v>1</v>
      </c>
      <c r="J121" s="293">
        <f t="shared" ca="1" si="52"/>
        <v>0.98613562503160723</v>
      </c>
      <c r="L121" s="307" t="s">
        <v>236</v>
      </c>
      <c r="M121" s="281">
        <f ca="1">+M71*'Rate Class Energy Model'!$F$25</f>
        <v>17118557.675089888</v>
      </c>
      <c r="N121" s="281">
        <f ca="1">+N71*'Rate Class Energy Model'!$F$25</f>
        <v>6741703.0443437975</v>
      </c>
      <c r="O121" s="281">
        <f ca="1">+O71*'Rate Class Energy Model'!$F$25</f>
        <v>21562346.045821071</v>
      </c>
      <c r="P121" s="281">
        <f ca="1">+P71*'Rate Class Energy Model'!$F$26</f>
        <v>0</v>
      </c>
      <c r="Q121" s="281">
        <f ca="1">+Q71*'Rate Class Energy Model'!$F$25</f>
        <v>5467011.662903781</v>
      </c>
      <c r="R121" s="281">
        <f>+R71*'Rate Class Energy Model'!$F$25</f>
        <v>145390.08346421408</v>
      </c>
      <c r="S121" s="281">
        <f ca="1">+S71*'Rate Class Energy Model'!$F$25</f>
        <v>0</v>
      </c>
      <c r="T121" s="281">
        <f ca="1">+T71*'Rate Class Energy Model'!$F$25</f>
        <v>0</v>
      </c>
      <c r="U121" s="315">
        <f t="shared" ca="1" si="50"/>
        <v>51035008.511622749</v>
      </c>
    </row>
    <row r="122" spans="1:21" ht="13.5" thickBot="1" x14ac:dyDescent="0.25">
      <c r="A122" s="308" t="s">
        <v>239</v>
      </c>
      <c r="B122" s="295">
        <f t="shared" ref="B122:J122" ca="1" si="53">(+B99/B98)</f>
        <v>0.99079833786088178</v>
      </c>
      <c r="C122" s="295">
        <f t="shared" ca="1" si="53"/>
        <v>0.9902506456149015</v>
      </c>
      <c r="D122" s="295">
        <f t="shared" ca="1" si="53"/>
        <v>0.99461706277056794</v>
      </c>
      <c r="E122" s="295">
        <f t="shared" ca="1" si="53"/>
        <v>1.0088412338460944</v>
      </c>
      <c r="F122" s="295">
        <f t="shared" ca="1" si="53"/>
        <v>0.9965340714253994</v>
      </c>
      <c r="G122" s="295">
        <f t="shared" ca="1" si="53"/>
        <v>0.99000000000000021</v>
      </c>
      <c r="H122" s="295">
        <f t="shared" ca="1" si="53"/>
        <v>1</v>
      </c>
      <c r="I122" s="295">
        <f t="shared" ca="1" si="53"/>
        <v>1</v>
      </c>
      <c r="J122" s="296">
        <f t="shared" ca="1" si="53"/>
        <v>0.9861236787080252</v>
      </c>
      <c r="L122" s="307" t="s">
        <v>237</v>
      </c>
      <c r="M122" s="281">
        <f ca="1">+M72*'Rate Class Energy Model'!$F$25</f>
        <v>25929042.51147797</v>
      </c>
      <c r="N122" s="281">
        <f ca="1">+N72*'Rate Class Energy Model'!$F$25</f>
        <v>10169631.533532806</v>
      </c>
      <c r="O122" s="281">
        <f ca="1">+O72*'Rate Class Energy Model'!$F$25</f>
        <v>32580892.79365452</v>
      </c>
      <c r="P122" s="281">
        <f ca="1">+P72*'Rate Class Energy Model'!$F$26</f>
        <v>0</v>
      </c>
      <c r="Q122" s="281">
        <f ca="1">+Q72*'Rate Class Energy Model'!$F$25</f>
        <v>7765558.5554811936</v>
      </c>
      <c r="R122" s="281">
        <f>+R72*'Rate Class Energy Model'!$F$25</f>
        <v>148242.71962561391</v>
      </c>
      <c r="S122" s="281">
        <f ca="1">+S72*'Rate Class Energy Model'!$F$25</f>
        <v>0</v>
      </c>
      <c r="T122" s="281">
        <f ca="1">+T72*'Rate Class Energy Model'!$F$25</f>
        <v>0</v>
      </c>
      <c r="U122" s="315">
        <f t="shared" ca="1" si="50"/>
        <v>76593368.113772094</v>
      </c>
    </row>
    <row r="123" spans="1:21" x14ac:dyDescent="0.2">
      <c r="L123" s="307" t="s">
        <v>238</v>
      </c>
      <c r="M123" s="281">
        <f ca="1">+M73*'Rate Class Energy Model'!$F$25</f>
        <v>35001282.238301769</v>
      </c>
      <c r="N123" s="281">
        <f ca="1">+N73*'Rate Class Energy Model'!$F$25</f>
        <v>13675331.570253311</v>
      </c>
      <c r="O123" s="281">
        <f ca="1">+O73*'Rate Class Energy Model'!$F$25</f>
        <v>43880570.276697949</v>
      </c>
      <c r="P123" s="281">
        <f ca="1">+P73*'Rate Class Energy Model'!$F$26</f>
        <v>0</v>
      </c>
      <c r="Q123" s="281">
        <f ca="1">+Q73*'Rate Class Energy Model'!$F$25</f>
        <v>10834318.133447099</v>
      </c>
      <c r="R123" s="281">
        <f>+R73*'Rate Class Energy Model'!$F$25</f>
        <v>151170.60915326254</v>
      </c>
      <c r="S123" s="281">
        <f ca="1">+S73*'Rate Class Energy Model'!$F$25</f>
        <v>0</v>
      </c>
      <c r="T123" s="281">
        <f ca="1">+T73*'Rate Class Energy Model'!$F$25</f>
        <v>0</v>
      </c>
      <c r="U123" s="315">
        <f t="shared" ca="1" si="50"/>
        <v>103542672.82785338</v>
      </c>
    </row>
    <row r="124" spans="1:21" ht="13.5" thickBot="1" x14ac:dyDescent="0.25">
      <c r="L124" s="308" t="s">
        <v>239</v>
      </c>
      <c r="M124" s="294">
        <f ca="1">+M74*'Rate Class Energy Model'!$F$25</f>
        <v>44294125.389636233</v>
      </c>
      <c r="N124" s="294">
        <f ca="1">+N74*'Rate Class Energy Model'!$F$25</f>
        <v>17234658.022541776</v>
      </c>
      <c r="O124" s="294">
        <f ca="1">+O74*'Rate Class Energy Model'!$F$25</f>
        <v>55333583.418455534</v>
      </c>
      <c r="P124" s="294">
        <f ca="1">+P74*'Rate Class Energy Model'!$F$26</f>
        <v>0</v>
      </c>
      <c r="Q124" s="294">
        <f ca="1">+Q74*'Rate Class Energy Model'!$F$25</f>
        <v>13881557.777968379</v>
      </c>
      <c r="R124" s="294">
        <f>+R74*'Rate Class Energy Model'!$F$25</f>
        <v>154134.566782612</v>
      </c>
      <c r="S124" s="294">
        <f ca="1">+S74*'Rate Class Energy Model'!$F$25</f>
        <v>0</v>
      </c>
      <c r="T124" s="294">
        <f ca="1">+T74*'Rate Class Energy Model'!$F$25</f>
        <v>0</v>
      </c>
      <c r="U124" s="316">
        <f t="shared" ca="1" si="50"/>
        <v>130898059.17538454</v>
      </c>
    </row>
    <row r="125" spans="1:21" ht="13.5" thickBot="1" x14ac:dyDescent="0.25"/>
    <row r="126" spans="1:21" ht="24.75" thickBot="1" x14ac:dyDescent="0.25">
      <c r="A126" s="286" t="s">
        <v>117</v>
      </c>
      <c r="B126" s="279" t="s">
        <v>71</v>
      </c>
      <c r="C126" s="279" t="s">
        <v>242</v>
      </c>
      <c r="D126" s="279" t="s">
        <v>241</v>
      </c>
      <c r="E126" s="279" t="s">
        <v>74</v>
      </c>
      <c r="F126" s="279" t="s">
        <v>243</v>
      </c>
      <c r="G126" s="279" t="s">
        <v>244</v>
      </c>
      <c r="H126" s="279" t="s">
        <v>245</v>
      </c>
      <c r="I126" s="279" t="s">
        <v>76</v>
      </c>
      <c r="J126" s="280" t="s">
        <v>9</v>
      </c>
    </row>
    <row r="127" spans="1:21" x14ac:dyDescent="0.2">
      <c r="A127" s="309" t="s">
        <v>251</v>
      </c>
      <c r="B127" s="310"/>
      <c r="C127" s="310"/>
      <c r="D127" s="310"/>
      <c r="E127" s="310"/>
      <c r="F127" s="310"/>
      <c r="G127" s="310"/>
      <c r="H127" s="310"/>
      <c r="I127" s="310"/>
      <c r="J127" s="311"/>
    </row>
    <row r="128" spans="1:21" x14ac:dyDescent="0.2">
      <c r="A128" s="312" t="s">
        <v>119</v>
      </c>
      <c r="B128" s="284">
        <f t="shared" ref="B128:I129" si="54">+B30</f>
        <v>47243</v>
      </c>
      <c r="C128" s="284">
        <f t="shared" si="54"/>
        <v>3845</v>
      </c>
      <c r="D128" s="284">
        <f t="shared" si="54"/>
        <v>522</v>
      </c>
      <c r="E128" s="284">
        <f t="shared" si="54"/>
        <v>2</v>
      </c>
      <c r="F128" s="284">
        <f t="shared" si="54"/>
        <v>9</v>
      </c>
      <c r="G128" s="284">
        <f t="shared" si="54"/>
        <v>11650</v>
      </c>
      <c r="H128" s="284">
        <f t="shared" si="54"/>
        <v>77</v>
      </c>
      <c r="I128" s="284">
        <f t="shared" si="54"/>
        <v>305</v>
      </c>
      <c r="J128" s="291">
        <f>SUM(B128:I128)</f>
        <v>63653</v>
      </c>
    </row>
    <row r="129" spans="1:10" x14ac:dyDescent="0.2">
      <c r="A129" s="312" t="s">
        <v>233</v>
      </c>
      <c r="B129" s="284">
        <f t="shared" si="54"/>
        <v>49919.725406979574</v>
      </c>
      <c r="C129" s="284">
        <f t="shared" si="54"/>
        <v>3961</v>
      </c>
      <c r="D129" s="284">
        <f t="shared" si="54"/>
        <v>518</v>
      </c>
      <c r="E129" s="284">
        <f t="shared" si="54"/>
        <v>1</v>
      </c>
      <c r="F129" s="284">
        <f t="shared" si="54"/>
        <v>10</v>
      </c>
      <c r="G129" s="284">
        <f t="shared" si="54"/>
        <v>12761.899782618997</v>
      </c>
      <c r="H129" s="284">
        <f t="shared" si="54"/>
        <v>22.307657589073369</v>
      </c>
      <c r="I129" s="284">
        <f t="shared" si="54"/>
        <v>313.0793844964528</v>
      </c>
      <c r="J129" s="291">
        <f>SUM(B129:I129)</f>
        <v>67507.012231684101</v>
      </c>
    </row>
    <row r="130" spans="1:10" x14ac:dyDescent="0.2">
      <c r="A130" s="306"/>
      <c r="B130" s="283"/>
      <c r="C130" s="313"/>
      <c r="D130" s="313"/>
      <c r="E130" s="313"/>
      <c r="F130" s="313"/>
      <c r="G130" s="313"/>
      <c r="H130" s="313"/>
      <c r="I130" s="313"/>
      <c r="J130" s="314"/>
    </row>
    <row r="131" spans="1:10" x14ac:dyDescent="0.2">
      <c r="A131" s="306">
        <v>2003</v>
      </c>
      <c r="B131" s="281">
        <f t="shared" ref="B131:I142" si="55">+B33</f>
        <v>43319.5</v>
      </c>
      <c r="C131" s="281">
        <f t="shared" si="55"/>
        <v>3689</v>
      </c>
      <c r="D131" s="281">
        <f t="shared" si="55"/>
        <v>559</v>
      </c>
      <c r="E131" s="281">
        <f t="shared" si="55"/>
        <v>2.5</v>
      </c>
      <c r="F131" s="281">
        <f t="shared" si="55"/>
        <v>5</v>
      </c>
      <c r="G131" s="281">
        <f t="shared" si="55"/>
        <v>10059</v>
      </c>
      <c r="H131" s="281">
        <f t="shared" si="55"/>
        <v>34.5</v>
      </c>
      <c r="I131" s="281">
        <f t="shared" si="55"/>
        <v>292</v>
      </c>
      <c r="J131" s="315">
        <f>SUM(B131:I131)</f>
        <v>57960.5</v>
      </c>
    </row>
    <row r="132" spans="1:10" x14ac:dyDescent="0.2">
      <c r="A132" s="306">
        <v>2004</v>
      </c>
      <c r="B132" s="281">
        <f t="shared" si="55"/>
        <v>43979.5</v>
      </c>
      <c r="C132" s="281">
        <f t="shared" si="55"/>
        <v>3626.5</v>
      </c>
      <c r="D132" s="281">
        <f t="shared" si="55"/>
        <v>530</v>
      </c>
      <c r="E132" s="281">
        <f t="shared" si="55"/>
        <v>2.5</v>
      </c>
      <c r="F132" s="281">
        <f t="shared" si="55"/>
        <v>6</v>
      </c>
      <c r="G132" s="281">
        <f t="shared" si="55"/>
        <v>10262</v>
      </c>
      <c r="H132" s="281">
        <f t="shared" si="55"/>
        <v>30</v>
      </c>
      <c r="I132" s="281">
        <f t="shared" si="55"/>
        <v>294</v>
      </c>
      <c r="J132" s="315">
        <f t="shared" ref="J132:J141" si="56">SUM(B132:I132)</f>
        <v>58730.5</v>
      </c>
    </row>
    <row r="133" spans="1:10" x14ac:dyDescent="0.2">
      <c r="A133" s="306">
        <v>2005</v>
      </c>
      <c r="B133" s="281">
        <f t="shared" si="55"/>
        <v>44598.5</v>
      </c>
      <c r="C133" s="281">
        <f t="shared" si="55"/>
        <v>3662</v>
      </c>
      <c r="D133" s="281">
        <f t="shared" si="55"/>
        <v>521.5</v>
      </c>
      <c r="E133" s="281">
        <f t="shared" si="55"/>
        <v>2</v>
      </c>
      <c r="F133" s="281">
        <f t="shared" si="55"/>
        <v>7.5</v>
      </c>
      <c r="G133" s="281">
        <f t="shared" si="55"/>
        <v>10498.5</v>
      </c>
      <c r="H133" s="281">
        <f t="shared" si="55"/>
        <v>29.5</v>
      </c>
      <c r="I133" s="281">
        <f t="shared" si="55"/>
        <v>295</v>
      </c>
      <c r="J133" s="315">
        <f t="shared" si="56"/>
        <v>59614.5</v>
      </c>
    </row>
    <row r="134" spans="1:10" x14ac:dyDescent="0.2">
      <c r="A134" s="307">
        <v>2006</v>
      </c>
      <c r="B134" s="281">
        <f t="shared" si="55"/>
        <v>45439</v>
      </c>
      <c r="C134" s="281">
        <f t="shared" si="55"/>
        <v>3740.5</v>
      </c>
      <c r="D134" s="281">
        <f t="shared" si="55"/>
        <v>525</v>
      </c>
      <c r="E134" s="281">
        <f t="shared" si="55"/>
        <v>2</v>
      </c>
      <c r="F134" s="281">
        <f t="shared" si="55"/>
        <v>8.5</v>
      </c>
      <c r="G134" s="281">
        <f t="shared" si="55"/>
        <v>10831</v>
      </c>
      <c r="H134" s="281">
        <f t="shared" si="55"/>
        <v>28.5</v>
      </c>
      <c r="I134" s="281">
        <f t="shared" si="55"/>
        <v>298</v>
      </c>
      <c r="J134" s="315">
        <f t="shared" si="56"/>
        <v>60872.5</v>
      </c>
    </row>
    <row r="135" spans="1:10" x14ac:dyDescent="0.2">
      <c r="A135" s="306">
        <v>2007</v>
      </c>
      <c r="B135" s="281">
        <f t="shared" si="55"/>
        <v>46320</v>
      </c>
      <c r="C135" s="281">
        <f t="shared" si="55"/>
        <v>3749</v>
      </c>
      <c r="D135" s="281">
        <f t="shared" si="55"/>
        <v>523</v>
      </c>
      <c r="E135" s="281">
        <f t="shared" si="55"/>
        <v>2</v>
      </c>
      <c r="F135" s="281">
        <f t="shared" si="55"/>
        <v>9</v>
      </c>
      <c r="G135" s="281">
        <f t="shared" si="55"/>
        <v>11280.5</v>
      </c>
      <c r="H135" s="281">
        <f t="shared" si="55"/>
        <v>26.5</v>
      </c>
      <c r="I135" s="281">
        <f t="shared" si="55"/>
        <v>301</v>
      </c>
      <c r="J135" s="315">
        <f t="shared" si="56"/>
        <v>62211</v>
      </c>
    </row>
    <row r="136" spans="1:10" x14ac:dyDescent="0.2">
      <c r="A136" s="307">
        <v>2008</v>
      </c>
      <c r="B136" s="281">
        <f t="shared" si="55"/>
        <v>47057.5</v>
      </c>
      <c r="C136" s="281">
        <f t="shared" si="55"/>
        <v>3793.5</v>
      </c>
      <c r="D136" s="281">
        <f t="shared" si="55"/>
        <v>533.5</v>
      </c>
      <c r="E136" s="281">
        <f t="shared" si="55"/>
        <v>2.5</v>
      </c>
      <c r="F136" s="281">
        <f t="shared" si="55"/>
        <v>9</v>
      </c>
      <c r="G136" s="281">
        <f t="shared" si="55"/>
        <v>11621.5</v>
      </c>
      <c r="H136" s="281">
        <f t="shared" si="55"/>
        <v>26</v>
      </c>
      <c r="I136" s="281">
        <f t="shared" si="55"/>
        <v>301</v>
      </c>
      <c r="J136" s="315">
        <f t="shared" si="56"/>
        <v>63344.5</v>
      </c>
    </row>
    <row r="137" spans="1:10" x14ac:dyDescent="0.2">
      <c r="A137" s="306">
        <v>2009</v>
      </c>
      <c r="B137" s="281">
        <f t="shared" si="55"/>
        <v>47602.5</v>
      </c>
      <c r="C137" s="281">
        <f t="shared" si="55"/>
        <v>3859.5</v>
      </c>
      <c r="D137" s="281">
        <f t="shared" si="55"/>
        <v>525</v>
      </c>
      <c r="E137" s="281">
        <f t="shared" si="55"/>
        <v>2</v>
      </c>
      <c r="F137" s="281">
        <f t="shared" si="55"/>
        <v>9.5</v>
      </c>
      <c r="G137" s="281">
        <f t="shared" si="55"/>
        <v>11801</v>
      </c>
      <c r="H137" s="281">
        <f t="shared" si="55"/>
        <v>26</v>
      </c>
      <c r="I137" s="281">
        <f t="shared" si="55"/>
        <v>302.5</v>
      </c>
      <c r="J137" s="315">
        <f t="shared" si="56"/>
        <v>64128</v>
      </c>
    </row>
    <row r="138" spans="1:10" x14ac:dyDescent="0.2">
      <c r="A138" s="307">
        <v>2010</v>
      </c>
      <c r="B138" s="281">
        <f t="shared" si="55"/>
        <v>48114.5</v>
      </c>
      <c r="C138" s="281">
        <f t="shared" si="55"/>
        <v>3929</v>
      </c>
      <c r="D138" s="281">
        <f t="shared" si="55"/>
        <v>512.5</v>
      </c>
      <c r="E138" s="281">
        <f t="shared" si="55"/>
        <v>1</v>
      </c>
      <c r="F138" s="281">
        <f t="shared" si="55"/>
        <v>10</v>
      </c>
      <c r="G138" s="281">
        <f t="shared" si="55"/>
        <v>11995.5</v>
      </c>
      <c r="H138" s="281">
        <f t="shared" si="55"/>
        <v>25</v>
      </c>
      <c r="I138" s="281">
        <f t="shared" si="55"/>
        <v>306.5</v>
      </c>
      <c r="J138" s="315">
        <f t="shared" si="56"/>
        <v>64894</v>
      </c>
    </row>
    <row r="139" spans="1:10" x14ac:dyDescent="0.2">
      <c r="A139" s="307">
        <v>2011</v>
      </c>
      <c r="B139" s="281">
        <f t="shared" si="55"/>
        <v>48650.5</v>
      </c>
      <c r="C139" s="281">
        <f t="shared" si="55"/>
        <v>3888.5</v>
      </c>
      <c r="D139" s="281">
        <f t="shared" si="55"/>
        <v>520.5</v>
      </c>
      <c r="E139" s="281">
        <f t="shared" si="55"/>
        <v>1</v>
      </c>
      <c r="F139" s="281">
        <f t="shared" si="55"/>
        <v>10</v>
      </c>
      <c r="G139" s="281">
        <f t="shared" si="55"/>
        <v>12127.5</v>
      </c>
      <c r="H139" s="281">
        <f t="shared" si="55"/>
        <v>24</v>
      </c>
      <c r="I139" s="281">
        <f t="shared" si="55"/>
        <v>302.5</v>
      </c>
      <c r="J139" s="315">
        <f t="shared" si="56"/>
        <v>65524.5</v>
      </c>
    </row>
    <row r="140" spans="1:10" x14ac:dyDescent="0.2">
      <c r="A140" s="307">
        <v>2012</v>
      </c>
      <c r="B140" s="281">
        <f t="shared" si="55"/>
        <v>49021</v>
      </c>
      <c r="C140" s="281">
        <f t="shared" si="55"/>
        <v>3850.5</v>
      </c>
      <c r="D140" s="281">
        <f t="shared" si="55"/>
        <v>511.5</v>
      </c>
      <c r="E140" s="281">
        <f t="shared" si="55"/>
        <v>1</v>
      </c>
      <c r="F140" s="281">
        <f t="shared" si="55"/>
        <v>10.5</v>
      </c>
      <c r="G140" s="281">
        <f t="shared" si="55"/>
        <v>12213</v>
      </c>
      <c r="H140" s="281">
        <f t="shared" si="55"/>
        <v>24</v>
      </c>
      <c r="I140" s="281">
        <f t="shared" si="55"/>
        <v>295.5</v>
      </c>
      <c r="J140" s="315">
        <f t="shared" si="56"/>
        <v>65927</v>
      </c>
    </row>
    <row r="141" spans="1:10" x14ac:dyDescent="0.2">
      <c r="A141" s="465">
        <v>2013</v>
      </c>
      <c r="B141" s="321">
        <f t="shared" si="55"/>
        <v>49516</v>
      </c>
      <c r="C141" s="321">
        <f t="shared" si="55"/>
        <v>3904.5</v>
      </c>
      <c r="D141" s="321">
        <f t="shared" si="55"/>
        <v>500</v>
      </c>
      <c r="E141" s="321">
        <f t="shared" si="55"/>
        <v>1</v>
      </c>
      <c r="F141" s="321">
        <f t="shared" si="55"/>
        <v>11</v>
      </c>
      <c r="G141" s="321">
        <f t="shared" si="55"/>
        <v>12332.5</v>
      </c>
      <c r="H141" s="321">
        <f t="shared" si="55"/>
        <v>24</v>
      </c>
      <c r="I141" s="321">
        <f t="shared" si="55"/>
        <v>295</v>
      </c>
      <c r="J141" s="322">
        <f t="shared" si="56"/>
        <v>66584</v>
      </c>
    </row>
    <row r="142" spans="1:10" ht="13.5" thickBot="1" x14ac:dyDescent="0.25">
      <c r="A142" s="308" t="s">
        <v>318</v>
      </c>
      <c r="B142" s="294">
        <f t="shared" si="55"/>
        <v>50202.5</v>
      </c>
      <c r="C142" s="294">
        <f t="shared" si="55"/>
        <v>3952.5</v>
      </c>
      <c r="D142" s="294">
        <f t="shared" si="55"/>
        <v>502.5</v>
      </c>
      <c r="E142" s="294">
        <f t="shared" si="55"/>
        <v>1</v>
      </c>
      <c r="F142" s="294">
        <f t="shared" si="55"/>
        <v>11</v>
      </c>
      <c r="G142" s="294">
        <f t="shared" si="55"/>
        <v>12464.5</v>
      </c>
      <c r="H142" s="294">
        <f t="shared" si="55"/>
        <v>24</v>
      </c>
      <c r="I142" s="294">
        <f t="shared" si="55"/>
        <v>295.5</v>
      </c>
      <c r="J142" s="316">
        <f t="shared" ref="J142" si="57">SUM(B142:I142)</f>
        <v>67453.5</v>
      </c>
    </row>
    <row r="144" spans="1:10" ht="13.5" thickBot="1" x14ac:dyDescent="0.25"/>
    <row r="145" spans="1:10" ht="24.75" thickBot="1" x14ac:dyDescent="0.25">
      <c r="A145" s="286" t="s">
        <v>117</v>
      </c>
      <c r="B145" s="279" t="s">
        <v>71</v>
      </c>
      <c r="C145" s="279" t="s">
        <v>242</v>
      </c>
      <c r="D145" s="279" t="s">
        <v>241</v>
      </c>
      <c r="E145" s="279" t="s">
        <v>74</v>
      </c>
      <c r="F145" s="279" t="s">
        <v>243</v>
      </c>
      <c r="G145" s="279" t="s">
        <v>244</v>
      </c>
      <c r="H145" s="279" t="s">
        <v>245</v>
      </c>
      <c r="I145" s="279" t="s">
        <v>76</v>
      </c>
      <c r="J145" s="280" t="s">
        <v>9</v>
      </c>
    </row>
    <row r="146" spans="1:10" x14ac:dyDescent="0.2">
      <c r="A146" s="309" t="s">
        <v>247</v>
      </c>
      <c r="B146" s="310"/>
      <c r="C146" s="310"/>
      <c r="D146" s="310"/>
      <c r="E146" s="310"/>
      <c r="F146" s="310"/>
      <c r="G146" s="310"/>
      <c r="H146" s="310"/>
      <c r="I146" s="310"/>
      <c r="J146" s="311"/>
    </row>
    <row r="147" spans="1:10" x14ac:dyDescent="0.2">
      <c r="A147" s="306"/>
      <c r="B147" s="282"/>
      <c r="C147" s="282"/>
      <c r="D147" s="282"/>
      <c r="E147" s="282"/>
      <c r="F147" s="282"/>
      <c r="G147" s="282"/>
      <c r="H147" s="282"/>
      <c r="I147" s="282"/>
      <c r="J147" s="293"/>
    </row>
    <row r="148" spans="1:10" x14ac:dyDescent="0.2">
      <c r="A148" s="306">
        <v>2004</v>
      </c>
      <c r="B148" s="282">
        <f t="shared" ref="B148:B156" si="58">+B132/B131</f>
        <v>1.0152356329135839</v>
      </c>
      <c r="C148" s="282">
        <f t="shared" ref="C148:J156" si="59">+C132/C131</f>
        <v>0.98305773922472217</v>
      </c>
      <c r="D148" s="282">
        <f t="shared" si="59"/>
        <v>0.94812164579606439</v>
      </c>
      <c r="E148" s="282">
        <f t="shared" si="59"/>
        <v>1</v>
      </c>
      <c r="F148" s="282">
        <f t="shared" si="59"/>
        <v>1.2</v>
      </c>
      <c r="G148" s="282">
        <f t="shared" si="59"/>
        <v>1.0201809324982603</v>
      </c>
      <c r="H148" s="282">
        <f t="shared" si="59"/>
        <v>0.86956521739130432</v>
      </c>
      <c r="I148" s="282">
        <f t="shared" si="59"/>
        <v>1.0068493150684932</v>
      </c>
      <c r="J148" s="293">
        <f t="shared" si="59"/>
        <v>1.0132849095504697</v>
      </c>
    </row>
    <row r="149" spans="1:10" x14ac:dyDescent="0.2">
      <c r="A149" s="307">
        <v>2005</v>
      </c>
      <c r="B149" s="282">
        <f t="shared" si="58"/>
        <v>1.0140747393672052</v>
      </c>
      <c r="C149" s="282">
        <f t="shared" si="59"/>
        <v>1.0097890528057356</v>
      </c>
      <c r="D149" s="282">
        <f t="shared" si="59"/>
        <v>0.98396226415094334</v>
      </c>
      <c r="E149" s="282">
        <f t="shared" si="59"/>
        <v>0.8</v>
      </c>
      <c r="F149" s="282">
        <f t="shared" si="59"/>
        <v>1.25</v>
      </c>
      <c r="G149" s="282">
        <f t="shared" si="59"/>
        <v>1.0230461898265446</v>
      </c>
      <c r="H149" s="282">
        <f t="shared" si="59"/>
        <v>0.98333333333333328</v>
      </c>
      <c r="I149" s="282">
        <f t="shared" si="59"/>
        <v>1.0034013605442176</v>
      </c>
      <c r="J149" s="293">
        <f t="shared" si="59"/>
        <v>1.015051804428704</v>
      </c>
    </row>
    <row r="150" spans="1:10" x14ac:dyDescent="0.2">
      <c r="A150" s="307">
        <v>2006</v>
      </c>
      <c r="B150" s="282">
        <f t="shared" si="58"/>
        <v>1.0188459253113893</v>
      </c>
      <c r="C150" s="282">
        <f t="shared" si="59"/>
        <v>1.0214363735663572</v>
      </c>
      <c r="D150" s="282">
        <f t="shared" si="59"/>
        <v>1.0067114093959733</v>
      </c>
      <c r="E150" s="282">
        <f t="shared" si="59"/>
        <v>1</v>
      </c>
      <c r="F150" s="282">
        <f t="shared" si="59"/>
        <v>1.1333333333333333</v>
      </c>
      <c r="G150" s="282">
        <f t="shared" si="59"/>
        <v>1.0316711911225414</v>
      </c>
      <c r="H150" s="282">
        <f t="shared" si="59"/>
        <v>0.96610169491525422</v>
      </c>
      <c r="I150" s="282">
        <f t="shared" si="59"/>
        <v>1.0101694915254238</v>
      </c>
      <c r="J150" s="293">
        <f t="shared" si="59"/>
        <v>1.0211022486140118</v>
      </c>
    </row>
    <row r="151" spans="1:10" x14ac:dyDescent="0.2">
      <c r="A151" s="306">
        <v>2007</v>
      </c>
      <c r="B151" s="282">
        <f t="shared" si="58"/>
        <v>1.0193886309117719</v>
      </c>
      <c r="C151" s="282">
        <f t="shared" si="59"/>
        <v>1.0022724234727978</v>
      </c>
      <c r="D151" s="282">
        <f t="shared" si="59"/>
        <v>0.99619047619047618</v>
      </c>
      <c r="E151" s="282">
        <f t="shared" si="59"/>
        <v>1</v>
      </c>
      <c r="F151" s="282">
        <f t="shared" si="59"/>
        <v>1.0588235294117647</v>
      </c>
      <c r="G151" s="282">
        <f t="shared" si="59"/>
        <v>1.0415012464223063</v>
      </c>
      <c r="H151" s="282">
        <f t="shared" si="59"/>
        <v>0.92982456140350878</v>
      </c>
      <c r="I151" s="282">
        <f t="shared" si="59"/>
        <v>1.0100671140939597</v>
      </c>
      <c r="J151" s="293">
        <f t="shared" si="59"/>
        <v>1.0219885826933344</v>
      </c>
    </row>
    <row r="152" spans="1:10" x14ac:dyDescent="0.2">
      <c r="A152" s="307">
        <v>2008</v>
      </c>
      <c r="B152" s="282">
        <f t="shared" si="58"/>
        <v>1.015921848013817</v>
      </c>
      <c r="C152" s="282">
        <f t="shared" si="59"/>
        <v>1.011869831955188</v>
      </c>
      <c r="D152" s="282">
        <f t="shared" si="59"/>
        <v>1.0200764818355641</v>
      </c>
      <c r="E152" s="282">
        <f t="shared" si="59"/>
        <v>1.25</v>
      </c>
      <c r="F152" s="282">
        <f t="shared" si="59"/>
        <v>1</v>
      </c>
      <c r="G152" s="282">
        <f t="shared" si="59"/>
        <v>1.03022915650902</v>
      </c>
      <c r="H152" s="282">
        <f t="shared" si="59"/>
        <v>0.98113207547169812</v>
      </c>
      <c r="I152" s="282">
        <f t="shared" si="59"/>
        <v>1</v>
      </c>
      <c r="J152" s="293">
        <f t="shared" si="59"/>
        <v>1.0182202504380253</v>
      </c>
    </row>
    <row r="153" spans="1:10" x14ac:dyDescent="0.2">
      <c r="A153" s="306">
        <v>2009</v>
      </c>
      <c r="B153" s="282">
        <f t="shared" si="58"/>
        <v>1.0115815757318174</v>
      </c>
      <c r="C153" s="282">
        <f t="shared" si="59"/>
        <v>1.0173981810992487</v>
      </c>
      <c r="D153" s="282">
        <f t="shared" si="59"/>
        <v>0.98406747891283974</v>
      </c>
      <c r="E153" s="282">
        <f t="shared" si="59"/>
        <v>0.8</v>
      </c>
      <c r="F153" s="282">
        <f t="shared" si="59"/>
        <v>1.0555555555555556</v>
      </c>
      <c r="G153" s="282">
        <f t="shared" si="59"/>
        <v>1.0154455104762725</v>
      </c>
      <c r="H153" s="282">
        <f t="shared" si="59"/>
        <v>1</v>
      </c>
      <c r="I153" s="282">
        <f t="shared" si="59"/>
        <v>1.0049833887043189</v>
      </c>
      <c r="J153" s="293">
        <f t="shared" si="59"/>
        <v>1.0123688718041819</v>
      </c>
    </row>
    <row r="154" spans="1:10" x14ac:dyDescent="0.2">
      <c r="A154" s="307">
        <v>2010</v>
      </c>
      <c r="B154" s="282">
        <f t="shared" si="58"/>
        <v>1.0107557376188225</v>
      </c>
      <c r="C154" s="282">
        <f t="shared" si="59"/>
        <v>1.0180075139266744</v>
      </c>
      <c r="D154" s="282">
        <f t="shared" si="59"/>
        <v>0.97619047619047616</v>
      </c>
      <c r="E154" s="282">
        <f t="shared" si="59"/>
        <v>0.5</v>
      </c>
      <c r="F154" s="282">
        <f t="shared" si="59"/>
        <v>1.0526315789473684</v>
      </c>
      <c r="G154" s="282">
        <f t="shared" si="59"/>
        <v>1.0164816540971104</v>
      </c>
      <c r="H154" s="282">
        <f t="shared" si="59"/>
        <v>0.96153846153846156</v>
      </c>
      <c r="I154" s="282">
        <f t="shared" si="59"/>
        <v>1.0132231404958678</v>
      </c>
      <c r="J154" s="293">
        <f t="shared" si="59"/>
        <v>1.0119448602794412</v>
      </c>
    </row>
    <row r="155" spans="1:10" x14ac:dyDescent="0.2">
      <c r="A155" s="307">
        <v>2011</v>
      </c>
      <c r="B155" s="282">
        <f t="shared" si="58"/>
        <v>1.0111400929033867</v>
      </c>
      <c r="C155" s="282">
        <f t="shared" si="59"/>
        <v>0.98969203359633495</v>
      </c>
      <c r="D155" s="282">
        <f t="shared" si="59"/>
        <v>1.015609756097561</v>
      </c>
      <c r="E155" s="282">
        <f t="shared" si="59"/>
        <v>1</v>
      </c>
      <c r="F155" s="282">
        <f t="shared" si="59"/>
        <v>1</v>
      </c>
      <c r="G155" s="282">
        <f t="shared" si="59"/>
        <v>1.0110041265474552</v>
      </c>
      <c r="H155" s="282">
        <f t="shared" si="59"/>
        <v>0.96</v>
      </c>
      <c r="I155" s="282">
        <f t="shared" si="59"/>
        <v>0.98694942903752036</v>
      </c>
      <c r="J155" s="293">
        <f t="shared" si="59"/>
        <v>1.0097158442999352</v>
      </c>
    </row>
    <row r="156" spans="1:10" x14ac:dyDescent="0.2">
      <c r="A156" s="307">
        <v>2012</v>
      </c>
      <c r="B156" s="282">
        <f t="shared" si="58"/>
        <v>1.0076155435195939</v>
      </c>
      <c r="C156" s="282">
        <f t="shared" si="59"/>
        <v>0.99022759418799022</v>
      </c>
      <c r="D156" s="282">
        <f t="shared" si="59"/>
        <v>0.98270893371757928</v>
      </c>
      <c r="E156" s="282">
        <f t="shared" si="59"/>
        <v>1</v>
      </c>
      <c r="F156" s="282">
        <f t="shared" si="59"/>
        <v>1.05</v>
      </c>
      <c r="G156" s="282">
        <f t="shared" si="59"/>
        <v>1.0070500927643784</v>
      </c>
      <c r="H156" s="282">
        <f t="shared" si="59"/>
        <v>1</v>
      </c>
      <c r="I156" s="282">
        <f t="shared" si="59"/>
        <v>0.97685950413223144</v>
      </c>
      <c r="J156" s="293">
        <f t="shared" si="59"/>
        <v>1.0061427405016443</v>
      </c>
    </row>
    <row r="157" spans="1:10" x14ac:dyDescent="0.2">
      <c r="A157" s="307">
        <v>2013</v>
      </c>
      <c r="B157" s="282">
        <f t="shared" ref="B157:J158" si="60">+B141/B140</f>
        <v>1.0100977132249445</v>
      </c>
      <c r="C157" s="282">
        <f t="shared" si="60"/>
        <v>1.0140241527074405</v>
      </c>
      <c r="D157" s="282">
        <f t="shared" si="60"/>
        <v>0.97751710654936463</v>
      </c>
      <c r="E157" s="282">
        <f t="shared" si="60"/>
        <v>1</v>
      </c>
      <c r="F157" s="282">
        <f t="shared" si="60"/>
        <v>1.0476190476190477</v>
      </c>
      <c r="G157" s="282">
        <f t="shared" si="60"/>
        <v>1.0097846556947514</v>
      </c>
      <c r="H157" s="282">
        <f t="shared" si="60"/>
        <v>1</v>
      </c>
      <c r="I157" s="282">
        <f t="shared" si="60"/>
        <v>0.99830795262267347</v>
      </c>
      <c r="J157" s="293">
        <f t="shared" si="60"/>
        <v>1.0099655679767015</v>
      </c>
    </row>
    <row r="158" spans="1:10" x14ac:dyDescent="0.2">
      <c r="A158" s="307" t="s">
        <v>318</v>
      </c>
      <c r="B158" s="282">
        <f>+B142/B141</f>
        <v>1.0138642055093303</v>
      </c>
      <c r="C158" s="282">
        <f t="shared" si="60"/>
        <v>1.0122935074913562</v>
      </c>
      <c r="D158" s="282">
        <f t="shared" si="60"/>
        <v>1.0049999999999999</v>
      </c>
      <c r="E158" s="282">
        <f t="shared" si="60"/>
        <v>1</v>
      </c>
      <c r="F158" s="282">
        <f t="shared" si="60"/>
        <v>1</v>
      </c>
      <c r="G158" s="282">
        <f t="shared" si="60"/>
        <v>1.0107034259071559</v>
      </c>
      <c r="H158" s="282">
        <f t="shared" si="60"/>
        <v>1</v>
      </c>
      <c r="I158" s="282">
        <f t="shared" si="60"/>
        <v>1.0016949152542374</v>
      </c>
      <c r="J158" s="293">
        <f t="shared" si="60"/>
        <v>1.0130586927790459</v>
      </c>
    </row>
    <row r="159" spans="1:10" x14ac:dyDescent="0.2">
      <c r="A159" s="317" t="s">
        <v>250</v>
      </c>
      <c r="B159" s="285">
        <f>+'Rate Class Customer Model'!B40</f>
        <v>1.0134958898228545</v>
      </c>
      <c r="C159" s="285">
        <f>+'Rate Class Customer Model'!C40</f>
        <v>1.0062917899024224</v>
      </c>
      <c r="D159" s="285">
        <f>+'Rate Class Customer Model'!D40</f>
        <v>1</v>
      </c>
      <c r="E159" s="285">
        <f>+'Rate Class Customer Model'!E40</f>
        <v>1</v>
      </c>
      <c r="F159" s="285">
        <f>+'Rate Class Customer Model'!F40</f>
        <v>1</v>
      </c>
      <c r="G159" s="285">
        <f>+'Rate Class Customer Model'!G40</f>
        <v>1.0196836587372433</v>
      </c>
      <c r="H159" s="285">
        <f>+'Rate Class Customer Model'!H40</f>
        <v>0.96754687221561908</v>
      </c>
      <c r="I159" s="285">
        <f>+'Rate Class Customer Model'!I40</f>
        <v>1.0010837718183276</v>
      </c>
      <c r="J159" s="318">
        <f>+'Rate Class Customer Model'!J40</f>
        <v>1.013884297281004</v>
      </c>
    </row>
    <row r="160" spans="1:10" ht="13.5" thickBot="1" x14ac:dyDescent="0.25">
      <c r="A160" s="319" t="s">
        <v>248</v>
      </c>
      <c r="B160" s="304">
        <f>GEOMEAN(B148:B158)</f>
        <v>1.0134958898228545</v>
      </c>
      <c r="C160" s="304">
        <f t="shared" ref="C160:I160" si="61">GEOMEAN(C148:C158)</f>
        <v>1.0062917899024224</v>
      </c>
      <c r="D160" s="304">
        <f t="shared" si="61"/>
        <v>0.99036005296293395</v>
      </c>
      <c r="E160" s="304">
        <f t="shared" si="61"/>
        <v>0.920075858503551</v>
      </c>
      <c r="F160" s="304">
        <f t="shared" si="61"/>
        <v>1.0743092982796343</v>
      </c>
      <c r="G160" s="304">
        <f t="shared" si="61"/>
        <v>1.0196836587372433</v>
      </c>
      <c r="H160" s="304">
        <f t="shared" si="61"/>
        <v>0.96754687221561908</v>
      </c>
      <c r="I160" s="304">
        <f t="shared" si="61"/>
        <v>1.0010837718183276</v>
      </c>
      <c r="J160" s="320">
        <f>GEOMEAN(J148:J158)</f>
        <v>1.013884297281004</v>
      </c>
    </row>
    <row r="162" spans="1:10" ht="13.5" thickBot="1" x14ac:dyDescent="0.25">
      <c r="A162" s="66" t="s">
        <v>325</v>
      </c>
    </row>
    <row r="163" spans="1:10" ht="24.75" thickBot="1" x14ac:dyDescent="0.25">
      <c r="A163" s="286" t="s">
        <v>117</v>
      </c>
      <c r="B163" s="279" t="s">
        <v>71</v>
      </c>
      <c r="C163" s="279" t="s">
        <v>242</v>
      </c>
      <c r="D163" s="279" t="s">
        <v>241</v>
      </c>
      <c r="E163" s="279" t="s">
        <v>74</v>
      </c>
      <c r="F163" s="279" t="s">
        <v>243</v>
      </c>
      <c r="G163" s="279" t="s">
        <v>244</v>
      </c>
      <c r="H163" s="279" t="s">
        <v>245</v>
      </c>
      <c r="I163" s="279" t="s">
        <v>76</v>
      </c>
      <c r="J163" s="280" t="s">
        <v>9</v>
      </c>
    </row>
    <row r="164" spans="1:10" x14ac:dyDescent="0.2">
      <c r="A164" s="309" t="s">
        <v>251</v>
      </c>
      <c r="B164" s="310"/>
      <c r="C164" s="310"/>
      <c r="D164" s="310"/>
      <c r="E164" s="310"/>
      <c r="F164" s="310"/>
      <c r="G164" s="310"/>
      <c r="H164" s="310"/>
      <c r="I164" s="310"/>
      <c r="J164" s="311"/>
    </row>
    <row r="165" spans="1:10" x14ac:dyDescent="0.2">
      <c r="A165" s="312" t="s">
        <v>119</v>
      </c>
      <c r="B165" s="284">
        <f t="shared" ref="B165:I166" si="62">+B128</f>
        <v>47243</v>
      </c>
      <c r="C165" s="284">
        <f t="shared" si="62"/>
        <v>3845</v>
      </c>
      <c r="D165" s="284">
        <f t="shared" si="62"/>
        <v>522</v>
      </c>
      <c r="E165" s="284">
        <f t="shared" si="62"/>
        <v>2</v>
      </c>
      <c r="F165" s="284">
        <f t="shared" si="62"/>
        <v>9</v>
      </c>
      <c r="G165" s="284">
        <f t="shared" si="62"/>
        <v>11650</v>
      </c>
      <c r="H165" s="284">
        <f t="shared" si="62"/>
        <v>77</v>
      </c>
      <c r="I165" s="284">
        <f t="shared" si="62"/>
        <v>305</v>
      </c>
      <c r="J165" s="291">
        <f>SUM(B165:I165)</f>
        <v>63653</v>
      </c>
    </row>
    <row r="166" spans="1:10" x14ac:dyDescent="0.2">
      <c r="A166" s="312" t="s">
        <v>233</v>
      </c>
      <c r="B166" s="284">
        <f t="shared" si="62"/>
        <v>49919.725406979574</v>
      </c>
      <c r="C166" s="284">
        <f t="shared" si="62"/>
        <v>3961</v>
      </c>
      <c r="D166" s="284">
        <f t="shared" si="62"/>
        <v>518</v>
      </c>
      <c r="E166" s="284">
        <f t="shared" si="62"/>
        <v>1</v>
      </c>
      <c r="F166" s="284">
        <f t="shared" si="62"/>
        <v>10</v>
      </c>
      <c r="G166" s="284">
        <f t="shared" si="62"/>
        <v>12761.899782618997</v>
      </c>
      <c r="H166" s="284">
        <f t="shared" si="62"/>
        <v>22.307657589073369</v>
      </c>
      <c r="I166" s="284">
        <f t="shared" si="62"/>
        <v>313.0793844964528</v>
      </c>
      <c r="J166" s="291">
        <f>SUM(B166:I166)</f>
        <v>67507.012231684101</v>
      </c>
    </row>
    <row r="167" spans="1:10" x14ac:dyDescent="0.2">
      <c r="A167" s="306"/>
      <c r="B167" s="283"/>
      <c r="C167" s="313"/>
      <c r="D167" s="313"/>
      <c r="E167" s="313"/>
      <c r="F167" s="313"/>
      <c r="G167" s="313"/>
      <c r="H167" s="313"/>
      <c r="I167" s="313"/>
      <c r="J167" s="314"/>
    </row>
    <row r="168" spans="1:10" x14ac:dyDescent="0.2">
      <c r="A168" s="307" t="str">
        <f t="shared" ref="A168:A172" si="63">+A180</f>
        <v>2015 Test Year (Regression)</v>
      </c>
      <c r="B168" s="281">
        <f>+B142*B$159</f>
        <v>50880.027408831855</v>
      </c>
      <c r="C168" s="281">
        <f t="shared" ref="C168:I168" si="64">+C142*C$159</f>
        <v>3977.3682995893246</v>
      </c>
      <c r="D168" s="281">
        <f t="shared" si="64"/>
        <v>502.5</v>
      </c>
      <c r="E168" s="281">
        <f t="shared" si="64"/>
        <v>1</v>
      </c>
      <c r="F168" s="281">
        <f t="shared" si="64"/>
        <v>11</v>
      </c>
      <c r="G168" s="281">
        <f t="shared" si="64"/>
        <v>12709.846964330369</v>
      </c>
      <c r="H168" s="281">
        <f t="shared" si="64"/>
        <v>23.221124933174856</v>
      </c>
      <c r="I168" s="281">
        <f t="shared" si="64"/>
        <v>295.82025457231583</v>
      </c>
      <c r="J168" s="315">
        <f t="shared" ref="J168:J172" si="65">SUM(B168:I168)</f>
        <v>68400.784052257033</v>
      </c>
    </row>
    <row r="169" spans="1:10" x14ac:dyDescent="0.2">
      <c r="A169" s="307" t="str">
        <f t="shared" si="63"/>
        <v>2016 Test Year (Regression)</v>
      </c>
      <c r="B169" s="281">
        <f>+B168*B$159</f>
        <v>51566.698652925268</v>
      </c>
      <c r="C169" s="281">
        <f t="shared" ref="C169:C172" si="66">+C168*C$159</f>
        <v>4002.3930652948957</v>
      </c>
      <c r="D169" s="281">
        <f t="shared" ref="D169:D172" si="67">+D168*D$159</f>
        <v>502.5</v>
      </c>
      <c r="E169" s="281">
        <f t="shared" ref="E169:E172" si="68">+E168*E$159</f>
        <v>1</v>
      </c>
      <c r="F169" s="281">
        <f t="shared" ref="F169:F172" si="69">+F168*F$159</f>
        <v>11</v>
      </c>
      <c r="G169" s="281">
        <f t="shared" ref="G169:G172" si="70">+G168*G$159</f>
        <v>12960.023254578835</v>
      </c>
      <c r="H169" s="281">
        <f t="shared" ref="H169:H172" si="71">+H168*H$159</f>
        <v>22.46752679842146</v>
      </c>
      <c r="I169" s="281">
        <f t="shared" ref="I169:I172" si="72">+I168*I$159</f>
        <v>296.14085622751179</v>
      </c>
      <c r="J169" s="315">
        <f t="shared" si="65"/>
        <v>69362.223355824943</v>
      </c>
    </row>
    <row r="170" spans="1:10" x14ac:dyDescent="0.2">
      <c r="A170" s="307" t="str">
        <f t="shared" si="63"/>
        <v>2017 Test Year (Regression)</v>
      </c>
      <c r="B170" s="281">
        <f t="shared" ref="B170:B172" si="73">+B169*B$159</f>
        <v>52262.637136473488</v>
      </c>
      <c r="C170" s="281">
        <f t="shared" si="66"/>
        <v>4027.5752815686437</v>
      </c>
      <c r="D170" s="281">
        <f t="shared" si="67"/>
        <v>502.5</v>
      </c>
      <c r="E170" s="281">
        <f t="shared" si="68"/>
        <v>1</v>
      </c>
      <c r="F170" s="281">
        <f t="shared" si="69"/>
        <v>11</v>
      </c>
      <c r="G170" s="281">
        <f t="shared" si="70"/>
        <v>13215.123929548703</v>
      </c>
      <c r="H170" s="281">
        <f t="shared" si="71"/>
        <v>21.738385280233285</v>
      </c>
      <c r="I170" s="281">
        <f t="shared" si="72"/>
        <v>296.46180534174658</v>
      </c>
      <c r="J170" s="315">
        <f t="shared" si="65"/>
        <v>70338.036538212822</v>
      </c>
    </row>
    <row r="171" spans="1:10" x14ac:dyDescent="0.2">
      <c r="A171" s="307" t="str">
        <f t="shared" si="63"/>
        <v>2018 Test Year (Regression)</v>
      </c>
      <c r="B171" s="281">
        <f t="shared" si="73"/>
        <v>52967.967929119157</v>
      </c>
      <c r="C171" s="281">
        <f t="shared" si="66"/>
        <v>4052.9159390564632</v>
      </c>
      <c r="D171" s="281">
        <f t="shared" si="67"/>
        <v>502.5</v>
      </c>
      <c r="E171" s="281">
        <f t="shared" si="68"/>
        <v>1</v>
      </c>
      <c r="F171" s="281">
        <f t="shared" si="69"/>
        <v>11</v>
      </c>
      <c r="G171" s="281">
        <f t="shared" si="70"/>
        <v>13475.245919148318</v>
      </c>
      <c r="H171" s="281">
        <f t="shared" si="71"/>
        <v>21.032906684907768</v>
      </c>
      <c r="I171" s="281">
        <f t="shared" si="72"/>
        <v>296.78310229158649</v>
      </c>
      <c r="J171" s="315">
        <f t="shared" si="65"/>
        <v>71328.445796300439</v>
      </c>
    </row>
    <row r="172" spans="1:10" ht="13.5" thickBot="1" x14ac:dyDescent="0.25">
      <c r="A172" s="308" t="str">
        <f t="shared" si="63"/>
        <v>2019 Test Year (Regression)</v>
      </c>
      <c r="B172" s="294">
        <f t="shared" si="73"/>
        <v>53682.817788431043</v>
      </c>
      <c r="C172" s="294">
        <f t="shared" si="66"/>
        <v>4078.4160346371855</v>
      </c>
      <c r="D172" s="294">
        <f t="shared" si="67"/>
        <v>502.5</v>
      </c>
      <c r="E172" s="294">
        <f t="shared" si="68"/>
        <v>1</v>
      </c>
      <c r="F172" s="294">
        <f t="shared" si="69"/>
        <v>11</v>
      </c>
      <c r="G172" s="294">
        <f t="shared" si="70"/>
        <v>13740.488061221264</v>
      </c>
      <c r="H172" s="294">
        <f t="shared" si="71"/>
        <v>20.350323076585497</v>
      </c>
      <c r="I172" s="294">
        <f t="shared" si="72"/>
        <v>297.10474745400597</v>
      </c>
      <c r="J172" s="316">
        <f t="shared" si="65"/>
        <v>72333.676954820097</v>
      </c>
    </row>
    <row r="174" spans="1:10" ht="13.5" thickBot="1" x14ac:dyDescent="0.25">
      <c r="A174" t="s">
        <v>56</v>
      </c>
    </row>
    <row r="175" spans="1:10" ht="24.75" thickBot="1" x14ac:dyDescent="0.25">
      <c r="A175" s="286" t="s">
        <v>117</v>
      </c>
      <c r="B175" s="279" t="s">
        <v>71</v>
      </c>
      <c r="C175" s="279" t="s">
        <v>242</v>
      </c>
      <c r="D175" s="279" t="s">
        <v>241</v>
      </c>
      <c r="E175" s="279" t="s">
        <v>74</v>
      </c>
      <c r="F175" s="279" t="s">
        <v>243</v>
      </c>
      <c r="G175" s="279" t="s">
        <v>244</v>
      </c>
      <c r="H175" s="279" t="s">
        <v>245</v>
      </c>
      <c r="I175" s="279" t="s">
        <v>76</v>
      </c>
      <c r="J175" s="280" t="s">
        <v>9</v>
      </c>
    </row>
    <row r="176" spans="1:10" x14ac:dyDescent="0.2">
      <c r="A176" s="309" t="s">
        <v>251</v>
      </c>
      <c r="B176" s="310"/>
      <c r="C176" s="310"/>
      <c r="D176" s="310"/>
      <c r="E176" s="310"/>
      <c r="F176" s="310"/>
      <c r="G176" s="310"/>
      <c r="H176" s="310"/>
      <c r="I176" s="310"/>
      <c r="J176" s="311"/>
    </row>
    <row r="177" spans="1:10" x14ac:dyDescent="0.2">
      <c r="A177" s="312" t="s">
        <v>119</v>
      </c>
      <c r="B177" s="284">
        <f t="shared" ref="B177:I178" si="74">+B128</f>
        <v>47243</v>
      </c>
      <c r="C177" s="284">
        <f t="shared" si="74"/>
        <v>3845</v>
      </c>
      <c r="D177" s="284">
        <f t="shared" si="74"/>
        <v>522</v>
      </c>
      <c r="E177" s="284">
        <f t="shared" si="74"/>
        <v>2</v>
      </c>
      <c r="F177" s="284">
        <f t="shared" si="74"/>
        <v>9</v>
      </c>
      <c r="G177" s="284">
        <f t="shared" si="74"/>
        <v>11650</v>
      </c>
      <c r="H177" s="284">
        <f t="shared" si="74"/>
        <v>77</v>
      </c>
      <c r="I177" s="284">
        <f t="shared" si="74"/>
        <v>305</v>
      </c>
      <c r="J177" s="291">
        <f>SUM(B177:I177)</f>
        <v>63653</v>
      </c>
    </row>
    <row r="178" spans="1:10" x14ac:dyDescent="0.2">
      <c r="A178" s="312" t="s">
        <v>233</v>
      </c>
      <c r="B178" s="284">
        <f t="shared" si="74"/>
        <v>49919.725406979574</v>
      </c>
      <c r="C178" s="284">
        <f t="shared" si="74"/>
        <v>3961</v>
      </c>
      <c r="D178" s="284">
        <f t="shared" si="74"/>
        <v>518</v>
      </c>
      <c r="E178" s="284">
        <f t="shared" si="74"/>
        <v>1</v>
      </c>
      <c r="F178" s="284">
        <f t="shared" si="74"/>
        <v>10</v>
      </c>
      <c r="G178" s="284">
        <f t="shared" si="74"/>
        <v>12761.899782618997</v>
      </c>
      <c r="H178" s="284">
        <f t="shared" si="74"/>
        <v>22.307657589073369</v>
      </c>
      <c r="I178" s="284">
        <f t="shared" si="74"/>
        <v>313.0793844964528</v>
      </c>
      <c r="J178" s="291">
        <f>SUM(B178:I178)</f>
        <v>67507.012231684101</v>
      </c>
    </row>
    <row r="179" spans="1:10" x14ac:dyDescent="0.2">
      <c r="A179" s="306"/>
      <c r="B179" s="283"/>
      <c r="C179" s="313"/>
      <c r="D179" s="313"/>
      <c r="E179" s="313"/>
      <c r="F179" s="313"/>
      <c r="G179" s="313"/>
      <c r="H179" s="313"/>
      <c r="I179" s="313"/>
      <c r="J179" s="314"/>
    </row>
    <row r="180" spans="1:10" x14ac:dyDescent="0.2">
      <c r="A180" s="307" t="str">
        <f>+A95</f>
        <v>2015 Test Year (Regression)</v>
      </c>
      <c r="B180" s="281">
        <f t="shared" ref="B180:I184" si="75">+B45</f>
        <v>51708.527408831855</v>
      </c>
      <c r="C180" s="281">
        <f t="shared" si="75"/>
        <v>4071.0682995893244</v>
      </c>
      <c r="D180" s="281">
        <f t="shared" si="75"/>
        <v>517.6</v>
      </c>
      <c r="E180" s="281">
        <f t="shared" si="75"/>
        <v>1</v>
      </c>
      <c r="F180" s="281">
        <f t="shared" si="75"/>
        <v>11.3</v>
      </c>
      <c r="G180" s="281">
        <f t="shared" si="75"/>
        <v>12838.446964330369</v>
      </c>
      <c r="H180" s="281">
        <f t="shared" si="75"/>
        <v>23.221124933174856</v>
      </c>
      <c r="I180" s="281">
        <f t="shared" si="75"/>
        <v>295.82025457231583</v>
      </c>
      <c r="J180" s="315">
        <f t="shared" ref="J180:J184" si="76">SUM(B180:I180)</f>
        <v>69466.984052257045</v>
      </c>
    </row>
    <row r="181" spans="1:10" x14ac:dyDescent="0.2">
      <c r="A181" s="307" t="str">
        <f>+A96</f>
        <v>2016 Test Year (Regression)</v>
      </c>
      <c r="B181" s="281">
        <f t="shared" si="75"/>
        <v>53259.798652925267</v>
      </c>
      <c r="C181" s="281">
        <f t="shared" si="75"/>
        <v>4193.1930652948959</v>
      </c>
      <c r="D181" s="281">
        <f t="shared" si="75"/>
        <v>533.1</v>
      </c>
      <c r="E181" s="281">
        <f t="shared" si="75"/>
        <v>1</v>
      </c>
      <c r="F181" s="281">
        <f t="shared" si="75"/>
        <v>11.7</v>
      </c>
      <c r="G181" s="281">
        <f t="shared" si="75"/>
        <v>13223.623254578835</v>
      </c>
      <c r="H181" s="281">
        <f t="shared" si="75"/>
        <v>22.46752679842146</v>
      </c>
      <c r="I181" s="281">
        <f t="shared" si="75"/>
        <v>296.14085622751179</v>
      </c>
      <c r="J181" s="315">
        <f t="shared" si="76"/>
        <v>71541.023355824931</v>
      </c>
    </row>
    <row r="182" spans="1:10" x14ac:dyDescent="0.2">
      <c r="A182" s="307" t="str">
        <f>+A97</f>
        <v>2017 Test Year (Regression)</v>
      </c>
      <c r="B182" s="281">
        <f t="shared" si="75"/>
        <v>54857.637136473488</v>
      </c>
      <c r="C182" s="281">
        <f t="shared" si="75"/>
        <v>4318.9752815686434</v>
      </c>
      <c r="D182" s="281">
        <f t="shared" si="75"/>
        <v>549.1</v>
      </c>
      <c r="E182" s="281">
        <f t="shared" si="75"/>
        <v>1</v>
      </c>
      <c r="F182" s="281">
        <f t="shared" si="75"/>
        <v>12</v>
      </c>
      <c r="G182" s="281">
        <f t="shared" si="75"/>
        <v>13620.323929548704</v>
      </c>
      <c r="H182" s="281">
        <f t="shared" si="75"/>
        <v>21.738385280233285</v>
      </c>
      <c r="I182" s="281">
        <f t="shared" si="75"/>
        <v>296.46180534174658</v>
      </c>
      <c r="J182" s="315">
        <f t="shared" si="76"/>
        <v>73677.236538212819</v>
      </c>
    </row>
    <row r="183" spans="1:10" x14ac:dyDescent="0.2">
      <c r="A183" s="307" t="str">
        <f>+A98</f>
        <v>2018 Test Year (Regression)</v>
      </c>
      <c r="B183" s="281">
        <f t="shared" si="75"/>
        <v>56503.367929119158</v>
      </c>
      <c r="C183" s="281">
        <f t="shared" si="75"/>
        <v>4448.6159390564635</v>
      </c>
      <c r="D183" s="281">
        <f t="shared" si="75"/>
        <v>565.6</v>
      </c>
      <c r="E183" s="281">
        <f t="shared" si="75"/>
        <v>1</v>
      </c>
      <c r="F183" s="281">
        <f t="shared" si="75"/>
        <v>12.4</v>
      </c>
      <c r="G183" s="281">
        <f t="shared" si="75"/>
        <v>14028.945919148318</v>
      </c>
      <c r="H183" s="281">
        <f t="shared" si="75"/>
        <v>21.032906684907768</v>
      </c>
      <c r="I183" s="281">
        <f t="shared" si="75"/>
        <v>296.78310229158649</v>
      </c>
      <c r="J183" s="315">
        <f t="shared" si="76"/>
        <v>75877.745796300442</v>
      </c>
    </row>
    <row r="184" spans="1:10" ht="13.5" thickBot="1" x14ac:dyDescent="0.25">
      <c r="A184" s="308" t="str">
        <f>+A99</f>
        <v>2019 Test Year (Regression)</v>
      </c>
      <c r="B184" s="294">
        <f t="shared" si="75"/>
        <v>58198.417788431041</v>
      </c>
      <c r="C184" s="294">
        <f t="shared" si="75"/>
        <v>4582.0160346371858</v>
      </c>
      <c r="D184" s="294">
        <f t="shared" si="75"/>
        <v>582.5</v>
      </c>
      <c r="E184" s="294">
        <f t="shared" si="75"/>
        <v>1</v>
      </c>
      <c r="F184" s="294">
        <f t="shared" si="75"/>
        <v>12.8</v>
      </c>
      <c r="G184" s="294">
        <f t="shared" si="75"/>
        <v>14449.788061221263</v>
      </c>
      <c r="H184" s="294">
        <f t="shared" si="75"/>
        <v>20.350323076585497</v>
      </c>
      <c r="I184" s="294">
        <f t="shared" si="75"/>
        <v>297.10474745400597</v>
      </c>
      <c r="J184" s="316">
        <f t="shared" si="76"/>
        <v>78143.9769548201</v>
      </c>
    </row>
    <row r="186" spans="1:10" ht="13.5" thickBot="1" x14ac:dyDescent="0.25">
      <c r="A186" t="s">
        <v>41</v>
      </c>
    </row>
    <row r="187" spans="1:10" ht="24.75" thickBot="1" x14ac:dyDescent="0.25">
      <c r="A187" s="286" t="s">
        <v>117</v>
      </c>
      <c r="B187" s="279" t="s">
        <v>71</v>
      </c>
      <c r="C187" s="279" t="s">
        <v>242</v>
      </c>
      <c r="D187" s="279" t="s">
        <v>241</v>
      </c>
      <c r="E187" s="279" t="s">
        <v>74</v>
      </c>
      <c r="F187" s="279" t="s">
        <v>243</v>
      </c>
      <c r="G187" s="279" t="s">
        <v>244</v>
      </c>
      <c r="H187" s="279" t="s">
        <v>245</v>
      </c>
      <c r="I187" s="279" t="s">
        <v>76</v>
      </c>
      <c r="J187" s="280" t="s">
        <v>9</v>
      </c>
    </row>
    <row r="188" spans="1:10" x14ac:dyDescent="0.2">
      <c r="A188" s="309" t="s">
        <v>251</v>
      </c>
      <c r="B188" s="310"/>
      <c r="C188" s="310"/>
      <c r="D188" s="310"/>
      <c r="E188" s="310"/>
      <c r="F188" s="310"/>
      <c r="G188" s="310"/>
      <c r="H188" s="310"/>
      <c r="I188" s="310"/>
      <c r="J188" s="311"/>
    </row>
    <row r="189" spans="1:10" x14ac:dyDescent="0.2">
      <c r="A189" s="307" t="str">
        <f>+A180</f>
        <v>2015 Test Year (Regression)</v>
      </c>
      <c r="B189" s="281">
        <f t="shared" ref="B189:I193" si="77">+B180-B168</f>
        <v>828.5</v>
      </c>
      <c r="C189" s="281">
        <f t="shared" si="77"/>
        <v>93.699999999999818</v>
      </c>
      <c r="D189" s="281">
        <f t="shared" si="77"/>
        <v>15.100000000000023</v>
      </c>
      <c r="E189" s="281">
        <f t="shared" si="77"/>
        <v>0</v>
      </c>
      <c r="F189" s="281">
        <f t="shared" si="77"/>
        <v>0.30000000000000071</v>
      </c>
      <c r="G189" s="281">
        <f t="shared" si="77"/>
        <v>128.60000000000036</v>
      </c>
      <c r="H189" s="281">
        <f t="shared" si="77"/>
        <v>0</v>
      </c>
      <c r="I189" s="281">
        <f t="shared" si="77"/>
        <v>0</v>
      </c>
      <c r="J189" s="315">
        <f t="shared" ref="J189:J193" si="78">SUM(B189:I189)</f>
        <v>1066.2000000000003</v>
      </c>
    </row>
    <row r="190" spans="1:10" x14ac:dyDescent="0.2">
      <c r="A190" s="307" t="str">
        <f>+A181</f>
        <v>2016 Test Year (Regression)</v>
      </c>
      <c r="B190" s="281">
        <f t="shared" si="77"/>
        <v>1693.0999999999985</v>
      </c>
      <c r="C190" s="281">
        <f t="shared" si="77"/>
        <v>190.80000000000018</v>
      </c>
      <c r="D190" s="281">
        <f t="shared" si="77"/>
        <v>30.600000000000023</v>
      </c>
      <c r="E190" s="281">
        <f t="shared" si="77"/>
        <v>0</v>
      </c>
      <c r="F190" s="281">
        <f t="shared" si="77"/>
        <v>0.69999999999999929</v>
      </c>
      <c r="G190" s="281">
        <f t="shared" si="77"/>
        <v>263.60000000000036</v>
      </c>
      <c r="H190" s="281">
        <f t="shared" si="77"/>
        <v>0</v>
      </c>
      <c r="I190" s="281">
        <f t="shared" si="77"/>
        <v>0</v>
      </c>
      <c r="J190" s="315">
        <f t="shared" si="78"/>
        <v>2178.7999999999993</v>
      </c>
    </row>
    <row r="191" spans="1:10" x14ac:dyDescent="0.2">
      <c r="A191" s="307" t="str">
        <f>+A182</f>
        <v>2017 Test Year (Regression)</v>
      </c>
      <c r="B191" s="281">
        <f t="shared" si="77"/>
        <v>2595</v>
      </c>
      <c r="C191" s="281">
        <f t="shared" si="77"/>
        <v>291.39999999999964</v>
      </c>
      <c r="D191" s="281">
        <f t="shared" si="77"/>
        <v>46.600000000000023</v>
      </c>
      <c r="E191" s="281">
        <f t="shared" si="77"/>
        <v>0</v>
      </c>
      <c r="F191" s="281">
        <f t="shared" si="77"/>
        <v>1</v>
      </c>
      <c r="G191" s="281">
        <f t="shared" si="77"/>
        <v>405.20000000000073</v>
      </c>
      <c r="H191" s="281">
        <f t="shared" si="77"/>
        <v>0</v>
      </c>
      <c r="I191" s="281">
        <f t="shared" si="77"/>
        <v>0</v>
      </c>
      <c r="J191" s="315">
        <f t="shared" si="78"/>
        <v>3339.2000000000003</v>
      </c>
    </row>
    <row r="192" spans="1:10" x14ac:dyDescent="0.2">
      <c r="A192" s="307" t="str">
        <f>+A183</f>
        <v>2018 Test Year (Regression)</v>
      </c>
      <c r="B192" s="281">
        <f t="shared" si="77"/>
        <v>3535.4000000000015</v>
      </c>
      <c r="C192" s="281">
        <f t="shared" si="77"/>
        <v>395.70000000000027</v>
      </c>
      <c r="D192" s="281">
        <f t="shared" si="77"/>
        <v>63.100000000000023</v>
      </c>
      <c r="E192" s="281">
        <f t="shared" si="77"/>
        <v>0</v>
      </c>
      <c r="F192" s="281">
        <f t="shared" si="77"/>
        <v>1.4000000000000004</v>
      </c>
      <c r="G192" s="281">
        <f t="shared" si="77"/>
        <v>553.70000000000073</v>
      </c>
      <c r="H192" s="281">
        <f t="shared" si="77"/>
        <v>0</v>
      </c>
      <c r="I192" s="281">
        <f t="shared" si="77"/>
        <v>0</v>
      </c>
      <c r="J192" s="315">
        <f t="shared" si="78"/>
        <v>4549.3000000000029</v>
      </c>
    </row>
    <row r="193" spans="1:10" ht="13.5" thickBot="1" x14ac:dyDescent="0.25">
      <c r="A193" s="308" t="str">
        <f>+A184</f>
        <v>2019 Test Year (Regression)</v>
      </c>
      <c r="B193" s="294">
        <f t="shared" si="77"/>
        <v>4515.5999999999985</v>
      </c>
      <c r="C193" s="294">
        <f t="shared" si="77"/>
        <v>503.60000000000036</v>
      </c>
      <c r="D193" s="294">
        <f t="shared" si="77"/>
        <v>80</v>
      </c>
      <c r="E193" s="294">
        <f t="shared" si="77"/>
        <v>0</v>
      </c>
      <c r="F193" s="294">
        <f t="shared" si="77"/>
        <v>1.8000000000000007</v>
      </c>
      <c r="G193" s="294">
        <f t="shared" si="77"/>
        <v>709.29999999999927</v>
      </c>
      <c r="H193" s="294">
        <f t="shared" si="77"/>
        <v>0</v>
      </c>
      <c r="I193" s="294">
        <f t="shared" si="77"/>
        <v>0</v>
      </c>
      <c r="J193" s="316">
        <f t="shared" si="78"/>
        <v>5810.2999999999984</v>
      </c>
    </row>
    <row r="195" spans="1:10" ht="13.5" thickBot="1" x14ac:dyDescent="0.25"/>
    <row r="196" spans="1:10" ht="24.75" thickBot="1" x14ac:dyDescent="0.25">
      <c r="A196" s="286" t="s">
        <v>117</v>
      </c>
      <c r="B196" s="279" t="s">
        <v>71</v>
      </c>
      <c r="C196" s="279" t="s">
        <v>242</v>
      </c>
      <c r="D196" s="279" t="s">
        <v>241</v>
      </c>
      <c r="E196" s="279" t="s">
        <v>74</v>
      </c>
      <c r="F196" s="279" t="s">
        <v>243</v>
      </c>
      <c r="G196" s="279" t="s">
        <v>244</v>
      </c>
      <c r="H196" s="279" t="s">
        <v>245</v>
      </c>
      <c r="I196" s="279" t="s">
        <v>76</v>
      </c>
      <c r="J196" s="280" t="s">
        <v>9</v>
      </c>
    </row>
    <row r="197" spans="1:10" x14ac:dyDescent="0.2">
      <c r="A197" s="309" t="s">
        <v>254</v>
      </c>
      <c r="B197" s="310"/>
      <c r="C197" s="310"/>
      <c r="D197" s="310"/>
      <c r="E197" s="310"/>
      <c r="F197" s="310"/>
      <c r="G197" s="310"/>
      <c r="H197" s="310"/>
      <c r="I197" s="310"/>
      <c r="J197" s="311"/>
    </row>
    <row r="198" spans="1:10" x14ac:dyDescent="0.2">
      <c r="A198" s="312" t="s">
        <v>119</v>
      </c>
      <c r="B198" s="284">
        <f t="shared" ref="B198:J198" si="79">+B80</f>
        <v>10312.478017907415</v>
      </c>
      <c r="C198" s="284">
        <f t="shared" si="79"/>
        <v>36436.199739921976</v>
      </c>
      <c r="D198" s="284">
        <f t="shared" si="79"/>
        <v>687468.15134099615</v>
      </c>
      <c r="E198" s="284">
        <f t="shared" si="79"/>
        <v>30069991</v>
      </c>
      <c r="F198" s="284">
        <f t="shared" si="79"/>
        <v>8995177.8888888881</v>
      </c>
      <c r="G198" s="284">
        <f t="shared" si="79"/>
        <v>864.62257510729614</v>
      </c>
      <c r="H198" s="284">
        <f t="shared" si="79"/>
        <v>530.03896103896102</v>
      </c>
      <c r="I198" s="284">
        <f t="shared" si="79"/>
        <v>12596.537704918033</v>
      </c>
      <c r="J198" s="291">
        <f t="shared" si="79"/>
        <v>17928.45828162066</v>
      </c>
    </row>
    <row r="199" spans="1:10" x14ac:dyDescent="0.2">
      <c r="A199" s="312" t="s">
        <v>233</v>
      </c>
      <c r="B199" s="284">
        <f t="shared" ref="B199:J199" si="80">+B81</f>
        <v>9944.9139784448562</v>
      </c>
      <c r="C199" s="284">
        <f t="shared" si="80"/>
        <v>33405.607674829589</v>
      </c>
      <c r="D199" s="284">
        <f t="shared" si="80"/>
        <v>693751.11969111965</v>
      </c>
      <c r="E199" s="284">
        <f t="shared" si="80"/>
        <v>33402763</v>
      </c>
      <c r="F199" s="284">
        <f t="shared" si="80"/>
        <v>7817530.5999999996</v>
      </c>
      <c r="G199" s="284">
        <f t="shared" si="80"/>
        <v>865.45077050694306</v>
      </c>
      <c r="H199" s="284">
        <f t="shared" si="80"/>
        <v>1728.868207968671</v>
      </c>
      <c r="I199" s="284">
        <f t="shared" si="80"/>
        <v>10248.202720726738</v>
      </c>
      <c r="J199" s="291">
        <f t="shared" si="80"/>
        <v>16501.989395957142</v>
      </c>
    </row>
    <row r="200" spans="1:10" x14ac:dyDescent="0.2">
      <c r="A200" s="306"/>
      <c r="B200" s="283"/>
      <c r="C200" s="313"/>
      <c r="D200" s="313"/>
      <c r="E200" s="313"/>
      <c r="F200" s="313"/>
      <c r="G200" s="313"/>
      <c r="H200" s="313"/>
      <c r="I200" s="313"/>
      <c r="J200" s="314"/>
    </row>
    <row r="201" spans="1:10" x14ac:dyDescent="0.2">
      <c r="A201" s="306">
        <v>2003</v>
      </c>
      <c r="B201" s="281">
        <f t="shared" ref="B201:I212" si="81">+B83</f>
        <v>10563.762370295133</v>
      </c>
      <c r="C201" s="281">
        <f t="shared" si="81"/>
        <v>32861.114936297097</v>
      </c>
      <c r="D201" s="281">
        <f t="shared" si="81"/>
        <v>503120.08139534883</v>
      </c>
      <c r="E201" s="281">
        <f t="shared" si="81"/>
        <v>67702885</v>
      </c>
      <c r="F201" s="281">
        <f t="shared" si="81"/>
        <v>19234418.199999999</v>
      </c>
      <c r="G201" s="281">
        <f t="shared" si="81"/>
        <v>831.07470921562776</v>
      </c>
      <c r="H201" s="281">
        <f t="shared" si="81"/>
        <v>1320.0289855072465</v>
      </c>
      <c r="I201" s="281">
        <f t="shared" si="81"/>
        <v>10000</v>
      </c>
      <c r="J201" s="315">
        <f t="shared" ref="J201:J212" si="82">+J58/J131</f>
        <v>19614.052803202179</v>
      </c>
    </row>
    <row r="202" spans="1:10" x14ac:dyDescent="0.2">
      <c r="A202" s="306">
        <v>2004</v>
      </c>
      <c r="B202" s="281">
        <f t="shared" si="81"/>
        <v>10189.721552086768</v>
      </c>
      <c r="C202" s="281">
        <f t="shared" si="81"/>
        <v>35846.819247208055</v>
      </c>
      <c r="D202" s="281">
        <f t="shared" si="81"/>
        <v>680437.69811320759</v>
      </c>
      <c r="E202" s="281">
        <f t="shared" si="81"/>
        <v>44857678.399999999</v>
      </c>
      <c r="F202" s="281">
        <f t="shared" si="81"/>
        <v>10946011.333333334</v>
      </c>
      <c r="G202" s="281">
        <f t="shared" si="81"/>
        <v>851.98782532385439</v>
      </c>
      <c r="H202" s="281">
        <f t="shared" si="81"/>
        <v>927.36666666666667</v>
      </c>
      <c r="I202" s="281">
        <f t="shared" si="81"/>
        <v>10000</v>
      </c>
      <c r="J202" s="315">
        <f t="shared" si="82"/>
        <v>19211.491696196583</v>
      </c>
    </row>
    <row r="203" spans="1:10" x14ac:dyDescent="0.2">
      <c r="A203" s="306">
        <v>2005</v>
      </c>
      <c r="B203" s="281">
        <f t="shared" si="81"/>
        <v>10896.364317185555</v>
      </c>
      <c r="C203" s="281">
        <f t="shared" si="81"/>
        <v>37113.333697433096</v>
      </c>
      <c r="D203" s="281">
        <f t="shared" si="81"/>
        <v>694079.90220517735</v>
      </c>
      <c r="E203" s="281">
        <f t="shared" si="81"/>
        <v>31452416.5</v>
      </c>
      <c r="F203" s="281">
        <f t="shared" si="81"/>
        <v>8935594.8000000007</v>
      </c>
      <c r="G203" s="281">
        <f t="shared" si="81"/>
        <v>874.69428966042767</v>
      </c>
      <c r="H203" s="281">
        <f t="shared" si="81"/>
        <v>1464.3050847457628</v>
      </c>
      <c r="I203" s="281">
        <f t="shared" si="81"/>
        <v>10000</v>
      </c>
      <c r="J203" s="315">
        <f t="shared" si="82"/>
        <v>18886.867624487331</v>
      </c>
    </row>
    <row r="204" spans="1:10" x14ac:dyDescent="0.2">
      <c r="A204" s="307">
        <v>2006</v>
      </c>
      <c r="B204" s="281">
        <f t="shared" si="81"/>
        <v>10264.340456436101</v>
      </c>
      <c r="C204" s="281">
        <f t="shared" si="81"/>
        <v>35865.731854030208</v>
      </c>
      <c r="D204" s="281">
        <f t="shared" si="81"/>
        <v>680164.939047619</v>
      </c>
      <c r="E204" s="281">
        <f t="shared" si="81"/>
        <v>29827223</v>
      </c>
      <c r="F204" s="281">
        <f t="shared" si="81"/>
        <v>9472795.7647058815</v>
      </c>
      <c r="G204" s="281">
        <f t="shared" si="81"/>
        <v>867.7430523497369</v>
      </c>
      <c r="H204" s="281">
        <f t="shared" si="81"/>
        <v>1494.5614035087719</v>
      </c>
      <c r="I204" s="281">
        <f t="shared" si="81"/>
        <v>12433.51677852349</v>
      </c>
      <c r="J204" s="315">
        <f t="shared" si="82"/>
        <v>18250.65911536408</v>
      </c>
    </row>
    <row r="205" spans="1:10" x14ac:dyDescent="0.2">
      <c r="A205" s="306">
        <v>2007</v>
      </c>
      <c r="B205" s="281">
        <f t="shared" si="81"/>
        <v>10212.071567357512</v>
      </c>
      <c r="C205" s="281">
        <f t="shared" si="81"/>
        <v>35301.681515070683</v>
      </c>
      <c r="D205" s="281">
        <f t="shared" si="81"/>
        <v>686701.18546845124</v>
      </c>
      <c r="E205" s="281">
        <f t="shared" si="81"/>
        <v>30905923</v>
      </c>
      <c r="F205" s="281">
        <f t="shared" si="81"/>
        <v>11541110.777777778</v>
      </c>
      <c r="G205" s="281">
        <f t="shared" si="81"/>
        <v>860.29174238730548</v>
      </c>
      <c r="H205" s="281">
        <f t="shared" si="81"/>
        <v>1562.566037735849</v>
      </c>
      <c r="I205" s="281">
        <f t="shared" si="81"/>
        <v>12687.259136212624</v>
      </c>
      <c r="J205" s="315">
        <f t="shared" si="82"/>
        <v>18385.181334490684</v>
      </c>
    </row>
    <row r="206" spans="1:10" x14ac:dyDescent="0.2">
      <c r="A206" s="307">
        <v>2008</v>
      </c>
      <c r="B206" s="281">
        <f t="shared" si="81"/>
        <v>10003.056919725866</v>
      </c>
      <c r="C206" s="281">
        <f t="shared" si="81"/>
        <v>34761.570317648606</v>
      </c>
      <c r="D206" s="281">
        <f t="shared" si="81"/>
        <v>660978.72539831302</v>
      </c>
      <c r="E206" s="281">
        <f t="shared" si="81"/>
        <v>18584408.399999999</v>
      </c>
      <c r="F206" s="281">
        <f t="shared" si="81"/>
        <v>11381474.666666666</v>
      </c>
      <c r="G206" s="281">
        <f t="shared" si="81"/>
        <v>836.88336273286586</v>
      </c>
      <c r="H206" s="281">
        <f t="shared" si="81"/>
        <v>1508.9615384615386</v>
      </c>
      <c r="I206" s="281">
        <f t="shared" si="81"/>
        <v>11205.558139534884</v>
      </c>
      <c r="J206" s="315">
        <f t="shared" si="82"/>
        <v>17637.699516137945</v>
      </c>
    </row>
    <row r="207" spans="1:10" x14ac:dyDescent="0.2">
      <c r="A207" s="306">
        <v>2009</v>
      </c>
      <c r="B207" s="281">
        <f t="shared" si="81"/>
        <v>9830.9504542828636</v>
      </c>
      <c r="C207" s="281">
        <f t="shared" si="81"/>
        <v>33169.97149889882</v>
      </c>
      <c r="D207" s="281">
        <f t="shared" si="81"/>
        <v>666255.81142857147</v>
      </c>
      <c r="E207" s="281">
        <f t="shared" si="81"/>
        <v>18290144.5</v>
      </c>
      <c r="F207" s="281">
        <f t="shared" si="81"/>
        <v>9182904.1052631587</v>
      </c>
      <c r="G207" s="281">
        <f t="shared" si="81"/>
        <v>864.56724006440129</v>
      </c>
      <c r="H207" s="281">
        <f t="shared" si="81"/>
        <v>1415.0769230769231</v>
      </c>
      <c r="I207" s="281">
        <f t="shared" si="81"/>
        <v>9340.3471074380159</v>
      </c>
      <c r="J207" s="315">
        <f t="shared" si="82"/>
        <v>16882.867203093814</v>
      </c>
    </row>
    <row r="208" spans="1:10" x14ac:dyDescent="0.2">
      <c r="A208" s="307">
        <v>2010</v>
      </c>
      <c r="B208" s="281">
        <f t="shared" si="81"/>
        <v>9912.6258196593535</v>
      </c>
      <c r="C208" s="281">
        <f t="shared" si="81"/>
        <v>33413.617459913461</v>
      </c>
      <c r="D208" s="281">
        <f t="shared" si="81"/>
        <v>693139.94926829264</v>
      </c>
      <c r="E208" s="281">
        <f t="shared" si="81"/>
        <v>33402763</v>
      </c>
      <c r="F208" s="281">
        <f t="shared" si="81"/>
        <v>8078314.0999999996</v>
      </c>
      <c r="G208" s="281">
        <f t="shared" si="81"/>
        <v>869.31799424784299</v>
      </c>
      <c r="H208" s="281">
        <f t="shared" si="81"/>
        <v>1432.48</v>
      </c>
      <c r="I208" s="281">
        <f t="shared" si="81"/>
        <v>9238.1761827079936</v>
      </c>
      <c r="J208" s="315">
        <f t="shared" si="82"/>
        <v>16811.083967701175</v>
      </c>
    </row>
    <row r="209" spans="1:10" x14ac:dyDescent="0.2">
      <c r="A209" s="307">
        <v>2011</v>
      </c>
      <c r="B209" s="281">
        <f t="shared" si="81"/>
        <v>9960.4736230871222</v>
      </c>
      <c r="C209" s="281">
        <f t="shared" si="81"/>
        <v>34896.715442972869</v>
      </c>
      <c r="D209" s="281">
        <f t="shared" si="81"/>
        <v>690748.07877041306</v>
      </c>
      <c r="E209" s="281">
        <f t="shared" si="81"/>
        <v>37740699</v>
      </c>
      <c r="F209" s="281">
        <f t="shared" si="81"/>
        <v>7990801.5999999996</v>
      </c>
      <c r="G209" s="281">
        <f t="shared" si="81"/>
        <v>845.43533292104723</v>
      </c>
      <c r="H209" s="281">
        <f t="shared" si="81"/>
        <v>1492.1666666666667</v>
      </c>
      <c r="I209" s="281">
        <f t="shared" si="81"/>
        <v>9153.8115702479336</v>
      </c>
      <c r="J209" s="315">
        <f t="shared" si="82"/>
        <v>16948.146830574824</v>
      </c>
    </row>
    <row r="210" spans="1:10" x14ac:dyDescent="0.2">
      <c r="A210" s="307">
        <v>2012</v>
      </c>
      <c r="B210" s="281">
        <f t="shared" si="81"/>
        <v>9654.8105505803633</v>
      </c>
      <c r="C210" s="281">
        <f t="shared" si="81"/>
        <v>34174.990520711595</v>
      </c>
      <c r="D210" s="281">
        <f t="shared" si="81"/>
        <v>661471.17693059624</v>
      </c>
      <c r="E210" s="281">
        <f t="shared" si="81"/>
        <v>40812737</v>
      </c>
      <c r="F210" s="281">
        <f t="shared" si="81"/>
        <v>7316965.4285714282</v>
      </c>
      <c r="G210" s="281">
        <f t="shared" si="81"/>
        <v>830.23892573487262</v>
      </c>
      <c r="H210" s="281">
        <f t="shared" si="81"/>
        <v>1492.1666666666667</v>
      </c>
      <c r="I210" s="281">
        <f t="shared" si="81"/>
        <v>9291.7123519458546</v>
      </c>
      <c r="J210" s="315">
        <f t="shared" si="82"/>
        <v>16287.46751710225</v>
      </c>
    </row>
    <row r="211" spans="1:10" x14ac:dyDescent="0.2">
      <c r="A211" s="465">
        <v>2013</v>
      </c>
      <c r="B211" s="321">
        <f t="shared" si="81"/>
        <v>9598.5630705226595</v>
      </c>
      <c r="C211" s="321">
        <f t="shared" si="81"/>
        <v>33905.014214368035</v>
      </c>
      <c r="D211" s="321">
        <f t="shared" si="81"/>
        <v>674247.33600000001</v>
      </c>
      <c r="E211" s="321">
        <f t="shared" si="81"/>
        <v>42326219</v>
      </c>
      <c r="F211" s="321">
        <f t="shared" si="81"/>
        <v>7197839.3636363633</v>
      </c>
      <c r="G211" s="321">
        <f t="shared" si="81"/>
        <v>736.45116561929865</v>
      </c>
      <c r="H211" s="321">
        <f t="shared" si="81"/>
        <v>1492.1666666666667</v>
      </c>
      <c r="I211" s="321">
        <f t="shared" si="81"/>
        <v>9330.2237288135602</v>
      </c>
      <c r="J211" s="322">
        <f t="shared" si="82"/>
        <v>16192.496831070528</v>
      </c>
    </row>
    <row r="212" spans="1:10" ht="13.5" thickBot="1" x14ac:dyDescent="0.25">
      <c r="A212" s="308" t="s">
        <v>318</v>
      </c>
      <c r="B212" s="294">
        <f t="shared" si="81"/>
        <v>9670.9029829191768</v>
      </c>
      <c r="C212" s="294">
        <f t="shared" si="81"/>
        <v>33834.049841872235</v>
      </c>
      <c r="D212" s="294">
        <f t="shared" si="81"/>
        <v>669464.90348258708</v>
      </c>
      <c r="E212" s="294">
        <f t="shared" si="81"/>
        <v>42700435</v>
      </c>
      <c r="F212" s="294">
        <f t="shared" si="81"/>
        <v>7400031.4545454541</v>
      </c>
      <c r="G212" s="294">
        <f t="shared" si="81"/>
        <v>734.55613943599826</v>
      </c>
      <c r="H212" s="294">
        <f t="shared" si="81"/>
        <v>1492.1666666666667</v>
      </c>
      <c r="I212" s="294">
        <f t="shared" si="81"/>
        <v>9175.0219966159057</v>
      </c>
      <c r="J212" s="316">
        <f t="shared" si="82"/>
        <v>16183.628573758218</v>
      </c>
    </row>
    <row r="214" spans="1:10" ht="13.5" thickBot="1" x14ac:dyDescent="0.25"/>
    <row r="215" spans="1:10" ht="24.75" thickBot="1" x14ac:dyDescent="0.25">
      <c r="A215" s="286" t="s">
        <v>117</v>
      </c>
      <c r="B215" s="279" t="s">
        <v>71</v>
      </c>
      <c r="C215" s="279" t="s">
        <v>242</v>
      </c>
      <c r="D215" s="279" t="s">
        <v>241</v>
      </c>
      <c r="E215" s="279" t="s">
        <v>74</v>
      </c>
      <c r="F215" s="279" t="s">
        <v>243</v>
      </c>
      <c r="G215" s="279" t="s">
        <v>244</v>
      </c>
      <c r="H215" s="279" t="s">
        <v>245</v>
      </c>
      <c r="I215" s="279" t="s">
        <v>76</v>
      </c>
      <c r="J215" s="280" t="s">
        <v>9</v>
      </c>
    </row>
    <row r="216" spans="1:10" x14ac:dyDescent="0.2">
      <c r="A216" s="309" t="s">
        <v>247</v>
      </c>
      <c r="B216" s="310"/>
      <c r="C216" s="310"/>
      <c r="D216" s="310"/>
      <c r="E216" s="310"/>
      <c r="F216" s="310"/>
      <c r="G216" s="310"/>
      <c r="H216" s="310"/>
      <c r="I216" s="310"/>
      <c r="J216" s="311"/>
    </row>
    <row r="217" spans="1:10" x14ac:dyDescent="0.2">
      <c r="A217" s="306">
        <v>2004</v>
      </c>
      <c r="B217" s="282">
        <f t="shared" ref="B217:B227" si="83">+B202/B201</f>
        <v>0.96459208328463042</v>
      </c>
      <c r="C217" s="282">
        <f t="shared" ref="C217:H218" si="84">+C202/C201</f>
        <v>1.0908582778368565</v>
      </c>
      <c r="D217" s="282">
        <f t="shared" si="84"/>
        <v>1.3524359755748323</v>
      </c>
      <c r="E217" s="282">
        <f t="shared" si="84"/>
        <v>0.66256671927643851</v>
      </c>
      <c r="F217" s="282">
        <f t="shared" si="84"/>
        <v>0.56908460757775015</v>
      </c>
      <c r="G217" s="282">
        <f t="shared" si="84"/>
        <v>1.0251639423944985</v>
      </c>
      <c r="H217" s="282">
        <f t="shared" si="84"/>
        <v>0.70253507828110928</v>
      </c>
      <c r="I217" s="282">
        <f t="shared" ref="I217:I218" si="85">+I202/I201</f>
        <v>1</v>
      </c>
      <c r="J217" s="293">
        <f t="shared" ref="J217:J227" si="86">+J202/J201</f>
        <v>0.97947588338602443</v>
      </c>
    </row>
    <row r="218" spans="1:10" x14ac:dyDescent="0.2">
      <c r="A218" s="306">
        <v>2005</v>
      </c>
      <c r="B218" s="282">
        <f t="shared" si="83"/>
        <v>1.0693485844030812</v>
      </c>
      <c r="C218" s="282">
        <f t="shared" si="84"/>
        <v>1.0353312923384042</v>
      </c>
      <c r="D218" s="282">
        <f t="shared" si="84"/>
        <v>1.0200491597243926</v>
      </c>
      <c r="E218" s="282">
        <f t="shared" si="84"/>
        <v>0.70116014965232798</v>
      </c>
      <c r="F218" s="282">
        <f t="shared" si="84"/>
        <v>0.81633341387002645</v>
      </c>
      <c r="G218" s="282">
        <f t="shared" si="84"/>
        <v>1.0266511605702138</v>
      </c>
      <c r="H218" s="282">
        <f t="shared" si="84"/>
        <v>1.5789925790723871</v>
      </c>
      <c r="I218" s="282">
        <f t="shared" si="85"/>
        <v>1</v>
      </c>
      <c r="J218" s="293">
        <f t="shared" si="86"/>
        <v>0.98310260978987285</v>
      </c>
    </row>
    <row r="219" spans="1:10" x14ac:dyDescent="0.2">
      <c r="A219" s="307">
        <v>2006</v>
      </c>
      <c r="B219" s="282">
        <f t="shared" si="83"/>
        <v>0.94199681266597912</v>
      </c>
      <c r="C219" s="282">
        <f t="shared" ref="C219:I219" si="87">+C204/C203</f>
        <v>0.96638399951958032</v>
      </c>
      <c r="D219" s="282">
        <f t="shared" si="87"/>
        <v>0.97995192900219585</v>
      </c>
      <c r="E219" s="282">
        <f t="shared" si="87"/>
        <v>0.94832850124568335</v>
      </c>
      <c r="F219" s="282">
        <f t="shared" si="87"/>
        <v>1.060119217212701</v>
      </c>
      <c r="G219" s="282">
        <f t="shared" si="87"/>
        <v>0.9920529522224395</v>
      </c>
      <c r="H219" s="282">
        <f t="shared" si="87"/>
        <v>1.0206625785010248</v>
      </c>
      <c r="I219" s="282">
        <f t="shared" si="87"/>
        <v>1.243351677852349</v>
      </c>
      <c r="J219" s="293">
        <f t="shared" si="86"/>
        <v>0.96631476845327224</v>
      </c>
    </row>
    <row r="220" spans="1:10" x14ac:dyDescent="0.2">
      <c r="A220" s="306">
        <v>2007</v>
      </c>
      <c r="B220" s="282">
        <f t="shared" si="83"/>
        <v>0.9949077206372462</v>
      </c>
      <c r="C220" s="282">
        <f t="shared" ref="C220:I220" si="88">+C205/C204</f>
        <v>0.98427327954005928</v>
      </c>
      <c r="D220" s="282">
        <f t="shared" si="88"/>
        <v>1.0096097961620669</v>
      </c>
      <c r="E220" s="282">
        <f t="shared" si="88"/>
        <v>1.0361649490467149</v>
      </c>
      <c r="F220" s="282">
        <f t="shared" si="88"/>
        <v>1.2183426165249025</v>
      </c>
      <c r="G220" s="282">
        <f t="shared" si="88"/>
        <v>0.99141299957141205</v>
      </c>
      <c r="H220" s="282">
        <f t="shared" si="88"/>
        <v>1.0455013986494117</v>
      </c>
      <c r="I220" s="282">
        <f t="shared" si="88"/>
        <v>1.0204079314170731</v>
      </c>
      <c r="J220" s="293">
        <f t="shared" si="86"/>
        <v>1.0073708142964195</v>
      </c>
    </row>
    <row r="221" spans="1:10" x14ac:dyDescent="0.2">
      <c r="A221" s="307">
        <v>2008</v>
      </c>
      <c r="B221" s="282">
        <f t="shared" si="83"/>
        <v>0.97953259079188659</v>
      </c>
      <c r="C221" s="282">
        <f t="shared" ref="C221:I221" si="89">+C206/C205</f>
        <v>0.98470012831565834</v>
      </c>
      <c r="D221" s="282">
        <f t="shared" si="89"/>
        <v>0.96254198971188476</v>
      </c>
      <c r="E221" s="282">
        <f t="shared" si="89"/>
        <v>0.60132190195387458</v>
      </c>
      <c r="F221" s="282">
        <f t="shared" si="89"/>
        <v>0.98616804619720932</v>
      </c>
      <c r="G221" s="282">
        <f t="shared" si="89"/>
        <v>0.97279018442106457</v>
      </c>
      <c r="H221" s="282">
        <f t="shared" si="89"/>
        <v>0.96569457035429807</v>
      </c>
      <c r="I221" s="282">
        <f t="shared" si="89"/>
        <v>0.88321346787592647</v>
      </c>
      <c r="J221" s="293">
        <f t="shared" si="86"/>
        <v>0.95934324471684929</v>
      </c>
    </row>
    <row r="222" spans="1:10" x14ac:dyDescent="0.2">
      <c r="A222" s="306">
        <v>2009</v>
      </c>
      <c r="B222" s="282">
        <f t="shared" si="83"/>
        <v>0.98279461300438953</v>
      </c>
      <c r="C222" s="282">
        <f t="shared" ref="C222:I222" si="90">+C207/C206</f>
        <v>0.95421384004790699</v>
      </c>
      <c r="D222" s="282">
        <f t="shared" si="90"/>
        <v>1.0079837456600111</v>
      </c>
      <c r="E222" s="282">
        <f t="shared" si="90"/>
        <v>0.98416608731004862</v>
      </c>
      <c r="F222" s="282">
        <f t="shared" si="90"/>
        <v>0.80682902472712614</v>
      </c>
      <c r="G222" s="282">
        <f t="shared" si="90"/>
        <v>1.0330797319726048</v>
      </c>
      <c r="H222" s="282">
        <f t="shared" si="90"/>
        <v>0.93778196926057145</v>
      </c>
      <c r="I222" s="282">
        <f t="shared" si="90"/>
        <v>0.83354590562373465</v>
      </c>
      <c r="J222" s="293">
        <f t="shared" si="86"/>
        <v>0.95720347132836214</v>
      </c>
    </row>
    <row r="223" spans="1:10" x14ac:dyDescent="0.2">
      <c r="A223" s="307">
        <v>2010</v>
      </c>
      <c r="B223" s="282">
        <f t="shared" si="83"/>
        <v>1.0083079826061891</v>
      </c>
      <c r="C223" s="282">
        <f t="shared" ref="C223:H223" si="91">+C208/C207</f>
        <v>1.0073453774605363</v>
      </c>
      <c r="D223" s="282">
        <f t="shared" si="91"/>
        <v>1.0403510744350233</v>
      </c>
      <c r="E223" s="282">
        <f t="shared" si="91"/>
        <v>1.8262711374423533</v>
      </c>
      <c r="F223" s="282">
        <f t="shared" si="91"/>
        <v>0.87971234452616509</v>
      </c>
      <c r="G223" s="282">
        <f t="shared" si="91"/>
        <v>1.0054949504946402</v>
      </c>
      <c r="H223" s="282">
        <f t="shared" si="91"/>
        <v>1.0122983257229832</v>
      </c>
      <c r="I223" s="282">
        <f>+I208/I207</f>
        <v>0.98906133534923335</v>
      </c>
      <c r="J223" s="293">
        <f t="shared" si="86"/>
        <v>0.99574816087047791</v>
      </c>
    </row>
    <row r="224" spans="1:10" x14ac:dyDescent="0.2">
      <c r="A224" s="307">
        <v>2011</v>
      </c>
      <c r="B224" s="282">
        <f t="shared" si="83"/>
        <v>1.0048269554705549</v>
      </c>
      <c r="C224" s="282">
        <f t="shared" ref="C224:H224" si="92">+C209/C208</f>
        <v>1.0443860346710048</v>
      </c>
      <c r="D224" s="282">
        <f t="shared" si="92"/>
        <v>0.99654922429387527</v>
      </c>
      <c r="E224" s="282">
        <f t="shared" si="92"/>
        <v>1.129867580116052</v>
      </c>
      <c r="F224" s="282">
        <f t="shared" si="92"/>
        <v>0.98916698473014308</v>
      </c>
      <c r="G224" s="282">
        <f t="shared" si="92"/>
        <v>0.97252712875515746</v>
      </c>
      <c r="H224" s="282">
        <f t="shared" si="92"/>
        <v>1.0416666666666667</v>
      </c>
      <c r="I224" s="282">
        <f>+I209/I208</f>
        <v>0.99086782815227392</v>
      </c>
      <c r="J224" s="293">
        <f t="shared" si="86"/>
        <v>1.0081531246371136</v>
      </c>
    </row>
    <row r="225" spans="1:12" x14ac:dyDescent="0.2">
      <c r="A225" s="307">
        <v>2012</v>
      </c>
      <c r="B225" s="282">
        <f t="shared" si="83"/>
        <v>0.96931239576818207</v>
      </c>
      <c r="C225" s="282">
        <f t="shared" ref="C225:H225" si="93">+C210/C209</f>
        <v>0.97931825637170078</v>
      </c>
      <c r="D225" s="282">
        <f t="shared" si="93"/>
        <v>0.95761565939939775</v>
      </c>
      <c r="E225" s="282">
        <f t="shared" si="93"/>
        <v>1.0813985453740536</v>
      </c>
      <c r="F225" s="282">
        <f t="shared" si="93"/>
        <v>0.91567351998470703</v>
      </c>
      <c r="G225" s="282">
        <f t="shared" si="93"/>
        <v>0.98202534647603412</v>
      </c>
      <c r="H225" s="282">
        <f t="shared" si="93"/>
        <v>1</v>
      </c>
      <c r="I225" s="282">
        <f>+I210/I209</f>
        <v>1.0150648481935254</v>
      </c>
      <c r="J225" s="293">
        <f t="shared" si="86"/>
        <v>0.96101760740704145</v>
      </c>
    </row>
    <row r="226" spans="1:12" x14ac:dyDescent="0.2">
      <c r="A226" s="307">
        <v>2013</v>
      </c>
      <c r="B226" s="282">
        <f t="shared" si="83"/>
        <v>0.99417414979164742</v>
      </c>
      <c r="C226" s="282">
        <f t="shared" ref="C226:H227" si="94">+C211/C210</f>
        <v>0.99210017904233383</v>
      </c>
      <c r="D226" s="282">
        <f t="shared" si="94"/>
        <v>1.019314763084143</v>
      </c>
      <c r="E226" s="282">
        <f t="shared" si="94"/>
        <v>1.0370835702589611</v>
      </c>
      <c r="F226" s="282">
        <f t="shared" si="94"/>
        <v>0.98371919806127561</v>
      </c>
      <c r="G226" s="282">
        <f t="shared" si="94"/>
        <v>0.88703521696172072</v>
      </c>
      <c r="H226" s="282">
        <f t="shared" si="94"/>
        <v>1</v>
      </c>
      <c r="I226" s="282">
        <f>+I211/I210</f>
        <v>1.0041447017954275</v>
      </c>
      <c r="J226" s="293">
        <f t="shared" si="86"/>
        <v>0.99416909437074852</v>
      </c>
    </row>
    <row r="227" spans="1:12" x14ac:dyDescent="0.2">
      <c r="A227" s="307" t="s">
        <v>318</v>
      </c>
      <c r="B227" s="282">
        <f t="shared" si="83"/>
        <v>1.0075365356111139</v>
      </c>
      <c r="C227" s="282">
        <f t="shared" si="94"/>
        <v>0.99790696526339373</v>
      </c>
      <c r="D227" s="282">
        <f t="shared" si="94"/>
        <v>0.99290700569054535</v>
      </c>
      <c r="E227" s="282">
        <f t="shared" si="94"/>
        <v>1.0088412338460944</v>
      </c>
      <c r="F227" s="282">
        <f t="shared" si="94"/>
        <v>1.0280906645306047</v>
      </c>
      <c r="G227" s="282">
        <f t="shared" si="94"/>
        <v>0.99742681351898355</v>
      </c>
      <c r="H227" s="282">
        <f t="shared" si="94"/>
        <v>1</v>
      </c>
      <c r="I227" s="282">
        <f>+I212/I211</f>
        <v>0.98336570089757214</v>
      </c>
      <c r="J227" s="293">
        <f t="shared" si="86"/>
        <v>0.99945232304783949</v>
      </c>
    </row>
    <row r="228" spans="1:12" x14ac:dyDescent="0.2">
      <c r="A228" s="317" t="s">
        <v>250</v>
      </c>
      <c r="B228" s="285">
        <f>+'Rate Class Energy Model'!H61</f>
        <v>0.9947878470208662</v>
      </c>
      <c r="C228" s="285">
        <f>+'Rate Class Energy Model'!I61</f>
        <v>0.99423794945908262</v>
      </c>
      <c r="D228" s="285">
        <f>+'Rate Class Energy Model'!J61</f>
        <v>0.99837556851714915</v>
      </c>
      <c r="E228" s="285">
        <f>+'Rate Class Energy Model'!K61</f>
        <v>1.0088412338460944</v>
      </c>
      <c r="F228" s="285">
        <f>+'Rate Class Energy Model'!L61</f>
        <v>1</v>
      </c>
      <c r="G228" s="285">
        <f>+'Rate Class Energy Model'!M61</f>
        <v>0.99</v>
      </c>
      <c r="H228" s="285">
        <f>+'Rate Class Energy Model'!N61</f>
        <v>1</v>
      </c>
      <c r="I228" s="285">
        <f>+'Rate Class Energy Model'!O61</f>
        <v>1</v>
      </c>
      <c r="J228" s="318">
        <f>+J238/J212</f>
        <v>0.97454950047836186</v>
      </c>
    </row>
    <row r="229" spans="1:12" ht="13.5" thickBot="1" x14ac:dyDescent="0.25">
      <c r="A229" s="319" t="s">
        <v>248</v>
      </c>
      <c r="B229" s="304">
        <f>GEOMEAN(B217:B227)</f>
        <v>0.99200415501983619</v>
      </c>
      <c r="C229" s="304">
        <f t="shared" ref="C229:J229" si="95">GEOMEAN(C217:C227)</f>
        <v>1.0026560342306392</v>
      </c>
      <c r="D229" s="304">
        <f t="shared" si="95"/>
        <v>1.0263082805383894</v>
      </c>
      <c r="E229" s="304">
        <f t="shared" si="95"/>
        <v>0.95896395615114416</v>
      </c>
      <c r="F229" s="304">
        <f t="shared" si="95"/>
        <v>0.91682568953368548</v>
      </c>
      <c r="G229" s="304">
        <f t="shared" si="95"/>
        <v>0.98883971876667598</v>
      </c>
      <c r="H229" s="304">
        <f t="shared" si="95"/>
        <v>1.0112055449611201</v>
      </c>
      <c r="I229" s="304">
        <f t="shared" si="95"/>
        <v>0.99220325339865656</v>
      </c>
      <c r="J229" s="320">
        <f t="shared" si="95"/>
        <v>0.98267491378095584</v>
      </c>
    </row>
    <row r="232" spans="1:12" ht="13.5" thickBot="1" x14ac:dyDescent="0.25"/>
    <row r="233" spans="1:12" ht="24.75" thickBot="1" x14ac:dyDescent="0.25">
      <c r="A233" s="286" t="s">
        <v>117</v>
      </c>
      <c r="B233" s="279" t="s">
        <v>71</v>
      </c>
      <c r="C233" s="279" t="s">
        <v>242</v>
      </c>
      <c r="D233" s="279" t="s">
        <v>241</v>
      </c>
      <c r="E233" s="279" t="s">
        <v>74</v>
      </c>
      <c r="F233" s="279" t="s">
        <v>243</v>
      </c>
      <c r="G233" s="279" t="s">
        <v>244</v>
      </c>
      <c r="H233" s="279" t="s">
        <v>245</v>
      </c>
      <c r="I233" s="279" t="s">
        <v>76</v>
      </c>
      <c r="J233" s="280" t="s">
        <v>9</v>
      </c>
    </row>
    <row r="234" spans="1:12" x14ac:dyDescent="0.2">
      <c r="A234" s="309" t="s">
        <v>269</v>
      </c>
      <c r="B234" s="310"/>
      <c r="C234" s="310"/>
      <c r="D234" s="310"/>
      <c r="E234" s="310"/>
      <c r="F234" s="310"/>
      <c r="G234" s="310"/>
      <c r="H234" s="310"/>
      <c r="I234" s="310"/>
      <c r="J234" s="311"/>
    </row>
    <row r="235" spans="1:12" x14ac:dyDescent="0.2">
      <c r="A235" s="312" t="s">
        <v>119</v>
      </c>
      <c r="B235" s="284">
        <f>+B198</f>
        <v>10312.478017907415</v>
      </c>
      <c r="C235" s="284">
        <f t="shared" ref="C235:J235" si="96">+C198</f>
        <v>36436.199739921976</v>
      </c>
      <c r="D235" s="284">
        <f t="shared" si="96"/>
        <v>687468.15134099615</v>
      </c>
      <c r="E235" s="284">
        <f t="shared" si="96"/>
        <v>30069991</v>
      </c>
      <c r="F235" s="284">
        <f t="shared" si="96"/>
        <v>8995177.8888888881</v>
      </c>
      <c r="G235" s="284">
        <f t="shared" si="96"/>
        <v>864.62257510729614</v>
      </c>
      <c r="H235" s="284">
        <f t="shared" si="96"/>
        <v>530.03896103896102</v>
      </c>
      <c r="I235" s="284">
        <f t="shared" si="96"/>
        <v>12596.537704918033</v>
      </c>
      <c r="J235" s="291">
        <f t="shared" si="96"/>
        <v>17928.45828162066</v>
      </c>
    </row>
    <row r="236" spans="1:12" x14ac:dyDescent="0.2">
      <c r="A236" s="312" t="s">
        <v>233</v>
      </c>
      <c r="B236" s="284">
        <f>+B199</f>
        <v>9944.9139784448562</v>
      </c>
      <c r="C236" s="284">
        <f t="shared" ref="C236:J236" si="97">+C199</f>
        <v>33405.607674829589</v>
      </c>
      <c r="D236" s="284">
        <f t="shared" si="97"/>
        <v>693751.11969111965</v>
      </c>
      <c r="E236" s="284">
        <f t="shared" si="97"/>
        <v>33402763</v>
      </c>
      <c r="F236" s="284">
        <f t="shared" si="97"/>
        <v>7817530.5999999996</v>
      </c>
      <c r="G236" s="284">
        <f t="shared" si="97"/>
        <v>865.45077050694306</v>
      </c>
      <c r="H236" s="284">
        <f t="shared" si="97"/>
        <v>1728.868207968671</v>
      </c>
      <c r="I236" s="284">
        <f t="shared" si="97"/>
        <v>10248.202720726738</v>
      </c>
      <c r="J236" s="291">
        <f t="shared" si="97"/>
        <v>16501.989395957142</v>
      </c>
    </row>
    <row r="237" spans="1:12" x14ac:dyDescent="0.2">
      <c r="A237" s="306"/>
      <c r="B237" s="283"/>
      <c r="C237" s="313"/>
      <c r="D237" s="313"/>
      <c r="E237" s="313"/>
      <c r="F237" s="313"/>
      <c r="G237" s="313"/>
      <c r="H237" s="313"/>
      <c r="I237" s="313"/>
      <c r="J237" s="314"/>
      <c r="L237" s="448"/>
    </row>
    <row r="238" spans="1:12" x14ac:dyDescent="0.2">
      <c r="A238" s="307" t="str">
        <f>+A180</f>
        <v>2015 Test Year (Regression)</v>
      </c>
      <c r="B238" s="281">
        <f>+B212*B$228</f>
        <v>9620.4967571258403</v>
      </c>
      <c r="C238" s="281">
        <f t="shared" ref="C238:F238" si="98">+C212*C$228</f>
        <v>33639.096336679446</v>
      </c>
      <c r="D238" s="281">
        <f t="shared" si="98"/>
        <v>668377.40361670626</v>
      </c>
      <c r="E238" s="281">
        <f t="shared" si="98"/>
        <v>43077959.531164952</v>
      </c>
      <c r="F238" s="281">
        <f t="shared" si="98"/>
        <v>7400031.4545454541</v>
      </c>
      <c r="G238" s="281">
        <f>+G212*G$228</f>
        <v>727.21057804163831</v>
      </c>
      <c r="H238" s="281">
        <f>+H212*H$228</f>
        <v>1492.1666666666667</v>
      </c>
      <c r="I238" s="281">
        <f>+I212*I$228</f>
        <v>9175.0219966159057</v>
      </c>
      <c r="J238" s="315">
        <f>+'Rate Class Energy Model'!G66/'Chart II'!J180</f>
        <v>15771.747142483415</v>
      </c>
      <c r="L238" s="448"/>
    </row>
    <row r="239" spans="1:12" x14ac:dyDescent="0.2">
      <c r="A239" s="307" t="str">
        <f>+A181</f>
        <v>2016 Test Year (Regression)</v>
      </c>
      <c r="B239" s="281">
        <f>+B238*B$228</f>
        <v>9570.3532562924393</v>
      </c>
      <c r="C239" s="281">
        <f t="shared" ref="C239:I242" si="99">+C238*C$228</f>
        <v>33445.26616343671</v>
      </c>
      <c r="D239" s="281">
        <f t="shared" si="99"/>
        <v>667291.6703198452</v>
      </c>
      <c r="E239" s="281">
        <f t="shared" si="99"/>
        <v>43458821.844992571</v>
      </c>
      <c r="F239" s="281">
        <f>+F238*F$228</f>
        <v>7400031.4545454541</v>
      </c>
      <c r="G239" s="281">
        <f t="shared" ref="G239" si="100">+G238*G$228</f>
        <v>719.93847226122193</v>
      </c>
      <c r="H239" s="281">
        <f t="shared" si="99"/>
        <v>1492.1666666666667</v>
      </c>
      <c r="I239" s="281">
        <f t="shared" si="99"/>
        <v>9175.0219966159057</v>
      </c>
      <c r="J239" s="315">
        <f>+'Rate Class Energy Model'!G67/'Chart II'!J181</f>
        <v>15370.578275728067</v>
      </c>
      <c r="L239" s="448"/>
    </row>
    <row r="240" spans="1:12" x14ac:dyDescent="0.2">
      <c r="A240" s="307" t="str">
        <f>+A182</f>
        <v>2017 Test Year (Regression)</v>
      </c>
      <c r="B240" s="281">
        <f>+B239*B$228</f>
        <v>9520.4711110562912</v>
      </c>
      <c r="C240" s="281">
        <f t="shared" si="99"/>
        <v>33252.552849448555</v>
      </c>
      <c r="D240" s="281">
        <f t="shared" si="99"/>
        <v>666207.70072233351</v>
      </c>
      <c r="E240" s="281">
        <f t="shared" si="99"/>
        <v>43843051.451599903</v>
      </c>
      <c r="F240" s="281">
        <f>+F239*F$228</f>
        <v>7400031.4545454541</v>
      </c>
      <c r="G240" s="281">
        <f t="shared" ref="G240" si="101">+G239*G$228</f>
        <v>712.73908753860974</v>
      </c>
      <c r="H240" s="281">
        <f t="shared" si="99"/>
        <v>1492.1666666666667</v>
      </c>
      <c r="I240" s="281">
        <f t="shared" si="99"/>
        <v>9175.0219966159057</v>
      </c>
      <c r="J240" s="315">
        <f>+'Rate Class Energy Model'!G68/'Chart II'!J182</f>
        <v>14979.881468455755</v>
      </c>
      <c r="L240" s="448"/>
    </row>
    <row r="241" spans="1:12" x14ac:dyDescent="0.2">
      <c r="A241" s="307" t="str">
        <f>+A183</f>
        <v>2018 Test Year (Regression)</v>
      </c>
      <c r="B241" s="281">
        <f>+B240*B$228</f>
        <v>9470.8489591920425</v>
      </c>
      <c r="C241" s="281">
        <f t="shared" si="99"/>
        <v>33060.949959315505</v>
      </c>
      <c r="D241" s="281">
        <f t="shared" si="99"/>
        <v>665125.49195916252</v>
      </c>
      <c r="E241" s="281">
        <f t="shared" si="99"/>
        <v>44230678.122009844</v>
      </c>
      <c r="F241" s="281">
        <f>+F240*F$228</f>
        <v>7400031.4545454541</v>
      </c>
      <c r="G241" s="281">
        <f t="shared" ref="G241" si="102">+G240*G$228</f>
        <v>705.6116966632236</v>
      </c>
      <c r="H241" s="281">
        <f t="shared" si="99"/>
        <v>1492.1666666666667</v>
      </c>
      <c r="I241" s="281">
        <f t="shared" si="99"/>
        <v>9175.0219966159057</v>
      </c>
      <c r="J241" s="315">
        <f>+'Rate Class Energy Model'!G69/'Chart II'!J183</f>
        <v>14599.328359303285</v>
      </c>
      <c r="L241" s="448"/>
    </row>
    <row r="242" spans="1:12" ht="13.5" thickBot="1" x14ac:dyDescent="0.25">
      <c r="A242" s="308" t="str">
        <f>+A184</f>
        <v>2019 Test Year (Regression)</v>
      </c>
      <c r="B242" s="294">
        <f>+B241*B$228</f>
        <v>9421.4854455744626</v>
      </c>
      <c r="C242" s="294">
        <f t="shared" si="99"/>
        <v>32870.451094719188</v>
      </c>
      <c r="D242" s="294">
        <f t="shared" si="99"/>
        <v>664045.0411699774</v>
      </c>
      <c r="E242" s="294">
        <f t="shared" si="99"/>
        <v>44621731.890457861</v>
      </c>
      <c r="F242" s="294">
        <f>+F241*F$228</f>
        <v>7400031.4545454541</v>
      </c>
      <c r="G242" s="294">
        <f t="shared" ref="G242" si="103">+G241*G$228</f>
        <v>698.55557969659139</v>
      </c>
      <c r="H242" s="294">
        <f t="shared" si="99"/>
        <v>1492.1666666666667</v>
      </c>
      <c r="I242" s="294">
        <f t="shared" si="99"/>
        <v>9175.0219966159057</v>
      </c>
      <c r="J242" s="316">
        <f>+'Rate Class Energy Model'!G70/'Chart II'!J184</f>
        <v>14228.745694280118</v>
      </c>
    </row>
    <row r="244" spans="1:12" ht="13.5" thickBot="1" x14ac:dyDescent="0.25"/>
    <row r="245" spans="1:12" ht="24.75" thickBot="1" x14ac:dyDescent="0.25">
      <c r="A245" s="286" t="s">
        <v>117</v>
      </c>
      <c r="B245" s="279" t="s">
        <v>71</v>
      </c>
      <c r="C245" s="279" t="s">
        <v>242</v>
      </c>
      <c r="D245" s="279" t="s">
        <v>241</v>
      </c>
      <c r="E245" s="279" t="s">
        <v>74</v>
      </c>
      <c r="F245" s="279" t="s">
        <v>243</v>
      </c>
      <c r="G245" s="279" t="s">
        <v>244</v>
      </c>
      <c r="H245" s="279" t="s">
        <v>245</v>
      </c>
      <c r="I245" s="279" t="s">
        <v>76</v>
      </c>
      <c r="J245" s="280" t="s">
        <v>9</v>
      </c>
    </row>
    <row r="246" spans="1:12" x14ac:dyDescent="0.2">
      <c r="A246" s="309" t="s">
        <v>270</v>
      </c>
      <c r="B246" s="310"/>
      <c r="C246" s="310"/>
      <c r="D246" s="310"/>
      <c r="E246" s="310"/>
      <c r="F246" s="310"/>
      <c r="G246" s="310"/>
      <c r="H246" s="310"/>
      <c r="I246" s="310"/>
      <c r="J246" s="311"/>
    </row>
    <row r="247" spans="1:12" x14ac:dyDescent="0.2">
      <c r="A247" s="312" t="s">
        <v>119</v>
      </c>
      <c r="B247" s="284">
        <f t="shared" ref="B247:J247" si="104">+B235</f>
        <v>10312.478017907415</v>
      </c>
      <c r="C247" s="284">
        <f t="shared" si="104"/>
        <v>36436.199739921976</v>
      </c>
      <c r="D247" s="284">
        <f t="shared" si="104"/>
        <v>687468.15134099615</v>
      </c>
      <c r="E247" s="284">
        <f t="shared" si="104"/>
        <v>30069991</v>
      </c>
      <c r="F247" s="284">
        <f t="shared" si="104"/>
        <v>8995177.8888888881</v>
      </c>
      <c r="G247" s="284">
        <f t="shared" si="104"/>
        <v>864.62257510729614</v>
      </c>
      <c r="H247" s="284">
        <f t="shared" si="104"/>
        <v>530.03896103896102</v>
      </c>
      <c r="I247" s="284">
        <f t="shared" si="104"/>
        <v>12596.537704918033</v>
      </c>
      <c r="J247" s="291">
        <f t="shared" si="104"/>
        <v>17928.45828162066</v>
      </c>
    </row>
    <row r="248" spans="1:12" x14ac:dyDescent="0.2">
      <c r="A248" s="312" t="s">
        <v>233</v>
      </c>
      <c r="B248" s="284">
        <f t="shared" ref="B248:J248" si="105">+B236</f>
        <v>9944.9139784448562</v>
      </c>
      <c r="C248" s="284">
        <f t="shared" si="105"/>
        <v>33405.607674829589</v>
      </c>
      <c r="D248" s="284">
        <f t="shared" si="105"/>
        <v>693751.11969111965</v>
      </c>
      <c r="E248" s="284">
        <f t="shared" si="105"/>
        <v>33402763</v>
      </c>
      <c r="F248" s="284">
        <f t="shared" si="105"/>
        <v>7817530.5999999996</v>
      </c>
      <c r="G248" s="284">
        <f t="shared" si="105"/>
        <v>865.45077050694306</v>
      </c>
      <c r="H248" s="284">
        <f t="shared" si="105"/>
        <v>1728.868207968671</v>
      </c>
      <c r="I248" s="284">
        <f t="shared" si="105"/>
        <v>10248.202720726738</v>
      </c>
      <c r="J248" s="291">
        <f t="shared" si="105"/>
        <v>16501.989395957142</v>
      </c>
    </row>
    <row r="249" spans="1:12" x14ac:dyDescent="0.2">
      <c r="A249" s="306"/>
      <c r="B249" s="283"/>
      <c r="C249" s="313"/>
      <c r="D249" s="313"/>
      <c r="E249" s="313"/>
      <c r="F249" s="313"/>
      <c r="G249" s="313"/>
      <c r="H249" s="313"/>
      <c r="I249" s="313"/>
      <c r="J249" s="314"/>
    </row>
    <row r="250" spans="1:12" x14ac:dyDescent="0.2">
      <c r="A250" s="307" t="str">
        <f>+A238</f>
        <v>2015 Test Year (Regression)</v>
      </c>
      <c r="B250" s="281">
        <f t="shared" ref="B250:J250" ca="1" si="106">+B95</f>
        <v>9705.4067873198055</v>
      </c>
      <c r="C250" s="281">
        <f t="shared" ca="1" si="106"/>
        <v>33935.993342910391</v>
      </c>
      <c r="D250" s="281">
        <f t="shared" ca="1" si="106"/>
        <v>673915.98267433897</v>
      </c>
      <c r="E250" s="281">
        <f t="shared" ca="1" si="106"/>
        <v>43077959.531164952</v>
      </c>
      <c r="F250" s="281">
        <f t="shared" ca="1" si="106"/>
        <v>7456500.3343447391</v>
      </c>
      <c r="G250" s="281">
        <f t="shared" ca="1" si="106"/>
        <v>727.21057804163843</v>
      </c>
      <c r="H250" s="281">
        <f t="shared" ca="1" si="106"/>
        <v>1492.1666666666667</v>
      </c>
      <c r="I250" s="281">
        <f t="shared" ca="1" si="106"/>
        <v>9175.0219966159057</v>
      </c>
      <c r="J250" s="315">
        <f t="shared" ca="1" si="106"/>
        <v>16147.784116596127</v>
      </c>
    </row>
    <row r="251" spans="1:12" x14ac:dyDescent="0.2">
      <c r="A251" s="307" t="str">
        <f>+A239</f>
        <v>2016 Test Year (Regression)</v>
      </c>
      <c r="B251" s="281">
        <f t="shared" ref="B251:J251" ca="1" si="107">+B96</f>
        <v>9642.1682921885167</v>
      </c>
      <c r="C251" s="281">
        <f t="shared" ca="1" si="107"/>
        <v>33696.236313206457</v>
      </c>
      <c r="D251" s="281">
        <f t="shared" ca="1" si="107"/>
        <v>671992.97307150497</v>
      </c>
      <c r="E251" s="281">
        <f t="shared" ca="1" si="107"/>
        <v>43458821.844992571</v>
      </c>
      <c r="F251" s="281">
        <f t="shared" ca="1" si="107"/>
        <v>7448041.8284294456</v>
      </c>
      <c r="G251" s="281">
        <f t="shared" ca="1" si="107"/>
        <v>719.93847226122182</v>
      </c>
      <c r="H251" s="281">
        <f t="shared" ca="1" si="107"/>
        <v>1492.1666666666667</v>
      </c>
      <c r="I251" s="281">
        <f t="shared" ca="1" si="107"/>
        <v>9175.0219966159057</v>
      </c>
      <c r="J251" s="315">
        <f t="shared" ca="1" si="107"/>
        <v>15962.94221976786</v>
      </c>
    </row>
    <row r="252" spans="1:12" x14ac:dyDescent="0.2">
      <c r="A252" s="307" t="str">
        <f>+A240</f>
        <v>2017 Test Year (Regression)</v>
      </c>
      <c r="B252" s="281">
        <f t="shared" ref="B252:J252" ca="1" si="108">+B97</f>
        <v>9528.8230941477232</v>
      </c>
      <c r="C252" s="281">
        <f t="shared" ca="1" si="108"/>
        <v>33281.72417468088</v>
      </c>
      <c r="D252" s="281">
        <f t="shared" ca="1" si="108"/>
        <v>666756.42720141308</v>
      </c>
      <c r="E252" s="281">
        <f t="shared" ca="1" si="108"/>
        <v>43843051.451599903</v>
      </c>
      <c r="F252" s="281">
        <f t="shared" ca="1" si="108"/>
        <v>7405644.2451661201</v>
      </c>
      <c r="G252" s="281">
        <f t="shared" ca="1" si="108"/>
        <v>712.73908753860974</v>
      </c>
      <c r="H252" s="281">
        <f t="shared" ca="1" si="108"/>
        <v>1492.1666666666667</v>
      </c>
      <c r="I252" s="281">
        <f t="shared" ca="1" si="108"/>
        <v>9175.0219966159057</v>
      </c>
      <c r="J252" s="315">
        <f t="shared" ca="1" si="108"/>
        <v>15703.70437890175</v>
      </c>
    </row>
    <row r="253" spans="1:12" x14ac:dyDescent="0.2">
      <c r="A253" s="307" t="str">
        <f>+A241</f>
        <v>2018 Test Year (Regression)</v>
      </c>
      <c r="B253" s="281">
        <f t="shared" ref="B253:J253" ca="1" si="109">+B98</f>
        <v>9441.3814351708115</v>
      </c>
      <c r="C253" s="281">
        <f t="shared" ca="1" si="109"/>
        <v>32958.084382925408</v>
      </c>
      <c r="D253" s="281">
        <f t="shared" ca="1" si="109"/>
        <v>663182.48913724744</v>
      </c>
      <c r="E253" s="281">
        <f t="shared" ca="1" si="109"/>
        <v>44230678.122009844</v>
      </c>
      <c r="F253" s="281">
        <f t="shared" ca="1" si="109"/>
        <v>7380124.6106693959</v>
      </c>
      <c r="G253" s="281">
        <f t="shared" ca="1" si="109"/>
        <v>705.61169666322348</v>
      </c>
      <c r="H253" s="281">
        <f t="shared" ca="1" si="109"/>
        <v>1492.1666666666667</v>
      </c>
      <c r="I253" s="281">
        <f t="shared" ca="1" si="109"/>
        <v>9175.0219966159057</v>
      </c>
      <c r="J253" s="315">
        <f t="shared" ca="1" si="109"/>
        <v>15485.982332999865</v>
      </c>
    </row>
    <row r="254" spans="1:12" ht="13.5" thickBot="1" x14ac:dyDescent="0.25">
      <c r="A254" s="308" t="str">
        <f>+A242</f>
        <v>2019 Test Year (Regression)</v>
      </c>
      <c r="B254" s="294">
        <f t="shared" ref="B254:J254" ca="1" si="110">+B99</f>
        <v>9354.5050330778267</v>
      </c>
      <c r="C254" s="294">
        <f t="shared" ca="1" si="110"/>
        <v>32636.764338422287</v>
      </c>
      <c r="D254" s="294">
        <f t="shared" ca="1" si="110"/>
        <v>659612.61942656315</v>
      </c>
      <c r="E254" s="294">
        <f t="shared" ca="1" si="110"/>
        <v>44621731.890457861</v>
      </c>
      <c r="F254" s="294">
        <f t="shared" ca="1" si="110"/>
        <v>7354545.6258971635</v>
      </c>
      <c r="G254" s="294">
        <f t="shared" ca="1" si="110"/>
        <v>698.55557969659139</v>
      </c>
      <c r="H254" s="294">
        <f t="shared" ca="1" si="110"/>
        <v>1492.1666666666667</v>
      </c>
      <c r="I254" s="294">
        <f t="shared" ca="1" si="110"/>
        <v>9175.0219966159057</v>
      </c>
      <c r="J254" s="316">
        <f t="shared" ca="1" si="110"/>
        <v>15271.093866625313</v>
      </c>
    </row>
    <row r="256" spans="1:12" ht="13.5" thickBot="1" x14ac:dyDescent="0.25"/>
    <row r="257" spans="1:10" ht="24.75" thickBot="1" x14ac:dyDescent="0.25">
      <c r="A257" s="286" t="s">
        <v>117</v>
      </c>
      <c r="B257" s="279" t="s">
        <v>71</v>
      </c>
      <c r="C257" s="279" t="s">
        <v>242</v>
      </c>
      <c r="D257" s="279" t="s">
        <v>241</v>
      </c>
      <c r="E257" s="279" t="s">
        <v>74</v>
      </c>
      <c r="F257" s="279" t="s">
        <v>243</v>
      </c>
      <c r="G257" s="279" t="s">
        <v>244</v>
      </c>
      <c r="H257" s="279" t="s">
        <v>245</v>
      </c>
      <c r="I257" s="279" t="s">
        <v>76</v>
      </c>
      <c r="J257" s="280" t="s">
        <v>9</v>
      </c>
    </row>
    <row r="258" spans="1:10" x14ac:dyDescent="0.2">
      <c r="A258" s="309" t="s">
        <v>257</v>
      </c>
      <c r="B258" s="310"/>
      <c r="C258" s="310"/>
      <c r="D258" s="310"/>
      <c r="E258" s="310"/>
      <c r="F258" s="310"/>
      <c r="G258" s="310"/>
      <c r="H258" s="310"/>
      <c r="I258" s="310"/>
      <c r="J258" s="311"/>
    </row>
    <row r="259" spans="1:10" x14ac:dyDescent="0.2">
      <c r="A259" s="307" t="str">
        <f>+A238</f>
        <v>2015 Test Year (Regression)</v>
      </c>
      <c r="B259" s="281">
        <f t="shared" ref="B259:I263" si="111">+B238*B180</f>
        <v>497461720.25241947</v>
      </c>
      <c r="C259" s="281">
        <f t="shared" si="111"/>
        <v>136947058.72308707</v>
      </c>
      <c r="D259" s="281">
        <f t="shared" si="111"/>
        <v>345952144.1120072</v>
      </c>
      <c r="E259" s="281">
        <f t="shared" si="111"/>
        <v>43077959.531164952</v>
      </c>
      <c r="F259" s="281">
        <f t="shared" si="111"/>
        <v>83620355.436363637</v>
      </c>
      <c r="G259" s="281">
        <f t="shared" si="111"/>
        <v>9336254.4380876049</v>
      </c>
      <c r="H259" s="281">
        <f t="shared" si="111"/>
        <v>34649.788587785748</v>
      </c>
      <c r="I259" s="281">
        <f t="shared" si="111"/>
        <v>2714157.3427455146</v>
      </c>
      <c r="J259" s="315">
        <f t="shared" ref="J259:J263" si="112">SUM(B259:I259)</f>
        <v>1119144299.6244633</v>
      </c>
    </row>
    <row r="260" spans="1:10" x14ac:dyDescent="0.2">
      <c r="A260" s="307" t="str">
        <f>+A239</f>
        <v>2016 Test Year (Regression)</v>
      </c>
      <c r="B260" s="281">
        <f t="shared" si="111"/>
        <v>509715087.46750301</v>
      </c>
      <c r="C260" s="281">
        <f t="shared" si="111"/>
        <v>140242458.14346483</v>
      </c>
      <c r="D260" s="281">
        <f t="shared" si="111"/>
        <v>355733189.44750947</v>
      </c>
      <c r="E260" s="281">
        <f t="shared" si="111"/>
        <v>43458821.844992571</v>
      </c>
      <c r="F260" s="281">
        <f t="shared" si="111"/>
        <v>86580368.018181801</v>
      </c>
      <c r="G260" s="281">
        <f t="shared" si="111"/>
        <v>9520195.1236594543</v>
      </c>
      <c r="H260" s="281">
        <f t="shared" si="111"/>
        <v>33525.294571044557</v>
      </c>
      <c r="I260" s="281">
        <f t="shared" si="111"/>
        <v>2717098.8699840889</v>
      </c>
      <c r="J260" s="315">
        <f t="shared" si="112"/>
        <v>1148000744.2098665</v>
      </c>
    </row>
    <row r="261" spans="1:10" x14ac:dyDescent="0.2">
      <c r="A261" s="307" t="str">
        <f>+A240</f>
        <v>2017 Test Year (Regression)</v>
      </c>
      <c r="B261" s="281">
        <f t="shared" si="111"/>
        <v>522270549.57860458</v>
      </c>
      <c r="C261" s="281">
        <f t="shared" si="111"/>
        <v>143616953.80582327</v>
      </c>
      <c r="D261" s="281">
        <f t="shared" si="111"/>
        <v>365814648.46663332</v>
      </c>
      <c r="E261" s="281">
        <f t="shared" si="111"/>
        <v>43843051.451599903</v>
      </c>
      <c r="F261" s="281">
        <f t="shared" si="111"/>
        <v>88800377.454545453</v>
      </c>
      <c r="G261" s="281">
        <f t="shared" si="111"/>
        <v>9707737.2495268341</v>
      </c>
      <c r="H261" s="281">
        <f t="shared" si="111"/>
        <v>32437.293902321435</v>
      </c>
      <c r="I261" s="281">
        <f t="shared" si="111"/>
        <v>2720043.5851669875</v>
      </c>
      <c r="J261" s="315">
        <f t="shared" si="112"/>
        <v>1176805798.8858025</v>
      </c>
    </row>
    <row r="262" spans="1:10" x14ac:dyDescent="0.2">
      <c r="A262" s="307" t="str">
        <f>+A241</f>
        <v>2018 Test Year (Regression)</v>
      </c>
      <c r="B262" s="281">
        <f t="shared" si="111"/>
        <v>535134863.34234321</v>
      </c>
      <c r="C262" s="281">
        <f t="shared" si="111"/>
        <v>147075468.94935909</v>
      </c>
      <c r="D262" s="281">
        <f t="shared" si="111"/>
        <v>376194978.25210232</v>
      </c>
      <c r="E262" s="281">
        <f t="shared" si="111"/>
        <v>44230678.122009844</v>
      </c>
      <c r="F262" s="281">
        <f t="shared" si="111"/>
        <v>91760390.036363631</v>
      </c>
      <c r="G262" s="281">
        <f t="shared" si="111"/>
        <v>9898988.3324068524</v>
      </c>
      <c r="H262" s="281">
        <f t="shared" si="111"/>
        <v>31384.602258329876</v>
      </c>
      <c r="I262" s="281">
        <f t="shared" si="111"/>
        <v>2722991.4917492145</v>
      </c>
      <c r="J262" s="315">
        <f t="shared" si="112"/>
        <v>1207049743.1285925</v>
      </c>
    </row>
    <row r="263" spans="1:10" ht="13.5" thickBot="1" x14ac:dyDescent="0.25">
      <c r="A263" s="308" t="str">
        <f>+A242</f>
        <v>2019 Test Year (Regression)</v>
      </c>
      <c r="B263" s="294">
        <f t="shared" si="111"/>
        <v>548315546.14916492</v>
      </c>
      <c r="C263" s="294">
        <f t="shared" si="111"/>
        <v>150612933.98176077</v>
      </c>
      <c r="D263" s="294">
        <f t="shared" si="111"/>
        <v>386806236.48151183</v>
      </c>
      <c r="E263" s="294">
        <f t="shared" si="111"/>
        <v>44621731.890457861</v>
      </c>
      <c r="F263" s="294">
        <f t="shared" si="111"/>
        <v>94720402.618181825</v>
      </c>
      <c r="G263" s="294">
        <f t="shared" si="111"/>
        <v>10093980.075599305</v>
      </c>
      <c r="H263" s="294">
        <f t="shared" si="111"/>
        <v>30366.073750778327</v>
      </c>
      <c r="I263" s="294">
        <f t="shared" si="111"/>
        <v>2725942.5931895184</v>
      </c>
      <c r="J263" s="316">
        <f t="shared" si="112"/>
        <v>1237927139.8636165</v>
      </c>
    </row>
    <row r="264" spans="1:10" ht="13.5" thickBot="1" x14ac:dyDescent="0.25"/>
    <row r="265" spans="1:10" ht="24.75" thickBot="1" x14ac:dyDescent="0.25">
      <c r="A265" s="286" t="s">
        <v>117</v>
      </c>
      <c r="B265" s="279" t="s">
        <v>71</v>
      </c>
      <c r="C265" s="279" t="s">
        <v>242</v>
      </c>
      <c r="D265" s="279" t="s">
        <v>241</v>
      </c>
      <c r="E265" s="279" t="s">
        <v>74</v>
      </c>
      <c r="F265" s="279" t="s">
        <v>243</v>
      </c>
      <c r="G265" s="279" t="s">
        <v>244</v>
      </c>
      <c r="H265" s="279" t="s">
        <v>245</v>
      </c>
      <c r="I265" s="279" t="s">
        <v>76</v>
      </c>
      <c r="J265" s="280" t="s">
        <v>9</v>
      </c>
    </row>
    <row r="266" spans="1:10" x14ac:dyDescent="0.2">
      <c r="A266" s="309" t="s">
        <v>257</v>
      </c>
      <c r="B266" s="310"/>
      <c r="C266" s="310"/>
      <c r="D266" s="310"/>
      <c r="E266" s="310"/>
      <c r="F266" s="310"/>
      <c r="G266" s="310"/>
      <c r="H266" s="310"/>
      <c r="I266" s="310"/>
      <c r="J266" s="311"/>
    </row>
    <row r="267" spans="1:10" x14ac:dyDescent="0.2">
      <c r="A267" s="307" t="str">
        <f>+A259</f>
        <v>2015 Test Year (Regression)</v>
      </c>
      <c r="B267" s="281">
        <f ca="1">+B259-'Rate Class Energy Model'!H94</f>
        <v>493220090.22656333</v>
      </c>
      <c r="C267" s="281">
        <f ca="1">+C259-'Rate Class Energy Model'!I94</f>
        <v>135787672.64996511</v>
      </c>
      <c r="D267" s="281">
        <f ca="1">+D259-'Rate Class Energy Model'!J94</f>
        <v>343041790.39270037</v>
      </c>
      <c r="E267" s="281">
        <f ca="1">+E259-'Rate Class Energy Model'!K94</f>
        <v>42704672.351565883</v>
      </c>
      <c r="F267" s="281">
        <f ca="1">+F259-'Rate Class Energy Model'!L94</f>
        <v>82914989.956953093</v>
      </c>
      <c r="G267" s="281">
        <f ca="1">+G259-'Rate Class Energy Model'!M94</f>
        <v>7027725.5618799562</v>
      </c>
      <c r="H267" s="281">
        <f ca="1">+H259-'Rate Class Energy Model'!N94</f>
        <v>34349.534768978912</v>
      </c>
      <c r="I267" s="281">
        <f ca="1">+I259-'Rate Class Energy Model'!O94</f>
        <v>2690638.1196790505</v>
      </c>
      <c r="J267" s="315">
        <f t="shared" ref="J267:J271" ca="1" si="113">SUM(B267:I267)</f>
        <v>1107421928.7940757</v>
      </c>
    </row>
    <row r="268" spans="1:10" x14ac:dyDescent="0.2">
      <c r="A268" s="307" t="str">
        <f>+A260</f>
        <v>2016 Test Year (Regression)</v>
      </c>
      <c r="B268" s="281">
        <f ca="1">+B260-'Rate Class Energy Model'!H95</f>
        <v>500924478.92435902</v>
      </c>
      <c r="C268" s="281">
        <f ca="1">+C260-'Rate Class Energy Model'!I95</f>
        <v>137858075.02803916</v>
      </c>
      <c r="D268" s="281">
        <f ca="1">+D260-'Rate Class Energy Model'!J95</f>
        <v>349760452.14558208</v>
      </c>
      <c r="E268" s="281">
        <f ca="1">+E260-'Rate Class Energy Model'!K95</f>
        <v>42684717.3443489</v>
      </c>
      <c r="F268" s="281">
        <f ca="1">+F260-'Rate Class Energy Model'!L95</f>
        <v>85130435.150298223</v>
      </c>
      <c r="G268" s="281">
        <f ca="1">+G260-'Rate Class Energy Model'!M95</f>
        <v>4815263.9400144229</v>
      </c>
      <c r="H268" s="281">
        <f ca="1">+H260-'Rate Class Energy Model'!N95</f>
        <v>32928.129707592547</v>
      </c>
      <c r="I268" s="281">
        <f ca="1">+I260-'Rate Class Energy Model'!O95</f>
        <v>2668700.9067017306</v>
      </c>
      <c r="J268" s="315">
        <f t="shared" ca="1" si="113"/>
        <v>1123875051.569051</v>
      </c>
    </row>
    <row r="269" spans="1:10" x14ac:dyDescent="0.2">
      <c r="A269" s="307" t="str">
        <f>+A261</f>
        <v>2017 Test Year (Regression)</v>
      </c>
      <c r="B269" s="281">
        <f ca="1">+B261-'Rate Class Energy Model'!H96</f>
        <v>510011221.28968489</v>
      </c>
      <c r="C269" s="281">
        <f ca="1">+C261-'Rate Class Energy Model'!I96</f>
        <v>140317169.33380756</v>
      </c>
      <c r="D269" s="281">
        <f ca="1">+D261-'Rate Class Energy Model'!J96</f>
        <v>357566383.00401253</v>
      </c>
      <c r="E269" s="281">
        <f ca="1">+E261-'Rate Class Energy Model'!K96</f>
        <v>42762817.834401838</v>
      </c>
      <c r="F269" s="281">
        <f ca="1">+F261-'Rate Class Energy Model'!L96</f>
        <v>86794782.786988497</v>
      </c>
      <c r="G269" s="281">
        <f ca="1">+G261-'Rate Class Energy Model'!M96</f>
        <v>4872142.0951351319</v>
      </c>
      <c r="H269" s="281">
        <f ca="1">+H261-'Rate Class Energy Model'!N96</f>
        <v>31638.082757930551</v>
      </c>
      <c r="I269" s="281">
        <f ca="1">+I261-'Rate Class Energy Model'!O96</f>
        <v>2653025.3821984963</v>
      </c>
      <c r="J269" s="315">
        <f t="shared" ca="1" si="113"/>
        <v>1145009179.8089871</v>
      </c>
    </row>
    <row r="270" spans="1:10" x14ac:dyDescent="0.2">
      <c r="A270" s="307" t="str">
        <f>+A262</f>
        <v>2018 Test Year (Regression)</v>
      </c>
      <c r="B270" s="281">
        <f ca="1">+B262-'Rate Class Energy Model'!H97</f>
        <v>518167329.14151144</v>
      </c>
      <c r="C270" s="281">
        <f ca="1">+C262-'Rate Class Energy Model'!I97</f>
        <v>142543369.45756638</v>
      </c>
      <c r="D270" s="281">
        <f ca="1">+D262-'Rate Class Energy Model'!J97</f>
        <v>364890353.00099128</v>
      </c>
      <c r="E270" s="281">
        <f ca="1">+E262-'Rate Class Energy Model'!K97</f>
        <v>42734648.790182367</v>
      </c>
      <c r="F270" s="281">
        <f ca="1">+F262-'Rate Class Energy Model'!L97</f>
        <v>89007158.333675638</v>
      </c>
      <c r="G270" s="281">
        <f ca="1">+G262-'Rate Class Energy Model'!M97</f>
        <v>4932409.9206594471</v>
      </c>
      <c r="H270" s="281">
        <f ca="1">+H262-'Rate Class Energy Model'!N97</f>
        <v>30323.070137644703</v>
      </c>
      <c r="I270" s="281">
        <f ca="1">+I262-'Rate Class Energy Model'!O97</f>
        <v>2630890.8205649224</v>
      </c>
      <c r="J270" s="315">
        <f t="shared" ca="1" si="113"/>
        <v>1164936482.5352893</v>
      </c>
    </row>
    <row r="271" spans="1:10" ht="13.5" thickBot="1" x14ac:dyDescent="0.25">
      <c r="A271" s="308" t="str">
        <f>+A263</f>
        <v>2019 Test Year (Regression)</v>
      </c>
      <c r="B271" s="294">
        <f ca="1">+B263-'Rate Class Energy Model'!H98</f>
        <v>523165700.56211191</v>
      </c>
      <c r="C271" s="294">
        <f ca="1">+C263-'Rate Class Energy Model'!I98</f>
        <v>143946741.83829454</v>
      </c>
      <c r="D271" s="294">
        <f ca="1">+D263-'Rate Class Energy Model'!J98</f>
        <v>370213644.19982058</v>
      </c>
      <c r="E271" s="294">
        <f ca="1">+E263-'Rate Class Energy Model'!K98</f>
        <v>42402886.405189961</v>
      </c>
      <c r="F271" s="294">
        <f ca="1">+F263-'Rate Class Energy Model'!L98</f>
        <v>90672715.9289978</v>
      </c>
      <c r="G271" s="294">
        <f ca="1">+G263-'Rate Class Energy Model'!M98</f>
        <v>4996049.2975011338</v>
      </c>
      <c r="H271" s="294">
        <f ca="1">+H263-'Rate Class Energy Model'!N98</f>
        <v>28856.100408357815</v>
      </c>
      <c r="I271" s="294">
        <f ca="1">+I263-'Rate Class Energy Model'!O98</f>
        <v>2590393.2731665666</v>
      </c>
      <c r="J271" s="316">
        <f t="shared" ca="1" si="113"/>
        <v>1178016987.6054909</v>
      </c>
    </row>
    <row r="272" spans="1:10" ht="13.5" thickBot="1" x14ac:dyDescent="0.25"/>
    <row r="273" spans="1:16" ht="24.75" thickBot="1" x14ac:dyDescent="0.25">
      <c r="A273" s="286" t="s">
        <v>117</v>
      </c>
      <c r="B273" s="279" t="s">
        <v>71</v>
      </c>
      <c r="C273" s="279" t="s">
        <v>242</v>
      </c>
      <c r="D273" s="279" t="s">
        <v>241</v>
      </c>
      <c r="E273" s="279" t="s">
        <v>74</v>
      </c>
      <c r="F273" s="279" t="s">
        <v>243</v>
      </c>
      <c r="G273" s="279" t="s">
        <v>244</v>
      </c>
      <c r="H273" s="279" t="s">
        <v>245</v>
      </c>
      <c r="I273" s="279" t="s">
        <v>76</v>
      </c>
      <c r="J273" s="280" t="s">
        <v>9</v>
      </c>
    </row>
    <row r="274" spans="1:16" x14ac:dyDescent="0.2">
      <c r="A274" s="309" t="s">
        <v>258</v>
      </c>
      <c r="B274" s="310"/>
      <c r="C274" s="310"/>
      <c r="D274" s="310"/>
      <c r="E274" s="310"/>
      <c r="F274" s="310"/>
      <c r="G274" s="310"/>
      <c r="H274" s="310"/>
      <c r="I274" s="310"/>
      <c r="J274" s="311"/>
    </row>
    <row r="275" spans="1:16" x14ac:dyDescent="0.2">
      <c r="A275" s="307" t="str">
        <f>+A259</f>
        <v>2015 Test Year (Regression)</v>
      </c>
      <c r="B275" s="281">
        <f t="shared" ref="B275:I279" ca="1" si="114">+B283-B267</f>
        <v>4390572.6235694289</v>
      </c>
      <c r="C275" s="281">
        <f t="shared" ca="1" si="114"/>
        <v>1208687.9903097749</v>
      </c>
      <c r="D275" s="281">
        <f t="shared" ca="1" si="114"/>
        <v>2866768.5202306509</v>
      </c>
      <c r="E275" s="281">
        <f t="shared" ca="1" si="114"/>
        <v>0</v>
      </c>
      <c r="F275" s="281">
        <f t="shared" ca="1" si="114"/>
        <v>638098.34173192084</v>
      </c>
      <c r="G275" s="281">
        <f t="shared" ca="1" si="114"/>
        <v>-93519.280336154625</v>
      </c>
      <c r="H275" s="281">
        <f t="shared" ca="1" si="114"/>
        <v>0</v>
      </c>
      <c r="I275" s="281">
        <f t="shared" ca="1" si="114"/>
        <v>0</v>
      </c>
      <c r="J275" s="315">
        <f t="shared" ref="J275:J279" ca="1" si="115">SUM(B275:I275)</f>
        <v>9010608.1955056209</v>
      </c>
    </row>
    <row r="276" spans="1:16" x14ac:dyDescent="0.2">
      <c r="A276" s="307" t="str">
        <f>+A260</f>
        <v>2016 Test Year (Regression)</v>
      </c>
      <c r="B276" s="281">
        <f t="shared" ca="1" si="114"/>
        <v>3824854.3520776629</v>
      </c>
      <c r="C276" s="281">
        <f t="shared" ca="1" si="114"/>
        <v>1052366.2916105092</v>
      </c>
      <c r="D276" s="281">
        <f t="shared" ca="1" si="114"/>
        <v>2506264.4969097972</v>
      </c>
      <c r="E276" s="281">
        <f t="shared" ca="1" si="114"/>
        <v>0</v>
      </c>
      <c r="F276" s="281">
        <f t="shared" ca="1" si="114"/>
        <v>561721.37444271147</v>
      </c>
      <c r="G276" s="281">
        <f t="shared" ca="1" si="114"/>
        <v>-189775.78128805943</v>
      </c>
      <c r="H276" s="281">
        <f t="shared" ca="1" si="114"/>
        <v>0</v>
      </c>
      <c r="I276" s="281">
        <f t="shared" ca="1" si="114"/>
        <v>0</v>
      </c>
      <c r="J276" s="315">
        <f t="shared" ca="1" si="115"/>
        <v>7755430.7337526213</v>
      </c>
    </row>
    <row r="277" spans="1:16" x14ac:dyDescent="0.2">
      <c r="A277" s="307" t="str">
        <f>+A261</f>
        <v>2017 Test Year (Regression)</v>
      </c>
      <c r="B277" s="281">
        <f t="shared" ca="1" si="114"/>
        <v>458170.05779981613</v>
      </c>
      <c r="C277" s="281">
        <f t="shared" ca="1" si="114"/>
        <v>125990.23260900378</v>
      </c>
      <c r="D277" s="281">
        <f t="shared" ca="1" si="114"/>
        <v>301305.70966255665</v>
      </c>
      <c r="E277" s="281">
        <f t="shared" ca="1" si="114"/>
        <v>0</v>
      </c>
      <c r="F277" s="281">
        <f t="shared" ca="1" si="114"/>
        <v>67353.487447991967</v>
      </c>
      <c r="G277" s="281">
        <f t="shared" ca="1" si="114"/>
        <v>-288801.87827064469</v>
      </c>
      <c r="H277" s="281">
        <f t="shared" ca="1" si="114"/>
        <v>0</v>
      </c>
      <c r="I277" s="281">
        <f t="shared" ca="1" si="114"/>
        <v>0</v>
      </c>
      <c r="J277" s="315">
        <f t="shared" ca="1" si="115"/>
        <v>664017.60924872383</v>
      </c>
    </row>
    <row r="278" spans="1:16" x14ac:dyDescent="0.2">
      <c r="A278" s="307" t="str">
        <f>+A262</f>
        <v>2018 Test Year (Regression)</v>
      </c>
      <c r="B278" s="281">
        <f t="shared" ca="1" si="114"/>
        <v>-1665014.3517317176</v>
      </c>
      <c r="C278" s="281">
        <f t="shared" ca="1" si="114"/>
        <v>-457609.44270920753</v>
      </c>
      <c r="D278" s="281">
        <f t="shared" ca="1" si="114"/>
        <v>-1098962.3960751891</v>
      </c>
      <c r="E278" s="281">
        <f t="shared" ca="1" si="114"/>
        <v>0</v>
      </c>
      <c r="F278" s="281">
        <f t="shared" ca="1" si="114"/>
        <v>-246844.86406311393</v>
      </c>
      <c r="G278" s="281">
        <f t="shared" ca="1" si="114"/>
        <v>-390697.19644242898</v>
      </c>
      <c r="H278" s="281">
        <f t="shared" ca="1" si="114"/>
        <v>0</v>
      </c>
      <c r="I278" s="281">
        <f t="shared" ca="1" si="114"/>
        <v>0</v>
      </c>
      <c r="J278" s="315">
        <f t="shared" ca="1" si="115"/>
        <v>-3859128.2510216571</v>
      </c>
    </row>
    <row r="279" spans="1:16" ht="13.5" thickBot="1" x14ac:dyDescent="0.25">
      <c r="A279" s="308" t="str">
        <f>+A263</f>
        <v>2019 Test Year (Regression)</v>
      </c>
      <c r="B279" s="294">
        <f t="shared" ca="1" si="114"/>
        <v>-3898154.0301206112</v>
      </c>
      <c r="C279" s="294">
        <f t="shared" ca="1" si="114"/>
        <v>-1070756.4644347727</v>
      </c>
      <c r="D279" s="294">
        <f t="shared" ca="1" si="114"/>
        <v>-2581885.6655387878</v>
      </c>
      <c r="E279" s="294">
        <f t="shared" ca="1" si="114"/>
        <v>0</v>
      </c>
      <c r="F279" s="294">
        <f t="shared" ca="1" si="114"/>
        <v>-582218.6066981256</v>
      </c>
      <c r="G279" s="294">
        <f t="shared" ca="1" si="114"/>
        <v>-495485.47267879173</v>
      </c>
      <c r="H279" s="294">
        <f t="shared" ca="1" si="114"/>
        <v>0</v>
      </c>
      <c r="I279" s="294">
        <f t="shared" ca="1" si="114"/>
        <v>0</v>
      </c>
      <c r="J279" s="316">
        <f t="shared" ca="1" si="115"/>
        <v>-8628500.2394710891</v>
      </c>
    </row>
    <row r="280" spans="1:16" ht="13.5" thickBot="1" x14ac:dyDescent="0.25"/>
    <row r="281" spans="1:16" ht="24.75" thickBot="1" x14ac:dyDescent="0.25">
      <c r="A281" s="286" t="s">
        <v>117</v>
      </c>
      <c r="B281" s="279" t="s">
        <v>71</v>
      </c>
      <c r="C281" s="279" t="s">
        <v>242</v>
      </c>
      <c r="D281" s="279" t="s">
        <v>241</v>
      </c>
      <c r="E281" s="279" t="s">
        <v>74</v>
      </c>
      <c r="F281" s="279" t="s">
        <v>243</v>
      </c>
      <c r="G281" s="279" t="s">
        <v>244</v>
      </c>
      <c r="H281" s="279" t="s">
        <v>245</v>
      </c>
      <c r="I281" s="279" t="s">
        <v>76</v>
      </c>
      <c r="J281" s="280" t="s">
        <v>9</v>
      </c>
      <c r="L281" s="451"/>
      <c r="M281" s="451"/>
      <c r="N281" s="451" t="s">
        <v>311</v>
      </c>
      <c r="O281" s="450"/>
    </row>
    <row r="282" spans="1:16" x14ac:dyDescent="0.2">
      <c r="A282" s="309" t="s">
        <v>259</v>
      </c>
      <c r="B282" s="310"/>
      <c r="C282" s="310"/>
      <c r="D282" s="310"/>
      <c r="E282" s="310"/>
      <c r="F282" s="310"/>
      <c r="G282" s="310"/>
      <c r="H282" s="310"/>
      <c r="I282" s="310"/>
      <c r="J282" s="311"/>
      <c r="L282" s="451" t="s">
        <v>309</v>
      </c>
      <c r="M282" s="451" t="s">
        <v>310</v>
      </c>
      <c r="N282" s="451" t="s">
        <v>312</v>
      </c>
      <c r="O282" s="450"/>
    </row>
    <row r="283" spans="1:16" x14ac:dyDescent="0.2">
      <c r="A283" s="307" t="str">
        <f>+A275</f>
        <v>2015 Test Year (Regression)</v>
      </c>
      <c r="B283" s="442">
        <f t="shared" ref="B283:I287" ca="1" si="116">B70</f>
        <v>497610662.85013276</v>
      </c>
      <c r="C283" s="442">
        <f t="shared" ca="1" si="116"/>
        <v>136996360.64027488</v>
      </c>
      <c r="D283" s="442">
        <f t="shared" ca="1" si="116"/>
        <v>345908558.91293103</v>
      </c>
      <c r="E283" s="442">
        <f t="shared" ca="1" si="116"/>
        <v>42704672.351565883</v>
      </c>
      <c r="F283" s="442">
        <f t="shared" ca="1" si="116"/>
        <v>83553088.298685014</v>
      </c>
      <c r="G283" s="442">
        <f t="shared" si="116"/>
        <v>6934206.2815438015</v>
      </c>
      <c r="H283" s="442">
        <f t="shared" ca="1" si="116"/>
        <v>34349.534768978912</v>
      </c>
      <c r="I283" s="442">
        <f t="shared" ca="1" si="116"/>
        <v>2690638.1196790505</v>
      </c>
      <c r="J283" s="315">
        <f t="shared" ref="J283:J287" ca="1" si="117">SUM(B283:I283)</f>
        <v>1116432536.9895813</v>
      </c>
      <c r="L283" s="452">
        <f ca="1">+J283-J267</f>
        <v>9010608.195505619</v>
      </c>
      <c r="M283" s="453">
        <f ca="1">+'Rate Class Energy Model'!G73-'Rate Class Energy Model'!G66</f>
        <v>8905387.0586321354</v>
      </c>
      <c r="N283" s="452">
        <f t="shared" ref="N283:N287" ca="1" si="118">+L283-M283</f>
        <v>105221.13687348366</v>
      </c>
      <c r="O283" s="449"/>
      <c r="P283" s="202"/>
    </row>
    <row r="284" spans="1:16" x14ac:dyDescent="0.2">
      <c r="A284" s="307" t="str">
        <f>+A276</f>
        <v>2016 Test Year (Regression)</v>
      </c>
      <c r="B284" s="442">
        <f t="shared" ca="1" si="116"/>
        <v>504749333.27643669</v>
      </c>
      <c r="C284" s="442">
        <f t="shared" ca="1" si="116"/>
        <v>138910441.31964967</v>
      </c>
      <c r="D284" s="442">
        <f t="shared" ca="1" si="116"/>
        <v>352266716.64249188</v>
      </c>
      <c r="E284" s="442">
        <f t="shared" ca="1" si="116"/>
        <v>42684717.3443489</v>
      </c>
      <c r="F284" s="442">
        <f t="shared" ca="1" si="116"/>
        <v>85692156.524740934</v>
      </c>
      <c r="G284" s="442">
        <f t="shared" si="116"/>
        <v>4625488.1587263634</v>
      </c>
      <c r="H284" s="442">
        <f t="shared" ca="1" si="116"/>
        <v>32928.129707592547</v>
      </c>
      <c r="I284" s="442">
        <f t="shared" ca="1" si="116"/>
        <v>2668700.9067017306</v>
      </c>
      <c r="J284" s="315">
        <f t="shared" ca="1" si="117"/>
        <v>1131630482.302804</v>
      </c>
      <c r="L284" s="452">
        <f ca="1">+J284-J268</f>
        <v>7755430.7337529659</v>
      </c>
      <c r="M284" s="453">
        <f ca="1">+'Rate Class Energy Model'!G74-'Rate Class Energy Model'!G67</f>
        <v>7598264.247269392</v>
      </c>
      <c r="N284" s="452">
        <f t="shared" ca="1" si="118"/>
        <v>157166.48648357391</v>
      </c>
      <c r="O284" s="449"/>
      <c r="P284" s="202"/>
    </row>
    <row r="285" spans="1:16" x14ac:dyDescent="0.2">
      <c r="A285" s="307" t="str">
        <f>+A277</f>
        <v>2017 Test Year (Regression)</v>
      </c>
      <c r="B285" s="442">
        <f t="shared" ca="1" si="116"/>
        <v>510469391.34748471</v>
      </c>
      <c r="C285" s="442">
        <f t="shared" ca="1" si="116"/>
        <v>140443159.56641656</v>
      </c>
      <c r="D285" s="442">
        <f t="shared" ca="1" si="116"/>
        <v>357867688.71367508</v>
      </c>
      <c r="E285" s="442">
        <f t="shared" ca="1" si="116"/>
        <v>42762817.834401838</v>
      </c>
      <c r="F285" s="442">
        <f t="shared" ca="1" si="116"/>
        <v>86862136.274436489</v>
      </c>
      <c r="G285" s="442">
        <f t="shared" si="116"/>
        <v>4583340.2168644872</v>
      </c>
      <c r="H285" s="442">
        <f t="shared" ca="1" si="116"/>
        <v>31638.082757930551</v>
      </c>
      <c r="I285" s="442">
        <f t="shared" ca="1" si="116"/>
        <v>2653025.3821984963</v>
      </c>
      <c r="J285" s="315">
        <f t="shared" ca="1" si="117"/>
        <v>1145673197.4182358</v>
      </c>
      <c r="L285" s="452">
        <f ca="1">+J285-J269</f>
        <v>664017.60924863815</v>
      </c>
      <c r="M285" s="453">
        <f ca="1">+'Rate Class Energy Model'!G75-'Rate Class Energy Model'!G68</f>
        <v>891462.1226785183</v>
      </c>
      <c r="N285" s="452">
        <f t="shared" ca="1" si="118"/>
        <v>-227444.51342988014</v>
      </c>
      <c r="O285" s="449"/>
      <c r="P285" s="202"/>
    </row>
    <row r="286" spans="1:16" x14ac:dyDescent="0.2">
      <c r="A286" s="307" t="str">
        <f>+A278</f>
        <v>2018 Test Year (Regression)</v>
      </c>
      <c r="B286" s="442">
        <f t="shared" ca="1" si="116"/>
        <v>516502314.78977972</v>
      </c>
      <c r="C286" s="442">
        <f t="shared" ca="1" si="116"/>
        <v>142085760.01485717</v>
      </c>
      <c r="D286" s="442">
        <f t="shared" ca="1" si="116"/>
        <v>363791390.6049161</v>
      </c>
      <c r="E286" s="442">
        <f t="shared" ca="1" si="116"/>
        <v>42734648.790182367</v>
      </c>
      <c r="F286" s="442">
        <f t="shared" ca="1" si="116"/>
        <v>88760313.469612524</v>
      </c>
      <c r="G286" s="442">
        <f t="shared" si="116"/>
        <v>4541712.7242170181</v>
      </c>
      <c r="H286" s="442">
        <f t="shared" ca="1" si="116"/>
        <v>30323.070137644703</v>
      </c>
      <c r="I286" s="442">
        <f t="shared" ca="1" si="116"/>
        <v>2630890.8205649224</v>
      </c>
      <c r="J286" s="315">
        <f t="shared" ca="1" si="117"/>
        <v>1161077354.2842677</v>
      </c>
      <c r="L286" s="452">
        <f ca="1">+J286-J270</f>
        <v>-3859128.2510216236</v>
      </c>
      <c r="M286" s="453">
        <f ca="1">+'Rate Class Energy Model'!G76-'Rate Class Energy Model'!G69</f>
        <v>-3173074.6020877361</v>
      </c>
      <c r="N286" s="452">
        <f t="shared" ca="1" si="118"/>
        <v>-686053.64893388748</v>
      </c>
      <c r="O286" s="449"/>
      <c r="P286" s="202"/>
    </row>
    <row r="287" spans="1:16" ht="13.5" thickBot="1" x14ac:dyDescent="0.25">
      <c r="A287" s="308" t="str">
        <f>+A279</f>
        <v>2019 Test Year (Regression)</v>
      </c>
      <c r="B287" s="443">
        <f t="shared" ca="1" si="116"/>
        <v>519267546.5319913</v>
      </c>
      <c r="C287" s="443">
        <f t="shared" ca="1" si="116"/>
        <v>142875985.37385976</v>
      </c>
      <c r="D287" s="443">
        <f t="shared" ca="1" si="116"/>
        <v>367631758.53428179</v>
      </c>
      <c r="E287" s="443">
        <f t="shared" ca="1" si="116"/>
        <v>42402886.405189961</v>
      </c>
      <c r="F287" s="443">
        <f t="shared" ca="1" si="116"/>
        <v>90090497.322299674</v>
      </c>
      <c r="G287" s="443">
        <f t="shared" si="116"/>
        <v>4500563.824822342</v>
      </c>
      <c r="H287" s="443">
        <f t="shared" ca="1" si="116"/>
        <v>28856.100408357815</v>
      </c>
      <c r="I287" s="443">
        <f t="shared" ca="1" si="116"/>
        <v>2590393.2731665666</v>
      </c>
      <c r="J287" s="316">
        <f t="shared" ca="1" si="117"/>
        <v>1169388487.36602</v>
      </c>
      <c r="L287" s="452">
        <f ca="1">+J287-J271</f>
        <v>-8628500.2394709587</v>
      </c>
      <c r="M287" s="453">
        <f ca="1">+'Rate Class Energy Model'!G77-'Rate Class Energy Model'!G70</f>
        <v>-7276405.1346113682</v>
      </c>
      <c r="N287" s="452">
        <f t="shared" ca="1" si="118"/>
        <v>-1352095.1048595905</v>
      </c>
      <c r="O287" s="449"/>
      <c r="P287" s="202"/>
    </row>
    <row r="289" spans="1:7" ht="13.5" thickBot="1" x14ac:dyDescent="0.25"/>
    <row r="290" spans="1:7" ht="24.75" thickBot="1" x14ac:dyDescent="0.25">
      <c r="A290" s="286" t="s">
        <v>117</v>
      </c>
      <c r="B290" s="279" t="s">
        <v>241</v>
      </c>
      <c r="C290" s="279" t="s">
        <v>74</v>
      </c>
      <c r="D290" s="279" t="s">
        <v>243</v>
      </c>
      <c r="E290" s="279" t="s">
        <v>244</v>
      </c>
      <c r="F290" s="279" t="s">
        <v>245</v>
      </c>
      <c r="G290" s="280" t="s">
        <v>9</v>
      </c>
    </row>
    <row r="291" spans="1:7" x14ac:dyDescent="0.2">
      <c r="A291" s="309" t="s">
        <v>260</v>
      </c>
      <c r="B291" s="310"/>
      <c r="C291" s="310"/>
      <c r="D291" s="310"/>
      <c r="E291" s="310"/>
      <c r="F291" s="310"/>
      <c r="G291" s="311"/>
    </row>
    <row r="292" spans="1:7" x14ac:dyDescent="0.2">
      <c r="A292" s="306">
        <v>2003</v>
      </c>
      <c r="B292" s="281">
        <f>+'Rate Class Load Model'!B2</f>
        <v>806199.49000000011</v>
      </c>
      <c r="C292" s="281">
        <f>+'Rate Class Load Model'!C2</f>
        <v>349045.15</v>
      </c>
      <c r="D292" s="281">
        <f>+'Rate Class Load Model'!D2</f>
        <v>197712.36</v>
      </c>
      <c r="E292" s="281">
        <f>+'Rate Class Load Model'!E2</f>
        <v>23226.94</v>
      </c>
      <c r="F292" s="281">
        <f>+'Rate Class Load Model'!F2</f>
        <v>126.50277777777779</v>
      </c>
      <c r="G292" s="315">
        <f>SUM(B292:F292)</f>
        <v>1376310.4427777778</v>
      </c>
    </row>
    <row r="293" spans="1:7" x14ac:dyDescent="0.2">
      <c r="A293" s="307">
        <v>2004</v>
      </c>
      <c r="B293" s="281">
        <f>+'Rate Class Load Model'!B3</f>
        <v>957450.82</v>
      </c>
      <c r="C293" s="281">
        <f>+'Rate Class Load Model'!C3</f>
        <v>243130.85</v>
      </c>
      <c r="D293" s="281">
        <f>+'Rate Class Load Model'!D3</f>
        <v>135213.89000000001</v>
      </c>
      <c r="E293" s="281">
        <f>+'Rate Class Load Model'!E3</f>
        <v>23584.5</v>
      </c>
      <c r="F293" s="281">
        <f>+'Rate Class Load Model'!F3</f>
        <v>123.24722222222222</v>
      </c>
      <c r="G293" s="315">
        <f t="shared" ref="G293:G302" si="119">SUM(B293:F293)</f>
        <v>1359503.3072222222</v>
      </c>
    </row>
    <row r="294" spans="1:7" x14ac:dyDescent="0.2">
      <c r="A294" s="306">
        <v>2005</v>
      </c>
      <c r="B294" s="281">
        <f>+'Rate Class Load Model'!B4</f>
        <v>913899.12999999989</v>
      </c>
      <c r="C294" s="281">
        <f>+'Rate Class Load Model'!C4</f>
        <v>154705.01</v>
      </c>
      <c r="D294" s="281">
        <f>+'Rate Class Load Model'!D4</f>
        <v>142187.47</v>
      </c>
      <c r="E294" s="281">
        <f>+'Rate Class Load Model'!E4</f>
        <v>24114.33</v>
      </c>
      <c r="F294" s="281">
        <f>+'Rate Class Load Model'!F4</f>
        <v>119.99166666666666</v>
      </c>
      <c r="G294" s="315">
        <f t="shared" si="119"/>
        <v>1235025.9316666666</v>
      </c>
    </row>
    <row r="295" spans="1:7" x14ac:dyDescent="0.2">
      <c r="A295" s="307">
        <v>2006</v>
      </c>
      <c r="B295" s="281">
        <f>+'Rate Class Load Model'!B5</f>
        <v>893943</v>
      </c>
      <c r="C295" s="281">
        <f>+'Rate Class Load Model'!C5</f>
        <v>134252</v>
      </c>
      <c r="D295" s="281">
        <f>+'Rate Class Load Model'!D5</f>
        <v>178422</v>
      </c>
      <c r="E295" s="281">
        <f>+'Rate Class Load Model'!E5</f>
        <v>24802</v>
      </c>
      <c r="F295" s="281">
        <f>+'Rate Class Load Model'!F5</f>
        <v>118.31944444444447</v>
      </c>
      <c r="G295" s="315">
        <f t="shared" si="119"/>
        <v>1231537.3194444445</v>
      </c>
    </row>
    <row r="296" spans="1:7" x14ac:dyDescent="0.2">
      <c r="A296" s="306">
        <v>2007</v>
      </c>
      <c r="B296" s="281">
        <f>+'Rate Class Load Model'!B6</f>
        <v>887017</v>
      </c>
      <c r="C296" s="281">
        <f>+'Rate Class Load Model'!C6</f>
        <v>135954</v>
      </c>
      <c r="D296" s="281">
        <f>+'Rate Class Load Model'!D6</f>
        <v>214029</v>
      </c>
      <c r="E296" s="281">
        <f>+'Rate Class Load Model'!E6</f>
        <v>25740</v>
      </c>
      <c r="F296" s="281">
        <f>+'Rate Class Load Model'!F6</f>
        <v>115.0222222222222</v>
      </c>
      <c r="G296" s="315">
        <f t="shared" si="119"/>
        <v>1262855.0222222223</v>
      </c>
    </row>
    <row r="297" spans="1:7" x14ac:dyDescent="0.2">
      <c r="A297" s="307">
        <v>2008</v>
      </c>
      <c r="B297" s="321">
        <f>+'Rate Class Load Model'!B7</f>
        <v>876464</v>
      </c>
      <c r="C297" s="321">
        <f>+'Rate Class Load Model'!C7</f>
        <v>124131</v>
      </c>
      <c r="D297" s="321">
        <f>+'Rate Class Load Model'!D7</f>
        <v>204487</v>
      </c>
      <c r="E297" s="321">
        <f>+'Rate Class Load Model'!E7</f>
        <v>26489</v>
      </c>
      <c r="F297" s="321">
        <f>+'Rate Class Load Model'!F7</f>
        <v>108.9805555555556</v>
      </c>
      <c r="G297" s="322">
        <f t="shared" si="119"/>
        <v>1231679.9805555556</v>
      </c>
    </row>
    <row r="298" spans="1:7" x14ac:dyDescent="0.2">
      <c r="A298" s="306">
        <v>2009</v>
      </c>
      <c r="B298" s="321">
        <f>+'Rate Class Load Model'!B8</f>
        <v>861503</v>
      </c>
      <c r="C298" s="321">
        <f>+'Rate Class Load Model'!C8</f>
        <v>89007</v>
      </c>
      <c r="D298" s="321">
        <f>+'Rate Class Load Model'!D8</f>
        <v>190299</v>
      </c>
      <c r="E298" s="321">
        <f>+'Rate Class Load Model'!E8</f>
        <v>27041</v>
      </c>
      <c r="F298" s="321">
        <f>+'Rate Class Load Model'!F8</f>
        <v>102.2</v>
      </c>
      <c r="G298" s="322">
        <f t="shared" si="119"/>
        <v>1167952.2</v>
      </c>
    </row>
    <row r="299" spans="1:7" x14ac:dyDescent="0.2">
      <c r="A299" s="307">
        <v>2010</v>
      </c>
      <c r="B299" s="321">
        <f>+'Rate Class Load Model'!B9</f>
        <v>871715</v>
      </c>
      <c r="C299" s="321">
        <f>+'Rate Class Load Model'!C9</f>
        <v>70585</v>
      </c>
      <c r="D299" s="321">
        <f>+'Rate Class Load Model'!D9</f>
        <v>195141</v>
      </c>
      <c r="E299" s="321">
        <f>+'Rate Class Load Model'!E9</f>
        <v>27634</v>
      </c>
      <c r="F299" s="321">
        <f>+'Rate Class Load Model'!F9</f>
        <v>99.477777777777803</v>
      </c>
      <c r="G299" s="322">
        <f t="shared" si="119"/>
        <v>1165174.4777777777</v>
      </c>
    </row>
    <row r="300" spans="1:7" x14ac:dyDescent="0.2">
      <c r="A300" s="307">
        <v>2011</v>
      </c>
      <c r="B300" s="321">
        <f>+'Rate Class Load Model'!B10</f>
        <v>867070</v>
      </c>
      <c r="C300" s="321">
        <f>+'Rate Class Load Model'!C10</f>
        <v>83704</v>
      </c>
      <c r="D300" s="321">
        <f>+'Rate Class Load Model'!D10</f>
        <v>192700</v>
      </c>
      <c r="E300" s="321">
        <f>+'Rate Class Load Model'!E10</f>
        <v>27830</v>
      </c>
      <c r="F300" s="321">
        <f>+'Rate Class Load Model'!F10</f>
        <v>100</v>
      </c>
      <c r="G300" s="322">
        <f t="shared" si="119"/>
        <v>1171404</v>
      </c>
    </row>
    <row r="301" spans="1:7" x14ac:dyDescent="0.2">
      <c r="A301" s="307">
        <v>2012</v>
      </c>
      <c r="B301" s="321">
        <f>+'Rate Class Load Model'!B11</f>
        <v>846459</v>
      </c>
      <c r="C301" s="321">
        <f>+'Rate Class Load Model'!C11</f>
        <v>89554</v>
      </c>
      <c r="D301" s="321">
        <f>+'Rate Class Load Model'!D11</f>
        <v>182189</v>
      </c>
      <c r="E301" s="321">
        <f>+'Rate Class Load Model'!E11</f>
        <v>27720</v>
      </c>
      <c r="F301" s="321">
        <f>+'Rate Class Load Model'!F11</f>
        <v>100</v>
      </c>
      <c r="G301" s="322">
        <f t="shared" si="119"/>
        <v>1146022</v>
      </c>
    </row>
    <row r="302" spans="1:7" x14ac:dyDescent="0.2">
      <c r="A302" s="465">
        <v>2013</v>
      </c>
      <c r="B302" s="321">
        <f>+'Rate Class Load Model'!B12</f>
        <v>843160</v>
      </c>
      <c r="C302" s="321">
        <f>+'Rate Class Load Model'!C12</f>
        <v>92753</v>
      </c>
      <c r="D302" s="321">
        <f>+'Rate Class Load Model'!D12</f>
        <v>184241</v>
      </c>
      <c r="E302" s="321">
        <f>+'Rate Class Load Model'!E12</f>
        <v>25276</v>
      </c>
      <c r="F302" s="321">
        <f>+'Rate Class Load Model'!F12</f>
        <v>100</v>
      </c>
      <c r="G302" s="322">
        <f t="shared" si="119"/>
        <v>1145530</v>
      </c>
    </row>
    <row r="303" spans="1:7" ht="13.5" thickBot="1" x14ac:dyDescent="0.25">
      <c r="A303" s="308" t="s">
        <v>318</v>
      </c>
      <c r="B303" s="294">
        <f>+'Rate Class Load Model'!B13</f>
        <v>831789</v>
      </c>
      <c r="C303" s="294">
        <f>+'Rate Class Load Model'!C13</f>
        <v>93203</v>
      </c>
      <c r="D303" s="294">
        <f>+'Rate Class Load Model'!D13</f>
        <v>186714</v>
      </c>
      <c r="E303" s="294">
        <f>+'Rate Class Load Model'!E13</f>
        <v>25520</v>
      </c>
      <c r="F303" s="294">
        <f>+'Rate Class Load Model'!F13</f>
        <v>100</v>
      </c>
      <c r="G303" s="316">
        <f t="shared" ref="G303" si="120">SUM(B303:F303)</f>
        <v>1137326</v>
      </c>
    </row>
    <row r="304" spans="1:7" ht="13.5" thickBot="1" x14ac:dyDescent="0.25"/>
    <row r="305" spans="1:7" ht="24.75" thickBot="1" x14ac:dyDescent="0.25">
      <c r="A305" s="286" t="s">
        <v>117</v>
      </c>
      <c r="B305" s="279" t="s">
        <v>241</v>
      </c>
      <c r="C305" s="279" t="s">
        <v>74</v>
      </c>
      <c r="D305" s="279" t="s">
        <v>243</v>
      </c>
      <c r="E305" s="279" t="s">
        <v>244</v>
      </c>
      <c r="F305" s="279" t="s">
        <v>245</v>
      </c>
      <c r="G305" s="280" t="s">
        <v>9</v>
      </c>
    </row>
    <row r="306" spans="1:7" x14ac:dyDescent="0.2">
      <c r="A306" s="309" t="s">
        <v>261</v>
      </c>
      <c r="B306" s="310"/>
      <c r="C306" s="310"/>
      <c r="D306" s="310"/>
      <c r="E306" s="310"/>
      <c r="F306" s="310"/>
      <c r="G306" s="311"/>
    </row>
    <row r="307" spans="1:7" x14ac:dyDescent="0.2">
      <c r="A307" s="306">
        <v>2003</v>
      </c>
      <c r="B307" s="281">
        <f>+'Rate Class Energy Model'!J7</f>
        <v>281244125.5</v>
      </c>
      <c r="C307" s="281">
        <f>+'Rate Class Energy Model'!K7</f>
        <v>169257212.5</v>
      </c>
      <c r="D307" s="281">
        <f>+'Rate Class Energy Model'!L7</f>
        <v>96172091</v>
      </c>
      <c r="E307" s="281">
        <f>+'Rate Class Energy Model'!M7</f>
        <v>8359780.5</v>
      </c>
      <c r="F307" s="281">
        <f>+'Rate Class Energy Model'!N7</f>
        <v>45541</v>
      </c>
      <c r="G307" s="315">
        <f t="shared" ref="G307:G317" si="121">SUM(B307:F307)</f>
        <v>555078750.5</v>
      </c>
    </row>
    <row r="308" spans="1:7" x14ac:dyDescent="0.2">
      <c r="A308" s="307">
        <v>2004</v>
      </c>
      <c r="B308" s="281">
        <f>+'Rate Class Energy Model'!J8</f>
        <v>360631980</v>
      </c>
      <c r="C308" s="281">
        <f>+'Rate Class Energy Model'!K8</f>
        <v>112144196</v>
      </c>
      <c r="D308" s="281">
        <f>+'Rate Class Energy Model'!L8</f>
        <v>65676068</v>
      </c>
      <c r="E308" s="281">
        <f>+'Rate Class Energy Model'!M8</f>
        <v>8743099.0634733941</v>
      </c>
      <c r="F308" s="281">
        <f>+'Rate Class Energy Model'!N8</f>
        <v>27821</v>
      </c>
      <c r="G308" s="315">
        <f t="shared" si="121"/>
        <v>547223164.06347334</v>
      </c>
    </row>
    <row r="309" spans="1:7" x14ac:dyDescent="0.2">
      <c r="A309" s="306">
        <v>2005</v>
      </c>
      <c r="B309" s="281">
        <f>+'Rate Class Energy Model'!J9</f>
        <v>361962669</v>
      </c>
      <c r="C309" s="281">
        <f>+'Rate Class Energy Model'!K9</f>
        <v>62904833</v>
      </c>
      <c r="D309" s="281">
        <f>+'Rate Class Energy Model'!L9</f>
        <v>67016961</v>
      </c>
      <c r="E309" s="281">
        <f>+'Rate Class Energy Model'!M9</f>
        <v>9182978</v>
      </c>
      <c r="F309" s="281">
        <f>+'Rate Class Energy Model'!N9</f>
        <v>43197</v>
      </c>
      <c r="G309" s="315">
        <f t="shared" si="121"/>
        <v>501110638</v>
      </c>
    </row>
    <row r="310" spans="1:7" x14ac:dyDescent="0.2">
      <c r="A310" s="307">
        <v>2006</v>
      </c>
      <c r="B310" s="281">
        <f>+'Rate Class Energy Model'!J10</f>
        <v>357086593</v>
      </c>
      <c r="C310" s="281">
        <f>+'Rate Class Energy Model'!K10</f>
        <v>59654446</v>
      </c>
      <c r="D310" s="281">
        <f>+'Rate Class Energy Model'!L10</f>
        <v>80518764</v>
      </c>
      <c r="E310" s="281">
        <f>+'Rate Class Energy Model'!M10</f>
        <v>9398525</v>
      </c>
      <c r="F310" s="281">
        <f>+'Rate Class Energy Model'!N10</f>
        <v>42595</v>
      </c>
      <c r="G310" s="315">
        <f t="shared" si="121"/>
        <v>506700923</v>
      </c>
    </row>
    <row r="311" spans="1:7" x14ac:dyDescent="0.2">
      <c r="A311" s="306">
        <v>2007</v>
      </c>
      <c r="B311" s="281">
        <f>+'Rate Class Energy Model'!J11</f>
        <v>359144720</v>
      </c>
      <c r="C311" s="281">
        <f>+'Rate Class Energy Model'!K11</f>
        <v>61811846</v>
      </c>
      <c r="D311" s="281">
        <f>+'Rate Class Energy Model'!L11</f>
        <v>103869997</v>
      </c>
      <c r="E311" s="281">
        <f>+'Rate Class Energy Model'!M11</f>
        <v>9704521</v>
      </c>
      <c r="F311" s="281">
        <f>+'Rate Class Energy Model'!N11</f>
        <v>41408</v>
      </c>
      <c r="G311" s="315">
        <f t="shared" si="121"/>
        <v>534572492</v>
      </c>
    </row>
    <row r="312" spans="1:7" x14ac:dyDescent="0.2">
      <c r="A312" s="307">
        <v>2008</v>
      </c>
      <c r="B312" s="321">
        <f>+'Rate Class Energy Model'!J12</f>
        <v>352632150</v>
      </c>
      <c r="C312" s="321">
        <f>+'Rate Class Energy Model'!K12</f>
        <v>46461021</v>
      </c>
      <c r="D312" s="321">
        <f>+'Rate Class Energy Model'!L12</f>
        <v>102433272</v>
      </c>
      <c r="E312" s="321">
        <f>+'Rate Class Energy Model'!M12</f>
        <v>9725840</v>
      </c>
      <c r="F312" s="321">
        <f>+'Rate Class Energy Model'!N12</f>
        <v>39233</v>
      </c>
      <c r="G312" s="322">
        <f t="shared" si="121"/>
        <v>511291516</v>
      </c>
    </row>
    <row r="313" spans="1:7" x14ac:dyDescent="0.2">
      <c r="A313" s="306">
        <v>2009</v>
      </c>
      <c r="B313" s="321">
        <f>+'Rate Class Energy Model'!J13</f>
        <v>349784301</v>
      </c>
      <c r="C313" s="321">
        <f>+'Rate Class Energy Model'!K13</f>
        <v>36580289</v>
      </c>
      <c r="D313" s="321">
        <f>+'Rate Class Energy Model'!L13</f>
        <v>87237589</v>
      </c>
      <c r="E313" s="321">
        <f>+'Rate Class Energy Model'!M13</f>
        <v>10202758</v>
      </c>
      <c r="F313" s="321">
        <f>+'Rate Class Energy Model'!N13</f>
        <v>36792</v>
      </c>
      <c r="G313" s="322">
        <f t="shared" si="121"/>
        <v>483841729</v>
      </c>
    </row>
    <row r="314" spans="1:7" x14ac:dyDescent="0.2">
      <c r="A314" s="307">
        <v>2010</v>
      </c>
      <c r="B314" s="321">
        <f>+'Rate Class Energy Model'!J14</f>
        <v>355234224</v>
      </c>
      <c r="C314" s="321">
        <f>+'Rate Class Energy Model'!K14</f>
        <v>33402763</v>
      </c>
      <c r="D314" s="321">
        <f>+'Rate Class Energy Model'!L14</f>
        <v>80783141</v>
      </c>
      <c r="E314" s="321">
        <f>+'Rate Class Energy Model'!M14</f>
        <v>10427904</v>
      </c>
      <c r="F314" s="321">
        <f>+'Rate Class Energy Model'!N14</f>
        <v>35812</v>
      </c>
      <c r="G314" s="322">
        <f t="shared" si="121"/>
        <v>479883844</v>
      </c>
    </row>
    <row r="315" spans="1:7" x14ac:dyDescent="0.2">
      <c r="A315" s="307">
        <v>2011</v>
      </c>
      <c r="B315" s="321">
        <f>+'Rate Class Energy Model'!J15</f>
        <v>359534375</v>
      </c>
      <c r="C315" s="321">
        <f>+'Rate Class Energy Model'!K15</f>
        <v>37740699</v>
      </c>
      <c r="D315" s="321">
        <f>+'Rate Class Energy Model'!L15</f>
        <v>79908016</v>
      </c>
      <c r="E315" s="321">
        <f>+'Rate Class Energy Model'!M15</f>
        <v>10253017</v>
      </c>
      <c r="F315" s="321">
        <f>+'Rate Class Energy Model'!N15</f>
        <v>35812</v>
      </c>
      <c r="G315" s="322">
        <f t="shared" si="121"/>
        <v>487471919</v>
      </c>
    </row>
    <row r="316" spans="1:7" x14ac:dyDescent="0.2">
      <c r="A316" s="307">
        <v>2012</v>
      </c>
      <c r="B316" s="321">
        <f>+'Rate Class Energy Model'!J16</f>
        <v>338342507</v>
      </c>
      <c r="C316" s="321">
        <f>+'Rate Class Energy Model'!K16</f>
        <v>40812737</v>
      </c>
      <c r="D316" s="321">
        <f>+'Rate Class Energy Model'!L16</f>
        <v>76828137</v>
      </c>
      <c r="E316" s="321">
        <f>+'Rate Class Energy Model'!M16</f>
        <v>10139708</v>
      </c>
      <c r="F316" s="321">
        <f>+'Rate Class Energy Model'!N16</f>
        <v>35812</v>
      </c>
      <c r="G316" s="322">
        <f t="shared" si="121"/>
        <v>466158901</v>
      </c>
    </row>
    <row r="317" spans="1:7" x14ac:dyDescent="0.2">
      <c r="A317" s="465">
        <v>2013</v>
      </c>
      <c r="B317" s="321">
        <f>+'Rate Class Energy Model'!J17</f>
        <v>337123668</v>
      </c>
      <c r="C317" s="321">
        <f>+'Rate Class Energy Model'!K17</f>
        <v>42326219</v>
      </c>
      <c r="D317" s="321">
        <f>+'Rate Class Energy Model'!L17</f>
        <v>79176233</v>
      </c>
      <c r="E317" s="321">
        <f>+'Rate Class Energy Model'!M17</f>
        <v>9082284</v>
      </c>
      <c r="F317" s="321">
        <f>+'Rate Class Energy Model'!N17</f>
        <v>35812</v>
      </c>
      <c r="G317" s="322">
        <f t="shared" si="121"/>
        <v>467744216</v>
      </c>
    </row>
    <row r="318" spans="1:7" ht="13.5" thickBot="1" x14ac:dyDescent="0.25">
      <c r="A318" s="308" t="s">
        <v>318</v>
      </c>
      <c r="B318" s="294">
        <f>+'Rate Class Energy Model'!J18</f>
        <v>336406114</v>
      </c>
      <c r="C318" s="294">
        <f>+'Rate Class Energy Model'!K18</f>
        <v>42700435</v>
      </c>
      <c r="D318" s="294">
        <f>+'Rate Class Energy Model'!L18</f>
        <v>81400346</v>
      </c>
      <c r="E318" s="294">
        <f>+'Rate Class Energy Model'!M18</f>
        <v>9155875</v>
      </c>
      <c r="F318" s="294">
        <f>+'Rate Class Energy Model'!N18</f>
        <v>35812</v>
      </c>
      <c r="G318" s="316">
        <f t="shared" ref="G318" si="122">SUM(B318:F318)</f>
        <v>469698582</v>
      </c>
    </row>
    <row r="319" spans="1:7" ht="13.5" thickBot="1" x14ac:dyDescent="0.25"/>
    <row r="320" spans="1:7" ht="24.75" thickBot="1" x14ac:dyDescent="0.25">
      <c r="A320" s="286" t="s">
        <v>117</v>
      </c>
      <c r="B320" s="279" t="s">
        <v>241</v>
      </c>
      <c r="C320" s="279" t="s">
        <v>74</v>
      </c>
      <c r="D320" s="279" t="s">
        <v>243</v>
      </c>
      <c r="E320" s="279" t="s">
        <v>244</v>
      </c>
      <c r="F320" s="279" t="s">
        <v>245</v>
      </c>
      <c r="G320" s="280" t="s">
        <v>9</v>
      </c>
    </row>
    <row r="321" spans="1:7" x14ac:dyDescent="0.2">
      <c r="A321" s="309" t="s">
        <v>262</v>
      </c>
      <c r="B321" s="310"/>
      <c r="C321" s="310"/>
      <c r="D321" s="310"/>
      <c r="E321" s="310"/>
      <c r="F321" s="310"/>
      <c r="G321" s="311"/>
    </row>
    <row r="322" spans="1:7" x14ac:dyDescent="0.2">
      <c r="A322" s="306">
        <v>2003</v>
      </c>
      <c r="B322" s="454">
        <f>+B292/B307</f>
        <v>2.8665469494401942E-3</v>
      </c>
      <c r="C322" s="454">
        <f t="shared" ref="C322:G322" si="123">+C292/C307</f>
        <v>2.0622172895586356E-3</v>
      </c>
      <c r="D322" s="454">
        <f t="shared" si="123"/>
        <v>2.05581845984819E-3</v>
      </c>
      <c r="E322" s="454">
        <f t="shared" si="123"/>
        <v>2.7784150552756736E-3</v>
      </c>
      <c r="F322" s="454">
        <f t="shared" si="123"/>
        <v>2.7777777777777783E-3</v>
      </c>
      <c r="G322" s="455">
        <f t="shared" si="123"/>
        <v>2.479486814326858E-3</v>
      </c>
    </row>
    <row r="323" spans="1:7" x14ac:dyDescent="0.2">
      <c r="A323" s="307">
        <v>2004</v>
      </c>
      <c r="B323" s="454">
        <f t="shared" ref="B323:G323" si="124">+B293/B308</f>
        <v>2.654924890465898E-3</v>
      </c>
      <c r="C323" s="454">
        <f t="shared" si="124"/>
        <v>2.1680199125062166E-3</v>
      </c>
      <c r="D323" s="454">
        <f t="shared" si="124"/>
        <v>2.0588000182958578E-3</v>
      </c>
      <c r="E323" s="454">
        <f t="shared" si="124"/>
        <v>2.6974988878406374E-3</v>
      </c>
      <c r="F323" s="454">
        <f t="shared" si="124"/>
        <v>4.4300069092492083E-3</v>
      </c>
      <c r="G323" s="455">
        <f t="shared" si="124"/>
        <v>2.484367249966288E-3</v>
      </c>
    </row>
    <row r="324" spans="1:7" x14ac:dyDescent="0.2">
      <c r="A324" s="306">
        <v>2005</v>
      </c>
      <c r="B324" s="454">
        <f t="shared" ref="B324:G324" si="125">+B294/B309</f>
        <v>2.5248436047972667E-3</v>
      </c>
      <c r="C324" s="454">
        <f t="shared" si="125"/>
        <v>2.459350142460437E-3</v>
      </c>
      <c r="D324" s="454">
        <f t="shared" si="125"/>
        <v>2.1216639471312343E-3</v>
      </c>
      <c r="E324" s="454">
        <f t="shared" si="125"/>
        <v>2.6259814626584102E-3</v>
      </c>
      <c r="F324" s="454">
        <f t="shared" si="125"/>
        <v>2.7777777777777775E-3</v>
      </c>
      <c r="G324" s="455">
        <f t="shared" si="125"/>
        <v>2.4645773568005287E-3</v>
      </c>
    </row>
    <row r="325" spans="1:7" x14ac:dyDescent="0.2">
      <c r="A325" s="307">
        <v>2006</v>
      </c>
      <c r="B325" s="454">
        <f t="shared" ref="B325:G325" si="126">+B295/B310</f>
        <v>2.503434790115461E-3</v>
      </c>
      <c r="C325" s="454">
        <f t="shared" si="126"/>
        <v>2.2504944560209311E-3</v>
      </c>
      <c r="D325" s="454">
        <f t="shared" si="126"/>
        <v>2.2159058477350694E-3</v>
      </c>
      <c r="E325" s="454">
        <f t="shared" si="126"/>
        <v>2.6389247248903417E-3</v>
      </c>
      <c r="F325" s="454">
        <f t="shared" si="126"/>
        <v>2.7777777777777783E-3</v>
      </c>
      <c r="G325" s="455">
        <f t="shared" si="126"/>
        <v>2.4305014329812943E-3</v>
      </c>
    </row>
    <row r="326" spans="1:7" x14ac:dyDescent="0.2">
      <c r="A326" s="306">
        <v>2007</v>
      </c>
      <c r="B326" s="454">
        <f t="shared" ref="B326:G326" si="127">+B296/B311</f>
        <v>2.4698038161329507E-3</v>
      </c>
      <c r="C326" s="454">
        <f t="shared" si="127"/>
        <v>2.1994813097800056E-3</v>
      </c>
      <c r="D326" s="454">
        <f t="shared" si="127"/>
        <v>2.0605468969061391E-3</v>
      </c>
      <c r="E326" s="454">
        <f t="shared" si="127"/>
        <v>2.6523720233074875E-3</v>
      </c>
      <c r="F326" s="454">
        <f t="shared" si="127"/>
        <v>2.777777777777777E-3</v>
      </c>
      <c r="G326" s="455">
        <f t="shared" si="127"/>
        <v>2.3623643960756259E-3</v>
      </c>
    </row>
    <row r="327" spans="1:7" x14ac:dyDescent="0.2">
      <c r="A327" s="307">
        <v>2008</v>
      </c>
      <c r="B327" s="456">
        <f t="shared" ref="B327:G327" si="128">+B297/B312</f>
        <v>2.4854909003617508E-3</v>
      </c>
      <c r="C327" s="456">
        <f t="shared" si="128"/>
        <v>2.6717234647081907E-3</v>
      </c>
      <c r="D327" s="456">
        <f t="shared" si="128"/>
        <v>1.9962947195516709E-3</v>
      </c>
      <c r="E327" s="456">
        <f t="shared" si="128"/>
        <v>2.7235693780691436E-3</v>
      </c>
      <c r="F327" s="456">
        <f t="shared" si="128"/>
        <v>2.7777777777777788E-3</v>
      </c>
      <c r="G327" s="457">
        <f t="shared" si="128"/>
        <v>2.408958376996726E-3</v>
      </c>
    </row>
    <row r="328" spans="1:7" x14ac:dyDescent="0.2">
      <c r="A328" s="306">
        <v>2009</v>
      </c>
      <c r="B328" s="456">
        <f t="shared" ref="B328:G328" si="129">+B298/B313</f>
        <v>2.462955019813768E-3</v>
      </c>
      <c r="C328" s="456">
        <f t="shared" si="129"/>
        <v>2.4331956480715612E-3</v>
      </c>
      <c r="D328" s="456">
        <f t="shared" si="129"/>
        <v>2.1813876584782736E-3</v>
      </c>
      <c r="E328" s="456">
        <f t="shared" si="129"/>
        <v>2.6503617943305132E-3</v>
      </c>
      <c r="F328" s="456">
        <f t="shared" si="129"/>
        <v>2.7777777777777779E-3</v>
      </c>
      <c r="G328" s="457">
        <f t="shared" si="129"/>
        <v>2.4139137449221541E-3</v>
      </c>
    </row>
    <row r="329" spans="1:7" x14ac:dyDescent="0.2">
      <c r="A329" s="307">
        <v>2010</v>
      </c>
      <c r="B329" s="456">
        <f t="shared" ref="B329:G329" si="130">+B299/B314</f>
        <v>2.4539161519527464E-3</v>
      </c>
      <c r="C329" s="456">
        <f t="shared" si="130"/>
        <v>2.1131485440291273E-3</v>
      </c>
      <c r="D329" s="456">
        <f t="shared" si="130"/>
        <v>2.4156154066849169E-3</v>
      </c>
      <c r="E329" s="456">
        <f t="shared" si="130"/>
        <v>2.6500052167722295E-3</v>
      </c>
      <c r="F329" s="456">
        <f t="shared" si="130"/>
        <v>2.7777777777777783E-3</v>
      </c>
      <c r="G329" s="457">
        <f t="shared" si="130"/>
        <v>2.4280343927931395E-3</v>
      </c>
    </row>
    <row r="330" spans="1:7" x14ac:dyDescent="0.2">
      <c r="A330" s="307">
        <v>2011</v>
      </c>
      <c r="B330" s="456">
        <f t="shared" ref="B330:G330" si="131">+B300/B315</f>
        <v>2.411647008717873E-3</v>
      </c>
      <c r="C330" s="456">
        <f t="shared" si="131"/>
        <v>2.2178709514627695E-3</v>
      </c>
      <c r="D330" s="456">
        <f t="shared" si="131"/>
        <v>2.411522768879658E-3</v>
      </c>
      <c r="E330" s="456">
        <f t="shared" si="131"/>
        <v>2.7143230134115647E-3</v>
      </c>
      <c r="F330" s="456">
        <f t="shared" si="131"/>
        <v>2.7923601027588516E-3</v>
      </c>
      <c r="G330" s="457">
        <f t="shared" si="131"/>
        <v>2.4030184187901907E-3</v>
      </c>
    </row>
    <row r="331" spans="1:7" x14ac:dyDescent="0.2">
      <c r="A331" s="307">
        <v>2012</v>
      </c>
      <c r="B331" s="456">
        <f t="shared" ref="B331:G333" si="132">+B301/B316</f>
        <v>2.5017814270673357E-3</v>
      </c>
      <c r="C331" s="456">
        <f t="shared" si="132"/>
        <v>2.1942659714294585E-3</v>
      </c>
      <c r="D331" s="456">
        <f t="shared" si="132"/>
        <v>2.3713838069508312E-3</v>
      </c>
      <c r="E331" s="456">
        <f t="shared" si="132"/>
        <v>2.7338065356517171E-3</v>
      </c>
      <c r="F331" s="456">
        <f t="shared" si="132"/>
        <v>2.7923601027588516E-3</v>
      </c>
      <c r="G331" s="457">
        <f t="shared" si="132"/>
        <v>2.45843637768487E-3</v>
      </c>
    </row>
    <row r="332" spans="1:7" x14ac:dyDescent="0.2">
      <c r="A332" s="307">
        <v>2013</v>
      </c>
      <c r="B332" s="454">
        <f t="shared" si="132"/>
        <v>2.5010406566886309E-3</v>
      </c>
      <c r="C332" s="454">
        <f t="shared" si="132"/>
        <v>2.1913840213320258E-3</v>
      </c>
      <c r="D332" s="454">
        <f t="shared" si="132"/>
        <v>2.326973550257184E-3</v>
      </c>
      <c r="E332" s="454">
        <f t="shared" si="132"/>
        <v>2.7830003994589905E-3</v>
      </c>
      <c r="F332" s="454">
        <f t="shared" si="132"/>
        <v>2.7923601027588516E-3</v>
      </c>
      <c r="G332" s="455">
        <f t="shared" si="132"/>
        <v>2.4490521973659211E-3</v>
      </c>
    </row>
    <row r="333" spans="1:7" x14ac:dyDescent="0.2">
      <c r="A333" s="307" t="s">
        <v>318</v>
      </c>
      <c r="B333" s="454">
        <f t="shared" si="132"/>
        <v>2.472573967546856E-3</v>
      </c>
      <c r="C333" s="454">
        <f t="shared" si="132"/>
        <v>2.1827178107201952E-3</v>
      </c>
      <c r="D333" s="454">
        <f t="shared" si="132"/>
        <v>2.2937740338351878E-3</v>
      </c>
      <c r="E333" s="454">
        <f t="shared" si="132"/>
        <v>2.7872813903641104E-3</v>
      </c>
      <c r="F333" s="454">
        <f t="shared" si="132"/>
        <v>2.7923601027588516E-3</v>
      </c>
      <c r="G333" s="455">
        <f t="shared" si="132"/>
        <v>2.421395430144177E-3</v>
      </c>
    </row>
    <row r="334" spans="1:7" x14ac:dyDescent="0.2">
      <c r="A334" s="317" t="s">
        <v>250</v>
      </c>
      <c r="B334" s="458">
        <f>+'Rate Class Load Model'!B43</f>
        <v>2.5257465985917276E-3</v>
      </c>
      <c r="C334" s="458">
        <f>+'Rate Class Load Model'!C43</f>
        <v>2.2619891268399633E-3</v>
      </c>
      <c r="D334" s="458">
        <f>+'Rate Class Load Model'!D43</f>
        <v>2.2091405928795172E-3</v>
      </c>
      <c r="E334" s="458">
        <f>+'Rate Class Load Model'!E43</f>
        <v>2.7029616568359015E-3</v>
      </c>
      <c r="F334" s="458">
        <f>+'Rate Class Load Model'!F43</f>
        <v>2.9203243137274214E-3</v>
      </c>
      <c r="G334" s="459">
        <f>+'Rate Class Load Model'!G43</f>
        <v>2.433675515737315E-3</v>
      </c>
    </row>
    <row r="335" spans="1:7" ht="13.5" thickBot="1" x14ac:dyDescent="0.25">
      <c r="A335" s="319" t="s">
        <v>248</v>
      </c>
      <c r="B335" s="460">
        <f>GEOMEAN(B322:B333)</f>
        <v>2.5231931904443603E-3</v>
      </c>
      <c r="C335" s="460">
        <f t="shared" ref="C335:F335" si="133">GEOMEAN(C322:C333)</f>
        <v>2.2562542573158315E-3</v>
      </c>
      <c r="D335" s="460">
        <f t="shared" si="133"/>
        <v>2.2043767766937541E-3</v>
      </c>
      <c r="E335" s="460">
        <f t="shared" si="133"/>
        <v>2.7023635114137002E-3</v>
      </c>
      <c r="F335" s="460">
        <f t="shared" si="133"/>
        <v>2.8929952210973594E-3</v>
      </c>
      <c r="G335" s="461">
        <f>GEOMEAN(G322:G333)</f>
        <v>2.4334403844207312E-3</v>
      </c>
    </row>
    <row r="336" spans="1:7" ht="13.5" thickBot="1" x14ac:dyDescent="0.25"/>
    <row r="337" spans="1:7" ht="24.75" thickBot="1" x14ac:dyDescent="0.25">
      <c r="A337" s="286" t="s">
        <v>117</v>
      </c>
      <c r="B337" s="279" t="s">
        <v>241</v>
      </c>
      <c r="C337" s="279" t="s">
        <v>74</v>
      </c>
      <c r="D337" s="279" t="s">
        <v>243</v>
      </c>
      <c r="E337" s="279" t="s">
        <v>244</v>
      </c>
      <c r="F337" s="279" t="s">
        <v>245</v>
      </c>
      <c r="G337" s="280" t="s">
        <v>9</v>
      </c>
    </row>
    <row r="338" spans="1:7" x14ac:dyDescent="0.2">
      <c r="A338" s="309" t="s">
        <v>297</v>
      </c>
      <c r="B338" s="310"/>
      <c r="C338" s="310"/>
      <c r="D338" s="310"/>
      <c r="E338" s="310"/>
      <c r="F338" s="310"/>
      <c r="G338" s="311"/>
    </row>
    <row r="339" spans="1:7" x14ac:dyDescent="0.2">
      <c r="A339" s="307" t="str">
        <f>+A283</f>
        <v>2015 Test Year (Regression)</v>
      </c>
      <c r="B339" s="281">
        <f ca="1">+D283*B$334</f>
        <v>873677.36609810172</v>
      </c>
      <c r="C339" s="281">
        <f t="shared" ref="C339:F339" ca="1" si="134">+E283*C$334</f>
        <v>96597.504524505232</v>
      </c>
      <c r="D339" s="281">
        <f t="shared" ca="1" si="134"/>
        <v>184580.51902107167</v>
      </c>
      <c r="E339" s="442">
        <f t="shared" si="134"/>
        <v>18742.893699603548</v>
      </c>
      <c r="F339" s="281">
        <f t="shared" ca="1" si="134"/>
        <v>100.31178155107455</v>
      </c>
      <c r="G339" s="315">
        <f t="shared" ref="G339:G343" ca="1" si="135">SUM(B339:F339)</f>
        <v>1173698.5951248333</v>
      </c>
    </row>
    <row r="340" spans="1:7" x14ac:dyDescent="0.2">
      <c r="A340" s="307" t="str">
        <f>+A284</f>
        <v>2016 Test Year (Regression)</v>
      </c>
      <c r="B340" s="281">
        <f ca="1">+D284*B$334</f>
        <v>889736.46135684976</v>
      </c>
      <c r="C340" s="281">
        <f t="shared" ref="C340:F340" ca="1" si="136">+E284*C$334</f>
        <v>96552.366515154412</v>
      </c>
      <c r="D340" s="281">
        <f t="shared" ca="1" si="136"/>
        <v>189306.02147019058</v>
      </c>
      <c r="E340" s="442">
        <f t="shared" si="136"/>
        <v>12502.517137185854</v>
      </c>
      <c r="F340" s="281">
        <f t="shared" ca="1" si="136"/>
        <v>96.160817790652715</v>
      </c>
      <c r="G340" s="315">
        <f t="shared" ca="1" si="135"/>
        <v>1188193.5272971711</v>
      </c>
    </row>
    <row r="341" spans="1:7" x14ac:dyDescent="0.2">
      <c r="A341" s="307" t="str">
        <f>+A285</f>
        <v>2017 Test Year (Regression)</v>
      </c>
      <c r="B341" s="281">
        <f ca="1">+D285*B$334</f>
        <v>903883.09751444799</v>
      </c>
      <c r="C341" s="281">
        <f t="shared" ref="C341:F341" ca="1" si="137">+E285*C$334</f>
        <v>96729.028974455025</v>
      </c>
      <c r="D341" s="281">
        <f t="shared" ca="1" si="137"/>
        <v>191890.67122809004</v>
      </c>
      <c r="E341" s="442">
        <f t="shared" si="137"/>
        <v>12388.592866418654</v>
      </c>
      <c r="F341" s="281">
        <f t="shared" ca="1" si="137"/>
        <v>92.393462317704902</v>
      </c>
      <c r="G341" s="315">
        <f t="shared" ca="1" si="135"/>
        <v>1204983.7840457296</v>
      </c>
    </row>
    <row r="342" spans="1:7" x14ac:dyDescent="0.2">
      <c r="A342" s="307" t="str">
        <f>+A286</f>
        <v>2018 Test Year (Regression)</v>
      </c>
      <c r="B342" s="281">
        <f ca="1">+D286*B$334</f>
        <v>918844.86741732142</v>
      </c>
      <c r="C342" s="281">
        <f t="shared" ref="C342:F342" ca="1" si="138">+E286*C$334</f>
        <v>96665.310902717101</v>
      </c>
      <c r="D342" s="281">
        <f t="shared" ca="1" si="138"/>
        <v>196084.01152243163</v>
      </c>
      <c r="E342" s="442">
        <f t="shared" si="138"/>
        <v>12276.075349922326</v>
      </c>
      <c r="F342" s="281">
        <f t="shared" ca="1" si="138"/>
        <v>88.553198989825731</v>
      </c>
      <c r="G342" s="315">
        <f t="shared" ca="1" si="135"/>
        <v>1223958.818391382</v>
      </c>
    </row>
    <row r="343" spans="1:7" ht="13.5" thickBot="1" x14ac:dyDescent="0.25">
      <c r="A343" s="308" t="str">
        <f>+A287</f>
        <v>2019 Test Year (Regression)</v>
      </c>
      <c r="B343" s="294">
        <f ca="1">+D287*B$334</f>
        <v>928544.66365225753</v>
      </c>
      <c r="C343" s="294">
        <f t="shared" ref="C343:F343" ca="1" si="139">+E287*C$334</f>
        <v>95914.867995169785</v>
      </c>
      <c r="D343" s="294">
        <f t="shared" ca="1" si="139"/>
        <v>199022.57466739567</v>
      </c>
      <c r="E343" s="443">
        <f t="shared" si="139"/>
        <v>12164.85145263752</v>
      </c>
      <c r="F343" s="294">
        <f t="shared" ca="1" si="139"/>
        <v>84.269171621887097</v>
      </c>
      <c r="G343" s="316">
        <f t="shared" ca="1" si="135"/>
        <v>1235731.2269390824</v>
      </c>
    </row>
    <row r="345" spans="1:7" x14ac:dyDescent="0.2">
      <c r="B345" s="202"/>
      <c r="C345" s="202"/>
      <c r="D345" s="202"/>
      <c r="E345" s="202"/>
      <c r="F345" s="202"/>
      <c r="G345" s="202"/>
    </row>
  </sheetData>
  <pageMargins left="0.7" right="0.7" top="0.75" bottom="0.75" header="0.3" footer="0.3"/>
  <pageSetup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3"/>
  <sheetViews>
    <sheetView topLeftCell="A189" workbookViewId="0">
      <selection activeCell="I211" sqref="I211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2.5703125" style="6" customWidth="1"/>
    <col min="10" max="10" width="19.85546875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3" style="6" bestFit="1" customWidth="1"/>
    <col min="15" max="15" width="20.5703125" style="6" bestFit="1" customWidth="1"/>
    <col min="16" max="16" width="19" style="6" bestFit="1" customWidth="1"/>
    <col min="17" max="17" width="9.5703125" style="6" bestFit="1" customWidth="1"/>
    <col min="18" max="18" width="13.5703125" bestFit="1" customWidth="1"/>
    <col min="19" max="19" width="13" bestFit="1" customWidth="1"/>
    <col min="20" max="20" width="13.5703125" bestFit="1" customWidth="1"/>
    <col min="21" max="21" width="13" bestFit="1" customWidth="1"/>
  </cols>
  <sheetData>
    <row r="2" spans="1:18" ht="42" customHeight="1" x14ac:dyDescent="0.2">
      <c r="B2" s="7" t="s">
        <v>199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20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59">
        <v>891460</v>
      </c>
      <c r="C3" s="215">
        <f>+'Purchased Power Model '!C3</f>
        <v>786</v>
      </c>
      <c r="D3" s="215">
        <f>+'Purchased Power Model '!D3</f>
        <v>0</v>
      </c>
      <c r="E3" s="126">
        <f>+'Purchased Power Model '!E3</f>
        <v>4.7E-2</v>
      </c>
      <c r="F3" s="57">
        <f>+'Purchased Power Model '!F3</f>
        <v>31</v>
      </c>
      <c r="G3" s="57">
        <f>+'Purchased Power Model '!G3</f>
        <v>0</v>
      </c>
      <c r="H3" s="61">
        <v>10151</v>
      </c>
      <c r="I3" s="222">
        <f>$N$18+C3*$N$19+D3*$N$20+E3*$N$21+F3*$N$22+G3*$N$23</f>
        <v>922182.30563973449</v>
      </c>
      <c r="J3" s="36">
        <f>I3-B3</f>
        <v>30722.305639734492</v>
      </c>
      <c r="K3" s="5">
        <f>J3/B3</f>
        <v>3.446290987787954E-2</v>
      </c>
      <c r="M3"/>
      <c r="N3"/>
      <c r="O3"/>
      <c r="P3"/>
      <c r="Q3"/>
    </row>
    <row r="4" spans="1:18" x14ac:dyDescent="0.2">
      <c r="A4" s="3">
        <v>37653</v>
      </c>
      <c r="B4" s="59">
        <v>880341</v>
      </c>
      <c r="C4" s="215">
        <f>+'Purchased Power Model '!C4</f>
        <v>686.5</v>
      </c>
      <c r="D4" s="215">
        <f>+'Purchased Power Model '!D4</f>
        <v>0</v>
      </c>
      <c r="E4" s="126">
        <f>+'Purchased Power Model '!E4</f>
        <v>4.7E-2</v>
      </c>
      <c r="F4" s="57">
        <f>+'Purchased Power Model '!F4</f>
        <v>28</v>
      </c>
      <c r="G4" s="57">
        <f>+'Purchased Power Model '!G4</f>
        <v>0</v>
      </c>
      <c r="H4" s="61">
        <v>10151</v>
      </c>
      <c r="I4" s="222">
        <f t="shared" ref="I4:I67" si="0">$N$18+C4*$N$19+D4*$N$20+E4*$N$21+F4*$N$22+G4*$N$23</f>
        <v>984173.15672998596</v>
      </c>
      <c r="J4" s="36">
        <f t="shared" ref="J4:J67" si="1">I4-B4</f>
        <v>103832.15672998596</v>
      </c>
      <c r="K4" s="5">
        <f t="shared" ref="K4:K67" si="2">J4/B4</f>
        <v>0.11794538335711498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59">
        <v>725424</v>
      </c>
      <c r="C5" s="215">
        <f>+'Purchased Power Model '!C5</f>
        <v>572.5</v>
      </c>
      <c r="D5" s="215">
        <f>+'Purchased Power Model '!D5</f>
        <v>0</v>
      </c>
      <c r="E5" s="126">
        <f>+'Purchased Power Model '!E5</f>
        <v>4.7E-2</v>
      </c>
      <c r="F5" s="57">
        <f>+'Purchased Power Model '!F5</f>
        <v>31</v>
      </c>
      <c r="G5" s="57">
        <f>+'Purchased Power Model '!G5</f>
        <v>1</v>
      </c>
      <c r="H5" s="61">
        <v>10151</v>
      </c>
      <c r="I5" s="222">
        <f t="shared" si="0"/>
        <v>829994.09555424203</v>
      </c>
      <c r="J5" s="36">
        <f t="shared" si="1"/>
        <v>104570.09555424203</v>
      </c>
      <c r="K5" s="5">
        <f t="shared" si="2"/>
        <v>0.14415031147886206</v>
      </c>
      <c r="M5" s="35" t="s">
        <v>20</v>
      </c>
      <c r="N5" s="118">
        <v>0.61629819683122233</v>
      </c>
      <c r="O5"/>
      <c r="P5"/>
      <c r="Q5"/>
    </row>
    <row r="6" spans="1:18" x14ac:dyDescent="0.2">
      <c r="A6" s="3">
        <v>37712</v>
      </c>
      <c r="B6" s="59">
        <v>718245.99001238751</v>
      </c>
      <c r="C6" s="215">
        <f>+'Purchased Power Model '!C6</f>
        <v>403.9</v>
      </c>
      <c r="D6" s="215">
        <f>+'Purchased Power Model '!D6</f>
        <v>0</v>
      </c>
      <c r="E6" s="126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61">
        <v>10151</v>
      </c>
      <c r="I6" s="222">
        <f t="shared" si="0"/>
        <v>824281.03977183986</v>
      </c>
      <c r="J6" s="36">
        <f t="shared" si="1"/>
        <v>106035.04975945235</v>
      </c>
      <c r="K6" s="5">
        <f t="shared" si="2"/>
        <v>0.14763054891211236</v>
      </c>
      <c r="M6" s="35" t="s">
        <v>21</v>
      </c>
      <c r="N6" s="118">
        <v>0.37982346741741602</v>
      </c>
      <c r="O6"/>
      <c r="P6"/>
      <c r="Q6"/>
    </row>
    <row r="7" spans="1:18" x14ac:dyDescent="0.2">
      <c r="A7" s="3">
        <v>37742</v>
      </c>
      <c r="B7" s="59">
        <v>612166.00998761237</v>
      </c>
      <c r="C7" s="215">
        <f>+'Purchased Power Model '!C7</f>
        <v>192</v>
      </c>
      <c r="D7" s="215">
        <f>+'Purchased Power Model '!D7</f>
        <v>0</v>
      </c>
      <c r="E7" s="126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61">
        <v>10151</v>
      </c>
      <c r="I7" s="222">
        <f t="shared" si="0"/>
        <v>705124.23946578184</v>
      </c>
      <c r="J7" s="36">
        <f t="shared" si="1"/>
        <v>92958.229478169465</v>
      </c>
      <c r="K7" s="5">
        <f t="shared" si="2"/>
        <v>0.15185134091330968</v>
      </c>
      <c r="M7" s="35" t="s">
        <v>22</v>
      </c>
      <c r="N7" s="118">
        <v>0.35735330319340936</v>
      </c>
      <c r="O7"/>
      <c r="P7"/>
      <c r="Q7"/>
    </row>
    <row r="8" spans="1:18" x14ac:dyDescent="0.2">
      <c r="A8" s="3">
        <v>37773</v>
      </c>
      <c r="B8" s="59">
        <v>565234</v>
      </c>
      <c r="C8" s="215">
        <f>+'Purchased Power Model '!C8</f>
        <v>55.1</v>
      </c>
      <c r="D8" s="215">
        <f>+'Purchased Power Model '!D8</f>
        <v>31</v>
      </c>
      <c r="E8" s="126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61">
        <v>10151</v>
      </c>
      <c r="I8" s="222">
        <f t="shared" si="0"/>
        <v>650571.89731111284</v>
      </c>
      <c r="J8" s="36">
        <f t="shared" si="1"/>
        <v>85337.897311112843</v>
      </c>
      <c r="K8" s="5">
        <f t="shared" si="2"/>
        <v>0.15097799727389513</v>
      </c>
      <c r="M8" s="35" t="s">
        <v>23</v>
      </c>
      <c r="N8" s="68">
        <v>191176.76600512571</v>
      </c>
      <c r="O8"/>
      <c r="P8"/>
      <c r="Q8"/>
    </row>
    <row r="9" spans="1:18" ht="13.5" thickBot="1" x14ac:dyDescent="0.25">
      <c r="A9" s="3">
        <v>37803</v>
      </c>
      <c r="B9" s="59">
        <v>501712</v>
      </c>
      <c r="C9" s="215">
        <f>+'Purchased Power Model '!C9</f>
        <v>5.7</v>
      </c>
      <c r="D9" s="215">
        <f>+'Purchased Power Model '!D9</f>
        <v>59.1</v>
      </c>
      <c r="E9" s="126">
        <f>+'Purchased Power Model '!E9</f>
        <v>5.2000000000000005E-2</v>
      </c>
      <c r="F9" s="57">
        <f>+'Purchased Power Model '!F9</f>
        <v>31</v>
      </c>
      <c r="G9" s="57">
        <f>+'Purchased Power Model '!G9</f>
        <v>0</v>
      </c>
      <c r="H9" s="61">
        <v>10151</v>
      </c>
      <c r="I9" s="222">
        <f t="shared" si="0"/>
        <v>548082.07059253077</v>
      </c>
      <c r="J9" s="36">
        <f t="shared" si="1"/>
        <v>46370.07059253077</v>
      </c>
      <c r="K9" s="5">
        <f t="shared" si="2"/>
        <v>9.2423682496194565E-2</v>
      </c>
      <c r="M9" s="51" t="s">
        <v>24</v>
      </c>
      <c r="N9" s="69">
        <v>144</v>
      </c>
      <c r="O9"/>
      <c r="P9"/>
      <c r="Q9"/>
    </row>
    <row r="10" spans="1:18" x14ac:dyDescent="0.2">
      <c r="A10" s="3">
        <v>37834</v>
      </c>
      <c r="B10" s="59">
        <v>545972</v>
      </c>
      <c r="C10" s="215">
        <f>+'Purchased Power Model '!C10</f>
        <v>10.4</v>
      </c>
      <c r="D10" s="215">
        <f>+'Purchased Power Model '!D10</f>
        <v>106.5</v>
      </c>
      <c r="E10" s="126">
        <f>+'Purchased Power Model '!E10</f>
        <v>5.2000000000000005E-2</v>
      </c>
      <c r="F10" s="57">
        <f>+'Purchased Power Model '!F10</f>
        <v>31</v>
      </c>
      <c r="G10" s="57">
        <f>+'Purchased Power Model '!G10</f>
        <v>0</v>
      </c>
      <c r="H10" s="61">
        <v>10151</v>
      </c>
      <c r="I10" s="222">
        <f t="shared" si="0"/>
        <v>488952.01817338099</v>
      </c>
      <c r="J10" s="36">
        <f t="shared" si="1"/>
        <v>-57019.981826619012</v>
      </c>
      <c r="K10" s="5">
        <f t="shared" si="2"/>
        <v>-0.1044375569198036</v>
      </c>
      <c r="M10"/>
      <c r="N10"/>
      <c r="O10"/>
      <c r="P10"/>
      <c r="Q10"/>
    </row>
    <row r="11" spans="1:18" ht="13.5" thickBot="1" x14ac:dyDescent="0.25">
      <c r="A11" s="3">
        <v>37865</v>
      </c>
      <c r="B11" s="59">
        <v>607347</v>
      </c>
      <c r="C11" s="215">
        <f>+'Purchased Power Model '!C11</f>
        <v>55.2</v>
      </c>
      <c r="D11" s="215">
        <f>+'Purchased Power Model '!D11</f>
        <v>12.1</v>
      </c>
      <c r="E11" s="126">
        <f>+'Purchased Power Model '!E11</f>
        <v>5.2000000000000005E-2</v>
      </c>
      <c r="F11" s="57">
        <f>+'Purchased Power Model '!F11</f>
        <v>30</v>
      </c>
      <c r="G11" s="57">
        <f>+'Purchased Power Model '!G11</f>
        <v>1</v>
      </c>
      <c r="H11" s="61">
        <v>10151</v>
      </c>
      <c r="I11" s="222">
        <f t="shared" si="0"/>
        <v>656092.00760037254</v>
      </c>
      <c r="J11" s="36">
        <f t="shared" si="1"/>
        <v>48745.007600372541</v>
      </c>
      <c r="K11" s="5">
        <f t="shared" si="2"/>
        <v>8.0258908993330894E-2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59">
        <v>680111</v>
      </c>
      <c r="C12" s="215">
        <f>+'Purchased Power Model '!C12</f>
        <v>289.7</v>
      </c>
      <c r="D12" s="215">
        <f>+'Purchased Power Model '!D12</f>
        <v>0</v>
      </c>
      <c r="E12" s="126">
        <f>+'Purchased Power Model '!E12</f>
        <v>4.7E-2</v>
      </c>
      <c r="F12" s="57">
        <f>+'Purchased Power Model '!F12</f>
        <v>31</v>
      </c>
      <c r="G12" s="57">
        <f>+'Purchased Power Model '!G12</f>
        <v>1</v>
      </c>
      <c r="H12" s="61">
        <v>10151</v>
      </c>
      <c r="I12" s="222">
        <f t="shared" si="0"/>
        <v>716335.74858561216</v>
      </c>
      <c r="J12" s="36">
        <f t="shared" si="1"/>
        <v>36224.748585612164</v>
      </c>
      <c r="K12" s="5">
        <f t="shared" si="2"/>
        <v>5.3262994695883706E-2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59">
        <v>785882</v>
      </c>
      <c r="C13" s="215">
        <f>+'Purchased Power Model '!C13</f>
        <v>387.6</v>
      </c>
      <c r="D13" s="215">
        <f>+'Purchased Power Model '!D13</f>
        <v>0</v>
      </c>
      <c r="E13" s="126">
        <f>+'Purchased Power Model '!E13</f>
        <v>4.7E-2</v>
      </c>
      <c r="F13" s="57">
        <f>+'Purchased Power Model '!F13</f>
        <v>30</v>
      </c>
      <c r="G13" s="57">
        <f>+'Purchased Power Model '!G13</f>
        <v>1</v>
      </c>
      <c r="H13" s="61">
        <v>10151</v>
      </c>
      <c r="I13" s="222">
        <f t="shared" si="0"/>
        <v>789675.53490855929</v>
      </c>
      <c r="J13" s="36">
        <f t="shared" si="1"/>
        <v>3793.5349085592898</v>
      </c>
      <c r="K13" s="5">
        <f t="shared" si="2"/>
        <v>4.8271049706689936E-3</v>
      </c>
      <c r="M13" s="35" t="s">
        <v>26</v>
      </c>
      <c r="N13" s="68">
        <v>5</v>
      </c>
      <c r="O13" s="68">
        <v>3088984815046.6357</v>
      </c>
      <c r="P13" s="68">
        <v>617796963009.32715</v>
      </c>
      <c r="Q13" s="68">
        <v>16.903457564035975</v>
      </c>
      <c r="R13" s="68">
        <v>5.1803521749943716E-13</v>
      </c>
    </row>
    <row r="14" spans="1:18" x14ac:dyDescent="0.2">
      <c r="A14" s="3">
        <v>37956</v>
      </c>
      <c r="B14" s="59">
        <v>845885.5</v>
      </c>
      <c r="C14" s="215">
        <f>+'Purchased Power Model '!C14</f>
        <v>548.20000000000005</v>
      </c>
      <c r="D14" s="215">
        <f>+'Purchased Power Model '!D14</f>
        <v>0</v>
      </c>
      <c r="E14" s="126">
        <f>+'Purchased Power Model '!E14</f>
        <v>4.7E-2</v>
      </c>
      <c r="F14" s="57">
        <f>+'Purchased Power Model '!F14</f>
        <v>31</v>
      </c>
      <c r="G14" s="57">
        <f>+'Purchased Power Model '!G14</f>
        <v>0</v>
      </c>
      <c r="H14" s="61">
        <v>10151</v>
      </c>
      <c r="I14" s="222">
        <f t="shared" si="0"/>
        <v>826609.62208549073</v>
      </c>
      <c r="J14" s="36">
        <f t="shared" si="1"/>
        <v>-19275.87791450927</v>
      </c>
      <c r="K14" s="5">
        <f t="shared" si="2"/>
        <v>-2.2787809833020273E-2</v>
      </c>
      <c r="M14" s="35" t="s">
        <v>27</v>
      </c>
      <c r="N14" s="68">
        <v>138</v>
      </c>
      <c r="O14" s="68">
        <v>5043700708704.6455</v>
      </c>
      <c r="P14" s="68">
        <v>36548555860.178589</v>
      </c>
      <c r="Q14" s="68"/>
      <c r="R14" s="68"/>
    </row>
    <row r="15" spans="1:18" ht="13.5" thickBot="1" x14ac:dyDescent="0.25">
      <c r="A15" s="3">
        <v>37987</v>
      </c>
      <c r="B15" s="59">
        <v>907646</v>
      </c>
      <c r="C15" s="215">
        <f>+'Purchased Power Model '!C15</f>
        <v>828.8</v>
      </c>
      <c r="D15" s="215">
        <f>+'Purchased Power Model '!D15</f>
        <v>0</v>
      </c>
      <c r="E15" s="126">
        <f>+'Purchased Power Model '!E15</f>
        <v>0.05</v>
      </c>
      <c r="F15" s="57">
        <f>+'Purchased Power Model '!F15</f>
        <v>31</v>
      </c>
      <c r="G15" s="57">
        <f>+'Purchased Power Model '!G15</f>
        <v>0</v>
      </c>
      <c r="H15" s="61">
        <v>10373</v>
      </c>
      <c r="I15" s="222">
        <f t="shared" si="0"/>
        <v>948735.27295529237</v>
      </c>
      <c r="J15" s="36">
        <f t="shared" si="1"/>
        <v>41089.27295529237</v>
      </c>
      <c r="K15" s="5">
        <f t="shared" si="2"/>
        <v>4.5270152631413978E-2</v>
      </c>
      <c r="M15" s="51" t="s">
        <v>9</v>
      </c>
      <c r="N15" s="69">
        <v>143</v>
      </c>
      <c r="O15" s="69">
        <v>8132685523751.2812</v>
      </c>
      <c r="P15" s="69"/>
      <c r="Q15" s="69"/>
      <c r="R15" s="69"/>
    </row>
    <row r="16" spans="1:18" ht="13.5" thickBot="1" x14ac:dyDescent="0.25">
      <c r="A16" s="3">
        <v>38018</v>
      </c>
      <c r="B16" s="59">
        <v>891830</v>
      </c>
      <c r="C16" s="215">
        <f>+'Purchased Power Model '!C16</f>
        <v>615.6</v>
      </c>
      <c r="D16" s="215">
        <f>+'Purchased Power Model '!D16</f>
        <v>0</v>
      </c>
      <c r="E16" s="126">
        <f>+'Purchased Power Model '!E16</f>
        <v>0.05</v>
      </c>
      <c r="F16" s="57">
        <f>+'Purchased Power Model '!F16</f>
        <v>29</v>
      </c>
      <c r="G16" s="57">
        <f>+'Purchased Power Model '!G16</f>
        <v>0</v>
      </c>
      <c r="H16" s="61">
        <v>10373</v>
      </c>
      <c r="I16" s="222">
        <f t="shared" si="0"/>
        <v>931036.26034599007</v>
      </c>
      <c r="J16" s="36">
        <f t="shared" si="1"/>
        <v>39206.260345990071</v>
      </c>
      <c r="K16" s="5">
        <f t="shared" si="2"/>
        <v>4.3961584994886997E-2</v>
      </c>
      <c r="M16"/>
      <c r="N16"/>
      <c r="O16"/>
      <c r="P16"/>
      <c r="Q16"/>
    </row>
    <row r="17" spans="1:21" x14ac:dyDescent="0.2">
      <c r="A17" s="3">
        <v>38047</v>
      </c>
      <c r="B17" s="59">
        <v>767788</v>
      </c>
      <c r="C17" s="215">
        <f>+'Purchased Power Model '!C17</f>
        <v>487.1</v>
      </c>
      <c r="D17" s="215">
        <f>+'Purchased Power Model '!D17</f>
        <v>0</v>
      </c>
      <c r="E17" s="126">
        <f>+'Purchased Power Model '!E17</f>
        <v>0.05</v>
      </c>
      <c r="F17" s="57">
        <f>+'Purchased Power Model '!F17</f>
        <v>31</v>
      </c>
      <c r="G17" s="57">
        <f>+'Purchased Power Model '!G17</f>
        <v>1</v>
      </c>
      <c r="H17" s="61">
        <v>10373</v>
      </c>
      <c r="I17" s="222">
        <f t="shared" si="0"/>
        <v>805023.01732037135</v>
      </c>
      <c r="J17" s="36">
        <f t="shared" si="1"/>
        <v>37235.017320371349</v>
      </c>
      <c r="K17" s="5">
        <f t="shared" si="2"/>
        <v>4.8496482519095573E-2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59">
        <v>738766</v>
      </c>
      <c r="C18" s="215">
        <f>+'Purchased Power Model '!C18</f>
        <v>345</v>
      </c>
      <c r="D18" s="215">
        <f>+'Purchased Power Model '!D18</f>
        <v>0</v>
      </c>
      <c r="E18" s="126">
        <f>+'Purchased Power Model '!E18</f>
        <v>5.4000000000000006E-2</v>
      </c>
      <c r="F18" s="57">
        <f>+'Purchased Power Model '!F18</f>
        <v>30</v>
      </c>
      <c r="G18" s="57">
        <f>+'Purchased Power Model '!G18</f>
        <v>1</v>
      </c>
      <c r="H18" s="61">
        <v>10373</v>
      </c>
      <c r="I18" s="222">
        <f t="shared" si="0"/>
        <v>794374.58795368636</v>
      </c>
      <c r="J18" s="36">
        <f t="shared" si="1"/>
        <v>55608.587953686365</v>
      </c>
      <c r="K18" s="5">
        <f t="shared" si="2"/>
        <v>7.527226206090476E-2</v>
      </c>
      <c r="M18" s="35" t="s">
        <v>28</v>
      </c>
      <c r="N18" s="68">
        <v>1513575.3900354854</v>
      </c>
      <c r="O18" s="68">
        <v>624390.78207043628</v>
      </c>
      <c r="P18" s="68">
        <v>2.4240834962626692</v>
      </c>
      <c r="Q18" s="68">
        <v>1.6641659105698956E-2</v>
      </c>
      <c r="R18" s="68">
        <v>278965.28503819439</v>
      </c>
      <c r="S18" s="68">
        <v>2748185.4950327761</v>
      </c>
      <c r="T18" s="68">
        <v>278965.28503819439</v>
      </c>
      <c r="U18" s="68">
        <v>2748185.4950327761</v>
      </c>
    </row>
    <row r="19" spans="1:21" x14ac:dyDescent="0.2">
      <c r="A19" s="3">
        <v>38108</v>
      </c>
      <c r="B19" s="59">
        <v>620361</v>
      </c>
      <c r="C19" s="215">
        <f>+'Purchased Power Model '!C19</f>
        <v>177.5</v>
      </c>
      <c r="D19" s="215">
        <f>+'Purchased Power Model '!D19</f>
        <v>0</v>
      </c>
      <c r="E19" s="126">
        <f>+'Purchased Power Model '!E19</f>
        <v>5.4000000000000006E-2</v>
      </c>
      <c r="F19" s="57">
        <f>+'Purchased Power Model '!F19</f>
        <v>31</v>
      </c>
      <c r="G19" s="57">
        <f>+'Purchased Power Model '!G19</f>
        <v>1</v>
      </c>
      <c r="H19" s="61">
        <v>10373</v>
      </c>
      <c r="I19" s="222">
        <f t="shared" si="0"/>
        <v>693062.30888315581</v>
      </c>
      <c r="J19" s="36">
        <f t="shared" si="1"/>
        <v>72701.308883155813</v>
      </c>
      <c r="K19" s="5">
        <f t="shared" si="2"/>
        <v>0.11719193966602641</v>
      </c>
      <c r="M19" s="35" t="s">
        <v>3</v>
      </c>
      <c r="N19" s="68">
        <v>401.90363143079827</v>
      </c>
      <c r="O19" s="68">
        <v>97.302661334653394</v>
      </c>
      <c r="P19" s="68">
        <v>4.1304484987160803</v>
      </c>
      <c r="Q19" s="68">
        <v>6.2412748160949451E-5</v>
      </c>
      <c r="R19" s="68">
        <v>209.50673452507081</v>
      </c>
      <c r="S19" s="68">
        <v>594.30052833652576</v>
      </c>
      <c r="T19" s="68">
        <v>209.50673452507081</v>
      </c>
      <c r="U19" s="68">
        <v>594.30052833652576</v>
      </c>
    </row>
    <row r="20" spans="1:21" x14ac:dyDescent="0.2">
      <c r="A20" s="3">
        <v>38139</v>
      </c>
      <c r="B20" s="59">
        <v>571102</v>
      </c>
      <c r="C20" s="215">
        <f>+'Purchased Power Model '!C20</f>
        <v>73.2</v>
      </c>
      <c r="D20" s="215">
        <f>+'Purchased Power Model '!D20</f>
        <v>15.6</v>
      </c>
      <c r="E20" s="126">
        <f>+'Purchased Power Model '!E20</f>
        <v>5.4000000000000006E-2</v>
      </c>
      <c r="F20" s="57">
        <f>+'Purchased Power Model '!F20</f>
        <v>30</v>
      </c>
      <c r="G20" s="57">
        <f>+'Purchased Power Model '!G20</f>
        <v>0</v>
      </c>
      <c r="H20" s="61">
        <v>10373</v>
      </c>
      <c r="I20" s="222">
        <f t="shared" si="0"/>
        <v>671436.76334304386</v>
      </c>
      <c r="J20" s="36">
        <f t="shared" si="1"/>
        <v>100334.76334304386</v>
      </c>
      <c r="K20" s="5">
        <f t="shared" si="2"/>
        <v>0.17568624053679352</v>
      </c>
      <c r="M20" s="35" t="s">
        <v>4</v>
      </c>
      <c r="N20" s="68">
        <v>-1287.3206642800553</v>
      </c>
      <c r="O20" s="68">
        <v>753.93733871143411</v>
      </c>
      <c r="P20" s="68">
        <v>-1.7074637349573836</v>
      </c>
      <c r="Q20" s="68">
        <v>8.9984688214907502E-2</v>
      </c>
      <c r="R20" s="68">
        <v>-2778.0836345810776</v>
      </c>
      <c r="S20" s="68">
        <v>203.44230602096695</v>
      </c>
      <c r="T20" s="68">
        <v>-2778.0836345810776</v>
      </c>
      <c r="U20" s="68">
        <v>203.44230602096695</v>
      </c>
    </row>
    <row r="21" spans="1:21" x14ac:dyDescent="0.2">
      <c r="A21" s="3">
        <v>38169</v>
      </c>
      <c r="B21" s="59">
        <v>568453.46031148627</v>
      </c>
      <c r="C21" s="215">
        <f>+'Purchased Power Model '!C21</f>
        <v>2</v>
      </c>
      <c r="D21" s="215">
        <f>+'Purchased Power Model '!D21</f>
        <v>69.3</v>
      </c>
      <c r="E21" s="126">
        <f>+'Purchased Power Model '!E21</f>
        <v>5.5E-2</v>
      </c>
      <c r="F21" s="57">
        <f>+'Purchased Power Model '!F21</f>
        <v>31</v>
      </c>
      <c r="G21" s="57">
        <f>+'Purchased Power Model '!G21</f>
        <v>0</v>
      </c>
      <c r="H21" s="61">
        <v>10373</v>
      </c>
      <c r="I21" s="222">
        <f t="shared" si="0"/>
        <v>542815.84827089985</v>
      </c>
      <c r="J21" s="36">
        <f t="shared" si="1"/>
        <v>-25637.61204058642</v>
      </c>
      <c r="K21" s="5">
        <f t="shared" si="2"/>
        <v>-4.5100635022149733E-2</v>
      </c>
      <c r="M21" s="35" t="s">
        <v>223</v>
      </c>
      <c r="N21" s="68">
        <v>3117163.9634398473</v>
      </c>
      <c r="O21" s="68">
        <v>1061333.2883095508</v>
      </c>
      <c r="P21" s="68">
        <v>2.9370264720564276</v>
      </c>
      <c r="Q21" s="68">
        <v>3.8842519222016623E-3</v>
      </c>
      <c r="R21" s="68">
        <v>1018585.8931935146</v>
      </c>
      <c r="S21" s="68">
        <v>5215742.0336861797</v>
      </c>
      <c r="T21" s="68">
        <v>1018585.8931935146</v>
      </c>
      <c r="U21" s="68">
        <v>5215742.0336861797</v>
      </c>
    </row>
    <row r="22" spans="1:21" x14ac:dyDescent="0.2">
      <c r="A22" s="3">
        <v>38200</v>
      </c>
      <c r="B22" s="59">
        <v>586217.63094622013</v>
      </c>
      <c r="C22" s="215">
        <f>+'Purchased Power Model '!C22</f>
        <v>19.600000000000001</v>
      </c>
      <c r="D22" s="215">
        <f>+'Purchased Power Model '!D22</f>
        <v>53.6</v>
      </c>
      <c r="E22" s="126">
        <f>+'Purchased Power Model '!E22</f>
        <v>5.5E-2</v>
      </c>
      <c r="F22" s="57">
        <f>+'Purchased Power Model '!F22</f>
        <v>31</v>
      </c>
      <c r="G22" s="57">
        <f>+'Purchased Power Model '!G22</f>
        <v>0</v>
      </c>
      <c r="H22" s="61">
        <v>10373</v>
      </c>
      <c r="I22" s="222">
        <f t="shared" si="0"/>
        <v>570100.28661327879</v>
      </c>
      <c r="J22" s="36">
        <f t="shared" si="1"/>
        <v>-16117.344332941342</v>
      </c>
      <c r="K22" s="5">
        <f t="shared" si="2"/>
        <v>-2.7493789818170709E-2</v>
      </c>
      <c r="M22" s="35" t="s">
        <v>5</v>
      </c>
      <c r="N22" s="68">
        <v>-33993.420805871967</v>
      </c>
      <c r="O22" s="68">
        <v>20424.213435422582</v>
      </c>
      <c r="P22" s="68">
        <v>-1.6643686628791163</v>
      </c>
      <c r="Q22" s="68">
        <v>9.8307780174627171E-2</v>
      </c>
      <c r="R22" s="68">
        <v>-74378.290374861856</v>
      </c>
      <c r="S22" s="68">
        <v>6391.4487631179145</v>
      </c>
      <c r="T22" s="68">
        <v>-74378.290374861856</v>
      </c>
      <c r="U22" s="68">
        <v>6391.4487631179145</v>
      </c>
    </row>
    <row r="23" spans="1:21" ht="13.5" thickBot="1" x14ac:dyDescent="0.25">
      <c r="A23" s="3">
        <v>38231</v>
      </c>
      <c r="B23" s="59">
        <v>621745.97221568797</v>
      </c>
      <c r="C23" s="215">
        <f>+'Purchased Power Model '!C23</f>
        <v>41.7</v>
      </c>
      <c r="D23" s="215">
        <f>+'Purchased Power Model '!D23</f>
        <v>26.7</v>
      </c>
      <c r="E23" s="126">
        <f>+'Purchased Power Model '!E23</f>
        <v>5.5E-2</v>
      </c>
      <c r="F23" s="57">
        <f>+'Purchased Power Model '!F23</f>
        <v>30</v>
      </c>
      <c r="G23" s="57">
        <f>+'Purchased Power Model '!G23</f>
        <v>1</v>
      </c>
      <c r="H23" s="61">
        <v>10373</v>
      </c>
      <c r="I23" s="222">
        <f t="shared" si="0"/>
        <v>641222.91876788775</v>
      </c>
      <c r="J23" s="36">
        <f t="shared" si="1"/>
        <v>19476.946552199777</v>
      </c>
      <c r="K23" s="5">
        <f t="shared" si="2"/>
        <v>3.1326212669767151E-2</v>
      </c>
      <c r="M23" s="51" t="s">
        <v>17</v>
      </c>
      <c r="N23" s="69">
        <v>-6381.7847750172232</v>
      </c>
      <c r="O23" s="69">
        <v>41193.787287318002</v>
      </c>
      <c r="P23" s="69">
        <v>-0.15492104987836192</v>
      </c>
      <c r="Q23" s="69">
        <v>0.87710991679166694</v>
      </c>
      <c r="R23" s="69">
        <v>-87834.406287764883</v>
      </c>
      <c r="S23" s="69">
        <v>75070.836737730438</v>
      </c>
      <c r="T23" s="69">
        <v>-87834.406287764883</v>
      </c>
      <c r="U23" s="69">
        <v>75070.836737730438</v>
      </c>
    </row>
    <row r="24" spans="1:21" x14ac:dyDescent="0.2">
      <c r="A24" s="3">
        <v>38261</v>
      </c>
      <c r="B24" s="59">
        <v>721382</v>
      </c>
      <c r="C24" s="215">
        <f>+'Purchased Power Model '!C24</f>
        <v>235</v>
      </c>
      <c r="D24" s="215">
        <f>+'Purchased Power Model '!D24</f>
        <v>0</v>
      </c>
      <c r="E24" s="126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61">
        <v>10373</v>
      </c>
      <c r="I24" s="222">
        <f t="shared" si="0"/>
        <v>728640.42354418582</v>
      </c>
      <c r="J24" s="36">
        <f t="shared" si="1"/>
        <v>7258.4235441858182</v>
      </c>
      <c r="K24" s="5">
        <f t="shared" si="2"/>
        <v>1.0061830686357322E-2</v>
      </c>
      <c r="M24"/>
      <c r="N24"/>
      <c r="O24"/>
      <c r="P24"/>
      <c r="Q24"/>
    </row>
    <row r="25" spans="1:21" x14ac:dyDescent="0.2">
      <c r="A25" s="3">
        <v>38292</v>
      </c>
      <c r="B25" s="59">
        <v>849679</v>
      </c>
      <c r="C25" s="215">
        <f>+'Purchased Power Model '!C25</f>
        <v>385.7</v>
      </c>
      <c r="D25" s="215">
        <f>+'Purchased Power Model '!D25</f>
        <v>0</v>
      </c>
      <c r="E25" s="126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61">
        <v>10373</v>
      </c>
      <c r="I25" s="222">
        <f t="shared" si="0"/>
        <v>823200.72160667914</v>
      </c>
      <c r="J25" s="36">
        <f t="shared" si="1"/>
        <v>-26478.278393320856</v>
      </c>
      <c r="K25" s="5">
        <f t="shared" si="2"/>
        <v>-3.116268425290122E-2</v>
      </c>
      <c r="M25"/>
      <c r="N25"/>
      <c r="O25"/>
      <c r="P25"/>
      <c r="Q25"/>
    </row>
    <row r="26" spans="1:21" x14ac:dyDescent="0.2">
      <c r="A26" s="3">
        <v>38322</v>
      </c>
      <c r="B26" s="59">
        <v>898128</v>
      </c>
      <c r="C26" s="215">
        <f>+'Purchased Power Model '!C26</f>
        <v>627.5</v>
      </c>
      <c r="D26" s="215">
        <f>+'Purchased Power Model '!D26</f>
        <v>0</v>
      </c>
      <c r="E26" s="126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61">
        <v>10373</v>
      </c>
      <c r="I26" s="222">
        <f t="shared" si="0"/>
        <v>892769.3836557914</v>
      </c>
      <c r="J26" s="36">
        <f t="shared" si="1"/>
        <v>-5358.6163442085963</v>
      </c>
      <c r="K26" s="5">
        <f t="shared" si="2"/>
        <v>-5.9664283311605879E-3</v>
      </c>
      <c r="M26"/>
      <c r="N26"/>
      <c r="O26"/>
      <c r="P26"/>
      <c r="Q26"/>
    </row>
    <row r="27" spans="1:21" x14ac:dyDescent="0.2">
      <c r="A27" s="3">
        <v>38353</v>
      </c>
      <c r="B27" s="59">
        <v>978057</v>
      </c>
      <c r="C27" s="215">
        <f>+'Purchased Power Model '!C27</f>
        <v>745.5</v>
      </c>
      <c r="D27" s="215">
        <f>+'Purchased Power Model '!D27</f>
        <v>0</v>
      </c>
      <c r="E27" s="126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61">
        <v>10624</v>
      </c>
      <c r="I27" s="222">
        <f t="shared" si="0"/>
        <v>983834.30765278358</v>
      </c>
      <c r="J27" s="36">
        <f t="shared" si="1"/>
        <v>5777.3076527835801</v>
      </c>
      <c r="K27" s="5">
        <f t="shared" si="2"/>
        <v>5.9069232700993705E-3</v>
      </c>
      <c r="M27"/>
      <c r="N27"/>
      <c r="O27"/>
      <c r="P27"/>
      <c r="Q27"/>
    </row>
    <row r="28" spans="1:21" x14ac:dyDescent="0.2">
      <c r="A28" s="3">
        <v>38384</v>
      </c>
      <c r="B28" s="59">
        <v>949499</v>
      </c>
      <c r="C28" s="215">
        <f>+'Purchased Power Model '!C28</f>
        <v>589.5</v>
      </c>
      <c r="D28" s="215">
        <f>+'Purchased Power Model '!D28</f>
        <v>0</v>
      </c>
      <c r="E28" s="126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61">
        <v>10624</v>
      </c>
      <c r="I28" s="222">
        <f t="shared" si="0"/>
        <v>1023117.6035671949</v>
      </c>
      <c r="J28" s="36">
        <f t="shared" si="1"/>
        <v>73618.603567194892</v>
      </c>
      <c r="K28" s="5">
        <f t="shared" si="2"/>
        <v>7.7534155978252625E-2</v>
      </c>
    </row>
    <row r="29" spans="1:21" x14ac:dyDescent="0.2">
      <c r="A29" s="3">
        <v>38412</v>
      </c>
      <c r="B29" s="59">
        <v>794528</v>
      </c>
      <c r="C29" s="215">
        <f>+'Purchased Power Model '!C29</f>
        <v>578.29999999999995</v>
      </c>
      <c r="D29" s="215">
        <f>+'Purchased Power Model '!D29</f>
        <v>0</v>
      </c>
      <c r="E29" s="126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61">
        <v>10624</v>
      </c>
      <c r="I29" s="222">
        <f t="shared" si="0"/>
        <v>910254.23570253688</v>
      </c>
      <c r="J29" s="36">
        <f t="shared" si="1"/>
        <v>115726.23570253688</v>
      </c>
      <c r="K29" s="5">
        <f t="shared" si="2"/>
        <v>0.14565406845641296</v>
      </c>
    </row>
    <row r="30" spans="1:21" x14ac:dyDescent="0.2">
      <c r="A30" s="3">
        <v>38443</v>
      </c>
      <c r="B30" s="59">
        <v>791600</v>
      </c>
      <c r="C30" s="215">
        <f>+'Purchased Power Model '!C30</f>
        <v>325.3</v>
      </c>
      <c r="D30" s="215">
        <f>+'Purchased Power Model '!D30</f>
        <v>0</v>
      </c>
      <c r="E30" s="126">
        <f>+'Purchased Power Model '!E30</f>
        <v>6.4000000000000001E-2</v>
      </c>
      <c r="F30" s="57">
        <f>+'Purchased Power Model '!F30</f>
        <v>30</v>
      </c>
      <c r="G30" s="57">
        <f>+'Purchased Power Model '!G30</f>
        <v>1</v>
      </c>
      <c r="H30" s="61">
        <v>10624</v>
      </c>
      <c r="I30" s="222">
        <f t="shared" si="0"/>
        <v>817628.7260488983</v>
      </c>
      <c r="J30" s="36">
        <f t="shared" si="1"/>
        <v>26028.726048898301</v>
      </c>
      <c r="K30" s="5">
        <f t="shared" si="2"/>
        <v>3.2881159738375826E-2</v>
      </c>
    </row>
    <row r="31" spans="1:21" x14ac:dyDescent="0.2">
      <c r="A31" s="3">
        <v>38473</v>
      </c>
      <c r="B31" s="59">
        <v>678279</v>
      </c>
      <c r="C31" s="215">
        <f>+'Purchased Power Model '!C31</f>
        <v>216.1</v>
      </c>
      <c r="D31" s="215">
        <f>+'Purchased Power Model '!D31</f>
        <v>0.3</v>
      </c>
      <c r="E31" s="126">
        <f>+'Purchased Power Model '!E31</f>
        <v>6.4000000000000001E-2</v>
      </c>
      <c r="F31" s="57">
        <f>+'Purchased Power Model '!F31</f>
        <v>31</v>
      </c>
      <c r="G31" s="57">
        <f>+'Purchased Power Model '!G31</f>
        <v>1</v>
      </c>
      <c r="H31" s="61">
        <v>10624</v>
      </c>
      <c r="I31" s="222">
        <f t="shared" si="0"/>
        <v>739361.23249149916</v>
      </c>
      <c r="J31" s="36">
        <f t="shared" si="1"/>
        <v>61082.232491499162</v>
      </c>
      <c r="K31" s="5">
        <f t="shared" si="2"/>
        <v>9.0054730415506254E-2</v>
      </c>
    </row>
    <row r="32" spans="1:21" x14ac:dyDescent="0.2">
      <c r="A32" s="3">
        <v>38504</v>
      </c>
      <c r="B32" s="59">
        <v>623044</v>
      </c>
      <c r="C32" s="215">
        <f>+'Purchased Power Model '!C32</f>
        <v>13.7</v>
      </c>
      <c r="D32" s="215">
        <f>+'Purchased Power Model '!D32</f>
        <v>89.9</v>
      </c>
      <c r="E32" s="126">
        <f>+'Purchased Power Model '!E32</f>
        <v>6.4000000000000001E-2</v>
      </c>
      <c r="F32" s="57">
        <f>+'Purchased Power Model '!F32</f>
        <v>30</v>
      </c>
      <c r="G32" s="57">
        <f>+'Purchased Power Model '!G32</f>
        <v>0</v>
      </c>
      <c r="H32" s="61">
        <v>10624</v>
      </c>
      <c r="I32" s="222">
        <f t="shared" si="0"/>
        <v>583047.21155130165</v>
      </c>
      <c r="J32" s="36">
        <f t="shared" si="1"/>
        <v>-39996.788448698353</v>
      </c>
      <c r="K32" s="5">
        <f t="shared" si="2"/>
        <v>-6.4195768595313257E-2</v>
      </c>
    </row>
    <row r="33" spans="1:11" x14ac:dyDescent="0.2">
      <c r="A33" s="3">
        <v>38534</v>
      </c>
      <c r="B33" s="59">
        <v>559827</v>
      </c>
      <c r="C33" s="215">
        <f>+'Purchased Power Model '!C33</f>
        <v>2.2000000000000002</v>
      </c>
      <c r="D33" s="215">
        <f>+'Purchased Power Model '!D33</f>
        <v>153</v>
      </c>
      <c r="E33" s="126">
        <f>+'Purchased Power Model '!E33</f>
        <v>5.7999999999999996E-2</v>
      </c>
      <c r="F33" s="57">
        <f>+'Purchased Power Model '!F33</f>
        <v>31</v>
      </c>
      <c r="G33" s="57">
        <f>+'Purchased Power Model '!G33</f>
        <v>0</v>
      </c>
      <c r="H33" s="61">
        <v>10624</v>
      </c>
      <c r="I33" s="222">
        <f t="shared" si="0"/>
        <v>444498.98128726496</v>
      </c>
      <c r="J33" s="36">
        <f t="shared" si="1"/>
        <v>-115328.01871273504</v>
      </c>
      <c r="K33" s="5">
        <f t="shared" si="2"/>
        <v>-0.20600653186204851</v>
      </c>
    </row>
    <row r="34" spans="1:11" x14ac:dyDescent="0.2">
      <c r="A34" s="3">
        <v>38565</v>
      </c>
      <c r="B34" s="59">
        <v>606119</v>
      </c>
      <c r="C34" s="215">
        <f>+'Purchased Power Model '!C34</f>
        <v>0</v>
      </c>
      <c r="D34" s="215">
        <f>+'Purchased Power Model '!D34</f>
        <v>108</v>
      </c>
      <c r="E34" s="126">
        <f>+'Purchased Power Model '!E34</f>
        <v>5.7999999999999996E-2</v>
      </c>
      <c r="F34" s="57">
        <f>+'Purchased Power Model '!F34</f>
        <v>31</v>
      </c>
      <c r="G34" s="57">
        <f>+'Purchased Power Model '!G34</f>
        <v>0</v>
      </c>
      <c r="H34" s="61">
        <v>10624</v>
      </c>
      <c r="I34" s="222">
        <f t="shared" si="0"/>
        <v>501544.22319071949</v>
      </c>
      <c r="J34" s="36">
        <f t="shared" si="1"/>
        <v>-104574.77680928051</v>
      </c>
      <c r="K34" s="5">
        <f t="shared" si="2"/>
        <v>-0.1725317583004006</v>
      </c>
    </row>
    <row r="35" spans="1:11" x14ac:dyDescent="0.2">
      <c r="A35" s="3">
        <v>38596</v>
      </c>
      <c r="B35" s="59">
        <v>674980</v>
      </c>
      <c r="C35" s="215">
        <f>+'Purchased Power Model '!C35</f>
        <v>36.700000000000003</v>
      </c>
      <c r="D35" s="215">
        <f>+'Purchased Power Model '!D35</f>
        <v>32.799999999999997</v>
      </c>
      <c r="E35" s="126">
        <f>+'Purchased Power Model '!E35</f>
        <v>5.7999999999999996E-2</v>
      </c>
      <c r="F35" s="57">
        <f>+'Purchased Power Model '!F35</f>
        <v>30</v>
      </c>
      <c r="G35" s="57">
        <f>+'Purchased Power Model '!G35</f>
        <v>1</v>
      </c>
      <c r="H35" s="61">
        <v>10624</v>
      </c>
      <c r="I35" s="222">
        <f t="shared" si="0"/>
        <v>640712.23644894466</v>
      </c>
      <c r="J35" s="36">
        <f t="shared" si="1"/>
        <v>-34267.763551055337</v>
      </c>
      <c r="K35" s="5">
        <f t="shared" si="2"/>
        <v>-5.0768561366344687E-2</v>
      </c>
    </row>
    <row r="36" spans="1:11" x14ac:dyDescent="0.2">
      <c r="A36" s="3">
        <v>38626</v>
      </c>
      <c r="B36" s="59">
        <v>744249</v>
      </c>
      <c r="C36" s="215">
        <f>+'Purchased Power Model '!C36</f>
        <v>223.8</v>
      </c>
      <c r="D36" s="215">
        <f>+'Purchased Power Model '!D36</f>
        <v>0.5</v>
      </c>
      <c r="E36" s="126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61">
        <v>10624</v>
      </c>
      <c r="I36" s="222">
        <f t="shared" si="0"/>
        <v>751549.91821097967</v>
      </c>
      <c r="J36" s="36">
        <f t="shared" si="1"/>
        <v>7300.9182109796675</v>
      </c>
      <c r="K36" s="5">
        <f t="shared" si="2"/>
        <v>9.8097790000116463E-3</v>
      </c>
    </row>
    <row r="37" spans="1:11" x14ac:dyDescent="0.2">
      <c r="A37" s="3">
        <v>38657</v>
      </c>
      <c r="B37" s="59">
        <v>859234</v>
      </c>
      <c r="C37" s="215">
        <f>+'Purchased Power Model '!C37</f>
        <v>398.5</v>
      </c>
      <c r="D37" s="215">
        <f>+'Purchased Power Model '!D37</f>
        <v>0</v>
      </c>
      <c r="E37" s="126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61">
        <v>10624</v>
      </c>
      <c r="I37" s="222">
        <f t="shared" si="0"/>
        <v>856399.56375995197</v>
      </c>
      <c r="J37" s="36">
        <f t="shared" si="1"/>
        <v>-2834.4362400480313</v>
      </c>
      <c r="K37" s="5">
        <f t="shared" si="2"/>
        <v>-3.2987943215096603E-3</v>
      </c>
    </row>
    <row r="38" spans="1:11" x14ac:dyDescent="0.2">
      <c r="A38" s="3">
        <v>38687</v>
      </c>
      <c r="B38" s="59">
        <v>923562</v>
      </c>
      <c r="C38" s="215">
        <f>+'Purchased Power Model '!C38</f>
        <v>641.1</v>
      </c>
      <c r="D38" s="215">
        <f>+'Purchased Power Model '!D38</f>
        <v>0</v>
      </c>
      <c r="E38" s="126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61">
        <v>10624</v>
      </c>
      <c r="I38" s="222">
        <f t="shared" si="0"/>
        <v>926289.74871420884</v>
      </c>
      <c r="J38" s="36">
        <f t="shared" si="1"/>
        <v>2727.7487142088357</v>
      </c>
      <c r="K38" s="5">
        <f t="shared" si="2"/>
        <v>2.9535090380600716E-3</v>
      </c>
    </row>
    <row r="39" spans="1:11" x14ac:dyDescent="0.2">
      <c r="A39" s="3">
        <v>38718</v>
      </c>
      <c r="B39" s="60">
        <v>986287</v>
      </c>
      <c r="C39" s="215">
        <f>+'Purchased Power Model '!C39</f>
        <v>558.20000000000005</v>
      </c>
      <c r="D39" s="215">
        <f>+'Purchased Power Model '!D39</f>
        <v>0</v>
      </c>
      <c r="E39" s="126">
        <f>+'Purchased Power Model '!E39</f>
        <v>6.6000000000000003E-2</v>
      </c>
      <c r="F39" s="57">
        <f>+'Purchased Power Model '!F39</f>
        <v>31</v>
      </c>
      <c r="G39" s="57">
        <f>+'Purchased Power Model '!G39</f>
        <v>0</v>
      </c>
      <c r="H39" s="61">
        <v>11038</v>
      </c>
      <c r="I39" s="222">
        <f t="shared" si="0"/>
        <v>889854.77370515582</v>
      </c>
      <c r="J39" s="36">
        <f t="shared" si="1"/>
        <v>-96432.226294844178</v>
      </c>
      <c r="K39" s="5">
        <f t="shared" si="2"/>
        <v>-9.7772987269267642E-2</v>
      </c>
    </row>
    <row r="40" spans="1:11" x14ac:dyDescent="0.2">
      <c r="A40" s="3">
        <v>38749</v>
      </c>
      <c r="B40" s="60">
        <v>965836</v>
      </c>
      <c r="C40" s="215">
        <f>+'Purchased Power Model '!C40</f>
        <v>608.79999999999995</v>
      </c>
      <c r="D40" s="215">
        <f>+'Purchased Power Model '!D40</f>
        <v>0</v>
      </c>
      <c r="E40" s="126">
        <f>+'Purchased Power Model '!E40</f>
        <v>6.6000000000000003E-2</v>
      </c>
      <c r="F40" s="57">
        <f>+'Purchased Power Model '!F40</f>
        <v>28</v>
      </c>
      <c r="G40" s="57">
        <f>+'Purchased Power Model '!G40</f>
        <v>0</v>
      </c>
      <c r="H40" s="61">
        <v>11038</v>
      </c>
      <c r="I40" s="222">
        <f t="shared" si="0"/>
        <v>1012171.35987317</v>
      </c>
      <c r="J40" s="36">
        <f t="shared" si="1"/>
        <v>46335.359873170033</v>
      </c>
      <c r="K40" s="5">
        <f t="shared" si="2"/>
        <v>4.7974355763473336E-2</v>
      </c>
    </row>
    <row r="41" spans="1:11" x14ac:dyDescent="0.2">
      <c r="A41" s="3">
        <v>38777</v>
      </c>
      <c r="B41" s="60">
        <v>814933</v>
      </c>
      <c r="C41" s="215">
        <f>+'Purchased Power Model '!C41</f>
        <v>534</v>
      </c>
      <c r="D41" s="215">
        <f>+'Purchased Power Model '!D41</f>
        <v>0</v>
      </c>
      <c r="E41" s="126">
        <f>+'Purchased Power Model '!E41</f>
        <v>6.6000000000000003E-2</v>
      </c>
      <c r="F41" s="57">
        <f>+'Purchased Power Model '!F41</f>
        <v>31</v>
      </c>
      <c r="G41" s="57">
        <f>+'Purchased Power Model '!G41</f>
        <v>1</v>
      </c>
      <c r="H41" s="61">
        <v>11038</v>
      </c>
      <c r="I41" s="222">
        <f t="shared" si="0"/>
        <v>873746.92104951327</v>
      </c>
      <c r="J41" s="36">
        <f t="shared" si="1"/>
        <v>58813.921049513272</v>
      </c>
      <c r="K41" s="5">
        <f t="shared" si="2"/>
        <v>7.217025332084144E-2</v>
      </c>
    </row>
    <row r="42" spans="1:11" x14ac:dyDescent="0.2">
      <c r="A42" s="3">
        <v>38808</v>
      </c>
      <c r="B42" s="60">
        <v>803774</v>
      </c>
      <c r="C42" s="215">
        <f>+'Purchased Power Model '!C42</f>
        <v>323.60000000000002</v>
      </c>
      <c r="D42" s="215">
        <f>+'Purchased Power Model '!D42</f>
        <v>0</v>
      </c>
      <c r="E42" s="126">
        <f>+'Purchased Power Model '!E42</f>
        <v>6.5000000000000002E-2</v>
      </c>
      <c r="F42" s="57">
        <f>+'Purchased Power Model '!F42</f>
        <v>30</v>
      </c>
      <c r="G42" s="57">
        <f>+'Purchased Power Model '!G42</f>
        <v>1</v>
      </c>
      <c r="H42" s="61">
        <v>11038</v>
      </c>
      <c r="I42" s="222">
        <f t="shared" si="0"/>
        <v>820062.65383890562</v>
      </c>
      <c r="J42" s="36">
        <f t="shared" si="1"/>
        <v>16288.653838905622</v>
      </c>
      <c r="K42" s="5">
        <f t="shared" si="2"/>
        <v>2.0265216141484573E-2</v>
      </c>
    </row>
    <row r="43" spans="1:11" x14ac:dyDescent="0.2">
      <c r="A43" s="3">
        <v>38838</v>
      </c>
      <c r="B43" s="60">
        <v>691635</v>
      </c>
      <c r="C43" s="215">
        <f>+'Purchased Power Model '!C43</f>
        <v>172.6</v>
      </c>
      <c r="D43" s="215">
        <f>+'Purchased Power Model '!D43</f>
        <v>12.8</v>
      </c>
      <c r="E43" s="126">
        <f>+'Purchased Power Model '!E43</f>
        <v>6.5000000000000002E-2</v>
      </c>
      <c r="F43" s="57">
        <f>+'Purchased Power Model '!F43</f>
        <v>31</v>
      </c>
      <c r="G43" s="57">
        <f>+'Purchased Power Model '!G43</f>
        <v>1</v>
      </c>
      <c r="H43" s="61">
        <v>11038</v>
      </c>
      <c r="I43" s="222">
        <f t="shared" si="0"/>
        <v>708904.08018419857</v>
      </c>
      <c r="J43" s="36">
        <f t="shared" si="1"/>
        <v>17269.080184198567</v>
      </c>
      <c r="K43" s="5">
        <f t="shared" si="2"/>
        <v>2.4968487980218709E-2</v>
      </c>
    </row>
    <row r="44" spans="1:11" x14ac:dyDescent="0.2">
      <c r="A44" s="3">
        <v>38869</v>
      </c>
      <c r="B44" s="60">
        <v>643096</v>
      </c>
      <c r="C44" s="215">
        <f>+'Purchased Power Model '!C44</f>
        <v>22.6</v>
      </c>
      <c r="D44" s="215">
        <f>+'Purchased Power Model '!D44</f>
        <v>36.200000000000003</v>
      </c>
      <c r="E44" s="126">
        <f>+'Purchased Power Model '!E44</f>
        <v>6.5000000000000002E-2</v>
      </c>
      <c r="F44" s="57">
        <f>+'Purchased Power Model '!F44</f>
        <v>30</v>
      </c>
      <c r="G44" s="57">
        <f>+'Purchased Power Model '!G44</f>
        <v>0</v>
      </c>
      <c r="H44" s="61">
        <v>11038</v>
      </c>
      <c r="I44" s="222">
        <f t="shared" si="0"/>
        <v>658870.43750631437</v>
      </c>
      <c r="J44" s="36">
        <f t="shared" si="1"/>
        <v>15774.437506314367</v>
      </c>
      <c r="K44" s="5">
        <f t="shared" si="2"/>
        <v>2.4528900049626132E-2</v>
      </c>
    </row>
    <row r="45" spans="1:11" x14ac:dyDescent="0.2">
      <c r="A45" s="3">
        <v>38899</v>
      </c>
      <c r="B45" s="60">
        <v>580475</v>
      </c>
      <c r="C45" s="215">
        <f>+'Purchased Power Model '!C45</f>
        <v>1.7</v>
      </c>
      <c r="D45" s="215">
        <f>+'Purchased Power Model '!D45</f>
        <v>107.6</v>
      </c>
      <c r="E45" s="126">
        <f>+'Purchased Power Model '!E45</f>
        <v>6.7000000000000004E-2</v>
      </c>
      <c r="F45" s="57">
        <f>+'Purchased Power Model '!F45</f>
        <v>31</v>
      </c>
      <c r="G45" s="57">
        <f>+'Purchased Power Model '!G45</f>
        <v>0</v>
      </c>
      <c r="H45" s="61">
        <v>11038</v>
      </c>
      <c r="I45" s="222">
        <f t="shared" si="0"/>
        <v>530796.86330082244</v>
      </c>
      <c r="J45" s="36">
        <f t="shared" si="1"/>
        <v>-49678.136699177558</v>
      </c>
      <c r="K45" s="5">
        <f t="shared" si="2"/>
        <v>-8.5581871224734152E-2</v>
      </c>
    </row>
    <row r="46" spans="1:11" x14ac:dyDescent="0.2">
      <c r="A46" s="3">
        <v>38930</v>
      </c>
      <c r="B46" s="60">
        <v>620967</v>
      </c>
      <c r="C46" s="215">
        <f>+'Purchased Power Model '!C46</f>
        <v>4.4000000000000004</v>
      </c>
      <c r="D46" s="215">
        <f>+'Purchased Power Model '!D46</f>
        <v>82.1</v>
      </c>
      <c r="E46" s="126">
        <f>+'Purchased Power Model '!E46</f>
        <v>6.7000000000000004E-2</v>
      </c>
      <c r="F46" s="57">
        <f>+'Purchased Power Model '!F46</f>
        <v>31</v>
      </c>
      <c r="G46" s="57">
        <f>+'Purchased Power Model '!G46</f>
        <v>0</v>
      </c>
      <c r="H46" s="61">
        <v>11038</v>
      </c>
      <c r="I46" s="222">
        <f t="shared" si="0"/>
        <v>564708.68004482705</v>
      </c>
      <c r="J46" s="36">
        <f t="shared" si="1"/>
        <v>-56258.319955172949</v>
      </c>
      <c r="K46" s="5">
        <f t="shared" si="2"/>
        <v>-9.0597922200653089E-2</v>
      </c>
    </row>
    <row r="47" spans="1:11" x14ac:dyDescent="0.2">
      <c r="A47" s="3">
        <v>38961</v>
      </c>
      <c r="B47" s="60">
        <v>694246</v>
      </c>
      <c r="C47" s="215">
        <f>+'Purchased Power Model '!C47</f>
        <v>70.7</v>
      </c>
      <c r="D47" s="215">
        <f>+'Purchased Power Model '!D47</f>
        <v>5.0999999999999996</v>
      </c>
      <c r="E47" s="126">
        <f>+'Purchased Power Model '!E47</f>
        <v>6.7000000000000004E-2</v>
      </c>
      <c r="F47" s="57">
        <f>+'Purchased Power Model '!F47</f>
        <v>30</v>
      </c>
      <c r="G47" s="57">
        <f>+'Purchased Power Model '!G47</f>
        <v>1</v>
      </c>
      <c r="H47" s="61">
        <v>11038</v>
      </c>
      <c r="I47" s="222">
        <f t="shared" si="0"/>
        <v>718090.21798910794</v>
      </c>
      <c r="J47" s="36">
        <f t="shared" si="1"/>
        <v>23844.217989107943</v>
      </c>
      <c r="K47" s="5">
        <f t="shared" si="2"/>
        <v>3.4345488471100943E-2</v>
      </c>
    </row>
    <row r="48" spans="1:11" x14ac:dyDescent="0.2">
      <c r="A48" s="3">
        <v>38991</v>
      </c>
      <c r="B48" s="60">
        <v>766235</v>
      </c>
      <c r="C48" s="215">
        <f>+'Purchased Power Model '!C48</f>
        <v>274.60000000000002</v>
      </c>
      <c r="D48" s="215">
        <f>+'Purchased Power Model '!D48</f>
        <v>0</v>
      </c>
      <c r="E48" s="126">
        <f>+'Purchased Power Model '!E48</f>
        <v>6.8000000000000005E-2</v>
      </c>
      <c r="F48" s="57">
        <f>+'Purchased Power Model '!F48</f>
        <v>31</v>
      </c>
      <c r="G48" s="57">
        <f>+'Purchased Power Model '!G48</f>
        <v>1</v>
      </c>
      <c r="H48" s="61">
        <v>11038</v>
      </c>
      <c r="I48" s="222">
        <f t="shared" si="0"/>
        <v>775727.44698324392</v>
      </c>
      <c r="J48" s="36">
        <f t="shared" si="1"/>
        <v>9492.4469832439208</v>
      </c>
      <c r="K48" s="5">
        <f t="shared" si="2"/>
        <v>1.2388427810324405E-2</v>
      </c>
    </row>
    <row r="49" spans="1:11" x14ac:dyDescent="0.2">
      <c r="A49" s="3">
        <v>39022</v>
      </c>
      <c r="B49" s="60">
        <v>886587</v>
      </c>
      <c r="C49" s="215">
        <f>+'Purchased Power Model '!C49</f>
        <v>367.5</v>
      </c>
      <c r="D49" s="215">
        <f>+'Purchased Power Model '!D49</f>
        <v>0</v>
      </c>
      <c r="E49" s="126">
        <f>+'Purchased Power Model '!E49</f>
        <v>6.8000000000000005E-2</v>
      </c>
      <c r="F49" s="57">
        <f>+'Purchased Power Model '!F49</f>
        <v>30</v>
      </c>
      <c r="G49" s="57">
        <f>+'Purchased Power Model '!G49</f>
        <v>1</v>
      </c>
      <c r="H49" s="61">
        <v>11038</v>
      </c>
      <c r="I49" s="222">
        <f t="shared" si="0"/>
        <v>847057.71514903719</v>
      </c>
      <c r="J49" s="36">
        <f t="shared" si="1"/>
        <v>-39529.284850962809</v>
      </c>
      <c r="K49" s="5">
        <f t="shared" si="2"/>
        <v>-4.4585906234766368E-2</v>
      </c>
    </row>
    <row r="50" spans="1:11" x14ac:dyDescent="0.2">
      <c r="A50" s="3">
        <v>39052</v>
      </c>
      <c r="B50" s="60">
        <v>944454</v>
      </c>
      <c r="C50" s="215">
        <f>+'Purchased Power Model '!C50</f>
        <v>471.5</v>
      </c>
      <c r="D50" s="215">
        <f>+'Purchased Power Model '!D50</f>
        <v>0</v>
      </c>
      <c r="E50" s="126">
        <f>+'Purchased Power Model '!E50</f>
        <v>6.8000000000000005E-2</v>
      </c>
      <c r="F50" s="57">
        <f>+'Purchased Power Model '!F50</f>
        <v>31</v>
      </c>
      <c r="G50" s="57">
        <f>+'Purchased Power Model '!G50</f>
        <v>0</v>
      </c>
      <c r="H50" s="61">
        <v>11038</v>
      </c>
      <c r="I50" s="222">
        <f t="shared" si="0"/>
        <v>861244.05678698537</v>
      </c>
      <c r="J50" s="36">
        <f t="shared" si="1"/>
        <v>-83209.943213014631</v>
      </c>
      <c r="K50" s="5">
        <f t="shared" si="2"/>
        <v>-8.810375435226557E-2</v>
      </c>
    </row>
    <row r="51" spans="1:11" x14ac:dyDescent="0.2">
      <c r="A51" s="3">
        <v>39083</v>
      </c>
      <c r="B51" s="60">
        <v>1025924</v>
      </c>
      <c r="C51" s="215">
        <f>+'Purchased Power Model '!C51</f>
        <v>573.1</v>
      </c>
      <c r="D51" s="215">
        <f>+'Purchased Power Model '!D51</f>
        <v>0</v>
      </c>
      <c r="E51" s="126">
        <f>+'Purchased Power Model '!E51</f>
        <v>6.0999999999999999E-2</v>
      </c>
      <c r="F51" s="57">
        <f>+'Purchased Power Model '!F51</f>
        <v>31</v>
      </c>
      <c r="G51" s="57">
        <f>+'Purchased Power Model '!G51</f>
        <v>0</v>
      </c>
      <c r="H51" s="61">
        <v>11523</v>
      </c>
      <c r="I51" s="222">
        <f t="shared" si="0"/>
        <v>880257.31799627561</v>
      </c>
      <c r="J51" s="36">
        <f t="shared" si="1"/>
        <v>-145666.68200372439</v>
      </c>
      <c r="K51" s="5">
        <f t="shared" si="2"/>
        <v>-0.1419858410600828</v>
      </c>
    </row>
    <row r="52" spans="1:11" x14ac:dyDescent="0.2">
      <c r="A52" s="3">
        <v>39114</v>
      </c>
      <c r="B52" s="60">
        <v>999738</v>
      </c>
      <c r="C52" s="215">
        <f>+'Purchased Power Model '!C52</f>
        <v>693.5</v>
      </c>
      <c r="D52" s="215">
        <f>+'Purchased Power Model '!D52</f>
        <v>0</v>
      </c>
      <c r="E52" s="126">
        <f>+'Purchased Power Model '!E52</f>
        <v>6.0999999999999999E-2</v>
      </c>
      <c r="F52" s="57">
        <f>+'Purchased Power Model '!F52</f>
        <v>28</v>
      </c>
      <c r="G52" s="57">
        <f>+'Purchased Power Model '!G52</f>
        <v>0</v>
      </c>
      <c r="H52" s="61">
        <v>11523</v>
      </c>
      <c r="I52" s="222">
        <f t="shared" si="0"/>
        <v>1030626.7776381595</v>
      </c>
      <c r="J52" s="36">
        <f t="shared" si="1"/>
        <v>30888.777638159459</v>
      </c>
      <c r="K52" s="5">
        <f t="shared" si="2"/>
        <v>3.0896872618785581E-2</v>
      </c>
    </row>
    <row r="53" spans="1:11" x14ac:dyDescent="0.2">
      <c r="A53" s="3">
        <v>39142</v>
      </c>
      <c r="B53" s="60">
        <v>838997</v>
      </c>
      <c r="C53" s="215">
        <f>+'Purchased Power Model '!C53</f>
        <v>477.9</v>
      </c>
      <c r="D53" s="215">
        <f>+'Purchased Power Model '!D53</f>
        <v>0</v>
      </c>
      <c r="E53" s="126">
        <f>+'Purchased Power Model '!E53</f>
        <v>6.0999999999999999E-2</v>
      </c>
      <c r="F53" s="57">
        <f>+'Purchased Power Model '!F53</f>
        <v>31</v>
      </c>
      <c r="G53" s="57">
        <f>+'Purchased Power Model '!G53</f>
        <v>1</v>
      </c>
      <c r="H53" s="61">
        <v>11523</v>
      </c>
      <c r="I53" s="222">
        <f t="shared" si="0"/>
        <v>835614.3075090464</v>
      </c>
      <c r="J53" s="36">
        <f t="shared" si="1"/>
        <v>-3382.6924909536028</v>
      </c>
      <c r="K53" s="5">
        <f t="shared" si="2"/>
        <v>-4.0318290660796199E-3</v>
      </c>
    </row>
    <row r="54" spans="1:11" x14ac:dyDescent="0.2">
      <c r="A54" s="3">
        <v>39173</v>
      </c>
      <c r="B54" s="60">
        <v>828764</v>
      </c>
      <c r="C54" s="215">
        <f>+'Purchased Power Model '!C54</f>
        <v>280.39999999999998</v>
      </c>
      <c r="D54" s="215">
        <f>+'Purchased Power Model '!D54</f>
        <v>0</v>
      </c>
      <c r="E54" s="126">
        <f>+'Purchased Power Model '!E54</f>
        <v>0.06</v>
      </c>
      <c r="F54" s="57">
        <f>+'Purchased Power Model '!F54</f>
        <v>30</v>
      </c>
      <c r="G54" s="57">
        <f>+'Purchased Power Model '!G54</f>
        <v>1</v>
      </c>
      <c r="H54" s="61">
        <v>11523</v>
      </c>
      <c r="I54" s="222">
        <f t="shared" si="0"/>
        <v>787114.59714389581</v>
      </c>
      <c r="J54" s="36">
        <f t="shared" si="1"/>
        <v>-41649.402856104192</v>
      </c>
      <c r="K54" s="5">
        <f t="shared" si="2"/>
        <v>-5.0254840770236391E-2</v>
      </c>
    </row>
    <row r="55" spans="1:11" x14ac:dyDescent="0.2">
      <c r="A55" s="3">
        <v>39203</v>
      </c>
      <c r="B55" s="60">
        <v>711436</v>
      </c>
      <c r="C55" s="215">
        <f>+'Purchased Power Model '!C55</f>
        <v>72.8</v>
      </c>
      <c r="D55" s="215">
        <f>+'Purchased Power Model '!D55</f>
        <v>4.5</v>
      </c>
      <c r="E55" s="126">
        <f>+'Purchased Power Model '!E55</f>
        <v>0.06</v>
      </c>
      <c r="F55" s="57">
        <f>+'Purchased Power Model '!F55</f>
        <v>31</v>
      </c>
      <c r="G55" s="57">
        <f>+'Purchased Power Model '!G55</f>
        <v>1</v>
      </c>
      <c r="H55" s="61">
        <v>11523</v>
      </c>
      <c r="I55" s="222">
        <f t="shared" si="0"/>
        <v>663893.03946372995</v>
      </c>
      <c r="J55" s="36">
        <f t="shared" si="1"/>
        <v>-47542.960536270053</v>
      </c>
      <c r="K55" s="5">
        <f t="shared" si="2"/>
        <v>-6.6826756779626073E-2</v>
      </c>
    </row>
    <row r="56" spans="1:11" x14ac:dyDescent="0.2">
      <c r="A56" s="3">
        <v>39234</v>
      </c>
      <c r="B56" s="60">
        <v>632106</v>
      </c>
      <c r="C56" s="215">
        <f>+'Purchased Power Model '!C56</f>
        <v>6.2</v>
      </c>
      <c r="D56" s="215">
        <f>+'Purchased Power Model '!D56</f>
        <v>32.799999999999997</v>
      </c>
      <c r="E56" s="126">
        <f>+'Purchased Power Model '!E56</f>
        <v>0.06</v>
      </c>
      <c r="F56" s="57">
        <f>+'Purchased Power Model '!F56</f>
        <v>30</v>
      </c>
      <c r="G56" s="57">
        <f>+'Purchased Power Model '!G56</f>
        <v>0</v>
      </c>
      <c r="H56" s="61">
        <v>11523</v>
      </c>
      <c r="I56" s="222">
        <f t="shared" si="0"/>
        <v>641070.28839220223</v>
      </c>
      <c r="J56" s="36">
        <f t="shared" si="1"/>
        <v>8964.2883922022302</v>
      </c>
      <c r="K56" s="5">
        <f t="shared" si="2"/>
        <v>1.4181622057379981E-2</v>
      </c>
    </row>
    <row r="57" spans="1:11" x14ac:dyDescent="0.2">
      <c r="A57" s="3">
        <v>39264</v>
      </c>
      <c r="B57" s="60">
        <v>597445</v>
      </c>
      <c r="C57" s="215">
        <f>+'Purchased Power Model '!C57</f>
        <v>8.6999999999999993</v>
      </c>
      <c r="D57" s="215">
        <f>+'Purchased Power Model '!D57</f>
        <v>41.6</v>
      </c>
      <c r="E57" s="126">
        <f>+'Purchased Power Model '!E57</f>
        <v>6.5000000000000002E-2</v>
      </c>
      <c r="F57" s="57">
        <f>+'Purchased Power Model '!F57</f>
        <v>31</v>
      </c>
      <c r="G57" s="57">
        <f>+'Purchased Power Model '!G57</f>
        <v>0</v>
      </c>
      <c r="H57" s="61">
        <v>11523</v>
      </c>
      <c r="I57" s="222">
        <f t="shared" si="0"/>
        <v>612339.02463644231</v>
      </c>
      <c r="J57" s="36">
        <f t="shared" si="1"/>
        <v>14894.024636442307</v>
      </c>
      <c r="K57" s="5">
        <f t="shared" si="2"/>
        <v>2.4929532653955273E-2</v>
      </c>
    </row>
    <row r="58" spans="1:11" x14ac:dyDescent="0.2">
      <c r="A58" s="3">
        <v>39295</v>
      </c>
      <c r="B58" s="60">
        <v>643097</v>
      </c>
      <c r="C58" s="215">
        <f>+'Purchased Power Model '!C58</f>
        <v>4</v>
      </c>
      <c r="D58" s="215">
        <f>+'Purchased Power Model '!D58</f>
        <v>87.8</v>
      </c>
      <c r="E58" s="126">
        <f>+'Purchased Power Model '!E58</f>
        <v>6.5000000000000002E-2</v>
      </c>
      <c r="F58" s="57">
        <f>+'Purchased Power Model '!F58</f>
        <v>31</v>
      </c>
      <c r="G58" s="57">
        <f>+'Purchased Power Model '!G58</f>
        <v>0</v>
      </c>
      <c r="H58" s="61">
        <v>11523</v>
      </c>
      <c r="I58" s="222">
        <f t="shared" si="0"/>
        <v>550975.86287897872</v>
      </c>
      <c r="J58" s="36">
        <f t="shared" si="1"/>
        <v>-92121.137121021282</v>
      </c>
      <c r="K58" s="5">
        <f t="shared" si="2"/>
        <v>-0.14324609992119583</v>
      </c>
    </row>
    <row r="59" spans="1:11" x14ac:dyDescent="0.2">
      <c r="A59" s="3">
        <v>39326</v>
      </c>
      <c r="B59" s="60">
        <v>721567</v>
      </c>
      <c r="C59" s="215">
        <f>+'Purchased Power Model '!C59</f>
        <v>20.100000000000001</v>
      </c>
      <c r="D59" s="215">
        <f>+'Purchased Power Model '!D59</f>
        <v>12.3</v>
      </c>
      <c r="E59" s="126">
        <f>+'Purchased Power Model '!E59</f>
        <v>6.5000000000000002E-2</v>
      </c>
      <c r="F59" s="57">
        <f>+'Purchased Power Model '!F59</f>
        <v>30</v>
      </c>
      <c r="G59" s="57">
        <f>+'Purchased Power Model '!G59</f>
        <v>1</v>
      </c>
      <c r="H59" s="61">
        <v>11523</v>
      </c>
      <c r="I59" s="222">
        <f t="shared" si="0"/>
        <v>682250.85752901353</v>
      </c>
      <c r="J59" s="36">
        <f t="shared" si="1"/>
        <v>-39316.142470986466</v>
      </c>
      <c r="K59" s="5">
        <f t="shared" si="2"/>
        <v>-5.448716816454531E-2</v>
      </c>
    </row>
    <row r="60" spans="1:11" x14ac:dyDescent="0.2">
      <c r="A60" s="3">
        <v>39356</v>
      </c>
      <c r="B60" s="60">
        <v>796324</v>
      </c>
      <c r="C60" s="215">
        <f>+'Purchased Power Model '!C60</f>
        <v>101.5</v>
      </c>
      <c r="D60" s="215">
        <f>+'Purchased Power Model '!D60</f>
        <v>0</v>
      </c>
      <c r="E60" s="126">
        <f>+'Purchased Power Model '!E60</f>
        <v>6.3E-2</v>
      </c>
      <c r="F60" s="57">
        <f>+'Purchased Power Model '!F60</f>
        <v>31</v>
      </c>
      <c r="G60" s="57">
        <f>+'Purchased Power Model '!G60</f>
        <v>1</v>
      </c>
      <c r="H60" s="61">
        <v>11523</v>
      </c>
      <c r="I60" s="222">
        <f t="shared" si="0"/>
        <v>690572.1085653737</v>
      </c>
      <c r="J60" s="36">
        <f t="shared" si="1"/>
        <v>-105751.8914346263</v>
      </c>
      <c r="K60" s="5">
        <f t="shared" si="2"/>
        <v>-0.13280008066393365</v>
      </c>
    </row>
    <row r="61" spans="1:11" x14ac:dyDescent="0.2">
      <c r="A61" s="3">
        <v>39387</v>
      </c>
      <c r="B61" s="60">
        <v>921833</v>
      </c>
      <c r="C61" s="215">
        <f>+'Purchased Power Model '!C61</f>
        <v>314.10000000000002</v>
      </c>
      <c r="D61" s="215">
        <f>+'Purchased Power Model '!D61</f>
        <v>0</v>
      </c>
      <c r="E61" s="126">
        <f>+'Purchased Power Model '!E61</f>
        <v>6.3E-2</v>
      </c>
      <c r="F61" s="57">
        <f>+'Purchased Power Model '!F61</f>
        <v>30</v>
      </c>
      <c r="G61" s="57">
        <f>+'Purchased Power Model '!G61</f>
        <v>1</v>
      </c>
      <c r="H61" s="61">
        <v>11523</v>
      </c>
      <c r="I61" s="222">
        <f t="shared" si="0"/>
        <v>810010.24141343345</v>
      </c>
      <c r="J61" s="36">
        <f t="shared" si="1"/>
        <v>-111822.75858656655</v>
      </c>
      <c r="K61" s="5">
        <f t="shared" si="2"/>
        <v>-0.12130479011552694</v>
      </c>
    </row>
    <row r="62" spans="1:11" x14ac:dyDescent="0.2">
      <c r="A62" s="3">
        <v>39417</v>
      </c>
      <c r="B62" s="60">
        <v>987290</v>
      </c>
      <c r="C62" s="215">
        <f>+'Purchased Power Model '!C62</f>
        <v>337.8</v>
      </c>
      <c r="D62" s="215">
        <f>+'Purchased Power Model '!D62</f>
        <v>0</v>
      </c>
      <c r="E62" s="126">
        <f>+'Purchased Power Model '!E62</f>
        <v>6.3E-2</v>
      </c>
      <c r="F62" s="57">
        <f>+'Purchased Power Model '!F62</f>
        <v>31</v>
      </c>
      <c r="G62" s="57">
        <f>+'Purchased Power Model '!G62</f>
        <v>0</v>
      </c>
      <c r="H62" s="61">
        <v>11523</v>
      </c>
      <c r="I62" s="222">
        <f t="shared" si="0"/>
        <v>791923.72144748853</v>
      </c>
      <c r="J62" s="36">
        <f t="shared" si="1"/>
        <v>-195366.27855251147</v>
      </c>
      <c r="K62" s="5">
        <f t="shared" si="2"/>
        <v>-0.19788135051759004</v>
      </c>
    </row>
    <row r="63" spans="1:11" x14ac:dyDescent="0.2">
      <c r="A63" s="3">
        <v>39448</v>
      </c>
      <c r="B63" s="61">
        <v>1065645</v>
      </c>
      <c r="C63" s="216">
        <f>+'Purchased Power Model '!C63</f>
        <v>432.8</v>
      </c>
      <c r="D63" s="216">
        <f>+'Purchased Power Model '!D63</f>
        <v>0</v>
      </c>
      <c r="E63" s="126">
        <f>+'Purchased Power Model '!E63</f>
        <v>6.4000000000000001E-2</v>
      </c>
      <c r="F63" s="57">
        <f>+'Purchased Power Model '!F63</f>
        <v>31</v>
      </c>
      <c r="G63" s="57">
        <f>+'Purchased Power Model '!G63</f>
        <v>0</v>
      </c>
      <c r="H63" s="61">
        <v>11548</v>
      </c>
      <c r="I63" s="222">
        <f t="shared" si="0"/>
        <v>833221.73039685423</v>
      </c>
      <c r="J63" s="36">
        <f t="shared" si="1"/>
        <v>-232423.26960314577</v>
      </c>
      <c r="K63" s="5">
        <f t="shared" si="2"/>
        <v>-0.2181057196375395</v>
      </c>
    </row>
    <row r="64" spans="1:11" x14ac:dyDescent="0.2">
      <c r="A64" s="3">
        <v>39479</v>
      </c>
      <c r="B64" s="61">
        <v>1048455</v>
      </c>
      <c r="C64" s="216">
        <f>+'Purchased Power Model '!C64</f>
        <v>317.60000000000002</v>
      </c>
      <c r="D64" s="216">
        <f>+'Purchased Power Model '!D64</f>
        <v>0</v>
      </c>
      <c r="E64" s="126">
        <f>+'Purchased Power Model '!E64</f>
        <v>6.4000000000000001E-2</v>
      </c>
      <c r="F64" s="57">
        <f>+'Purchased Power Model '!F64</f>
        <v>29</v>
      </c>
      <c r="G64" s="57">
        <f>+'Purchased Power Model '!G64</f>
        <v>0</v>
      </c>
      <c r="H64" s="61">
        <v>11548</v>
      </c>
      <c r="I64" s="222">
        <f t="shared" si="0"/>
        <v>854909.27366777021</v>
      </c>
      <c r="J64" s="36">
        <f t="shared" si="1"/>
        <v>-193545.72633222979</v>
      </c>
      <c r="K64" s="5">
        <f t="shared" si="2"/>
        <v>-0.18460089019770023</v>
      </c>
    </row>
    <row r="65" spans="1:17" x14ac:dyDescent="0.2">
      <c r="A65" s="3">
        <v>39508</v>
      </c>
      <c r="B65" s="61">
        <v>899688</v>
      </c>
      <c r="C65" s="216">
        <f>+'Purchased Power Model '!C65</f>
        <v>430</v>
      </c>
      <c r="D65" s="216">
        <f>+'Purchased Power Model '!D65</f>
        <v>0</v>
      </c>
      <c r="E65" s="126">
        <f>+'Purchased Power Model '!E65</f>
        <v>6.4000000000000001E-2</v>
      </c>
      <c r="F65" s="57">
        <f>+'Purchased Power Model '!F65</f>
        <v>31</v>
      </c>
      <c r="G65" s="57">
        <f>+'Purchased Power Model '!G65</f>
        <v>1</v>
      </c>
      <c r="H65" s="61">
        <v>11548</v>
      </c>
      <c r="I65" s="222">
        <f t="shared" si="0"/>
        <v>825714.6154538308</v>
      </c>
      <c r="J65" s="36">
        <f t="shared" si="1"/>
        <v>-73973.384546169196</v>
      </c>
      <c r="K65" s="5">
        <f t="shared" si="2"/>
        <v>-8.2221152828724178E-2</v>
      </c>
    </row>
    <row r="66" spans="1:17" x14ac:dyDescent="0.2">
      <c r="A66" s="3">
        <v>39539</v>
      </c>
      <c r="B66" s="61">
        <v>864033</v>
      </c>
      <c r="C66" s="216">
        <f>+'Purchased Power Model '!C66</f>
        <v>144.6</v>
      </c>
      <c r="D66" s="216">
        <f>+'Purchased Power Model '!D66</f>
        <v>0</v>
      </c>
      <c r="E66" s="126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61">
        <v>11606</v>
      </c>
      <c r="I66" s="222">
        <f t="shared" si="0"/>
        <v>776176.37948375114</v>
      </c>
      <c r="J66" s="36">
        <f t="shared" si="1"/>
        <v>-87856.620516248862</v>
      </c>
      <c r="K66" s="5">
        <f t="shared" si="2"/>
        <v>-0.10168201968703609</v>
      </c>
    </row>
    <row r="67" spans="1:17" x14ac:dyDescent="0.2">
      <c r="A67" s="3">
        <v>39569</v>
      </c>
      <c r="B67" s="61">
        <v>734031</v>
      </c>
      <c r="C67" s="216">
        <f>+'Purchased Power Model '!C67</f>
        <v>151</v>
      </c>
      <c r="D67" s="216">
        <f>+'Purchased Power Model '!D67</f>
        <v>0</v>
      </c>
      <c r="E67" s="126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61">
        <v>11633</v>
      </c>
      <c r="I67" s="222">
        <f t="shared" si="0"/>
        <v>744755.14191903651</v>
      </c>
      <c r="J67" s="36">
        <f t="shared" si="1"/>
        <v>10724.141919036512</v>
      </c>
      <c r="K67" s="5">
        <f t="shared" si="2"/>
        <v>1.4609930532956391E-2</v>
      </c>
    </row>
    <row r="68" spans="1:17" x14ac:dyDescent="0.2">
      <c r="A68" s="3">
        <v>39600</v>
      </c>
      <c r="B68" s="61">
        <v>674578</v>
      </c>
      <c r="C68" s="216">
        <f>+'Purchased Power Model '!C68</f>
        <v>15.5</v>
      </c>
      <c r="D68" s="216">
        <f>+'Purchased Power Model '!D68</f>
        <v>23.6</v>
      </c>
      <c r="E68" s="126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61">
        <v>11633</v>
      </c>
      <c r="I68" s="222">
        <f t="shared" ref="I68:I131" si="3">$N$18+C68*$N$19+D68*$N$20+E68*$N$21+F68*$N$22+G68*$N$23</f>
        <v>700291.63776404317</v>
      </c>
      <c r="J68" s="36">
        <f t="shared" ref="J68:J131" si="4">I68-B68</f>
        <v>25713.637764043175</v>
      </c>
      <c r="K68" s="5">
        <f t="shared" ref="K68:K131" si="5">J68/B68</f>
        <v>3.8118109046015695E-2</v>
      </c>
    </row>
    <row r="69" spans="1:17" x14ac:dyDescent="0.2">
      <c r="A69" s="3">
        <v>39630</v>
      </c>
      <c r="B69" s="61">
        <v>610991</v>
      </c>
      <c r="C69" s="216">
        <f>+'Purchased Power Model '!C69</f>
        <v>1</v>
      </c>
      <c r="D69" s="216">
        <f>+'Purchased Power Model '!D69</f>
        <v>61.4</v>
      </c>
      <c r="E69" s="126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61">
        <v>11633</v>
      </c>
      <c r="I69" s="222">
        <f t="shared" si="3"/>
        <v>593106.9094119994</v>
      </c>
      <c r="J69" s="36">
        <f t="shared" si="4"/>
        <v>-17884.090588000603</v>
      </c>
      <c r="K69" s="5">
        <f t="shared" si="5"/>
        <v>-2.9270628516623983E-2</v>
      </c>
    </row>
    <row r="70" spans="1:17" x14ac:dyDescent="0.2">
      <c r="A70" s="3">
        <v>39661</v>
      </c>
      <c r="B70" s="61">
        <v>654944</v>
      </c>
      <c r="C70" s="216">
        <f>+'Purchased Power Model '!C70</f>
        <v>13.8</v>
      </c>
      <c r="D70" s="216">
        <f>+'Purchased Power Model '!D70</f>
        <v>29.9</v>
      </c>
      <c r="E70" s="126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61">
        <v>11633</v>
      </c>
      <c r="I70" s="222">
        <f t="shared" si="3"/>
        <v>638801.87681913539</v>
      </c>
      <c r="J70" s="36">
        <f t="shared" si="4"/>
        <v>-16142.123180864612</v>
      </c>
      <c r="K70" s="5">
        <f t="shared" si="5"/>
        <v>-2.464657005921821E-2</v>
      </c>
    </row>
    <row r="71" spans="1:17" x14ac:dyDescent="0.2">
      <c r="A71" s="3">
        <v>39692</v>
      </c>
      <c r="B71" s="61">
        <v>733090</v>
      </c>
      <c r="C71" s="216">
        <f>+'Purchased Power Model '!C71</f>
        <v>51.6</v>
      </c>
      <c r="D71" s="216">
        <f>+'Purchased Power Model '!D71</f>
        <v>15.1</v>
      </c>
      <c r="E71" s="126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61">
        <v>11663</v>
      </c>
      <c r="I71" s="222">
        <f t="shared" si="3"/>
        <v>700657.81594941916</v>
      </c>
      <c r="J71" s="36">
        <f t="shared" si="4"/>
        <v>-32432.184050580836</v>
      </c>
      <c r="K71" s="5">
        <f t="shared" si="5"/>
        <v>-4.4240385287728431E-2</v>
      </c>
    </row>
    <row r="72" spans="1:17" x14ac:dyDescent="0.2">
      <c r="A72" s="3">
        <v>39722</v>
      </c>
      <c r="B72" s="61">
        <v>803901</v>
      </c>
      <c r="C72" s="216">
        <f>+'Purchased Power Model '!C72</f>
        <v>203.1</v>
      </c>
      <c r="D72" s="216">
        <f>+'Purchased Power Model '!D72</f>
        <v>0</v>
      </c>
      <c r="E72" s="126">
        <f>+'Purchased Power Model '!E72</f>
        <v>7.9000000000000001E-2</v>
      </c>
      <c r="F72" s="57">
        <f>+'Purchased Power Model '!F72</f>
        <v>31</v>
      </c>
      <c r="G72" s="57">
        <f>+'Purchased Power Model '!G72</f>
        <v>1</v>
      </c>
      <c r="H72" s="61">
        <v>11679</v>
      </c>
      <c r="I72" s="222">
        <f t="shared" si="3"/>
        <v>781280.14093378035</v>
      </c>
      <c r="J72" s="36">
        <f t="shared" si="4"/>
        <v>-22620.859066219651</v>
      </c>
      <c r="K72" s="5">
        <f t="shared" si="5"/>
        <v>-2.8138861708369128E-2</v>
      </c>
    </row>
    <row r="73" spans="1:17" x14ac:dyDescent="0.2">
      <c r="A73" s="3">
        <v>39753</v>
      </c>
      <c r="B73" s="61">
        <v>828423</v>
      </c>
      <c r="C73" s="216">
        <f>+'Purchased Power Model '!C73</f>
        <v>268.8</v>
      </c>
      <c r="D73" s="216">
        <f>+'Purchased Power Model '!D73</f>
        <v>0</v>
      </c>
      <c r="E73" s="126">
        <f>+'Purchased Power Model '!E73</f>
        <v>7.9000000000000001E-2</v>
      </c>
      <c r="F73" s="57">
        <f>+'Purchased Power Model '!F73</f>
        <v>30</v>
      </c>
      <c r="G73" s="57">
        <f>+'Purchased Power Model '!G73</f>
        <v>1</v>
      </c>
      <c r="H73" s="61">
        <v>11687</v>
      </c>
      <c r="I73" s="222">
        <f t="shared" si="3"/>
        <v>841678.63032465579</v>
      </c>
      <c r="J73" s="36">
        <f t="shared" si="4"/>
        <v>13255.630324655795</v>
      </c>
      <c r="K73" s="5">
        <f t="shared" si="5"/>
        <v>1.6001040923122361E-2</v>
      </c>
    </row>
    <row r="74" spans="1:17" x14ac:dyDescent="0.2">
      <c r="A74" s="3">
        <v>39783</v>
      </c>
      <c r="B74" s="61">
        <v>808061</v>
      </c>
      <c r="C74" s="216">
        <f>+'Purchased Power Model '!C74</f>
        <v>378.9</v>
      </c>
      <c r="D74" s="216">
        <f>+'Purchased Power Model '!D74</f>
        <v>0</v>
      </c>
      <c r="E74" s="126">
        <f>+'Purchased Power Model '!E74</f>
        <v>7.9000000000000001E-2</v>
      </c>
      <c r="F74" s="57">
        <f>+'Purchased Power Model '!F74</f>
        <v>31</v>
      </c>
      <c r="G74" s="57">
        <f>+'Purchased Power Model '!G74</f>
        <v>0</v>
      </c>
      <c r="H74" s="61">
        <v>11720</v>
      </c>
      <c r="I74" s="222">
        <f t="shared" si="3"/>
        <v>858316.58411433175</v>
      </c>
      <c r="J74" s="36">
        <f t="shared" si="4"/>
        <v>50255.584114331752</v>
      </c>
      <c r="K74" s="5">
        <f t="shared" si="5"/>
        <v>6.2192809842736813E-2</v>
      </c>
    </row>
    <row r="75" spans="1:17" s="14" customFormat="1" x14ac:dyDescent="0.2">
      <c r="A75" s="3">
        <v>39814</v>
      </c>
      <c r="B75" s="61">
        <v>1078053</v>
      </c>
      <c r="C75" s="216">
        <f>+'Purchased Power Model '!C75</f>
        <v>684.3</v>
      </c>
      <c r="D75" s="216">
        <f>+'Purchased Power Model '!D75</f>
        <v>0</v>
      </c>
      <c r="E75" s="126">
        <f>+'Purchased Power Model '!E75</f>
        <v>8.5000000000000006E-2</v>
      </c>
      <c r="F75" s="57">
        <f>+'Purchased Power Model '!F75</f>
        <v>31</v>
      </c>
      <c r="G75" s="57">
        <f>+'Purchased Power Model '!G75</f>
        <v>0</v>
      </c>
      <c r="H75" s="61">
        <v>11815</v>
      </c>
      <c r="I75" s="222">
        <f t="shared" si="3"/>
        <v>999760.93693393655</v>
      </c>
      <c r="J75" s="36">
        <f t="shared" si="4"/>
        <v>-78292.063066063449</v>
      </c>
      <c r="K75" s="5">
        <f t="shared" si="5"/>
        <v>-7.2623575154527137E-2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61">
        <v>1060644</v>
      </c>
      <c r="C76" s="216">
        <f>+'Purchased Power Model '!C76</f>
        <v>595.29999999999995</v>
      </c>
      <c r="D76" s="216">
        <f>+'Purchased Power Model '!D76</f>
        <v>0</v>
      </c>
      <c r="E76" s="126">
        <f>+'Purchased Power Model '!E76</f>
        <v>8.5000000000000006E-2</v>
      </c>
      <c r="F76" s="57">
        <f>+'Purchased Power Model '!F76</f>
        <v>28</v>
      </c>
      <c r="G76" s="57">
        <f>+'Purchased Power Model '!G76</f>
        <v>0</v>
      </c>
      <c r="H76" s="61">
        <v>11815</v>
      </c>
      <c r="I76" s="222">
        <f t="shared" si="3"/>
        <v>1065971.7761542115</v>
      </c>
      <c r="J76" s="36">
        <f t="shared" si="4"/>
        <v>5327.7761542114895</v>
      </c>
      <c r="K76" s="5">
        <f t="shared" si="5"/>
        <v>5.0231521172150973E-3</v>
      </c>
    </row>
    <row r="77" spans="1:17" x14ac:dyDescent="0.2">
      <c r="A77" s="3">
        <v>39873</v>
      </c>
      <c r="B77" s="61">
        <v>887461</v>
      </c>
      <c r="C77" s="216">
        <f>+'Purchased Power Model '!C77</f>
        <v>442.2</v>
      </c>
      <c r="D77" s="216">
        <f>+'Purchased Power Model '!D77</f>
        <v>0</v>
      </c>
      <c r="E77" s="126">
        <f>+'Purchased Power Model '!E77</f>
        <v>8.5000000000000006E-2</v>
      </c>
      <c r="F77" s="57">
        <f>+'Purchased Power Model '!F77</f>
        <v>31</v>
      </c>
      <c r="G77" s="57">
        <f>+'Purchased Power Model '!G77</f>
        <v>1</v>
      </c>
      <c r="H77" s="61">
        <v>11815</v>
      </c>
      <c r="I77" s="222">
        <f t="shared" si="3"/>
        <v>896078.28298952326</v>
      </c>
      <c r="J77" s="36">
        <f t="shared" si="4"/>
        <v>8617.2829895232571</v>
      </c>
      <c r="K77" s="5">
        <f t="shared" si="5"/>
        <v>9.7100413308565184E-3</v>
      </c>
    </row>
    <row r="78" spans="1:17" x14ac:dyDescent="0.2">
      <c r="A78" s="3">
        <v>39904</v>
      </c>
      <c r="B78" s="61">
        <v>893766</v>
      </c>
      <c r="C78" s="216">
        <f>+'Purchased Power Model '!C78</f>
        <v>313.8</v>
      </c>
      <c r="D78" s="216">
        <f>+'Purchased Power Model '!D78</f>
        <v>0</v>
      </c>
      <c r="E78" s="126">
        <f>+'Purchased Power Model '!E78</f>
        <v>8.6999999999999994E-2</v>
      </c>
      <c r="F78" s="57">
        <f>+'Purchased Power Model '!F78</f>
        <v>30</v>
      </c>
      <c r="G78" s="57">
        <f>+'Purchased Power Model '!G78</f>
        <v>1</v>
      </c>
      <c r="H78" s="61">
        <v>11815</v>
      </c>
      <c r="I78" s="222">
        <f t="shared" si="3"/>
        <v>884701.60544656042</v>
      </c>
      <c r="J78" s="36">
        <f t="shared" si="4"/>
        <v>-9064.3945534395752</v>
      </c>
      <c r="K78" s="5">
        <f t="shared" si="5"/>
        <v>-1.014179836046524E-2</v>
      </c>
    </row>
    <row r="79" spans="1:17" x14ac:dyDescent="0.2">
      <c r="A79" s="3">
        <v>39934</v>
      </c>
      <c r="B79" s="61">
        <v>768408</v>
      </c>
      <c r="C79" s="216">
        <f>+'Purchased Power Model '!C79</f>
        <v>170.1</v>
      </c>
      <c r="D79" s="216">
        <f>+'Purchased Power Model '!D79</f>
        <v>0</v>
      </c>
      <c r="E79" s="126">
        <f>+'Purchased Power Model '!E79</f>
        <v>8.6999999999999994E-2</v>
      </c>
      <c r="F79" s="57">
        <f>+'Purchased Power Model '!F79</f>
        <v>31</v>
      </c>
      <c r="G79" s="57">
        <f>+'Purchased Power Model '!G79</f>
        <v>1</v>
      </c>
      <c r="H79" s="61">
        <v>11872</v>
      </c>
      <c r="I79" s="222">
        <f t="shared" si="3"/>
        <v>792954.63280408282</v>
      </c>
      <c r="J79" s="36">
        <f t="shared" si="4"/>
        <v>24546.632804082823</v>
      </c>
      <c r="K79" s="5">
        <f t="shared" si="5"/>
        <v>3.1944790793540442E-2</v>
      </c>
    </row>
    <row r="80" spans="1:17" x14ac:dyDescent="0.2">
      <c r="A80" s="3">
        <v>39965</v>
      </c>
      <c r="B80" s="61">
        <v>705252</v>
      </c>
      <c r="C80" s="216">
        <f>+'Purchased Power Model '!C80</f>
        <v>57.9</v>
      </c>
      <c r="D80" s="216">
        <f>+'Purchased Power Model '!D80</f>
        <v>26.3</v>
      </c>
      <c r="E80" s="126">
        <f>+'Purchased Power Model '!E80</f>
        <v>8.6999999999999994E-2</v>
      </c>
      <c r="F80" s="57">
        <f>+'Purchased Power Model '!F80</f>
        <v>30</v>
      </c>
      <c r="G80" s="57">
        <f>+'Purchased Power Model '!G80</f>
        <v>0</v>
      </c>
      <c r="H80" s="61">
        <v>11873</v>
      </c>
      <c r="I80" s="222">
        <f t="shared" si="3"/>
        <v>754379.7174678708</v>
      </c>
      <c r="J80" s="36">
        <f t="shared" si="4"/>
        <v>49127.717467870796</v>
      </c>
      <c r="K80" s="5">
        <f t="shared" si="5"/>
        <v>6.9659805952866208E-2</v>
      </c>
    </row>
    <row r="81" spans="1:17" x14ac:dyDescent="0.2">
      <c r="A81" s="3">
        <v>39995</v>
      </c>
      <c r="B81" s="61">
        <v>633473</v>
      </c>
      <c r="C81" s="216">
        <f>+'Purchased Power Model '!C81</f>
        <v>16.8</v>
      </c>
      <c r="D81" s="216">
        <f>+'Purchased Power Model '!D81</f>
        <v>25.6</v>
      </c>
      <c r="E81" s="126">
        <f>+'Purchased Power Model '!E81</f>
        <v>9.1999999999999998E-2</v>
      </c>
      <c r="F81" s="57">
        <f>+'Purchased Power Model '!F81</f>
        <v>31</v>
      </c>
      <c r="G81" s="57">
        <f>+'Purchased Power Model '!G81</f>
        <v>0</v>
      </c>
      <c r="H81" s="61">
        <v>11873</v>
      </c>
      <c r="I81" s="222">
        <f t="shared" si="3"/>
        <v>720355.00169238821</v>
      </c>
      <c r="J81" s="36">
        <f t="shared" si="4"/>
        <v>86882.001692388207</v>
      </c>
      <c r="K81" s="5">
        <f t="shared" si="5"/>
        <v>0.13715186234044419</v>
      </c>
    </row>
    <row r="82" spans="1:17" x14ac:dyDescent="0.2">
      <c r="A82" s="3">
        <v>40026</v>
      </c>
      <c r="B82" s="61">
        <v>670214</v>
      </c>
      <c r="C82" s="216">
        <f>+'Purchased Power Model '!C82</f>
        <v>13.1</v>
      </c>
      <c r="D82" s="216">
        <f>+'Purchased Power Model '!D82</f>
        <v>77.7</v>
      </c>
      <c r="E82" s="126">
        <f>+'Purchased Power Model '!E82</f>
        <v>9.1999999999999998E-2</v>
      </c>
      <c r="F82" s="57">
        <f>+'Purchased Power Model '!F82</f>
        <v>31</v>
      </c>
      <c r="G82" s="57">
        <f>+'Purchased Power Model '!G82</f>
        <v>0</v>
      </c>
      <c r="H82" s="61">
        <v>11875</v>
      </c>
      <c r="I82" s="222">
        <f t="shared" si="3"/>
        <v>651798.55164710339</v>
      </c>
      <c r="J82" s="36">
        <f t="shared" si="4"/>
        <v>-18415.448352896608</v>
      </c>
      <c r="K82" s="5">
        <f t="shared" si="5"/>
        <v>-2.7476967584826054E-2</v>
      </c>
    </row>
    <row r="83" spans="1:17" x14ac:dyDescent="0.2">
      <c r="A83" s="3">
        <v>40057</v>
      </c>
      <c r="B83" s="61">
        <v>756265</v>
      </c>
      <c r="C83" s="216">
        <f>+'Purchased Power Model '!C83</f>
        <v>64.8</v>
      </c>
      <c r="D83" s="216">
        <f>+'Purchased Power Model '!D83</f>
        <v>9</v>
      </c>
      <c r="E83" s="126">
        <f>+'Purchased Power Model '!E83</f>
        <v>9.1999999999999998E-2</v>
      </c>
      <c r="F83" s="57">
        <f>+'Purchased Power Model '!F83</f>
        <v>30</v>
      </c>
      <c r="G83" s="57">
        <f>+'Purchased Power Model '!G83</f>
        <v>1</v>
      </c>
      <c r="H83" s="61">
        <v>11875</v>
      </c>
      <c r="I83" s="222">
        <f t="shared" si="3"/>
        <v>788627.53505897045</v>
      </c>
      <c r="J83" s="36">
        <f t="shared" si="4"/>
        <v>32362.535058970447</v>
      </c>
      <c r="K83" s="5">
        <f t="shared" si="5"/>
        <v>4.2792586010155759E-2</v>
      </c>
    </row>
    <row r="84" spans="1:17" x14ac:dyDescent="0.2">
      <c r="A84" s="3">
        <v>40087</v>
      </c>
      <c r="B84" s="61">
        <v>821580</v>
      </c>
      <c r="C84" s="216">
        <f>+'Purchased Power Model '!C84</f>
        <v>287.89999999999998</v>
      </c>
      <c r="D84" s="216">
        <f>+'Purchased Power Model '!D84</f>
        <v>0</v>
      </c>
      <c r="E84" s="126">
        <f>+'Purchased Power Model '!E84</f>
        <v>9.9000000000000005E-2</v>
      </c>
      <c r="F84" s="57">
        <f>+'Purchased Power Model '!F84</f>
        <v>31</v>
      </c>
      <c r="G84" s="57">
        <f>+'Purchased Power Model '!G84</f>
        <v>1</v>
      </c>
      <c r="H84" s="61">
        <v>11882</v>
      </c>
      <c r="I84" s="222">
        <f t="shared" si="3"/>
        <v>877704.84814790881</v>
      </c>
      <c r="J84" s="36">
        <f t="shared" si="4"/>
        <v>56124.848147908808</v>
      </c>
      <c r="K84" s="5">
        <f t="shared" si="5"/>
        <v>6.8313308683157825E-2</v>
      </c>
    </row>
    <row r="85" spans="1:17" x14ac:dyDescent="0.2">
      <c r="A85" s="3">
        <v>40118</v>
      </c>
      <c r="B85" s="61">
        <v>933314</v>
      </c>
      <c r="C85" s="216">
        <f>+'Purchased Power Model '!C85</f>
        <v>347.4</v>
      </c>
      <c r="D85" s="216">
        <f>+'Purchased Power Model '!D85</f>
        <v>0</v>
      </c>
      <c r="E85" s="126">
        <f>+'Purchased Power Model '!E85</f>
        <v>9.9000000000000005E-2</v>
      </c>
      <c r="F85" s="57">
        <f>+'Purchased Power Model '!F85</f>
        <v>30</v>
      </c>
      <c r="G85" s="57">
        <f>+'Purchased Power Model '!G85</f>
        <v>1</v>
      </c>
      <c r="H85" s="61">
        <v>11882</v>
      </c>
      <c r="I85" s="222">
        <f t="shared" si="3"/>
        <v>935611.53502391337</v>
      </c>
      <c r="J85" s="36">
        <f t="shared" si="4"/>
        <v>2297.5350239133695</v>
      </c>
      <c r="K85" s="5">
        <f t="shared" si="5"/>
        <v>2.4616956607458685E-3</v>
      </c>
    </row>
    <row r="86" spans="1:17" s="31" customFormat="1" x14ac:dyDescent="0.2">
      <c r="A86" s="3">
        <v>40148</v>
      </c>
      <c r="B86" s="61">
        <v>994328</v>
      </c>
      <c r="C86" s="216">
        <f>+'Purchased Power Model '!C86</f>
        <v>619.1</v>
      </c>
      <c r="D86" s="216">
        <f>+'Purchased Power Model '!D86</f>
        <v>0</v>
      </c>
      <c r="E86" s="126">
        <f>+'Purchased Power Model '!E86</f>
        <v>9.9000000000000005E-2</v>
      </c>
      <c r="F86" s="57">
        <f>+'Purchased Power Model '!F86</f>
        <v>31</v>
      </c>
      <c r="G86" s="57">
        <f>+'Purchased Power Model '!G86</f>
        <v>0</v>
      </c>
      <c r="H86" s="61">
        <v>11882</v>
      </c>
      <c r="I86" s="222">
        <f t="shared" si="3"/>
        <v>1017197.1156528066</v>
      </c>
      <c r="J86" s="36">
        <f t="shared" si="4"/>
        <v>22869.115652806591</v>
      </c>
      <c r="K86" s="5">
        <f t="shared" si="5"/>
        <v>2.2999569209362095E-2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59">
        <v>1093374</v>
      </c>
      <c r="C87" s="216">
        <f>+'Purchased Power Model '!C87</f>
        <v>699.9</v>
      </c>
      <c r="D87" s="216">
        <f>+'Purchased Power Model '!D87</f>
        <v>0</v>
      </c>
      <c r="E87" s="126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61">
        <v>11946</v>
      </c>
      <c r="I87" s="222">
        <f t="shared" si="3"/>
        <v>1062139.5849261745</v>
      </c>
      <c r="J87" s="36">
        <f t="shared" si="4"/>
        <v>-31234.415073825512</v>
      </c>
      <c r="K87" s="5">
        <f t="shared" si="5"/>
        <v>-2.8567000014474014E-2</v>
      </c>
    </row>
    <row r="88" spans="1:17" x14ac:dyDescent="0.2">
      <c r="A88" s="3">
        <v>40210</v>
      </c>
      <c r="B88" s="59">
        <v>1080449</v>
      </c>
      <c r="C88" s="216">
        <f>+'Purchased Power Model '!C88</f>
        <v>583.79999999999995</v>
      </c>
      <c r="D88" s="216">
        <f>+'Purchased Power Model '!D88</f>
        <v>0</v>
      </c>
      <c r="E88" s="126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61">
        <v>12017</v>
      </c>
      <c r="I88" s="222">
        <f t="shared" si="3"/>
        <v>1117458.8357346745</v>
      </c>
      <c r="J88" s="36">
        <f t="shared" si="4"/>
        <v>37009.835734674474</v>
      </c>
      <c r="K88" s="5">
        <f t="shared" si="5"/>
        <v>3.4254125585450559E-2</v>
      </c>
    </row>
    <row r="89" spans="1:17" x14ac:dyDescent="0.2">
      <c r="A89" s="3">
        <v>40238</v>
      </c>
      <c r="B89" s="59">
        <v>899210</v>
      </c>
      <c r="C89" s="216">
        <f>+'Purchased Power Model '!C89</f>
        <v>411</v>
      </c>
      <c r="D89" s="216">
        <f>+'Purchased Power Model '!D89</f>
        <v>0</v>
      </c>
      <c r="E89" s="126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61">
        <v>12051</v>
      </c>
      <c r="I89" s="222">
        <f t="shared" si="3"/>
        <v>939647.84103079967</v>
      </c>
      <c r="J89" s="36">
        <f t="shared" si="4"/>
        <v>40437.841030799667</v>
      </c>
      <c r="K89" s="5">
        <f t="shared" si="5"/>
        <v>4.497040850390862E-2</v>
      </c>
    </row>
    <row r="90" spans="1:17" x14ac:dyDescent="0.2">
      <c r="A90" s="3">
        <v>40269</v>
      </c>
      <c r="B90" s="59">
        <v>912185</v>
      </c>
      <c r="C90" s="216">
        <f>+'Purchased Power Model '!C90</f>
        <v>244</v>
      </c>
      <c r="D90" s="216">
        <f>+'Purchased Power Model '!D90</f>
        <v>0</v>
      </c>
      <c r="E90" s="126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61">
        <v>12098</v>
      </c>
      <c r="I90" s="222">
        <f t="shared" si="3"/>
        <v>894054.69953396881</v>
      </c>
      <c r="J90" s="36">
        <f t="shared" si="4"/>
        <v>-18130.300466031185</v>
      </c>
      <c r="K90" s="5">
        <f t="shared" si="5"/>
        <v>-1.9875683623421986E-2</v>
      </c>
    </row>
    <row r="91" spans="1:17" x14ac:dyDescent="0.2">
      <c r="A91" s="3">
        <v>40299</v>
      </c>
      <c r="B91" s="59">
        <v>782329</v>
      </c>
      <c r="C91" s="216">
        <f>+'Purchased Power Model '!C91</f>
        <v>121.7</v>
      </c>
      <c r="D91" s="216">
        <f>+'Purchased Power Model '!D91</f>
        <v>23.2</v>
      </c>
      <c r="E91" s="126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61">
        <v>12098</v>
      </c>
      <c r="I91" s="222">
        <f t="shared" si="3"/>
        <v>781042.62519281276</v>
      </c>
      <c r="J91" s="36">
        <f t="shared" si="4"/>
        <v>-1286.3748071872396</v>
      </c>
      <c r="K91" s="5">
        <f t="shared" si="5"/>
        <v>-1.6442887930617931E-3</v>
      </c>
    </row>
    <row r="92" spans="1:17" x14ac:dyDescent="0.2">
      <c r="A92" s="3">
        <v>40330</v>
      </c>
      <c r="B92" s="59">
        <v>718278</v>
      </c>
      <c r="C92" s="216">
        <f>+'Purchased Power Model '!C92</f>
        <v>19.399999999999999</v>
      </c>
      <c r="D92" s="216">
        <f>+'Purchased Power Model '!D92</f>
        <v>46.6</v>
      </c>
      <c r="E92" s="126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61">
        <v>12098</v>
      </c>
      <c r="I92" s="222">
        <f t="shared" si="3"/>
        <v>750179.78573417803</v>
      </c>
      <c r="J92" s="36">
        <f t="shared" si="4"/>
        <v>31901.785734178033</v>
      </c>
      <c r="K92" s="5">
        <f t="shared" si="5"/>
        <v>4.4414259846713995E-2</v>
      </c>
    </row>
    <row r="93" spans="1:17" x14ac:dyDescent="0.2">
      <c r="A93" s="3">
        <v>40360</v>
      </c>
      <c r="B93" s="59">
        <v>647002</v>
      </c>
      <c r="C93" s="216">
        <f>+'Purchased Power Model '!C93</f>
        <v>3.5</v>
      </c>
      <c r="D93" s="216">
        <f>+'Purchased Power Model '!D93</f>
        <v>124</v>
      </c>
      <c r="E93" s="126">
        <f>+'Purchased Power Model '!E93</f>
        <v>0.10400000000000001</v>
      </c>
      <c r="F93" s="57">
        <f>+'Purchased Power Model '!F93</f>
        <v>31</v>
      </c>
      <c r="G93" s="57">
        <f>+'Purchased Power Model '!G93</f>
        <v>0</v>
      </c>
      <c r="H93" s="61">
        <v>12098</v>
      </c>
      <c r="I93" s="222">
        <f t="shared" si="3"/>
        <v>625743.29759047949</v>
      </c>
      <c r="J93" s="36">
        <f t="shared" si="4"/>
        <v>-21258.702409520512</v>
      </c>
      <c r="K93" s="5">
        <f t="shared" si="5"/>
        <v>-3.2857243732663133E-2</v>
      </c>
    </row>
    <row r="94" spans="1:17" x14ac:dyDescent="0.2">
      <c r="A94" s="3">
        <v>40391</v>
      </c>
      <c r="B94" s="59">
        <v>685217</v>
      </c>
      <c r="C94" s="216">
        <f>+'Purchased Power Model '!C94</f>
        <v>3.2</v>
      </c>
      <c r="D94" s="216">
        <f>+'Purchased Power Model '!D94</f>
        <v>96.8</v>
      </c>
      <c r="E94" s="126">
        <f>+'Purchased Power Model '!E94</f>
        <v>0.10400000000000001</v>
      </c>
      <c r="F94" s="57">
        <f>+'Purchased Power Model '!F94</f>
        <v>31</v>
      </c>
      <c r="G94" s="57">
        <f>+'Purchased Power Model '!G94</f>
        <v>0</v>
      </c>
      <c r="H94" s="61">
        <v>12098</v>
      </c>
      <c r="I94" s="222">
        <f t="shared" si="3"/>
        <v>660637.8485694679</v>
      </c>
      <c r="J94" s="36">
        <f t="shared" si="4"/>
        <v>-24579.151430532103</v>
      </c>
      <c r="K94" s="5">
        <f t="shared" si="5"/>
        <v>-3.5870609501124612E-2</v>
      </c>
    </row>
    <row r="95" spans="1:17" x14ac:dyDescent="0.2">
      <c r="A95" s="3">
        <v>40422</v>
      </c>
      <c r="B95" s="59">
        <v>772567</v>
      </c>
      <c r="C95" s="216">
        <f>+'Purchased Power Model '!C95</f>
        <v>85.5</v>
      </c>
      <c r="D95" s="216">
        <f>+'Purchased Power Model '!D95</f>
        <v>18.5</v>
      </c>
      <c r="E95" s="126">
        <f>+'Purchased Power Model '!E95</f>
        <v>0.10400000000000001</v>
      </c>
      <c r="F95" s="57">
        <f>+'Purchased Power Model '!F95</f>
        <v>30</v>
      </c>
      <c r="G95" s="57">
        <f>+'Purchased Power Model '!G95</f>
        <v>1</v>
      </c>
      <c r="H95" s="61">
        <v>12098</v>
      </c>
      <c r="I95" s="222">
        <f t="shared" si="3"/>
        <v>822123.36148020544</v>
      </c>
      <c r="J95" s="36">
        <f t="shared" si="4"/>
        <v>49556.361480205436</v>
      </c>
      <c r="K95" s="5">
        <f t="shared" si="5"/>
        <v>6.4145066356970246E-2</v>
      </c>
    </row>
    <row r="96" spans="1:17" x14ac:dyDescent="0.2">
      <c r="A96" s="3">
        <v>40452</v>
      </c>
      <c r="B96" s="59">
        <v>839069</v>
      </c>
      <c r="C96" s="216">
        <f>+'Purchased Power Model '!C96</f>
        <v>247.8</v>
      </c>
      <c r="D96" s="216">
        <f>+'Purchased Power Model '!D96</f>
        <v>0</v>
      </c>
      <c r="E96" s="126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61">
        <v>12098</v>
      </c>
      <c r="I96" s="222">
        <f t="shared" si="3"/>
        <v>842885.52874689514</v>
      </c>
      <c r="J96" s="36">
        <f t="shared" si="4"/>
        <v>3816.5287468951428</v>
      </c>
      <c r="K96" s="5">
        <f t="shared" si="5"/>
        <v>4.5485278885230452E-3</v>
      </c>
    </row>
    <row r="97" spans="1:11" x14ac:dyDescent="0.2">
      <c r="A97" s="3">
        <v>40483</v>
      </c>
      <c r="B97" s="59">
        <v>972883</v>
      </c>
      <c r="C97" s="216">
        <f>+'Purchased Power Model '!C97</f>
        <v>389.2</v>
      </c>
      <c r="D97" s="216">
        <f>+'Purchased Power Model '!D97</f>
        <v>0</v>
      </c>
      <c r="E97" s="126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61">
        <v>12098</v>
      </c>
      <c r="I97" s="222">
        <f t="shared" si="3"/>
        <v>933708.12303708179</v>
      </c>
      <c r="J97" s="36">
        <f t="shared" si="4"/>
        <v>-39174.876962918206</v>
      </c>
      <c r="K97" s="5">
        <f t="shared" si="5"/>
        <v>-4.026679154936226E-2</v>
      </c>
    </row>
    <row r="98" spans="1:11" x14ac:dyDescent="0.2">
      <c r="A98" s="3">
        <v>40513</v>
      </c>
      <c r="B98" s="59">
        <v>1025341</v>
      </c>
      <c r="C98" s="216">
        <f>+'Purchased Power Model '!C98</f>
        <v>628.70000000000005</v>
      </c>
      <c r="D98" s="216">
        <f>+'Purchased Power Model '!D98</f>
        <v>0</v>
      </c>
      <c r="E98" s="126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61">
        <v>12109</v>
      </c>
      <c r="I98" s="222">
        <f t="shared" si="3"/>
        <v>1002352.4067339031</v>
      </c>
      <c r="J98" s="36">
        <f t="shared" si="4"/>
        <v>-22988.593266096897</v>
      </c>
      <c r="K98" s="5">
        <f t="shared" si="5"/>
        <v>-2.2420436972769936E-2</v>
      </c>
    </row>
    <row r="99" spans="1:11" x14ac:dyDescent="0.2">
      <c r="A99" s="3">
        <v>40544</v>
      </c>
      <c r="B99" s="129">
        <v>1116655</v>
      </c>
      <c r="C99" s="219">
        <f>+'Purchased Power Model '!C99</f>
        <v>760.9</v>
      </c>
      <c r="D99" s="219">
        <f>+'Purchased Power Model '!D99</f>
        <v>0</v>
      </c>
      <c r="E99" s="126">
        <f>+'Purchased Power Model '!E99</f>
        <v>8.6999999999999994E-2</v>
      </c>
      <c r="F99" s="57">
        <f>+'Purchased Power Model '!F99</f>
        <v>31</v>
      </c>
      <c r="G99" s="57">
        <f>+'Purchased Power Model '!G99</f>
        <v>0</v>
      </c>
      <c r="H99" s="61">
        <v>12109</v>
      </c>
      <c r="I99" s="222">
        <f t="shared" si="3"/>
        <v>1036781.0830284155</v>
      </c>
      <c r="J99" s="36">
        <f t="shared" si="4"/>
        <v>-79873.916971584549</v>
      </c>
      <c r="K99" s="5">
        <f t="shared" si="5"/>
        <v>-7.1529628194549388E-2</v>
      </c>
    </row>
    <row r="100" spans="1:11" x14ac:dyDescent="0.2">
      <c r="A100" s="3">
        <v>40575</v>
      </c>
      <c r="B100" s="129">
        <v>1100542</v>
      </c>
      <c r="C100" s="219">
        <f>+'Purchased Power Model '!C100</f>
        <v>634.19999999999993</v>
      </c>
      <c r="D100" s="219">
        <f>+'Purchased Power Model '!D100</f>
        <v>0</v>
      </c>
      <c r="E100" s="126">
        <f>+'Purchased Power Model '!E100</f>
        <v>8.6999999999999994E-2</v>
      </c>
      <c r="F100" s="57">
        <f>+'Purchased Power Model '!F100</f>
        <v>28</v>
      </c>
      <c r="G100" s="57">
        <f>+'Purchased Power Model '!G100</f>
        <v>0</v>
      </c>
      <c r="H100" s="61">
        <v>12109</v>
      </c>
      <c r="I100" s="222">
        <f t="shared" si="3"/>
        <v>1087840.1553437493</v>
      </c>
      <c r="J100" s="36">
        <f t="shared" si="4"/>
        <v>-12701.844656250672</v>
      </c>
      <c r="K100" s="5">
        <f t="shared" si="5"/>
        <v>-1.1541444721101668E-2</v>
      </c>
    </row>
    <row r="101" spans="1:11" x14ac:dyDescent="0.2">
      <c r="A101" s="3">
        <v>40603</v>
      </c>
      <c r="B101" s="129">
        <v>874357</v>
      </c>
      <c r="C101" s="219">
        <f>+'Purchased Power Model '!C101</f>
        <v>559.80000000000007</v>
      </c>
      <c r="D101" s="219">
        <f>+'Purchased Power Model '!D101</f>
        <v>0</v>
      </c>
      <c r="E101" s="126">
        <f>+'Purchased Power Model '!E101</f>
        <v>8.6999999999999994E-2</v>
      </c>
      <c r="F101" s="57">
        <f>+'Purchased Power Model '!F101</f>
        <v>31</v>
      </c>
      <c r="G101" s="57">
        <f>+'Purchased Power Model '!G101</f>
        <v>1</v>
      </c>
      <c r="H101" s="61">
        <v>12129</v>
      </c>
      <c r="I101" s="222">
        <f t="shared" si="3"/>
        <v>949576.47797266499</v>
      </c>
      <c r="J101" s="36">
        <f t="shared" si="4"/>
        <v>75219.477972664987</v>
      </c>
      <c r="K101" s="5">
        <f t="shared" si="5"/>
        <v>8.6028336220405385E-2</v>
      </c>
    </row>
    <row r="102" spans="1:11" x14ac:dyDescent="0.2">
      <c r="A102" s="3">
        <v>40634</v>
      </c>
      <c r="B102" s="129">
        <v>904402</v>
      </c>
      <c r="C102" s="219">
        <f>+'Purchased Power Model '!C102</f>
        <v>350.79999999999995</v>
      </c>
      <c r="D102" s="219">
        <f>+'Purchased Power Model '!D102</f>
        <v>0</v>
      </c>
      <c r="E102" s="126">
        <f>+'Purchased Power Model '!E102</f>
        <v>9.3000000000000013E-2</v>
      </c>
      <c r="F102" s="57">
        <f>+'Purchased Power Model '!F102</f>
        <v>30</v>
      </c>
      <c r="G102" s="57">
        <f>+'Purchased Power Model '!G102</f>
        <v>1</v>
      </c>
      <c r="H102" s="61">
        <v>12132</v>
      </c>
      <c r="I102" s="222">
        <f t="shared" si="3"/>
        <v>918275.02359013923</v>
      </c>
      <c r="J102" s="36">
        <f t="shared" si="4"/>
        <v>13873.02359013923</v>
      </c>
      <c r="K102" s="5">
        <f t="shared" si="5"/>
        <v>1.5339443732034238E-2</v>
      </c>
    </row>
    <row r="103" spans="1:11" x14ac:dyDescent="0.2">
      <c r="A103" s="3">
        <v>40664</v>
      </c>
      <c r="B103" s="129">
        <v>770615</v>
      </c>
      <c r="C103" s="219">
        <f>+'Purchased Power Model '!C103</f>
        <v>157.69999999999996</v>
      </c>
      <c r="D103" s="219">
        <f>+'Purchased Power Model '!D103</f>
        <v>2.8</v>
      </c>
      <c r="E103" s="126">
        <f>+'Purchased Power Model '!E103</f>
        <v>9.3000000000000013E-2</v>
      </c>
      <c r="F103" s="57">
        <f>+'Purchased Power Model '!F103</f>
        <v>31</v>
      </c>
      <c r="G103" s="57">
        <f>+'Purchased Power Model '!G103</f>
        <v>1</v>
      </c>
      <c r="H103" s="61">
        <v>12132</v>
      </c>
      <c r="I103" s="222">
        <f t="shared" si="3"/>
        <v>803069.51369499566</v>
      </c>
      <c r="J103" s="36">
        <f t="shared" si="4"/>
        <v>32454.513694995665</v>
      </c>
      <c r="K103" s="5">
        <f t="shared" si="5"/>
        <v>4.2115081713950113E-2</v>
      </c>
    </row>
    <row r="104" spans="1:11" x14ac:dyDescent="0.2">
      <c r="A104" s="3">
        <v>40695</v>
      </c>
      <c r="B104" s="129">
        <v>696486</v>
      </c>
      <c r="C104" s="219">
        <f>+'Purchased Power Model '!C104</f>
        <v>26.699999999999996</v>
      </c>
      <c r="D104" s="219">
        <f>+'Purchased Power Model '!D104</f>
        <v>36.900000000000006</v>
      </c>
      <c r="E104" s="126">
        <f>+'Purchased Power Model '!E104</f>
        <v>9.3000000000000013E-2</v>
      </c>
      <c r="F104" s="57">
        <f>+'Purchased Power Model '!F104</f>
        <v>30</v>
      </c>
      <c r="G104" s="57">
        <f>+'Purchased Power Model '!G104</f>
        <v>0</v>
      </c>
      <c r="H104" s="61">
        <v>12132</v>
      </c>
      <c r="I104" s="222">
        <f t="shared" si="3"/>
        <v>746897.7089065006</v>
      </c>
      <c r="J104" s="36">
        <f t="shared" si="4"/>
        <v>50411.7089065006</v>
      </c>
      <c r="K104" s="5">
        <f t="shared" si="5"/>
        <v>7.238007498571486E-2</v>
      </c>
    </row>
    <row r="105" spans="1:11" x14ac:dyDescent="0.2">
      <c r="A105" s="3">
        <v>40725</v>
      </c>
      <c r="B105" s="129">
        <v>10638</v>
      </c>
      <c r="C105" s="219">
        <f>+'Purchased Power Model '!C105</f>
        <v>0.2</v>
      </c>
      <c r="D105" s="219">
        <f>+'Purchased Power Model '!D105</f>
        <v>141.19999999999999</v>
      </c>
      <c r="E105" s="126">
        <f>+'Purchased Power Model '!E105</f>
        <v>7.2000000000000008E-2</v>
      </c>
      <c r="F105" s="57">
        <f>+'Purchased Power Model '!F105</f>
        <v>31</v>
      </c>
      <c r="G105" s="57">
        <f>+'Purchased Power Model '!G105</f>
        <v>0</v>
      </c>
      <c r="H105" s="61">
        <v>12132</v>
      </c>
      <c r="I105" s="222">
        <f t="shared" si="3"/>
        <v>502525.85335106589</v>
      </c>
      <c r="J105" s="36">
        <f t="shared" si="4"/>
        <v>491887.85335106589</v>
      </c>
      <c r="K105" s="5">
        <f t="shared" si="5"/>
        <v>46.238752900081394</v>
      </c>
    </row>
    <row r="106" spans="1:11" x14ac:dyDescent="0.2">
      <c r="A106" s="3">
        <v>40756</v>
      </c>
      <c r="B106" s="129">
        <v>11607</v>
      </c>
      <c r="C106" s="219">
        <f>+'Purchased Power Model '!C106</f>
        <v>3.7</v>
      </c>
      <c r="D106" s="219">
        <f>+'Purchased Power Model '!D106</f>
        <v>80.499999999999957</v>
      </c>
      <c r="E106" s="126">
        <f>+'Purchased Power Model '!E106</f>
        <v>7.2000000000000008E-2</v>
      </c>
      <c r="F106" s="57">
        <f>+'Purchased Power Model '!F106</f>
        <v>31</v>
      </c>
      <c r="G106" s="57">
        <f>+'Purchased Power Model '!G106</f>
        <v>0</v>
      </c>
      <c r="H106" s="61">
        <v>12132</v>
      </c>
      <c r="I106" s="222">
        <f t="shared" si="3"/>
        <v>582072.88038287312</v>
      </c>
      <c r="J106" s="36">
        <f t="shared" si="4"/>
        <v>570465.88038287312</v>
      </c>
      <c r="K106" s="5">
        <f t="shared" si="5"/>
        <v>49.148434598334894</v>
      </c>
    </row>
    <row r="107" spans="1:11" x14ac:dyDescent="0.2">
      <c r="A107" s="3">
        <v>40787</v>
      </c>
      <c r="B107" s="129">
        <v>2007578</v>
      </c>
      <c r="C107" s="219">
        <f>+'Purchased Power Model '!C107</f>
        <v>48.900000000000006</v>
      </c>
      <c r="D107" s="219">
        <f>+'Purchased Power Model '!D107</f>
        <v>34.6</v>
      </c>
      <c r="E107" s="126">
        <f>+'Purchased Power Model '!E107</f>
        <v>7.2000000000000008E-2</v>
      </c>
      <c r="F107" s="57">
        <f>+'Purchased Power Model '!F107</f>
        <v>30</v>
      </c>
      <c r="G107" s="57">
        <f>+'Purchased Power Model '!G107</f>
        <v>1</v>
      </c>
      <c r="H107" s="61">
        <v>12137</v>
      </c>
      <c r="I107" s="222">
        <f t="shared" si="3"/>
        <v>686938.57904485438</v>
      </c>
      <c r="J107" s="36">
        <f t="shared" si="4"/>
        <v>-1320639.4209551457</v>
      </c>
      <c r="K107" s="5">
        <f t="shared" si="5"/>
        <v>-0.65782720320463051</v>
      </c>
    </row>
    <row r="108" spans="1:11" x14ac:dyDescent="0.2">
      <c r="A108" s="3">
        <v>40817</v>
      </c>
      <c r="B108" s="129">
        <v>11571</v>
      </c>
      <c r="C108" s="219">
        <f>+'Purchased Power Model '!C108</f>
        <v>225.29999999999998</v>
      </c>
      <c r="D108" s="219">
        <f>+'Purchased Power Model '!D108</f>
        <v>0</v>
      </c>
      <c r="E108" s="126">
        <f>+'Purchased Power Model '!E108</f>
        <v>7.2000000000000008E-2</v>
      </c>
      <c r="F108" s="57">
        <f>+'Purchased Power Model '!F108</f>
        <v>31</v>
      </c>
      <c r="G108" s="57">
        <f>+'Purchased Power Model '!G108</f>
        <v>1</v>
      </c>
      <c r="H108" s="61">
        <v>12137</v>
      </c>
      <c r="I108" s="222">
        <f t="shared" si="3"/>
        <v>768382.2538074652</v>
      </c>
      <c r="J108" s="36">
        <f t="shared" si="4"/>
        <v>756811.2538074652</v>
      </c>
      <c r="K108" s="5">
        <f t="shared" si="5"/>
        <v>65.405864126476985</v>
      </c>
    </row>
    <row r="109" spans="1:11" x14ac:dyDescent="0.2">
      <c r="A109" s="3">
        <v>40848</v>
      </c>
      <c r="B109" s="129">
        <v>1744221</v>
      </c>
      <c r="C109" s="219">
        <f>+'Purchased Power Model '!C109</f>
        <v>349.69999999999993</v>
      </c>
      <c r="D109" s="219">
        <f>+'Purchased Power Model '!D109</f>
        <v>0</v>
      </c>
      <c r="E109" s="126">
        <f>+'Purchased Power Model '!E109</f>
        <v>7.2000000000000008E-2</v>
      </c>
      <c r="F109" s="57">
        <f>+'Purchased Power Model '!F109</f>
        <v>30</v>
      </c>
      <c r="G109" s="57">
        <f>+'Purchased Power Model '!G109</f>
        <v>1</v>
      </c>
      <c r="H109" s="61">
        <v>12146</v>
      </c>
      <c r="I109" s="222">
        <f t="shared" si="3"/>
        <v>852372.48636332841</v>
      </c>
      <c r="J109" s="36">
        <f t="shared" si="4"/>
        <v>-891848.51363667159</v>
      </c>
      <c r="K109" s="5">
        <f t="shared" si="5"/>
        <v>-0.51131623437435481</v>
      </c>
    </row>
    <row r="110" spans="1:11" x14ac:dyDescent="0.2">
      <c r="A110" s="3">
        <v>40878</v>
      </c>
      <c r="B110" s="129">
        <v>1004345</v>
      </c>
      <c r="C110" s="219">
        <f>+'Purchased Power Model '!C110</f>
        <v>531.20000000000005</v>
      </c>
      <c r="D110" s="219">
        <f>+'Purchased Power Model '!D110</f>
        <v>0</v>
      </c>
      <c r="E110" s="126">
        <f>+'Purchased Power Model '!E110</f>
        <v>7.2000000000000008E-2</v>
      </c>
      <c r="F110" s="57">
        <f>+'Purchased Power Model '!F110</f>
        <v>31</v>
      </c>
      <c r="G110" s="57">
        <f>+'Purchased Power Model '!G110</f>
        <v>0</v>
      </c>
      <c r="H110" s="61">
        <v>12146</v>
      </c>
      <c r="I110" s="222">
        <f t="shared" si="3"/>
        <v>897706.35943716345</v>
      </c>
      <c r="J110" s="36">
        <f t="shared" si="4"/>
        <v>-106638.64056283655</v>
      </c>
      <c r="K110" s="5">
        <f t="shared" si="5"/>
        <v>-0.1061773001934958</v>
      </c>
    </row>
    <row r="111" spans="1:11" x14ac:dyDescent="0.2">
      <c r="A111" s="3">
        <v>40909</v>
      </c>
      <c r="B111" s="129">
        <v>1086581</v>
      </c>
      <c r="C111" s="219">
        <f>+'Purchased Power Model '!C111</f>
        <v>611</v>
      </c>
      <c r="D111" s="219">
        <f>+'Purchased Power Model '!D111</f>
        <v>0</v>
      </c>
      <c r="E111" s="126">
        <f>+'Purchased Power Model '!E111</f>
        <v>0.08</v>
      </c>
      <c r="F111" s="57">
        <f>+'Purchased Power Model '!F111</f>
        <v>31</v>
      </c>
      <c r="G111" s="57">
        <f>+'Purchased Power Model '!G111</f>
        <v>0</v>
      </c>
      <c r="H111" s="61">
        <v>12154</v>
      </c>
      <c r="I111" s="222">
        <f t="shared" si="3"/>
        <v>954715.58093286003</v>
      </c>
      <c r="J111" s="36">
        <f t="shared" si="4"/>
        <v>-131865.41906713997</v>
      </c>
      <c r="K111" s="5">
        <f t="shared" si="5"/>
        <v>-0.12135811234242083</v>
      </c>
    </row>
    <row r="112" spans="1:11" x14ac:dyDescent="0.2">
      <c r="A112" s="3">
        <v>40940</v>
      </c>
      <c r="B112" s="129">
        <v>1074749</v>
      </c>
      <c r="C112" s="219">
        <f>+'Purchased Power Model '!C112</f>
        <v>536.20000000000005</v>
      </c>
      <c r="D112" s="219">
        <f>+'Purchased Power Model '!D112</f>
        <v>0</v>
      </c>
      <c r="E112" s="126">
        <f>+'Purchased Power Model '!E112</f>
        <v>0.08</v>
      </c>
      <c r="F112" s="57">
        <f>+'Purchased Power Model '!F112</f>
        <v>29</v>
      </c>
      <c r="G112" s="57">
        <f>+'Purchased Power Model '!G112</f>
        <v>0</v>
      </c>
      <c r="H112" s="61">
        <v>12209</v>
      </c>
      <c r="I112" s="222">
        <f t="shared" si="3"/>
        <v>992640.03091358021</v>
      </c>
      <c r="J112" s="36">
        <f t="shared" si="4"/>
        <v>-82108.969086419791</v>
      </c>
      <c r="K112" s="5">
        <f t="shared" si="5"/>
        <v>-7.6398274468196567E-2</v>
      </c>
    </row>
    <row r="113" spans="1:11" x14ac:dyDescent="0.2">
      <c r="A113" s="3">
        <v>40969</v>
      </c>
      <c r="B113" s="129">
        <v>918424</v>
      </c>
      <c r="C113" s="219">
        <f>+'Purchased Power Model '!C113</f>
        <v>399.39999999999992</v>
      </c>
      <c r="D113" s="219">
        <f>+'Purchased Power Model '!D113</f>
        <v>0</v>
      </c>
      <c r="E113" s="126">
        <f>+'Purchased Power Model '!E113</f>
        <v>0.08</v>
      </c>
      <c r="F113" s="57">
        <f>+'Purchased Power Model '!F113</f>
        <v>31</v>
      </c>
      <c r="G113" s="57">
        <f>+'Purchased Power Model '!G113</f>
        <v>1</v>
      </c>
      <c r="H113" s="61">
        <v>12209</v>
      </c>
      <c r="I113" s="222">
        <f t="shared" si="3"/>
        <v>863290.98774708586</v>
      </c>
      <c r="J113" s="36">
        <f t="shared" si="4"/>
        <v>-55133.012252914137</v>
      </c>
      <c r="K113" s="5">
        <f t="shared" si="5"/>
        <v>-6.0030021267861181E-2</v>
      </c>
    </row>
    <row r="114" spans="1:11" x14ac:dyDescent="0.2">
      <c r="A114" s="3">
        <v>41000</v>
      </c>
      <c r="B114" s="129">
        <v>894097</v>
      </c>
      <c r="C114" s="219">
        <f>+'Purchased Power Model '!C114</f>
        <v>336.89999999999992</v>
      </c>
      <c r="D114" s="219">
        <f>+'Purchased Power Model '!D114</f>
        <v>0</v>
      </c>
      <c r="E114" s="126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61">
        <v>12209</v>
      </c>
      <c r="I114" s="222">
        <f t="shared" si="3"/>
        <v>884634.08744229225</v>
      </c>
      <c r="J114" s="36">
        <f t="shared" si="4"/>
        <v>-9462.9125577077502</v>
      </c>
      <c r="K114" s="5">
        <f t="shared" si="5"/>
        <v>-1.0583765025168132E-2</v>
      </c>
    </row>
    <row r="115" spans="1:11" x14ac:dyDescent="0.2">
      <c r="A115" s="3">
        <v>41030</v>
      </c>
      <c r="B115" s="129">
        <v>760348</v>
      </c>
      <c r="C115" s="219">
        <f>+'Purchased Power Model '!C115</f>
        <v>109.30000000000001</v>
      </c>
      <c r="D115" s="219">
        <f>+'Purchased Power Model '!D115</f>
        <v>21.8</v>
      </c>
      <c r="E115" s="126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61">
        <v>12209</v>
      </c>
      <c r="I115" s="222">
        <f t="shared" si="3"/>
        <v>731103.80964146543</v>
      </c>
      <c r="J115" s="36">
        <f t="shared" si="4"/>
        <v>-29244.190358534572</v>
      </c>
      <c r="K115" s="5">
        <f t="shared" si="5"/>
        <v>-3.8461586482156293E-2</v>
      </c>
    </row>
    <row r="116" spans="1:11" x14ac:dyDescent="0.2">
      <c r="A116" s="3">
        <v>41061</v>
      </c>
      <c r="B116" s="129">
        <v>695893</v>
      </c>
      <c r="C116" s="219">
        <f>+'Purchased Power Model '!C116</f>
        <v>28.2</v>
      </c>
      <c r="D116" s="219">
        <f>+'Purchased Power Model '!D116</f>
        <v>64.3</v>
      </c>
      <c r="E116" s="126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61">
        <v>12209</v>
      </c>
      <c r="I116" s="222">
        <f t="shared" si="3"/>
        <v>684173.50248141424</v>
      </c>
      <c r="J116" s="36">
        <f t="shared" si="4"/>
        <v>-11719.497518585762</v>
      </c>
      <c r="K116" s="5">
        <f t="shared" si="5"/>
        <v>-1.6840947557434493E-2</v>
      </c>
    </row>
    <row r="117" spans="1:11" x14ac:dyDescent="0.2">
      <c r="A117" s="3">
        <v>41091</v>
      </c>
      <c r="B117" s="129">
        <v>621732</v>
      </c>
      <c r="C117" s="219">
        <f>+'Purchased Power Model '!C117</f>
        <v>0</v>
      </c>
      <c r="D117" s="219">
        <f>+'Purchased Power Model '!D117</f>
        <v>155.30000000000001</v>
      </c>
      <c r="E117" s="126">
        <f>+'Purchased Power Model '!E117</f>
        <v>9.3000000000000013E-2</v>
      </c>
      <c r="F117" s="57">
        <f>+'Purchased Power Model '!F117</f>
        <v>31</v>
      </c>
      <c r="G117" s="57">
        <f>+'Purchased Power Model '!G117</f>
        <v>0</v>
      </c>
      <c r="H117" s="61">
        <v>12214</v>
      </c>
      <c r="I117" s="222">
        <f t="shared" si="3"/>
        <v>549754.6944906679</v>
      </c>
      <c r="J117" s="36">
        <f t="shared" si="4"/>
        <v>-71977.305509332102</v>
      </c>
      <c r="K117" s="5">
        <f t="shared" si="5"/>
        <v>-0.1157690218765193</v>
      </c>
    </row>
    <row r="118" spans="1:11" x14ac:dyDescent="0.2">
      <c r="A118" s="3">
        <v>41122</v>
      </c>
      <c r="B118" s="129">
        <v>660418</v>
      </c>
      <c r="C118" s="219">
        <f>+'Purchased Power Model '!C118</f>
        <v>4.4000000000000004</v>
      </c>
      <c r="D118" s="219">
        <f>+'Purchased Power Model '!D118</f>
        <v>102.79999999999998</v>
      </c>
      <c r="E118" s="126">
        <f>+'Purchased Power Model '!E118</f>
        <v>9.3000000000000013E-2</v>
      </c>
      <c r="F118" s="57">
        <f>+'Purchased Power Model '!F118</f>
        <v>31</v>
      </c>
      <c r="G118" s="57">
        <f>+'Purchased Power Model '!G118</f>
        <v>0</v>
      </c>
      <c r="H118" s="61">
        <v>12231</v>
      </c>
      <c r="I118" s="222">
        <f t="shared" si="3"/>
        <v>619107.40534366621</v>
      </c>
      <c r="J118" s="36">
        <f t="shared" si="4"/>
        <v>-41310.594656333793</v>
      </c>
      <c r="K118" s="5">
        <f t="shared" si="5"/>
        <v>-6.2552193696013419E-2</v>
      </c>
    </row>
    <row r="119" spans="1:11" x14ac:dyDescent="0.2">
      <c r="A119" s="3">
        <v>41153</v>
      </c>
      <c r="B119" s="129">
        <v>749678</v>
      </c>
      <c r="C119" s="219">
        <f>+'Purchased Power Model '!C119</f>
        <v>84</v>
      </c>
      <c r="D119" s="219">
        <f>+'Purchased Power Model '!D119</f>
        <v>24.400000000000002</v>
      </c>
      <c r="E119" s="126">
        <f>+'Purchased Power Model '!E119</f>
        <v>9.3000000000000013E-2</v>
      </c>
      <c r="F119" s="57">
        <f>+'Purchased Power Model '!F119</f>
        <v>30</v>
      </c>
      <c r="G119" s="57">
        <f>+'Purchased Power Model '!G119</f>
        <v>1</v>
      </c>
      <c r="H119" s="61">
        <v>12231</v>
      </c>
      <c r="I119" s="222">
        <f t="shared" si="3"/>
        <v>779636.5105159689</v>
      </c>
      <c r="J119" s="36">
        <f t="shared" si="4"/>
        <v>29958.510515968897</v>
      </c>
      <c r="K119" s="5">
        <f t="shared" si="5"/>
        <v>3.9961837636917311E-2</v>
      </c>
    </row>
    <row r="120" spans="1:11" x14ac:dyDescent="0.2">
      <c r="A120" s="3">
        <v>41183</v>
      </c>
      <c r="B120" s="129">
        <v>813505</v>
      </c>
      <c r="C120" s="219">
        <f>+'Purchased Power Model '!C120</f>
        <v>228.99999999999994</v>
      </c>
      <c r="D120" s="219">
        <f>+'Purchased Power Model '!D120</f>
        <v>0</v>
      </c>
      <c r="E120" s="126">
        <f>+'Purchased Power Model '!E120</f>
        <v>9.4E-2</v>
      </c>
      <c r="F120" s="57">
        <f>+'Purchased Power Model '!F120</f>
        <v>31</v>
      </c>
      <c r="G120" s="57">
        <f>+'Purchased Power Model '!G120</f>
        <v>1</v>
      </c>
      <c r="H120" s="61">
        <v>12231</v>
      </c>
      <c r="I120" s="222">
        <f t="shared" si="3"/>
        <v>838446.90443943569</v>
      </c>
      <c r="J120" s="36">
        <f t="shared" si="4"/>
        <v>24941.90443943569</v>
      </c>
      <c r="K120" s="5">
        <f t="shared" si="5"/>
        <v>3.0659804720850749E-2</v>
      </c>
    </row>
    <row r="121" spans="1:11" x14ac:dyDescent="0.2">
      <c r="A121" s="3">
        <v>41214</v>
      </c>
      <c r="B121" s="129">
        <v>952553</v>
      </c>
      <c r="C121" s="219">
        <f>+'Purchased Power Model '!C121</f>
        <v>427.89999999999992</v>
      </c>
      <c r="D121" s="219">
        <f>+'Purchased Power Model '!D121</f>
        <v>0</v>
      </c>
      <c r="E121" s="126">
        <f>+'Purchased Power Model '!E121</f>
        <v>9.4E-2</v>
      </c>
      <c r="F121" s="57">
        <f>+'Purchased Power Model '!F121</f>
        <v>30</v>
      </c>
      <c r="G121" s="57">
        <f>+'Purchased Power Model '!G121</f>
        <v>1</v>
      </c>
      <c r="H121" s="61">
        <v>12275</v>
      </c>
      <c r="I121" s="222">
        <f t="shared" si="3"/>
        <v>952378.95753689331</v>
      </c>
      <c r="J121" s="36">
        <f t="shared" si="4"/>
        <v>-174.04246310668532</v>
      </c>
      <c r="K121" s="5">
        <f t="shared" si="5"/>
        <v>-1.8271157941519823E-4</v>
      </c>
    </row>
    <row r="122" spans="1:11" x14ac:dyDescent="0.2">
      <c r="A122" s="3">
        <v>41244</v>
      </c>
      <c r="B122" s="129">
        <v>911730</v>
      </c>
      <c r="C122" s="219">
        <f>+'Purchased Power Model '!C122</f>
        <v>451.09999999999997</v>
      </c>
      <c r="D122" s="219">
        <f>+'Purchased Power Model '!D122</f>
        <v>0</v>
      </c>
      <c r="E122" s="126">
        <f>+'Purchased Power Model '!E122</f>
        <v>9.4E-2</v>
      </c>
      <c r="F122" s="57">
        <f>+'Purchased Power Model '!F122</f>
        <v>31</v>
      </c>
      <c r="G122" s="57">
        <f>+'Purchased Power Model '!G122</f>
        <v>0</v>
      </c>
      <c r="H122" s="61">
        <v>12280</v>
      </c>
      <c r="I122" s="222">
        <f t="shared" si="3"/>
        <v>934091.48575523309</v>
      </c>
      <c r="J122" s="36">
        <f t="shared" si="4"/>
        <v>22361.485755233094</v>
      </c>
      <c r="K122" s="5">
        <f t="shared" si="5"/>
        <v>2.4526434092585626E-2</v>
      </c>
    </row>
    <row r="123" spans="1:11" x14ac:dyDescent="0.2">
      <c r="A123" s="3">
        <v>41275</v>
      </c>
      <c r="B123" s="129">
        <v>991686</v>
      </c>
      <c r="C123" s="219">
        <f>+'Purchased Power Model '!C123</f>
        <v>615.40000000000009</v>
      </c>
      <c r="D123" s="219">
        <f>+'Purchased Power Model '!D123</f>
        <v>0</v>
      </c>
      <c r="E123" s="126">
        <f>+'Purchased Power Model '!E123</f>
        <v>8.4000000000000005E-2</v>
      </c>
      <c r="F123" s="57">
        <f>+'Purchased Power Model '!F123</f>
        <v>31</v>
      </c>
      <c r="G123" s="57">
        <f>+'Purchased Power Model '!G123</f>
        <v>0</v>
      </c>
      <c r="H123" s="61">
        <v>12280</v>
      </c>
      <c r="I123" s="222">
        <f t="shared" si="3"/>
        <v>968952.61276491475</v>
      </c>
      <c r="J123" s="36">
        <f t="shared" si="4"/>
        <v>-22733.387235085247</v>
      </c>
      <c r="K123" s="5">
        <f t="shared" si="5"/>
        <v>-2.2923977181371166E-2</v>
      </c>
    </row>
    <row r="124" spans="1:11" x14ac:dyDescent="0.2">
      <c r="A124" s="3">
        <v>41306</v>
      </c>
      <c r="B124" s="129">
        <v>974438</v>
      </c>
      <c r="C124" s="219">
        <f>+'Purchased Power Model '!C124</f>
        <v>611.5</v>
      </c>
      <c r="D124" s="219">
        <f>+'Purchased Power Model '!D124</f>
        <v>0</v>
      </c>
      <c r="E124" s="126">
        <f>+'Purchased Power Model '!E124</f>
        <v>8.4000000000000005E-2</v>
      </c>
      <c r="F124" s="57">
        <f>+'Purchased Power Model '!F124</f>
        <v>28</v>
      </c>
      <c r="G124" s="57">
        <f>+'Purchased Power Model '!G124</f>
        <v>0</v>
      </c>
      <c r="H124" s="61">
        <v>12287</v>
      </c>
      <c r="I124" s="222">
        <f t="shared" si="3"/>
        <v>1069365.4510199504</v>
      </c>
      <c r="J124" s="36">
        <f t="shared" si="4"/>
        <v>94927.451019950444</v>
      </c>
      <c r="K124" s="5">
        <f t="shared" si="5"/>
        <v>9.7417640752875442E-2</v>
      </c>
    </row>
    <row r="125" spans="1:11" x14ac:dyDescent="0.2">
      <c r="A125" s="3">
        <v>41334</v>
      </c>
      <c r="B125" s="129">
        <v>807431</v>
      </c>
      <c r="C125" s="219">
        <f>+'Purchased Power Model '!C125</f>
        <v>545</v>
      </c>
      <c r="D125" s="219">
        <f>+'Purchased Power Model '!D125</f>
        <v>0</v>
      </c>
      <c r="E125" s="126">
        <f>+'Purchased Power Model '!E125</f>
        <v>8.4000000000000005E-2</v>
      </c>
      <c r="F125" s="57">
        <f>+'Purchased Power Model '!F125</f>
        <v>31</v>
      </c>
      <c r="G125" s="57">
        <f>+'Purchased Power Model '!G125</f>
        <v>1</v>
      </c>
      <c r="H125" s="61">
        <v>12287</v>
      </c>
      <c r="I125" s="222">
        <f t="shared" si="3"/>
        <v>934276.81233716931</v>
      </c>
      <c r="J125" s="36">
        <f t="shared" si="4"/>
        <v>126845.81233716931</v>
      </c>
      <c r="K125" s="5">
        <f t="shared" si="5"/>
        <v>0.15709802117725144</v>
      </c>
    </row>
    <row r="126" spans="1:11" x14ac:dyDescent="0.2">
      <c r="A126" s="3">
        <v>41365</v>
      </c>
      <c r="B126" s="129">
        <v>811467</v>
      </c>
      <c r="C126" s="219">
        <f>+'Purchased Power Model '!C126</f>
        <v>366.49999999999994</v>
      </c>
      <c r="D126" s="219">
        <f>+'Purchased Power Model '!D126</f>
        <v>0</v>
      </c>
      <c r="E126" s="126">
        <f>+'Purchased Power Model '!E126</f>
        <v>7.0999999999999994E-2</v>
      </c>
      <c r="F126" s="57">
        <f>+'Purchased Power Model '!F126</f>
        <v>30</v>
      </c>
      <c r="G126" s="57">
        <f>+'Purchased Power Model '!G126</f>
        <v>1</v>
      </c>
      <c r="H126" s="61">
        <v>12287</v>
      </c>
      <c r="I126" s="222">
        <f t="shared" si="3"/>
        <v>856007.303407926</v>
      </c>
      <c r="J126" s="36">
        <f t="shared" si="4"/>
        <v>44540.303407925996</v>
      </c>
      <c r="K126" s="5">
        <f t="shared" si="5"/>
        <v>5.4888619510005947E-2</v>
      </c>
    </row>
    <row r="127" spans="1:11" x14ac:dyDescent="0.2">
      <c r="A127" s="3">
        <v>41395</v>
      </c>
      <c r="B127" s="129">
        <v>688329</v>
      </c>
      <c r="C127" s="219">
        <f>+'Purchased Power Model '!C127</f>
        <v>133.4</v>
      </c>
      <c r="D127" s="219">
        <f>+'Purchased Power Model '!D127</f>
        <v>3</v>
      </c>
      <c r="E127" s="126">
        <f>+'Purchased Power Model '!E127</f>
        <v>7.0999999999999994E-2</v>
      </c>
      <c r="F127" s="57">
        <f>+'Purchased Power Model '!F127</f>
        <v>31</v>
      </c>
      <c r="G127" s="57">
        <f>+'Purchased Power Model '!G127</f>
        <v>1</v>
      </c>
      <c r="H127" s="61">
        <v>12287</v>
      </c>
      <c r="I127" s="222">
        <f t="shared" si="3"/>
        <v>724468.18412269477</v>
      </c>
      <c r="J127" s="36">
        <f t="shared" si="4"/>
        <v>36139.184122694773</v>
      </c>
      <c r="K127" s="5">
        <f t="shared" si="5"/>
        <v>5.2502777193311298E-2</v>
      </c>
    </row>
    <row r="128" spans="1:11" x14ac:dyDescent="0.2">
      <c r="A128" s="3">
        <v>41426</v>
      </c>
      <c r="B128" s="129">
        <v>631632</v>
      </c>
      <c r="C128" s="219">
        <f>+'Purchased Power Model '!C128</f>
        <v>42.900000000000006</v>
      </c>
      <c r="D128" s="219">
        <f>+'Purchased Power Model '!D128</f>
        <v>32.200000000000003</v>
      </c>
      <c r="E128" s="126">
        <f>+'Purchased Power Model '!E128</f>
        <v>7.0999999999999994E-2</v>
      </c>
      <c r="F128" s="57">
        <f>+'Purchased Power Model '!F128</f>
        <v>30</v>
      </c>
      <c r="G128" s="57">
        <f>+'Purchased Power Model '!G128</f>
        <v>0</v>
      </c>
      <c r="H128" s="61">
        <v>12287</v>
      </c>
      <c r="I128" s="222">
        <f t="shared" si="3"/>
        <v>690881.34766211919</v>
      </c>
      <c r="J128" s="36">
        <f t="shared" si="4"/>
        <v>59249.347662119195</v>
      </c>
      <c r="K128" s="5">
        <f t="shared" si="5"/>
        <v>9.3803587630327784E-2</v>
      </c>
    </row>
    <row r="129" spans="1:11" x14ac:dyDescent="0.2">
      <c r="A129" s="3">
        <v>41456</v>
      </c>
      <c r="B129" s="129">
        <v>563926</v>
      </c>
      <c r="C129" s="219">
        <f>+'Purchased Power Model '!C129</f>
        <v>4.4000000000000004</v>
      </c>
      <c r="D129" s="219">
        <f>+'Purchased Power Model '!D129</f>
        <v>109.99999999999999</v>
      </c>
      <c r="E129" s="126">
        <f>+'Purchased Power Model '!E129</f>
        <v>6.3E-2</v>
      </c>
      <c r="F129" s="57">
        <f>+'Purchased Power Model '!F129</f>
        <v>31</v>
      </c>
      <c r="G129" s="57">
        <f>+'Purchased Power Model '!G129</f>
        <v>0</v>
      </c>
      <c r="H129" s="61">
        <v>12361</v>
      </c>
      <c r="I129" s="222">
        <f t="shared" si="3"/>
        <v>516323.77765765437</v>
      </c>
      <c r="J129" s="36">
        <f t="shared" si="4"/>
        <v>-47602.222342345631</v>
      </c>
      <c r="K129" s="5">
        <f t="shared" si="5"/>
        <v>-8.4412178800668231E-2</v>
      </c>
    </row>
    <row r="130" spans="1:11" x14ac:dyDescent="0.2">
      <c r="A130" s="3">
        <v>41487</v>
      </c>
      <c r="B130" s="129">
        <v>603382</v>
      </c>
      <c r="C130" s="219">
        <f>+'Purchased Power Model '!C130</f>
        <v>11</v>
      </c>
      <c r="D130" s="219">
        <f>+'Purchased Power Model '!D130</f>
        <v>57.899999999999991</v>
      </c>
      <c r="E130" s="126">
        <f>+'Purchased Power Model '!E130</f>
        <v>6.3E-2</v>
      </c>
      <c r="F130" s="57">
        <f>+'Purchased Power Model '!F130</f>
        <v>31</v>
      </c>
      <c r="G130" s="57">
        <f>+'Purchased Power Model '!G130</f>
        <v>0</v>
      </c>
      <c r="H130" s="61">
        <v>12361</v>
      </c>
      <c r="I130" s="222">
        <f t="shared" si="3"/>
        <v>586045.7482340883</v>
      </c>
      <c r="J130" s="36">
        <f t="shared" si="4"/>
        <v>-17336.2517659117</v>
      </c>
      <c r="K130" s="5">
        <f t="shared" si="5"/>
        <v>-2.8731801356208338E-2</v>
      </c>
    </row>
    <row r="131" spans="1:11" x14ac:dyDescent="0.2">
      <c r="A131" s="3">
        <v>41518</v>
      </c>
      <c r="B131" s="129">
        <v>617200</v>
      </c>
      <c r="C131" s="219">
        <f>+'Purchased Power Model '!C131</f>
        <v>96.600000000000009</v>
      </c>
      <c r="D131" s="219">
        <f>+'Purchased Power Model '!D131</f>
        <v>15.700000000000001</v>
      </c>
      <c r="E131" s="126">
        <f>+'Purchased Power Model '!E131</f>
        <v>6.3E-2</v>
      </c>
      <c r="F131" s="57">
        <f>+'Purchased Power Model '!F131</f>
        <v>30</v>
      </c>
      <c r="G131" s="57">
        <f>+'Purchased Power Model '!G131</f>
        <v>1</v>
      </c>
      <c r="H131" s="61">
        <v>12367</v>
      </c>
      <c r="I131" s="222">
        <f t="shared" si="3"/>
        <v>702385.26714803779</v>
      </c>
      <c r="J131" s="36">
        <f t="shared" si="4"/>
        <v>85185.26714803779</v>
      </c>
      <c r="K131" s="5">
        <f t="shared" si="5"/>
        <v>0.1380189033506769</v>
      </c>
    </row>
    <row r="132" spans="1:11" x14ac:dyDescent="0.2">
      <c r="A132" s="3">
        <v>41548</v>
      </c>
      <c r="B132" s="129">
        <v>613482</v>
      </c>
      <c r="C132" s="219">
        <f>+'Purchased Power Model '!C132</f>
        <v>221</v>
      </c>
      <c r="D132" s="219">
        <f>+'Purchased Power Model '!D132</f>
        <v>3</v>
      </c>
      <c r="E132" s="126">
        <f>+'Purchased Power Model '!E132</f>
        <v>7.0000000000000007E-2</v>
      </c>
      <c r="F132" s="57">
        <f>+'Purchased Power Model '!F132</f>
        <v>31</v>
      </c>
      <c r="G132" s="57">
        <f>+'Purchased Power Model '!G132</f>
        <v>1</v>
      </c>
      <c r="H132" s="61">
        <v>12375</v>
      </c>
      <c r="I132" s="222">
        <f t="shared" ref="I132:I195" si="6">$N$18+C132*$N$19+D132*$N$20+E132*$N$21+F132*$N$22+G132*$N$23</f>
        <v>756557.77827259258</v>
      </c>
      <c r="J132" s="36">
        <f t="shared" ref="J132:J133" si="7">I132-B132</f>
        <v>143075.77827259258</v>
      </c>
      <c r="K132" s="5">
        <f t="shared" ref="K132:K133" si="8">J132/B132</f>
        <v>0.2332191951395356</v>
      </c>
    </row>
    <row r="133" spans="1:11" x14ac:dyDescent="0.2">
      <c r="A133" s="3">
        <v>41579</v>
      </c>
      <c r="B133" s="129">
        <v>863651</v>
      </c>
      <c r="C133" s="219">
        <f>+'Purchased Power Model '!C133</f>
        <v>458.6</v>
      </c>
      <c r="D133" s="219">
        <f>+'Purchased Power Model '!D133</f>
        <v>0</v>
      </c>
      <c r="E133" s="126">
        <f>+'Purchased Power Model '!E133</f>
        <v>7.0000000000000007E-2</v>
      </c>
      <c r="F133" s="57">
        <f>+'Purchased Power Model '!F133</f>
        <v>30</v>
      </c>
      <c r="G133" s="57">
        <f>+'Purchased Power Model '!G133</f>
        <v>1</v>
      </c>
      <c r="H133" s="61">
        <v>12375</v>
      </c>
      <c r="I133" s="222">
        <f t="shared" si="6"/>
        <v>889905.4638992626</v>
      </c>
      <c r="J133" s="36">
        <f t="shared" si="7"/>
        <v>26254.463899262599</v>
      </c>
      <c r="K133" s="5">
        <f t="shared" si="8"/>
        <v>3.0399390377898711E-2</v>
      </c>
    </row>
    <row r="134" spans="1:11" x14ac:dyDescent="0.2">
      <c r="A134" s="3">
        <v>41609</v>
      </c>
      <c r="B134" s="129">
        <v>915660</v>
      </c>
      <c r="C134" s="219">
        <f>+'Purchased Power Model '!C134</f>
        <v>472.8</v>
      </c>
      <c r="D134" s="219">
        <f ca="1">+'Purchased Power Model '!D134</f>
        <v>0</v>
      </c>
      <c r="E134" s="126">
        <f>+'Purchased Power Model '!E134</f>
        <v>7.0000000000000007E-2</v>
      </c>
      <c r="F134" s="57">
        <f>+'Purchased Power Model '!F134</f>
        <v>31</v>
      </c>
      <c r="G134" s="57">
        <f>+'Purchased Power Model '!G134</f>
        <v>0</v>
      </c>
      <c r="H134" s="61">
        <v>12385</v>
      </c>
      <c r="I134" s="222">
        <f t="shared" ca="1" si="6"/>
        <v>868000.85943472525</v>
      </c>
      <c r="J134" s="36">
        <f t="shared" ref="J134" ca="1" si="9">I134-B134</f>
        <v>-47659.140565274749</v>
      </c>
      <c r="K134" s="5">
        <f t="shared" ref="K134" ca="1" si="10">J134/B134</f>
        <v>-5.2048948916928496E-2</v>
      </c>
    </row>
    <row r="135" spans="1:11" x14ac:dyDescent="0.2">
      <c r="A135" s="3">
        <v>41640</v>
      </c>
      <c r="B135" s="6">
        <v>994940</v>
      </c>
      <c r="C135" s="217">
        <f>+'Purchased Power Model '!C135</f>
        <v>771.3</v>
      </c>
      <c r="D135" s="217">
        <f>+'Purchased Power Model '!D135</f>
        <v>0</v>
      </c>
      <c r="E135" s="126">
        <f>+'Purchased Power Model '!E135</f>
        <v>7.0999869999999993E-2</v>
      </c>
      <c r="F135" s="57">
        <f>+'Purchased Power Model '!F135</f>
        <v>31</v>
      </c>
      <c r="G135" s="57">
        <f>+'Purchased Power Model '!G135</f>
        <v>0</v>
      </c>
      <c r="H135" s="221">
        <v>12385</v>
      </c>
      <c r="I135" s="222">
        <f t="shared" si="6"/>
        <v>991085.85214894288</v>
      </c>
      <c r="J135" s="36"/>
      <c r="K135" s="5"/>
    </row>
    <row r="136" spans="1:11" x14ac:dyDescent="0.2">
      <c r="A136" s="3">
        <v>41671</v>
      </c>
      <c r="B136" s="6">
        <v>980089</v>
      </c>
      <c r="C136" s="217">
        <f>+'Purchased Power Model '!C136</f>
        <v>690.84999999999991</v>
      </c>
      <c r="D136" s="217">
        <f>+'Purchased Power Model '!D136</f>
        <v>0</v>
      </c>
      <c r="E136" s="126">
        <f>+'Purchased Power Model '!E136</f>
        <v>7.0999869999999993E-2</v>
      </c>
      <c r="F136" s="57">
        <f>+'Purchased Power Model '!F136</f>
        <v>28</v>
      </c>
      <c r="G136" s="57">
        <f>+'Purchased Power Model '!G136</f>
        <v>0</v>
      </c>
      <c r="H136" s="221">
        <v>12385</v>
      </c>
      <c r="I136" s="222">
        <f t="shared" si="6"/>
        <v>1060732.967417951</v>
      </c>
      <c r="J136" s="36"/>
      <c r="K136" s="5"/>
    </row>
    <row r="137" spans="1:11" x14ac:dyDescent="0.2">
      <c r="A137" s="3">
        <v>41699</v>
      </c>
      <c r="B137" s="6">
        <v>811042</v>
      </c>
      <c r="C137" s="217">
        <f>+'Purchased Power Model '!C137</f>
        <v>677.95</v>
      </c>
      <c r="D137" s="217">
        <f>+'Purchased Power Model '!D137</f>
        <v>0</v>
      </c>
      <c r="E137" s="126">
        <f>+'Purchased Power Model '!E137</f>
        <v>7.0999869999999993E-2</v>
      </c>
      <c r="F137" s="57">
        <f>+'Purchased Power Model '!F137</f>
        <v>31</v>
      </c>
      <c r="G137" s="57">
        <f>+'Purchased Power Model '!G137</f>
        <v>1</v>
      </c>
      <c r="H137" s="221">
        <v>12385</v>
      </c>
      <c r="I137" s="222">
        <f t="shared" si="6"/>
        <v>947186.36337986065</v>
      </c>
      <c r="J137" s="36"/>
      <c r="K137" s="5"/>
    </row>
    <row r="138" spans="1:11" x14ac:dyDescent="0.2">
      <c r="A138" s="3">
        <v>41730</v>
      </c>
      <c r="B138" s="6">
        <v>814906</v>
      </c>
      <c r="C138" s="217">
        <f>+'Purchased Power Model '!C138</f>
        <v>371.2999999999999</v>
      </c>
      <c r="D138" s="217">
        <f>+'Purchased Power Model '!D138</f>
        <v>0</v>
      </c>
      <c r="E138" s="126">
        <f>+'Purchased Power Model '!E138</f>
        <v>7.2000069999999999E-2</v>
      </c>
      <c r="F138" s="57">
        <f>+'Purchased Power Model '!F138</f>
        <v>30</v>
      </c>
      <c r="G138" s="57">
        <f>+'Purchased Power Model '!G138</f>
        <v>1</v>
      </c>
      <c r="H138" s="221">
        <v>12424</v>
      </c>
      <c r="I138" s="222">
        <f t="shared" si="6"/>
        <v>861053.82300371083</v>
      </c>
      <c r="J138" s="36"/>
      <c r="K138" s="5"/>
    </row>
    <row r="139" spans="1:11" x14ac:dyDescent="0.2">
      <c r="A139" s="3">
        <v>41760</v>
      </c>
      <c r="B139" s="6">
        <v>695472</v>
      </c>
      <c r="C139" s="217">
        <f>+'Purchased Power Model '!C139</f>
        <v>160.49999999999994</v>
      </c>
      <c r="D139" s="217">
        <f>+'Purchased Power Model '!D139</f>
        <v>1.3</v>
      </c>
      <c r="E139" s="126">
        <f>+'Purchased Power Model '!E139</f>
        <v>7.2000069999999999E-2</v>
      </c>
      <c r="F139" s="57">
        <f>+'Purchased Power Model '!F139</f>
        <v>31</v>
      </c>
      <c r="G139" s="57">
        <f>+'Purchased Power Model '!G139</f>
        <v>1</v>
      </c>
      <c r="H139" s="221">
        <v>12458</v>
      </c>
      <c r="I139" s="222">
        <f t="shared" si="6"/>
        <v>740665.5998286627</v>
      </c>
      <c r="J139" s="36"/>
      <c r="K139" s="5"/>
    </row>
    <row r="140" spans="1:11" x14ac:dyDescent="0.2">
      <c r="A140" s="3">
        <v>41791</v>
      </c>
      <c r="B140" s="6">
        <v>8808</v>
      </c>
      <c r="C140" s="217">
        <f>+'Purchased Power Model '!C140</f>
        <v>26.9</v>
      </c>
      <c r="D140" s="217">
        <f>+'Purchased Power Model '!D140</f>
        <v>40.1</v>
      </c>
      <c r="E140" s="126">
        <f>+'Purchased Power Model '!E140</f>
        <v>7.2000069999999999E-2</v>
      </c>
      <c r="F140" s="57">
        <f>+'Purchased Power Model '!F140</f>
        <v>30</v>
      </c>
      <c r="G140" s="57">
        <f>+'Purchased Power Model '!G140</f>
        <v>0</v>
      </c>
      <c r="H140" s="221">
        <v>12458</v>
      </c>
      <c r="I140" s="222">
        <f t="shared" si="6"/>
        <v>677398.43847633107</v>
      </c>
      <c r="J140" s="36"/>
      <c r="K140" s="5"/>
    </row>
    <row r="141" spans="1:11" x14ac:dyDescent="0.2">
      <c r="A141" s="3">
        <v>41821</v>
      </c>
      <c r="B141" s="6">
        <v>1196582</v>
      </c>
      <c r="C141" s="217">
        <f>+'Purchased Power Model '!C141</f>
        <v>9.5999999999999979</v>
      </c>
      <c r="D141" s="217">
        <f>+'Purchased Power Model '!D141</f>
        <v>54.599999999999994</v>
      </c>
      <c r="E141" s="126">
        <f>+'Purchased Power Model '!E141</f>
        <v>7.6999829999999991E-2</v>
      </c>
      <c r="F141" s="57">
        <f>+'Purchased Power Model '!F141</f>
        <v>31</v>
      </c>
      <c r="G141" s="57">
        <f>+'Purchased Power Model '!G141</f>
        <v>0</v>
      </c>
      <c r="H141" s="221">
        <v>12511</v>
      </c>
      <c r="I141" s="222">
        <f t="shared" si="6"/>
        <v>633371.00691249361</v>
      </c>
      <c r="J141" s="36"/>
      <c r="K141" s="5"/>
    </row>
    <row r="142" spans="1:11" x14ac:dyDescent="0.2">
      <c r="A142" s="3">
        <v>41852</v>
      </c>
      <c r="B142" s="6">
        <v>607957</v>
      </c>
      <c r="C142" s="217">
        <f>+'Purchased Power Model '!C142</f>
        <v>12.7</v>
      </c>
      <c r="D142" s="217">
        <f>+'Purchased Power Model '!D142</f>
        <v>58</v>
      </c>
      <c r="E142" s="126">
        <f>+'Purchased Power Model '!E142</f>
        <v>7.6999829999999991E-2</v>
      </c>
      <c r="F142" s="57">
        <f>+'Purchased Power Model '!F142</f>
        <v>31</v>
      </c>
      <c r="G142" s="57">
        <f>+'Purchased Power Model '!G142</f>
        <v>0</v>
      </c>
      <c r="H142" s="221">
        <v>12511</v>
      </c>
      <c r="I142" s="222">
        <f t="shared" si="6"/>
        <v>630240.0179113769</v>
      </c>
      <c r="J142" s="36"/>
      <c r="K142" s="5"/>
    </row>
    <row r="143" spans="1:11" x14ac:dyDescent="0.2">
      <c r="A143" s="3">
        <v>41883</v>
      </c>
      <c r="B143" s="6">
        <v>624468</v>
      </c>
      <c r="C143" s="217">
        <f>+'Purchased Power Model '!C143</f>
        <v>77.400000000000006</v>
      </c>
      <c r="D143" s="217">
        <f>+'Purchased Power Model '!D143</f>
        <v>22.5</v>
      </c>
      <c r="E143" s="126">
        <f>+'Purchased Power Model '!E143</f>
        <v>7.6999829999999991E-2</v>
      </c>
      <c r="F143" s="57">
        <f>+'Purchased Power Model '!F143</f>
        <v>30</v>
      </c>
      <c r="G143" s="57">
        <f>+'Purchased Power Model '!G143</f>
        <v>1</v>
      </c>
      <c r="H143" s="221">
        <v>12511</v>
      </c>
      <c r="I143" s="222">
        <f t="shared" si="6"/>
        <v>729554.70247774629</v>
      </c>
      <c r="J143" s="36"/>
      <c r="K143" s="5"/>
    </row>
    <row r="144" spans="1:11" x14ac:dyDescent="0.2">
      <c r="A144" s="3">
        <v>41913</v>
      </c>
      <c r="B144" s="6">
        <v>620856</v>
      </c>
      <c r="C144" s="217">
        <f>+'Purchased Power Model '!C144</f>
        <v>216.29999999999998</v>
      </c>
      <c r="D144" s="217">
        <f>+'Purchased Power Model '!D144</f>
        <v>0.5</v>
      </c>
      <c r="E144" s="126">
        <f>+'Purchased Power Model '!E144</f>
        <v>7.3406150000000003E-2</v>
      </c>
      <c r="F144" s="57">
        <f>+'Purchased Power Model '!F144</f>
        <v>31</v>
      </c>
      <c r="G144" s="57">
        <f>+'Purchased Power Model '!G144</f>
        <v>1</v>
      </c>
      <c r="H144" s="221">
        <v>12511</v>
      </c>
      <c r="I144" s="222">
        <f t="shared" si="6"/>
        <v>768504.66089963878</v>
      </c>
      <c r="J144" s="36"/>
      <c r="K144" s="5"/>
    </row>
    <row r="145" spans="1:11" x14ac:dyDescent="0.2">
      <c r="A145" s="3">
        <v>41944</v>
      </c>
      <c r="B145" s="6">
        <v>874002</v>
      </c>
      <c r="C145" s="217">
        <f>+'Purchased Power Model '!C145</f>
        <v>407.30000000000013</v>
      </c>
      <c r="D145" s="217">
        <f>+'Purchased Power Model '!D145</f>
        <v>0</v>
      </c>
      <c r="E145" s="126">
        <f>+'Purchased Power Model '!E145</f>
        <v>7.3406150000000003E-2</v>
      </c>
      <c r="F145" s="57">
        <f>+'Purchased Power Model '!F145</f>
        <v>30</v>
      </c>
      <c r="G145" s="57">
        <f>+'Purchased Power Model '!G145</f>
        <v>1</v>
      </c>
      <c r="H145" s="221">
        <v>12511</v>
      </c>
      <c r="I145" s="222">
        <f t="shared" si="6"/>
        <v>879905.33564093348</v>
      </c>
      <c r="J145" s="36"/>
      <c r="K145" s="5"/>
    </row>
    <row r="146" spans="1:11" x14ac:dyDescent="0.2">
      <c r="A146" s="3">
        <v>41974</v>
      </c>
      <c r="B146" s="6">
        <v>926753</v>
      </c>
      <c r="C146" s="217">
        <f>+'Purchased Power Model '!C146</f>
        <v>551.79999999999995</v>
      </c>
      <c r="D146" s="217">
        <f>+'Purchased Power Model '!D146</f>
        <v>0</v>
      </c>
      <c r="E146" s="126">
        <f>+'Purchased Power Model '!E146</f>
        <v>7.3406150000000003E-2</v>
      </c>
      <c r="F146" s="57">
        <f>+'Purchased Power Model '!F146</f>
        <v>31</v>
      </c>
      <c r="G146" s="57">
        <f>+'Purchased Power Model '!G146</f>
        <v>0</v>
      </c>
      <c r="H146" s="221">
        <v>12544</v>
      </c>
      <c r="I146" s="222">
        <f t="shared" si="6"/>
        <v>910368.77435182873</v>
      </c>
      <c r="J146" s="36"/>
      <c r="K146" s="5"/>
    </row>
    <row r="147" spans="1:11" x14ac:dyDescent="0.2">
      <c r="A147" s="3">
        <v>42005</v>
      </c>
      <c r="C147" s="217">
        <f>+'Purchased Power Model '!C147</f>
        <v>665.29813270224599</v>
      </c>
      <c r="D147" s="217">
        <f ca="1">+'Purchased Power Model '!D147</f>
        <v>0</v>
      </c>
      <c r="E147" s="126">
        <f>+'Purchased Power Model '!E147</f>
        <v>7.3406150000000003E-2</v>
      </c>
      <c r="F147" s="57">
        <f>+'Purchased Power Model '!F147</f>
        <v>31</v>
      </c>
      <c r="G147" s="57">
        <f>+'Purchased Power Model '!G147</f>
        <v>0</v>
      </c>
      <c r="H147" s="221"/>
      <c r="I147" s="222">
        <f t="shared" ca="1" si="6"/>
        <v>955984.08604547614</v>
      </c>
      <c r="J147" s="36"/>
      <c r="K147" s="5"/>
    </row>
    <row r="148" spans="1:11" x14ac:dyDescent="0.2">
      <c r="A148" s="3">
        <v>42036</v>
      </c>
      <c r="C148" s="217">
        <f>+'Purchased Power Model '!C148</f>
        <v>595.90459610702271</v>
      </c>
      <c r="D148" s="217">
        <f ca="1">+'Purchased Power Model '!D148</f>
        <v>0</v>
      </c>
      <c r="E148" s="126">
        <f>+'Purchased Power Model '!E148</f>
        <v>7.3406150000000003E-2</v>
      </c>
      <c r="F148" s="57">
        <f>+'Purchased Power Model '!F148</f>
        <v>28</v>
      </c>
      <c r="G148" s="57">
        <f>+'Purchased Power Model '!G148</f>
        <v>0</v>
      </c>
      <c r="H148" s="221"/>
      <c r="I148" s="222">
        <f t="shared" ca="1" si="6"/>
        <v>1030074.8341076458</v>
      </c>
      <c r="J148" s="36"/>
      <c r="K148" s="5"/>
    </row>
    <row r="149" spans="1:11" x14ac:dyDescent="0.2">
      <c r="A149" s="3">
        <v>42064</v>
      </c>
      <c r="C149" s="217">
        <f>+'Purchased Power Model '!C149</f>
        <v>584.77747836832327</v>
      </c>
      <c r="D149" s="217">
        <f ca="1">+'Purchased Power Model '!D149</f>
        <v>0</v>
      </c>
      <c r="E149" s="126">
        <f>+'Purchased Power Model '!E149</f>
        <v>7.3406150000000003E-2</v>
      </c>
      <c r="F149" s="57">
        <f>+'Purchased Power Model '!F149</f>
        <v>31</v>
      </c>
      <c r="G149" s="57">
        <f>+'Purchased Power Model '!G149</f>
        <v>1</v>
      </c>
      <c r="H149" s="221"/>
      <c r="I149" s="222">
        <f t="shared" ca="1" si="6"/>
        <v>917240.75788847136</v>
      </c>
      <c r="J149" s="36"/>
      <c r="K149" s="5"/>
    </row>
    <row r="150" spans="1:11" x14ac:dyDescent="0.2">
      <c r="A150" s="3">
        <v>42095</v>
      </c>
      <c r="C150" s="217">
        <f>+'Purchased Power Model '!C150</f>
        <v>320.27122607590286</v>
      </c>
      <c r="D150" s="217">
        <f ca="1">+'Purchased Power Model '!D150</f>
        <v>0</v>
      </c>
      <c r="E150" s="126">
        <f>+'Purchased Power Model '!E150</f>
        <v>7.3406150000000003E-2</v>
      </c>
      <c r="F150" s="57">
        <f>+'Purchased Power Model '!F150</f>
        <v>30</v>
      </c>
      <c r="G150" s="57">
        <f>+'Purchased Power Model '!G150</f>
        <v>1</v>
      </c>
      <c r="H150" s="221"/>
      <c r="I150" s="222">
        <f t="shared" ca="1" si="6"/>
        <v>844928.15536186856</v>
      </c>
      <c r="J150" s="36"/>
      <c r="K150" s="5"/>
    </row>
    <row r="151" spans="1:11" x14ac:dyDescent="0.2">
      <c r="A151" s="3">
        <v>42125</v>
      </c>
      <c r="C151" s="217">
        <f>+'Purchased Power Model '!C151</f>
        <v>138.4420462838201</v>
      </c>
      <c r="D151" s="217">
        <f ca="1">+'Purchased Power Model '!D151</f>
        <v>1.8457952405410045</v>
      </c>
      <c r="E151" s="126">
        <f>+'Purchased Power Model '!E151</f>
        <v>7.3406150000000003E-2</v>
      </c>
      <c r="F151" s="57">
        <f>+'Purchased Power Model '!F151</f>
        <v>31</v>
      </c>
      <c r="G151" s="57">
        <f>+'Purchased Power Model '!G151</f>
        <v>1</v>
      </c>
      <c r="H151" s="221"/>
      <c r="I151" s="222">
        <f t="shared" ca="1" si="6"/>
        <v>735480.79654229677</v>
      </c>
      <c r="J151" s="36"/>
      <c r="K151" s="5"/>
    </row>
    <row r="152" spans="1:11" x14ac:dyDescent="0.2">
      <c r="A152" s="3">
        <v>42156</v>
      </c>
      <c r="C152" s="217">
        <f>+'Purchased Power Model '!C152</f>
        <v>23.203059470621568</v>
      </c>
      <c r="D152" s="217">
        <f ca="1">+'Purchased Power Model '!D152</f>
        <v>56.93568395822637</v>
      </c>
      <c r="E152" s="126">
        <f>+'Purchased Power Model '!E152</f>
        <v>7.3406150000000003E-2</v>
      </c>
      <c r="F152" s="57">
        <f>+'Purchased Power Model '!F152</f>
        <v>30</v>
      </c>
      <c r="G152" s="57">
        <f>+'Purchased Power Model '!G152</f>
        <v>0</v>
      </c>
      <c r="H152" s="221"/>
      <c r="I152" s="222">
        <f t="shared" ca="1" si="6"/>
        <v>658622.6827013907</v>
      </c>
      <c r="J152" s="36"/>
      <c r="K152" s="5"/>
    </row>
    <row r="153" spans="1:11" x14ac:dyDescent="0.2">
      <c r="A153" s="3">
        <v>42186</v>
      </c>
      <c r="C153" s="217">
        <f>+'Purchased Power Model '!C153</f>
        <v>8.2806457590322324</v>
      </c>
      <c r="D153" s="217">
        <f ca="1">+'Purchased Power Model '!D153</f>
        <v>77.523400102722178</v>
      </c>
      <c r="E153" s="126">
        <f>+'Purchased Power Model '!E153</f>
        <v>7.3406150000000003E-2</v>
      </c>
      <c r="F153" s="57">
        <f>+'Purchased Power Model '!F153</f>
        <v>31</v>
      </c>
      <c r="G153" s="57">
        <f>+'Purchased Power Model '!G153</f>
        <v>0</v>
      </c>
      <c r="H153" s="221"/>
      <c r="I153" s="222">
        <f t="shared" ca="1" si="6"/>
        <v>592128.89721197635</v>
      </c>
      <c r="J153" s="36"/>
      <c r="K153" s="5"/>
    </row>
    <row r="154" spans="1:11" x14ac:dyDescent="0.2">
      <c r="A154" s="3">
        <v>42217</v>
      </c>
      <c r="C154" s="217">
        <f>+'Purchased Power Model '!C154</f>
        <v>10.954604285386392</v>
      </c>
      <c r="D154" s="217">
        <f ca="1">+'Purchased Power Model '!D154</f>
        <v>82.350864577983273</v>
      </c>
      <c r="E154" s="126">
        <f>+'Purchased Power Model '!E154</f>
        <v>7.3406150000000003E-2</v>
      </c>
      <c r="F154" s="57">
        <f>+'Purchased Power Model '!F154</f>
        <v>31</v>
      </c>
      <c r="G154" s="57">
        <f>+'Purchased Power Model '!G154</f>
        <v>0</v>
      </c>
      <c r="H154" s="221"/>
      <c r="I154" s="222">
        <f t="shared" ca="1" si="6"/>
        <v>586989.07607893227</v>
      </c>
      <c r="J154" s="36"/>
      <c r="K154" s="5"/>
    </row>
    <row r="155" spans="1:11" x14ac:dyDescent="0.2">
      <c r="A155" s="3">
        <v>42248</v>
      </c>
      <c r="C155" s="217">
        <f>+'Purchased Power Model '!C155</f>
        <v>66.76270643219739</v>
      </c>
      <c r="D155" s="217">
        <f ca="1">+'Purchased Power Model '!D155</f>
        <v>31.946456086286616</v>
      </c>
      <c r="E155" s="126">
        <f>+'Purchased Power Model '!E155</f>
        <v>7.3406150000000003E-2</v>
      </c>
      <c r="F155" s="57">
        <f>+'Purchased Power Model '!F155</f>
        <v>30</v>
      </c>
      <c r="G155" s="57">
        <f>+'Purchased Power Model '!G155</f>
        <v>1</v>
      </c>
      <c r="H155" s="221"/>
      <c r="I155" s="222">
        <f t="shared" ca="1" si="6"/>
        <v>701916.82764802559</v>
      </c>
      <c r="J155" s="36"/>
      <c r="K155" s="5"/>
    </row>
    <row r="156" spans="1:11" x14ac:dyDescent="0.2">
      <c r="A156" s="3">
        <v>42278</v>
      </c>
      <c r="C156" s="217">
        <f>+'Purchased Power Model '!C156</f>
        <v>186.57329975819502</v>
      </c>
      <c r="D156" s="217">
        <f ca="1">+'Purchased Power Model '!D156</f>
        <v>0.70992124636192477</v>
      </c>
      <c r="E156" s="126">
        <f>+'Purchased Power Model '!E156</f>
        <v>7.3406150000000003E-2</v>
      </c>
      <c r="F156" s="57">
        <f>+'Purchased Power Model '!F156</f>
        <v>31</v>
      </c>
      <c r="G156" s="57">
        <f>+'Purchased Power Model '!G156</f>
        <v>1</v>
      </c>
      <c r="H156" s="221"/>
      <c r="I156" s="222">
        <f t="shared" ca="1" si="6"/>
        <v>756287.15616368933</v>
      </c>
      <c r="J156" s="36"/>
      <c r="K156" s="5"/>
    </row>
    <row r="157" spans="1:11" x14ac:dyDescent="0.2">
      <c r="A157" s="3">
        <v>42309</v>
      </c>
      <c r="C157" s="217">
        <f>+'Purchased Power Model '!C157</f>
        <v>351.32364767227392</v>
      </c>
      <c r="D157" s="217">
        <f ca="1">+'Purchased Power Model '!D157</f>
        <v>0</v>
      </c>
      <c r="E157" s="126">
        <f>+'Purchased Power Model '!E157</f>
        <v>7.3406150000000003E-2</v>
      </c>
      <c r="F157" s="57">
        <f>+'Purchased Power Model '!F157</f>
        <v>30</v>
      </c>
      <c r="G157" s="57">
        <f>+'Purchased Power Model '!G157</f>
        <v>1</v>
      </c>
      <c r="H157" s="221"/>
      <c r="I157" s="222">
        <f t="shared" ca="1" si="6"/>
        <v>857408.23636617011</v>
      </c>
      <c r="J157" s="36"/>
      <c r="K157" s="5"/>
    </row>
    <row r="158" spans="1:11" x14ac:dyDescent="0.2">
      <c r="A158" s="3">
        <v>42339</v>
      </c>
      <c r="C158" s="217">
        <f>+'Purchased Power Model '!C158</f>
        <v>475.96461769104019</v>
      </c>
      <c r="D158" s="217">
        <f ca="1">+'Purchased Power Model '!D158</f>
        <v>0</v>
      </c>
      <c r="E158" s="126">
        <f>+'Purchased Power Model '!E158</f>
        <v>7.3406150000000003E-2</v>
      </c>
      <c r="F158" s="57">
        <f>+'Purchased Power Model '!F158</f>
        <v>31</v>
      </c>
      <c r="G158" s="57">
        <f>+'Purchased Power Model '!G158</f>
        <v>0</v>
      </c>
      <c r="H158" s="221"/>
      <c r="I158" s="222">
        <f t="shared" ca="1" si="6"/>
        <v>879890.25881091505</v>
      </c>
      <c r="J158" s="36"/>
      <c r="K158" s="5"/>
    </row>
    <row r="159" spans="1:11" x14ac:dyDescent="0.2">
      <c r="A159" s="3">
        <v>42370</v>
      </c>
      <c r="C159" s="217">
        <f>+'Purchased Power Model '!C159</f>
        <v>663.68561281945165</v>
      </c>
      <c r="D159" s="217">
        <f ca="1">+'Purchased Power Model '!D159</f>
        <v>0</v>
      </c>
      <c r="E159" s="126">
        <f>+'Purchased Power Model '!E159</f>
        <v>7.3406150000000003E-2</v>
      </c>
      <c r="F159" s="57">
        <f>+'Purchased Power Model '!F159</f>
        <v>31</v>
      </c>
      <c r="G159" s="57">
        <f>+'Purchased Power Model '!G159</f>
        <v>0</v>
      </c>
      <c r="H159" s="221"/>
      <c r="I159" s="222">
        <f t="shared" ca="1" si="6"/>
        <v>955336.00844882661</v>
      </c>
      <c r="J159" s="36"/>
      <c r="K159" s="5"/>
    </row>
    <row r="160" spans="1:11" x14ac:dyDescent="0.2">
      <c r="A160" s="3">
        <v>42401</v>
      </c>
      <c r="C160" s="217">
        <f>+'Purchased Power Model '!C160</f>
        <v>594.4602691771272</v>
      </c>
      <c r="D160" s="217">
        <f ca="1">+'Purchased Power Model '!D160</f>
        <v>0</v>
      </c>
      <c r="E160" s="126">
        <f>+'Purchased Power Model '!E160</f>
        <v>7.3406150000000003E-2</v>
      </c>
      <c r="F160" s="57">
        <f>+'Purchased Power Model '!F160</f>
        <v>29</v>
      </c>
      <c r="G160" s="57">
        <f>+'Purchased Power Model '!G160</f>
        <v>0</v>
      </c>
      <c r="H160" s="221"/>
      <c r="I160" s="222">
        <f t="shared" ca="1" si="6"/>
        <v>995500.93306367565</v>
      </c>
      <c r="J160" s="36"/>
      <c r="K160" s="5"/>
    </row>
    <row r="161" spans="1:11" x14ac:dyDescent="0.2">
      <c r="A161" s="3">
        <v>42430</v>
      </c>
      <c r="C161" s="217">
        <f>+'Purchased Power Model '!C161</f>
        <v>583.36012084914728</v>
      </c>
      <c r="D161" s="217">
        <f ca="1">+'Purchased Power Model '!D161</f>
        <v>0</v>
      </c>
      <c r="E161" s="126">
        <f>+'Purchased Power Model '!E161</f>
        <v>7.3406150000000003E-2</v>
      </c>
      <c r="F161" s="57">
        <f>+'Purchased Power Model '!F161</f>
        <v>31</v>
      </c>
      <c r="G161" s="57">
        <f>+'Purchased Power Model '!G161</f>
        <v>1</v>
      </c>
      <c r="H161" s="221"/>
      <c r="I161" s="222">
        <f t="shared" ca="1" si="6"/>
        <v>916671.11675447889</v>
      </c>
      <c r="J161" s="36"/>
      <c r="K161" s="5"/>
    </row>
    <row r="162" spans="1:11" x14ac:dyDescent="0.2">
      <c r="A162" s="3">
        <v>42461</v>
      </c>
      <c r="C162" s="217">
        <f>+'Purchased Power Model '!C162</f>
        <v>319.49496699061632</v>
      </c>
      <c r="D162" s="217">
        <f ca="1">+'Purchased Power Model '!D162</f>
        <v>0</v>
      </c>
      <c r="E162" s="126">
        <f>+'Purchased Power Model '!E162</f>
        <v>7.3406150000000003E-2</v>
      </c>
      <c r="F162" s="57">
        <f>+'Purchased Power Model '!F162</f>
        <v>30</v>
      </c>
      <c r="G162" s="57">
        <f>+'Purchased Power Model '!G162</f>
        <v>1</v>
      </c>
      <c r="H162" s="221"/>
      <c r="I162" s="222">
        <f t="shared" ca="1" si="6"/>
        <v>844616.17401656101</v>
      </c>
      <c r="J162" s="36"/>
      <c r="K162" s="5"/>
    </row>
    <row r="163" spans="1:11" x14ac:dyDescent="0.2">
      <c r="A163" s="3">
        <v>42491</v>
      </c>
      <c r="C163" s="217">
        <f>+'Purchased Power Model '!C163</f>
        <v>138.10649663882012</v>
      </c>
      <c r="D163" s="217">
        <f ca="1">+'Purchased Power Model '!D163</f>
        <v>1.8640104434172213</v>
      </c>
      <c r="E163" s="126">
        <f>+'Purchased Power Model '!E163</f>
        <v>7.3406150000000003E-2</v>
      </c>
      <c r="F163" s="57">
        <f>+'Purchased Power Model '!F163</f>
        <v>31</v>
      </c>
      <c r="G163" s="57">
        <f>+'Purchased Power Model '!G163</f>
        <v>1</v>
      </c>
      <c r="H163" s="221"/>
      <c r="I163" s="222">
        <f t="shared" ca="1" si="6"/>
        <v>735322.48911437963</v>
      </c>
      <c r="J163" s="36"/>
      <c r="K163" s="5"/>
    </row>
    <row r="164" spans="1:11" x14ac:dyDescent="0.2">
      <c r="A164" s="3">
        <v>42522</v>
      </c>
      <c r="C164" s="217">
        <f>+'Purchased Power Model '!C164</f>
        <v>23.146820931989172</v>
      </c>
      <c r="D164" s="217">
        <f ca="1">+'Purchased Power Model '!D164</f>
        <v>57.497552908485055</v>
      </c>
      <c r="E164" s="126">
        <f>+'Purchased Power Model '!E164</f>
        <v>7.3406150000000003E-2</v>
      </c>
      <c r="F164" s="57">
        <f>+'Purchased Power Model '!F164</f>
        <v>30</v>
      </c>
      <c r="G164" s="57">
        <f>+'Purchased Power Model '!G164</f>
        <v>0</v>
      </c>
      <c r="H164" s="221"/>
      <c r="I164" s="222">
        <f t="shared" ca="1" si="6"/>
        <v>657876.77471820265</v>
      </c>
      <c r="J164" s="36"/>
      <c r="K164" s="5"/>
    </row>
    <row r="165" spans="1:11" x14ac:dyDescent="0.2">
      <c r="A165" s="3">
        <v>42552</v>
      </c>
      <c r="C165" s="217">
        <f>+'Purchased Power Model '!C165</f>
        <v>8.2605754998920471</v>
      </c>
      <c r="D165" s="217">
        <f ca="1">+'Purchased Power Model '!D165</f>
        <v>78.288438623523277</v>
      </c>
      <c r="E165" s="126">
        <f>+'Purchased Power Model '!E165</f>
        <v>7.3406150000000003E-2</v>
      </c>
      <c r="F165" s="57">
        <f>+'Purchased Power Model '!F165</f>
        <v>31</v>
      </c>
      <c r="G165" s="57">
        <f>+'Purchased Power Model '!G165</f>
        <v>0</v>
      </c>
      <c r="H165" s="221"/>
      <c r="I165" s="222">
        <f t="shared" ca="1" si="6"/>
        <v>591135.9810051471</v>
      </c>
      <c r="J165" s="36"/>
      <c r="K165" s="5"/>
    </row>
    <row r="166" spans="1:11" x14ac:dyDescent="0.2">
      <c r="A166" s="3">
        <v>42583</v>
      </c>
      <c r="C166" s="217">
        <f>+'Purchased Power Model '!C166</f>
        <v>10.92805300506552</v>
      </c>
      <c r="D166" s="217">
        <f ca="1">+'Purchased Power Model '!D166</f>
        <v>83.163542860152944</v>
      </c>
      <c r="E166" s="126">
        <f>+'Purchased Power Model '!E166</f>
        <v>7.3406150000000003E-2</v>
      </c>
      <c r="F166" s="57">
        <f>+'Purchased Power Model '!F166</f>
        <v>31</v>
      </c>
      <c r="G166" s="57">
        <f>+'Purchased Power Model '!G166</f>
        <v>0</v>
      </c>
      <c r="H166" s="221"/>
      <c r="I166" s="222">
        <f t="shared" ca="1" si="6"/>
        <v>585932.2274769037</v>
      </c>
      <c r="J166" s="36"/>
      <c r="K166" s="5"/>
    </row>
    <row r="167" spans="1:11" x14ac:dyDescent="0.2">
      <c r="A167" s="3">
        <v>42614</v>
      </c>
      <c r="C167" s="217">
        <f>+'Purchased Power Model '!C167</f>
        <v>66.600889967879638</v>
      </c>
      <c r="D167" s="217">
        <f ca="1">+'Purchased Power Model '!D167</f>
        <v>32.261719212990371</v>
      </c>
      <c r="E167" s="126">
        <f>+'Purchased Power Model '!E167</f>
        <v>7.3406150000000003E-2</v>
      </c>
      <c r="F167" s="57">
        <f>+'Purchased Power Model '!F167</f>
        <v>30</v>
      </c>
      <c r="G167" s="57">
        <f>+'Purchased Power Model '!G167</f>
        <v>1</v>
      </c>
      <c r="H167" s="221"/>
      <c r="I167" s="222">
        <f t="shared" ca="1" si="6"/>
        <v>701445.94828569947</v>
      </c>
      <c r="J167" s="36"/>
      <c r="K167" s="5"/>
    </row>
    <row r="168" spans="1:11" x14ac:dyDescent="0.2">
      <c r="A168" s="3">
        <v>42644</v>
      </c>
      <c r="C168" s="217">
        <f>+'Purchased Power Model '!C168</f>
        <v>186.1210917319427</v>
      </c>
      <c r="D168" s="217">
        <f ca="1">+'Purchased Power Model '!D168</f>
        <v>0.71692709362200813</v>
      </c>
      <c r="E168" s="126">
        <f>+'Purchased Power Model '!E168</f>
        <v>7.3406150000000003E-2</v>
      </c>
      <c r="F168" s="57">
        <f>+'Purchased Power Model '!F168</f>
        <v>31</v>
      </c>
      <c r="G168" s="57">
        <f>+'Purchased Power Model '!G168</f>
        <v>1</v>
      </c>
      <c r="H168" s="221"/>
      <c r="I168" s="222">
        <f t="shared" ca="1" si="6"/>
        <v>756096.3933438278</v>
      </c>
      <c r="J168" s="36"/>
      <c r="K168" s="5"/>
    </row>
    <row r="169" spans="1:11" x14ac:dyDescent="0.2">
      <c r="A169" s="3">
        <v>42675</v>
      </c>
      <c r="C169" s="217">
        <f>+'Purchased Power Model '!C169</f>
        <v>350.47212511521167</v>
      </c>
      <c r="D169" s="217">
        <f ca="1">+'Purchased Power Model '!D169</f>
        <v>0</v>
      </c>
      <c r="E169" s="126">
        <f>+'Purchased Power Model '!E169</f>
        <v>7.3406150000000003E-2</v>
      </c>
      <c r="F169" s="57">
        <f>+'Purchased Power Model '!F169</f>
        <v>30</v>
      </c>
      <c r="G169" s="57">
        <f>+'Purchased Power Model '!G169</f>
        <v>1</v>
      </c>
      <c r="H169" s="221"/>
      <c r="I169" s="222">
        <f t="shared" ca="1" si="6"/>
        <v>857066.00635824178</v>
      </c>
      <c r="J169" s="36"/>
      <c r="K169" s="5"/>
    </row>
    <row r="170" spans="1:11" x14ac:dyDescent="0.2">
      <c r="A170" s="3">
        <v>42705</v>
      </c>
      <c r="C170" s="217">
        <f>+'Purchased Power Model '!C170</f>
        <v>474.81099592087827</v>
      </c>
      <c r="D170" s="217">
        <f ca="1">+'Purchased Power Model '!D170</f>
        <v>0</v>
      </c>
      <c r="E170" s="126">
        <f>+'Purchased Power Model '!E170</f>
        <v>7.3406150000000003E-2</v>
      </c>
      <c r="F170" s="57">
        <f>+'Purchased Power Model '!F170</f>
        <v>31</v>
      </c>
      <c r="G170" s="57">
        <f>+'Purchased Power Model '!G170</f>
        <v>0</v>
      </c>
      <c r="H170" s="221"/>
      <c r="I170" s="222">
        <f t="shared" ca="1" si="6"/>
        <v>879426.61403218936</v>
      </c>
      <c r="J170" s="36"/>
      <c r="K170" s="5"/>
    </row>
    <row r="171" spans="1:11" x14ac:dyDescent="0.2">
      <c r="A171" s="3">
        <v>42736</v>
      </c>
      <c r="C171" s="217">
        <f>+'Purchased Power Model '!C171</f>
        <v>662.07309293665651</v>
      </c>
      <c r="D171" s="217">
        <f ca="1">+'Purchased Power Model '!D171</f>
        <v>0</v>
      </c>
      <c r="E171" s="126">
        <f>+'Purchased Power Model '!E171</f>
        <v>7.3406150000000003E-2</v>
      </c>
      <c r="F171" s="57">
        <f>+'Purchased Power Model '!F171</f>
        <v>31</v>
      </c>
      <c r="G171" s="57">
        <f>+'Purchased Power Model '!G171</f>
        <v>0</v>
      </c>
      <c r="H171" s="221"/>
      <c r="I171" s="222">
        <f t="shared" ca="1" si="6"/>
        <v>954687.93085217709</v>
      </c>
      <c r="J171" s="36"/>
      <c r="K171" s="5"/>
    </row>
    <row r="172" spans="1:11" x14ac:dyDescent="0.2">
      <c r="A172" s="3">
        <v>42767</v>
      </c>
      <c r="C172" s="217">
        <f>+'Purchased Power Model '!C172</f>
        <v>593.0159422472309</v>
      </c>
      <c r="D172" s="217">
        <f ca="1">+'Purchased Power Model '!D172</f>
        <v>0</v>
      </c>
      <c r="E172" s="126">
        <f>+'Purchased Power Model '!E172</f>
        <v>7.3406150000000003E-2</v>
      </c>
      <c r="F172" s="57">
        <f>+'Purchased Power Model '!F172</f>
        <v>28</v>
      </c>
      <c r="G172" s="57">
        <f>+'Purchased Power Model '!G172</f>
        <v>0</v>
      </c>
      <c r="H172" s="221"/>
      <c r="I172" s="222">
        <f t="shared" ca="1" si="6"/>
        <v>1028913.873631449</v>
      </c>
      <c r="J172" s="36"/>
      <c r="K172" s="5"/>
    </row>
    <row r="173" spans="1:11" x14ac:dyDescent="0.2">
      <c r="A173" s="3">
        <v>42795</v>
      </c>
      <c r="C173" s="217">
        <f>+'Purchased Power Model '!C173</f>
        <v>581.9427633299706</v>
      </c>
      <c r="D173" s="217">
        <f ca="1">+'Purchased Power Model '!D173</f>
        <v>0</v>
      </c>
      <c r="E173" s="126">
        <f>+'Purchased Power Model '!E173</f>
        <v>7.3406150000000003E-2</v>
      </c>
      <c r="F173" s="57">
        <f>+'Purchased Power Model '!F173</f>
        <v>31</v>
      </c>
      <c r="G173" s="57">
        <f>+'Purchased Power Model '!G173</f>
        <v>1</v>
      </c>
      <c r="H173" s="221"/>
      <c r="I173" s="222">
        <f t="shared" ca="1" si="6"/>
        <v>916101.47562048596</v>
      </c>
      <c r="J173" s="36"/>
      <c r="K173" s="5"/>
    </row>
    <row r="174" spans="1:11" x14ac:dyDescent="0.2">
      <c r="A174" s="3">
        <v>42826</v>
      </c>
      <c r="C174" s="217">
        <f>+'Purchased Power Model '!C174</f>
        <v>318.71870790532938</v>
      </c>
      <c r="D174" s="217">
        <f ca="1">+'Purchased Power Model '!D174</f>
        <v>0</v>
      </c>
      <c r="E174" s="126">
        <f>+'Purchased Power Model '!E174</f>
        <v>7.3406150000000003E-2</v>
      </c>
      <c r="F174" s="57">
        <f>+'Purchased Power Model '!F174</f>
        <v>30</v>
      </c>
      <c r="G174" s="57">
        <f>+'Purchased Power Model '!G174</f>
        <v>1</v>
      </c>
      <c r="H174" s="221"/>
      <c r="I174" s="222">
        <f t="shared" ca="1" si="6"/>
        <v>844304.192671253</v>
      </c>
      <c r="J174" s="36"/>
      <c r="K174" s="5"/>
    </row>
    <row r="175" spans="1:11" x14ac:dyDescent="0.2">
      <c r="A175" s="3">
        <v>42856</v>
      </c>
      <c r="C175" s="217">
        <f>+'Purchased Power Model '!C175</f>
        <v>137.77094699381996</v>
      </c>
      <c r="D175" s="217">
        <f ca="1">+'Purchased Power Model '!D175</f>
        <v>1.8822256462934444</v>
      </c>
      <c r="E175" s="126">
        <f>+'Purchased Power Model '!E175</f>
        <v>7.3406150000000003E-2</v>
      </c>
      <c r="F175" s="57">
        <f>+'Purchased Power Model '!F175</f>
        <v>31</v>
      </c>
      <c r="G175" s="57">
        <f>+'Purchased Power Model '!G175</f>
        <v>1</v>
      </c>
      <c r="H175" s="221"/>
      <c r="I175" s="222">
        <f t="shared" ca="1" si="6"/>
        <v>735164.18168646202</v>
      </c>
      <c r="J175" s="36"/>
      <c r="K175" s="5"/>
    </row>
    <row r="176" spans="1:11" x14ac:dyDescent="0.2">
      <c r="A176" s="3">
        <v>42887</v>
      </c>
      <c r="C176" s="217">
        <f>+'Purchased Power Model '!C176</f>
        <v>23.090582393356748</v>
      </c>
      <c r="D176" s="217">
        <f ca="1">+'Purchased Power Model '!D176</f>
        <v>58.059421858743939</v>
      </c>
      <c r="E176" s="126">
        <f>+'Purchased Power Model '!E176</f>
        <v>7.3406150000000003E-2</v>
      </c>
      <c r="F176" s="57">
        <f>+'Purchased Power Model '!F176</f>
        <v>30</v>
      </c>
      <c r="G176" s="57">
        <f>+'Purchased Power Model '!G176</f>
        <v>0</v>
      </c>
      <c r="H176" s="221"/>
      <c r="I176" s="222">
        <f t="shared" ca="1" si="6"/>
        <v>657130.86673501413</v>
      </c>
      <c r="J176" s="36"/>
      <c r="K176" s="5"/>
    </row>
    <row r="177" spans="1:11" x14ac:dyDescent="0.2">
      <c r="A177" s="3">
        <v>42917</v>
      </c>
      <c r="C177" s="217">
        <f>+'Purchased Power Model '!C177</f>
        <v>8.2405052407518511</v>
      </c>
      <c r="D177" s="217">
        <f ca="1">+'Purchased Power Model '!D177</f>
        <v>79.053477144324646</v>
      </c>
      <c r="E177" s="126">
        <f>+'Purchased Power Model '!E177</f>
        <v>7.3406150000000003E-2</v>
      </c>
      <c r="F177" s="57">
        <f>+'Purchased Power Model '!F177</f>
        <v>31</v>
      </c>
      <c r="G177" s="57">
        <f>+'Purchased Power Model '!G177</f>
        <v>0</v>
      </c>
      <c r="H177" s="221"/>
      <c r="I177" s="222">
        <f t="shared" ca="1" si="6"/>
        <v>590143.06479831692</v>
      </c>
      <c r="J177" s="36"/>
      <c r="K177" s="5"/>
    </row>
    <row r="178" spans="1:11" x14ac:dyDescent="0.2">
      <c r="A178" s="3">
        <v>42948</v>
      </c>
      <c r="C178" s="217">
        <f>+'Purchased Power Model '!C178</f>
        <v>10.901501724744636</v>
      </c>
      <c r="D178" s="217">
        <f ca="1">+'Purchased Power Model '!D178</f>
        <v>83.976221142322899</v>
      </c>
      <c r="E178" s="126">
        <f>+'Purchased Power Model '!E178</f>
        <v>7.3406150000000003E-2</v>
      </c>
      <c r="F178" s="57">
        <f>+'Purchased Power Model '!F178</f>
        <v>31</v>
      </c>
      <c r="G178" s="57">
        <f>+'Purchased Power Model '!G178</f>
        <v>0</v>
      </c>
      <c r="H178" s="221"/>
      <c r="I178" s="222">
        <f t="shared" ca="1" si="6"/>
        <v>584875.37887487421</v>
      </c>
      <c r="J178" s="36"/>
      <c r="K178" s="5"/>
    </row>
    <row r="179" spans="1:11" x14ac:dyDescent="0.2">
      <c r="A179" s="3">
        <v>42979</v>
      </c>
      <c r="C179" s="217">
        <f>+'Purchased Power Model '!C179</f>
        <v>66.439073503561801</v>
      </c>
      <c r="D179" s="217">
        <f ca="1">+'Purchased Power Model '!D179</f>
        <v>32.576982339694233</v>
      </c>
      <c r="E179" s="126">
        <f>+'Purchased Power Model '!E179</f>
        <v>7.3406150000000003E-2</v>
      </c>
      <c r="F179" s="57">
        <f>+'Purchased Power Model '!F179</f>
        <v>30</v>
      </c>
      <c r="G179" s="57">
        <f>+'Purchased Power Model '!G179</f>
        <v>1</v>
      </c>
      <c r="H179" s="221"/>
      <c r="I179" s="222">
        <f t="shared" ca="1" si="6"/>
        <v>700975.06892337382</v>
      </c>
      <c r="J179" s="36"/>
      <c r="K179" s="5"/>
    </row>
    <row r="180" spans="1:11" x14ac:dyDescent="0.2">
      <c r="A180" s="3">
        <v>43009</v>
      </c>
      <c r="C180" s="217">
        <f>+'Purchased Power Model '!C180</f>
        <v>185.66888370569015</v>
      </c>
      <c r="D180" s="217">
        <f ca="1">+'Purchased Power Model '!D180</f>
        <v>0.72393294088209392</v>
      </c>
      <c r="E180" s="126">
        <f>+'Purchased Power Model '!E180</f>
        <v>7.3406150000000003E-2</v>
      </c>
      <c r="F180" s="57">
        <f>+'Purchased Power Model '!F180</f>
        <v>31</v>
      </c>
      <c r="G180" s="57">
        <f>+'Purchased Power Model '!G180</f>
        <v>1</v>
      </c>
      <c r="H180" s="221"/>
      <c r="I180" s="222">
        <f t="shared" ca="1" si="6"/>
        <v>755905.63052396628</v>
      </c>
      <c r="J180" s="36"/>
      <c r="K180" s="5"/>
    </row>
    <row r="181" spans="1:11" x14ac:dyDescent="0.2">
      <c r="A181" s="3">
        <v>43040</v>
      </c>
      <c r="C181" s="217">
        <f>+'Purchased Power Model '!C181</f>
        <v>349.62060255814896</v>
      </c>
      <c r="D181" s="217">
        <f ca="1">+'Purchased Power Model '!D181</f>
        <v>0</v>
      </c>
      <c r="E181" s="126">
        <f>+'Purchased Power Model '!E181</f>
        <v>7.3406150000000003E-2</v>
      </c>
      <c r="F181" s="57">
        <f>+'Purchased Power Model '!F181</f>
        <v>30</v>
      </c>
      <c r="G181" s="57">
        <f>+'Purchased Power Model '!G181</f>
        <v>1</v>
      </c>
      <c r="H181" s="221"/>
      <c r="I181" s="222">
        <f t="shared" ca="1" si="6"/>
        <v>856723.77635031298</v>
      </c>
      <c r="J181" s="36"/>
      <c r="K181" s="5"/>
    </row>
    <row r="182" spans="1:11" x14ac:dyDescent="0.2">
      <c r="A182" s="3">
        <v>43070</v>
      </c>
      <c r="C182" s="217">
        <f>+'Purchased Power Model '!C182</f>
        <v>473.65737415071578</v>
      </c>
      <c r="D182" s="217">
        <f ca="1">+'Purchased Power Model '!D182</f>
        <v>0</v>
      </c>
      <c r="E182" s="126">
        <f>+'Purchased Power Model '!E182</f>
        <v>7.3406150000000003E-2</v>
      </c>
      <c r="F182" s="57">
        <f>+'Purchased Power Model '!F182</f>
        <v>31</v>
      </c>
      <c r="G182" s="57">
        <f>+'Purchased Power Model '!G182</f>
        <v>0</v>
      </c>
      <c r="H182" s="221"/>
      <c r="I182" s="222">
        <f t="shared" ca="1" si="6"/>
        <v>878962.9692534632</v>
      </c>
      <c r="J182" s="36"/>
      <c r="K182" s="5"/>
    </row>
    <row r="183" spans="1:11" x14ac:dyDescent="0.2">
      <c r="A183" s="3">
        <v>43101</v>
      </c>
      <c r="C183" s="217">
        <f>+'Purchased Power Model '!C183</f>
        <v>660.46057305386228</v>
      </c>
      <c r="D183" s="217">
        <f ca="1">+'Purchased Power Model '!D183</f>
        <v>0</v>
      </c>
      <c r="E183" s="126">
        <f>+'Purchased Power Model '!E183</f>
        <v>7.3406150000000003E-2</v>
      </c>
      <c r="F183" s="57">
        <f>+'Purchased Power Model '!F183</f>
        <v>31</v>
      </c>
      <c r="G183" s="57">
        <f>+'Purchased Power Model '!G183</f>
        <v>0</v>
      </c>
      <c r="H183" s="221"/>
      <c r="I183" s="222">
        <f t="shared" ca="1" si="6"/>
        <v>954039.85325552756</v>
      </c>
      <c r="J183" s="36"/>
      <c r="K183" s="5"/>
    </row>
    <row r="184" spans="1:11" x14ac:dyDescent="0.2">
      <c r="A184" s="3">
        <v>43132</v>
      </c>
      <c r="C184" s="217">
        <f>+'Purchased Power Model '!C184</f>
        <v>591.57161531733539</v>
      </c>
      <c r="D184" s="217">
        <f ca="1">+'Purchased Power Model '!D184</f>
        <v>0</v>
      </c>
      <c r="E184" s="126">
        <f>+'Purchased Power Model '!E184</f>
        <v>7.3406150000000003E-2</v>
      </c>
      <c r="F184" s="57">
        <f>+'Purchased Power Model '!F184</f>
        <v>28</v>
      </c>
      <c r="G184" s="57">
        <f>+'Purchased Power Model '!G184</f>
        <v>0</v>
      </c>
      <c r="H184" s="221"/>
      <c r="I184" s="222">
        <f t="shared" ca="1" si="6"/>
        <v>1028333.3933933508</v>
      </c>
      <c r="J184" s="36"/>
      <c r="K184" s="5"/>
    </row>
    <row r="185" spans="1:11" x14ac:dyDescent="0.2">
      <c r="A185" s="3">
        <v>43160</v>
      </c>
      <c r="C185" s="217">
        <f>+'Purchased Power Model '!C185</f>
        <v>580.52540581079472</v>
      </c>
      <c r="D185" s="217">
        <f ca="1">+'Purchased Power Model '!D185</f>
        <v>0</v>
      </c>
      <c r="E185" s="126">
        <f>+'Purchased Power Model '!E185</f>
        <v>7.3406150000000003E-2</v>
      </c>
      <c r="F185" s="57">
        <f>+'Purchased Power Model '!F185</f>
        <v>31</v>
      </c>
      <c r="G185" s="57">
        <f>+'Purchased Power Model '!G185</f>
        <v>1</v>
      </c>
      <c r="H185" s="221"/>
      <c r="I185" s="222">
        <f t="shared" ca="1" si="6"/>
        <v>915531.83448649349</v>
      </c>
      <c r="J185" s="36"/>
      <c r="K185" s="5"/>
    </row>
    <row r="186" spans="1:11" x14ac:dyDescent="0.2">
      <c r="A186" s="3">
        <v>43191</v>
      </c>
      <c r="C186" s="217">
        <f>+'Purchased Power Model '!C186</f>
        <v>317.94244882004284</v>
      </c>
      <c r="D186" s="217">
        <f ca="1">+'Purchased Power Model '!D186</f>
        <v>0</v>
      </c>
      <c r="E186" s="126">
        <f>+'Purchased Power Model '!E186</f>
        <v>7.3406150000000003E-2</v>
      </c>
      <c r="F186" s="57">
        <f>+'Purchased Power Model '!F186</f>
        <v>30</v>
      </c>
      <c r="G186" s="57">
        <f>+'Purchased Power Model '!G186</f>
        <v>1</v>
      </c>
      <c r="H186" s="221"/>
      <c r="I186" s="222">
        <f t="shared" ca="1" si="6"/>
        <v>843992.21132594498</v>
      </c>
      <c r="J186" s="36"/>
      <c r="K186" s="5"/>
    </row>
    <row r="187" spans="1:11" x14ac:dyDescent="0.2">
      <c r="A187" s="3">
        <v>43221</v>
      </c>
      <c r="C187" s="217">
        <f>+'Purchased Power Model '!C187</f>
        <v>137.43539734882</v>
      </c>
      <c r="D187" s="217">
        <f ca="1">+'Purchased Power Model '!D187</f>
        <v>1.9004408491696605</v>
      </c>
      <c r="E187" s="126">
        <f>+'Purchased Power Model '!E187</f>
        <v>7.3406150000000003E-2</v>
      </c>
      <c r="F187" s="57">
        <f>+'Purchased Power Model '!F187</f>
        <v>31</v>
      </c>
      <c r="G187" s="57">
        <f>+'Purchased Power Model '!G187</f>
        <v>1</v>
      </c>
      <c r="H187" s="221"/>
      <c r="I187" s="222">
        <f t="shared" ca="1" si="6"/>
        <v>735005.87425854488</v>
      </c>
      <c r="J187" s="36"/>
      <c r="K187" s="5"/>
    </row>
    <row r="188" spans="1:11" x14ac:dyDescent="0.2">
      <c r="A188" s="3">
        <v>43252</v>
      </c>
      <c r="C188" s="217">
        <f>+'Purchased Power Model '!C188</f>
        <v>23.034343854724352</v>
      </c>
      <c r="D188" s="217">
        <f ca="1">+'Purchased Power Model '!D188</f>
        <v>58.621290809002602</v>
      </c>
      <c r="E188" s="126">
        <f>+'Purchased Power Model '!E188</f>
        <v>7.3406150000000003E-2</v>
      </c>
      <c r="F188" s="57">
        <f>+'Purchased Power Model '!F188</f>
        <v>30</v>
      </c>
      <c r="G188" s="57">
        <f>+'Purchased Power Model '!G188</f>
        <v>0</v>
      </c>
      <c r="H188" s="221"/>
      <c r="I188" s="222">
        <f t="shared" ca="1" si="6"/>
        <v>656384.95875182608</v>
      </c>
      <c r="J188" s="36"/>
      <c r="K188" s="5"/>
    </row>
    <row r="189" spans="1:11" x14ac:dyDescent="0.2">
      <c r="A189" s="3">
        <v>43282</v>
      </c>
      <c r="C189" s="217">
        <f>+'Purchased Power Model '!C189</f>
        <v>8.2204349816116657</v>
      </c>
      <c r="D189" s="217">
        <f ca="1">+'Purchased Power Model '!D189</f>
        <v>79.81851566512573</v>
      </c>
      <c r="E189" s="126">
        <f>+'Purchased Power Model '!E189</f>
        <v>7.3406150000000003E-2</v>
      </c>
      <c r="F189" s="57">
        <f>+'Purchased Power Model '!F189</f>
        <v>31</v>
      </c>
      <c r="G189" s="57">
        <f>+'Purchased Power Model '!G189</f>
        <v>0</v>
      </c>
      <c r="H189" s="221"/>
      <c r="I189" s="222">
        <f t="shared" ca="1" si="6"/>
        <v>589150.1485914872</v>
      </c>
      <c r="J189" s="36"/>
      <c r="K189" s="5"/>
    </row>
    <row r="190" spans="1:11" x14ac:dyDescent="0.2">
      <c r="A190" s="3">
        <v>43313</v>
      </c>
      <c r="C190" s="217">
        <f>+'Purchased Power Model '!C190</f>
        <v>10.874950444423765</v>
      </c>
      <c r="D190" s="217">
        <f ca="1">+'Purchased Power Model '!D190</f>
        <v>84.788899424492527</v>
      </c>
      <c r="E190" s="126">
        <f>+'Purchased Power Model '!E190</f>
        <v>7.3406150000000003E-2</v>
      </c>
      <c r="F190" s="57">
        <f>+'Purchased Power Model '!F190</f>
        <v>31</v>
      </c>
      <c r="G190" s="57">
        <f>+'Purchased Power Model '!G190</f>
        <v>0</v>
      </c>
      <c r="H190" s="221"/>
      <c r="I190" s="222">
        <f t="shared" ca="1" si="6"/>
        <v>583818.53027284564</v>
      </c>
      <c r="J190" s="36"/>
      <c r="K190" s="5"/>
    </row>
    <row r="191" spans="1:11" x14ac:dyDescent="0.2">
      <c r="A191" s="3">
        <v>43344</v>
      </c>
      <c r="C191" s="217">
        <f>+'Purchased Power Model '!C191</f>
        <v>66.277257039244049</v>
      </c>
      <c r="D191" s="217">
        <f ca="1">+'Purchased Power Model '!D191</f>
        <v>32.892245466397974</v>
      </c>
      <c r="E191" s="126">
        <f>+'Purchased Power Model '!E191</f>
        <v>7.3406150000000003E-2</v>
      </c>
      <c r="F191" s="57">
        <f>+'Purchased Power Model '!F191</f>
        <v>30</v>
      </c>
      <c r="G191" s="57">
        <f>+'Purchased Power Model '!G191</f>
        <v>1</v>
      </c>
      <c r="H191" s="221"/>
      <c r="I191" s="222">
        <f t="shared" ca="1" si="6"/>
        <v>700504.18956104771</v>
      </c>
      <c r="J191" s="36"/>
      <c r="K191" s="5"/>
    </row>
    <row r="192" spans="1:11" x14ac:dyDescent="0.2">
      <c r="A192" s="3">
        <v>43374</v>
      </c>
      <c r="C192" s="217">
        <f>+'Purchased Power Model '!C192</f>
        <v>185.21667567943786</v>
      </c>
      <c r="D192" s="217">
        <f ca="1">+'Purchased Power Model '!D192</f>
        <v>0.73093878814217705</v>
      </c>
      <c r="E192" s="126">
        <f>+'Purchased Power Model '!E192</f>
        <v>7.3406150000000003E-2</v>
      </c>
      <c r="F192" s="57">
        <f>+'Purchased Power Model '!F192</f>
        <v>31</v>
      </c>
      <c r="G192" s="57">
        <f>+'Purchased Power Model '!G192</f>
        <v>1</v>
      </c>
      <c r="H192" s="221"/>
      <c r="I192" s="222">
        <f t="shared" ca="1" si="6"/>
        <v>755714.86770410428</v>
      </c>
      <c r="J192" s="36"/>
      <c r="K192" s="5"/>
    </row>
    <row r="193" spans="1:11" x14ac:dyDescent="0.2">
      <c r="A193" s="3">
        <v>43405</v>
      </c>
      <c r="C193" s="217">
        <f>+'Purchased Power Model '!C193</f>
        <v>348.76908000108671</v>
      </c>
      <c r="D193" s="217">
        <f ca="1">+'Purchased Power Model '!D193</f>
        <v>0</v>
      </c>
      <c r="E193" s="126">
        <f>+'Purchased Power Model '!E193</f>
        <v>7.3406150000000003E-2</v>
      </c>
      <c r="F193" s="57">
        <f>+'Purchased Power Model '!F193</f>
        <v>30</v>
      </c>
      <c r="G193" s="57">
        <f>+'Purchased Power Model '!G193</f>
        <v>1</v>
      </c>
      <c r="H193" s="221"/>
      <c r="I193" s="222">
        <f t="shared" ca="1" si="6"/>
        <v>856381.54634238465</v>
      </c>
      <c r="J193" s="36"/>
      <c r="K193" s="5"/>
    </row>
    <row r="194" spans="1:11" x14ac:dyDescent="0.2">
      <c r="A194" s="3">
        <v>43435</v>
      </c>
      <c r="C194" s="217">
        <f>+'Purchased Power Model '!C194</f>
        <v>472.50375238055386</v>
      </c>
      <c r="D194" s="217">
        <f ca="1">+'Purchased Power Model '!D194</f>
        <v>0</v>
      </c>
      <c r="E194" s="126">
        <f>+'Purchased Power Model '!E194</f>
        <v>7.3406150000000003E-2</v>
      </c>
      <c r="F194" s="57">
        <f>+'Purchased Power Model '!F194</f>
        <v>31</v>
      </c>
      <c r="G194" s="57">
        <f>+'Purchased Power Model '!G194</f>
        <v>0</v>
      </c>
      <c r="H194" s="221"/>
      <c r="I194" s="222">
        <f t="shared" ca="1" si="6"/>
        <v>878499.32447473751</v>
      </c>
      <c r="J194" s="36"/>
      <c r="K194" s="5"/>
    </row>
    <row r="195" spans="1:11" x14ac:dyDescent="0.2">
      <c r="A195" s="3">
        <v>43466</v>
      </c>
      <c r="C195" s="217">
        <f>+'Purchased Power Model '!C195</f>
        <v>658.84805317106725</v>
      </c>
      <c r="D195" s="217">
        <f ca="1">+'Purchased Power Model '!D195</f>
        <v>0</v>
      </c>
      <c r="E195" s="126">
        <f>+'Purchased Power Model '!E195</f>
        <v>7.3406150000000003E-2</v>
      </c>
      <c r="F195" s="57">
        <f>+'Purchased Power Model '!F195</f>
        <v>31</v>
      </c>
      <c r="G195" s="57">
        <f>+'Purchased Power Model '!G195</f>
        <v>0</v>
      </c>
      <c r="H195" s="221"/>
      <c r="I195" s="222">
        <f t="shared" ca="1" si="6"/>
        <v>953391.77565887803</v>
      </c>
      <c r="J195" s="36"/>
      <c r="K195" s="5"/>
    </row>
    <row r="196" spans="1:11" x14ac:dyDescent="0.2">
      <c r="A196" s="3">
        <v>43497</v>
      </c>
      <c r="C196" s="217">
        <f>+'Purchased Power Model '!C196</f>
        <v>590.12728838743919</v>
      </c>
      <c r="D196" s="217">
        <f ca="1">+'Purchased Power Model '!D196</f>
        <v>0</v>
      </c>
      <c r="E196" s="126">
        <f>+'Purchased Power Model '!E196</f>
        <v>7.3406150000000003E-2</v>
      </c>
      <c r="F196" s="57">
        <f>+'Purchased Power Model '!F196</f>
        <v>28</v>
      </c>
      <c r="G196" s="57">
        <f>+'Purchased Power Model '!G196</f>
        <v>0</v>
      </c>
      <c r="H196" s="221"/>
      <c r="I196" s="222">
        <f t="shared" ref="I196:I206" ca="1" si="11">$N$18+C196*$N$19+D196*$N$20+E196*$N$21+F196*$N$22+G196*$N$23</f>
        <v>1027752.9131552521</v>
      </c>
      <c r="J196" s="36"/>
      <c r="K196" s="5"/>
    </row>
    <row r="197" spans="1:11" x14ac:dyDescent="0.2">
      <c r="A197" s="3">
        <v>43525</v>
      </c>
      <c r="C197" s="217">
        <f>+'Purchased Power Model '!C197</f>
        <v>579.10804829161816</v>
      </c>
      <c r="D197" s="217">
        <f ca="1">+'Purchased Power Model '!D197</f>
        <v>0</v>
      </c>
      <c r="E197" s="126">
        <f>+'Purchased Power Model '!E197</f>
        <v>7.3406150000000003E-2</v>
      </c>
      <c r="F197" s="57">
        <f>+'Purchased Power Model '!F197</f>
        <v>31</v>
      </c>
      <c r="G197" s="57">
        <f>+'Purchased Power Model '!G197</f>
        <v>1</v>
      </c>
      <c r="H197" s="221"/>
      <c r="I197" s="222">
        <f t="shared" ca="1" si="11"/>
        <v>914962.19335250056</v>
      </c>
      <c r="J197" s="36"/>
      <c r="K197" s="5"/>
    </row>
    <row r="198" spans="1:11" x14ac:dyDescent="0.2">
      <c r="A198" s="3">
        <v>43556</v>
      </c>
      <c r="C198" s="217">
        <f>+'Purchased Power Model '!C198</f>
        <v>317.1661897347559</v>
      </c>
      <c r="D198" s="217">
        <f ca="1">+'Purchased Power Model '!D198</f>
        <v>0</v>
      </c>
      <c r="E198" s="126">
        <f>+'Purchased Power Model '!E198</f>
        <v>7.3406150000000003E-2</v>
      </c>
      <c r="F198" s="57">
        <f>+'Purchased Power Model '!F198</f>
        <v>30</v>
      </c>
      <c r="G198" s="57">
        <f>+'Purchased Power Model '!G198</f>
        <v>1</v>
      </c>
      <c r="H198" s="221"/>
      <c r="I198" s="222">
        <f t="shared" ca="1" si="11"/>
        <v>843680.22998063697</v>
      </c>
      <c r="J198" s="36"/>
      <c r="K198" s="5"/>
    </row>
    <row r="199" spans="1:11" x14ac:dyDescent="0.2">
      <c r="A199" s="3">
        <v>43586</v>
      </c>
      <c r="C199" s="217">
        <f>+'Purchased Power Model '!C199</f>
        <v>137.09984770381988</v>
      </c>
      <c r="D199" s="217">
        <f ca="1">+'Purchased Power Model '!D199</f>
        <v>1.9186560520458842</v>
      </c>
      <c r="E199" s="126">
        <f>+'Purchased Power Model '!E199</f>
        <v>7.3406150000000003E-2</v>
      </c>
      <c r="F199" s="57">
        <f>+'Purchased Power Model '!F199</f>
        <v>31</v>
      </c>
      <c r="G199" s="57">
        <f>+'Purchased Power Model '!G199</f>
        <v>1</v>
      </c>
      <c r="H199" s="221"/>
      <c r="I199" s="222">
        <f t="shared" ca="1" si="11"/>
        <v>734847.56683062681</v>
      </c>
      <c r="J199" s="36"/>
      <c r="K199" s="5"/>
    </row>
    <row r="200" spans="1:11" x14ac:dyDescent="0.2">
      <c r="A200" s="3">
        <v>43617</v>
      </c>
      <c r="C200" s="217">
        <f>+'Purchased Power Model '!C200</f>
        <v>22.978105316091931</v>
      </c>
      <c r="D200" s="217">
        <f ca="1">+'Purchased Power Model '!D200</f>
        <v>59.1831597592615</v>
      </c>
      <c r="E200" s="126">
        <f>+'Purchased Power Model '!E200</f>
        <v>7.3406150000000003E-2</v>
      </c>
      <c r="F200" s="57">
        <f>+'Purchased Power Model '!F200</f>
        <v>30</v>
      </c>
      <c r="G200" s="57">
        <f>+'Purchased Power Model '!G200</f>
        <v>0</v>
      </c>
      <c r="H200" s="221"/>
      <c r="I200" s="222">
        <f t="shared" ca="1" si="11"/>
        <v>655639.05076863756</v>
      </c>
      <c r="J200" s="36"/>
      <c r="K200" s="5"/>
    </row>
    <row r="201" spans="1:11" x14ac:dyDescent="0.2">
      <c r="A201" s="3">
        <v>43647</v>
      </c>
      <c r="C201" s="217">
        <f>+'Purchased Power Model '!C201</f>
        <v>8.2003647224714715</v>
      </c>
      <c r="D201" s="217">
        <f ca="1">+'Purchased Power Model '!D201</f>
        <v>80.583554185927127</v>
      </c>
      <c r="E201" s="126">
        <f>+'Purchased Power Model '!E201</f>
        <v>7.3406150000000003E-2</v>
      </c>
      <c r="F201" s="57">
        <f>+'Purchased Power Model '!F201</f>
        <v>31</v>
      </c>
      <c r="G201" s="57">
        <f>+'Purchased Power Model '!G201</f>
        <v>0</v>
      </c>
      <c r="H201" s="221"/>
      <c r="I201" s="222">
        <f t="shared" ca="1" si="11"/>
        <v>588157.23238465702</v>
      </c>
      <c r="J201" s="36"/>
      <c r="K201" s="5"/>
    </row>
    <row r="202" spans="1:11" x14ac:dyDescent="0.2">
      <c r="A202" s="3">
        <v>43678</v>
      </c>
      <c r="C202" s="217">
        <f>+'Purchased Power Model '!C202</f>
        <v>10.848399164102883</v>
      </c>
      <c r="D202" s="217">
        <f ca="1">+'Purchased Power Model '!D202</f>
        <v>85.601577706662511</v>
      </c>
      <c r="E202" s="126">
        <f>+'Purchased Power Model '!E202</f>
        <v>7.3406150000000003E-2</v>
      </c>
      <c r="F202" s="57">
        <f>+'Purchased Power Model '!F202</f>
        <v>31</v>
      </c>
      <c r="G202" s="57">
        <f>+'Purchased Power Model '!G202</f>
        <v>0</v>
      </c>
      <c r="H202" s="221"/>
      <c r="I202" s="222">
        <f t="shared" ca="1" si="11"/>
        <v>582761.68167081662</v>
      </c>
      <c r="J202" s="36"/>
      <c r="K202" s="5"/>
    </row>
    <row r="203" spans="1:11" x14ac:dyDescent="0.2">
      <c r="A203" s="3">
        <v>43709</v>
      </c>
      <c r="C203" s="217">
        <f>+'Purchased Power Model '!C203</f>
        <v>66.115440574926225</v>
      </c>
      <c r="D203" s="217">
        <f ca="1">+'Purchased Power Model '!D203</f>
        <v>33.207508593101842</v>
      </c>
      <c r="E203" s="126">
        <f>+'Purchased Power Model '!E203</f>
        <v>7.3406150000000003E-2</v>
      </c>
      <c r="F203" s="57">
        <f>+'Purchased Power Model '!F203</f>
        <v>30</v>
      </c>
      <c r="G203" s="57">
        <f>+'Purchased Power Model '!G203</f>
        <v>1</v>
      </c>
      <c r="H203" s="221"/>
      <c r="I203" s="222">
        <f t="shared" ca="1" si="11"/>
        <v>700033.31019872159</v>
      </c>
      <c r="J203" s="36"/>
      <c r="K203" s="5"/>
    </row>
    <row r="204" spans="1:11" x14ac:dyDescent="0.2">
      <c r="A204" s="3">
        <v>43739</v>
      </c>
      <c r="C204" s="217">
        <f>+'Purchased Power Model '!C204</f>
        <v>184.76446765318536</v>
      </c>
      <c r="D204" s="217">
        <f ca="1">+'Purchased Power Model '!D204</f>
        <v>0.73794463540226296</v>
      </c>
      <c r="E204" s="126">
        <f>+'Purchased Power Model '!E204</f>
        <v>7.3406150000000003E-2</v>
      </c>
      <c r="F204" s="57">
        <f>+'Purchased Power Model '!F204</f>
        <v>31</v>
      </c>
      <c r="G204" s="57">
        <f>+'Purchased Power Model '!G204</f>
        <v>1</v>
      </c>
      <c r="H204" s="221"/>
      <c r="I204" s="222">
        <f t="shared" ca="1" si="11"/>
        <v>755524.10488424276</v>
      </c>
      <c r="J204" s="36"/>
      <c r="K204" s="5"/>
    </row>
    <row r="205" spans="1:11" x14ac:dyDescent="0.2">
      <c r="A205" s="3">
        <v>43770</v>
      </c>
      <c r="C205" s="217">
        <f>+'Purchased Power Model '!C205</f>
        <v>347.91755744402406</v>
      </c>
      <c r="D205" s="217">
        <f ca="1">+'Purchased Power Model '!D205</f>
        <v>0</v>
      </c>
      <c r="E205" s="126">
        <f>+'Purchased Power Model '!E205</f>
        <v>7.3406150000000003E-2</v>
      </c>
      <c r="F205" s="57">
        <f>+'Purchased Power Model '!F205</f>
        <v>30</v>
      </c>
      <c r="G205" s="57">
        <f>+'Purchased Power Model '!G205</f>
        <v>1</v>
      </c>
      <c r="H205" s="221"/>
      <c r="I205" s="222">
        <f t="shared" ca="1" si="11"/>
        <v>856039.31633445586</v>
      </c>
      <c r="J205" s="36"/>
      <c r="K205" s="5"/>
    </row>
    <row r="206" spans="1:11" x14ac:dyDescent="0.2">
      <c r="A206" s="3">
        <v>43800</v>
      </c>
      <c r="C206" s="217">
        <f>+'Purchased Power Model '!C206</f>
        <v>471.35013061039143</v>
      </c>
      <c r="D206" s="217">
        <f ca="1">+'Purchased Power Model '!D206</f>
        <v>0</v>
      </c>
      <c r="E206" s="126">
        <f>+'Purchased Power Model '!E206</f>
        <v>7.3406150000000003E-2</v>
      </c>
      <c r="F206" s="57">
        <f>+'Purchased Power Model '!F206</f>
        <v>31</v>
      </c>
      <c r="G206" s="57">
        <f>+'Purchased Power Model '!G206</f>
        <v>0</v>
      </c>
      <c r="H206" s="221"/>
      <c r="I206" s="222">
        <f t="shared" ca="1" si="11"/>
        <v>878035.67969601182</v>
      </c>
      <c r="J206" s="36"/>
      <c r="K206" s="5"/>
    </row>
    <row r="207" spans="1:11" x14ac:dyDescent="0.2">
      <c r="A207" s="3"/>
      <c r="I207" s="11"/>
      <c r="J207" s="11"/>
      <c r="K207" s="11"/>
    </row>
    <row r="208" spans="1:11" x14ac:dyDescent="0.2">
      <c r="A208" s="3"/>
      <c r="C208" s="18"/>
      <c r="D208" s="63" t="s">
        <v>60</v>
      </c>
      <c r="I208" s="47">
        <f ca="1">SUM(I3:I206)</f>
        <v>161861738.19227335</v>
      </c>
    </row>
    <row r="209" spans="1:11" x14ac:dyDescent="0.2">
      <c r="A209" s="3"/>
      <c r="C209" s="23"/>
      <c r="D209" s="23"/>
      <c r="F209" s="209"/>
      <c r="G209" s="209"/>
      <c r="H209"/>
      <c r="I209" s="209"/>
      <c r="J209" s="36"/>
      <c r="K209" s="5" t="s">
        <v>201</v>
      </c>
    </row>
    <row r="210" spans="1:11" x14ac:dyDescent="0.2">
      <c r="A210" s="16">
        <v>2003</v>
      </c>
      <c r="B210" s="6">
        <f>SUM(B3:B14)</f>
        <v>8359780.5</v>
      </c>
      <c r="C210" s="131"/>
      <c r="D210" s="23" t="s">
        <v>200</v>
      </c>
      <c r="E210" s="132" t="s">
        <v>112</v>
      </c>
      <c r="F210" s="209"/>
      <c r="G210" s="209"/>
      <c r="H210"/>
      <c r="I210" s="6">
        <f>SUM(I3:I14)</f>
        <v>8942073.736418644</v>
      </c>
      <c r="J210" s="36">
        <f>I210-B210</f>
        <v>582293.23641864397</v>
      </c>
      <c r="K210" s="5">
        <f>J210/B210</f>
        <v>6.9654129844514939E-2</v>
      </c>
    </row>
    <row r="211" spans="1:11" x14ac:dyDescent="0.2">
      <c r="A211">
        <v>2004</v>
      </c>
      <c r="B211" s="6">
        <f>SUM(B15:B26)</f>
        <v>8743099.0634733941</v>
      </c>
      <c r="C211" s="131">
        <f>+B211-B210</f>
        <v>383318.56347339414</v>
      </c>
      <c r="D211" s="133">
        <f>+C211/B210</f>
        <v>4.5852706715612229E-2</v>
      </c>
      <c r="E211" s="133">
        <f>RATE(1,0,-B$210,B211)</f>
        <v>4.5852706715612278E-2</v>
      </c>
      <c r="F211" s="209"/>
      <c r="G211" s="209"/>
      <c r="H211"/>
      <c r="I211" s="6">
        <f>SUM(I15:I26)</f>
        <v>9042417.7932602633</v>
      </c>
      <c r="J211" s="36">
        <f t="shared" ref="J211:J226" si="12">I211-B211</f>
        <v>299318.72978686914</v>
      </c>
      <c r="K211" s="5">
        <f t="shared" ref="K211:K226" si="13">J211/B211</f>
        <v>3.4234855125610114E-2</v>
      </c>
    </row>
    <row r="212" spans="1:11" x14ac:dyDescent="0.2">
      <c r="A212" s="16">
        <v>2005</v>
      </c>
      <c r="B212" s="6">
        <f>SUM(B27:B38)</f>
        <v>9182978</v>
      </c>
      <c r="C212" s="131">
        <f t="shared" ref="C212:C226" si="14">+B212-B211</f>
        <v>439878.93652660586</v>
      </c>
      <c r="D212" s="133">
        <f t="shared" ref="D212:D226" si="15">+C212/B211</f>
        <v>5.0311558102357129E-2</v>
      </c>
      <c r="E212" s="133">
        <f>RATE(2,0,-B$210,B212)</f>
        <v>4.807976124722594E-2</v>
      </c>
      <c r="F212" s="209"/>
      <c r="G212" s="209"/>
      <c r="H212"/>
      <c r="I212" s="6">
        <f>SUM(I27:I38)</f>
        <v>9178237.9886262827</v>
      </c>
      <c r="J212" s="36">
        <f t="shared" si="12"/>
        <v>-4740.0113737173378</v>
      </c>
      <c r="K212" s="5">
        <f t="shared" si="13"/>
        <v>-5.1617366106260275E-4</v>
      </c>
    </row>
    <row r="213" spans="1:11" x14ac:dyDescent="0.2">
      <c r="A213">
        <v>2006</v>
      </c>
      <c r="B213" s="6">
        <f>SUM(B39:B50)</f>
        <v>9398525</v>
      </c>
      <c r="C213" s="131">
        <f t="shared" si="14"/>
        <v>215547</v>
      </c>
      <c r="D213" s="133">
        <f t="shared" si="15"/>
        <v>2.347245087595767E-2</v>
      </c>
      <c r="E213" s="133">
        <f>RATE(3,0,-B$210,B213)</f>
        <v>3.9812280247915298E-2</v>
      </c>
      <c r="F213" s="209"/>
      <c r="G213" s="209"/>
      <c r="H213"/>
      <c r="I213" s="6">
        <f>SUM(I39:I50)</f>
        <v>9261235.2064112816</v>
      </c>
      <c r="J213" s="36">
        <f t="shared" si="12"/>
        <v>-137289.7935887184</v>
      </c>
      <c r="K213" s="5">
        <f t="shared" si="13"/>
        <v>-1.4607589338616261E-2</v>
      </c>
    </row>
    <row r="214" spans="1:11" x14ac:dyDescent="0.2">
      <c r="A214" s="16">
        <v>2007</v>
      </c>
      <c r="B214" s="6">
        <f>SUM(B51:B62)</f>
        <v>9704521</v>
      </c>
      <c r="C214" s="131">
        <f t="shared" si="14"/>
        <v>305996</v>
      </c>
      <c r="D214" s="133">
        <f t="shared" si="15"/>
        <v>3.2557874772903193E-2</v>
      </c>
      <c r="E214" s="133">
        <f>RATE(4,0,-B$210,B214)</f>
        <v>3.7993914653316314E-2</v>
      </c>
      <c r="F214" s="209"/>
      <c r="G214" s="209"/>
      <c r="H214"/>
      <c r="I214" s="6">
        <f>SUM(I51:I62)</f>
        <v>8976648.144614039</v>
      </c>
      <c r="J214" s="36">
        <f t="shared" si="12"/>
        <v>-727872.85538596101</v>
      </c>
      <c r="K214" s="5">
        <f t="shared" si="13"/>
        <v>-7.5003480891634014E-2</v>
      </c>
    </row>
    <row r="215" spans="1:11" x14ac:dyDescent="0.2">
      <c r="A215">
        <v>2008</v>
      </c>
      <c r="B215" s="6">
        <f>SUM(B63:B74)</f>
        <v>9725840</v>
      </c>
      <c r="C215" s="131">
        <f t="shared" si="14"/>
        <v>21319</v>
      </c>
      <c r="D215" s="133">
        <f t="shared" si="15"/>
        <v>2.1968111563672229E-3</v>
      </c>
      <c r="E215" s="133">
        <f>RATE(5,0,-B$210,B215)</f>
        <v>3.073363744783051E-2</v>
      </c>
      <c r="F215" s="209"/>
      <c r="G215" s="209"/>
      <c r="H215"/>
      <c r="I215" s="6">
        <f>SUM(I63:I74)</f>
        <v>9148910.7362386081</v>
      </c>
      <c r="J215" s="36">
        <f t="shared" si="12"/>
        <v>-576929.26376139186</v>
      </c>
      <c r="K215" s="5">
        <f t="shared" si="13"/>
        <v>-5.9319222171184377E-2</v>
      </c>
    </row>
    <row r="216" spans="1:11" x14ac:dyDescent="0.2">
      <c r="A216" s="16">
        <v>2009</v>
      </c>
      <c r="B216" s="6">
        <f>SUM(B75:B86)</f>
        <v>10202758</v>
      </c>
      <c r="C216" s="131">
        <f t="shared" si="14"/>
        <v>476918</v>
      </c>
      <c r="D216" s="133">
        <f t="shared" si="15"/>
        <v>4.9036175795612515E-2</v>
      </c>
      <c r="E216" s="133">
        <f>RATE(6,0,-B$210,B216)</f>
        <v>3.3761733300014092E-2</v>
      </c>
      <c r="F216" s="209"/>
      <c r="G216" s="209"/>
      <c r="H216"/>
      <c r="I216" s="6">
        <f>SUM(I75:I86)</f>
        <v>10385141.539019275</v>
      </c>
      <c r="J216" s="36">
        <f t="shared" si="12"/>
        <v>182383.53901927546</v>
      </c>
      <c r="K216" s="5">
        <f t="shared" si="13"/>
        <v>1.7875905614861732E-2</v>
      </c>
    </row>
    <row r="217" spans="1:11" x14ac:dyDescent="0.2">
      <c r="A217">
        <v>2010</v>
      </c>
      <c r="B217" s="6">
        <f>SUM(B87:B98)</f>
        <v>10427904</v>
      </c>
      <c r="C217" s="131">
        <f t="shared" si="14"/>
        <v>225146</v>
      </c>
      <c r="D217" s="133">
        <f t="shared" si="15"/>
        <v>2.2067170465084048E-2</v>
      </c>
      <c r="E217" s="133">
        <f>RATE(7,0,-B$210,B217)</f>
        <v>3.2082924510561987E-2</v>
      </c>
      <c r="F217" s="209"/>
      <c r="G217" s="209"/>
      <c r="H217"/>
      <c r="I217" s="6">
        <f>SUM(I87:I98)</f>
        <v>10431973.938310638</v>
      </c>
      <c r="J217" s="36">
        <f t="shared" si="12"/>
        <v>4069.9383106380701</v>
      </c>
      <c r="K217" s="5">
        <f t="shared" si="13"/>
        <v>3.9029303593877257E-4</v>
      </c>
    </row>
    <row r="218" spans="1:11" x14ac:dyDescent="0.2">
      <c r="A218">
        <v>2011</v>
      </c>
      <c r="B218" s="6">
        <f>SUM(B99:B110)</f>
        <v>10253017</v>
      </c>
      <c r="C218" s="131">
        <f t="shared" si="14"/>
        <v>-174887</v>
      </c>
      <c r="D218" s="133">
        <f t="shared" si="15"/>
        <v>-1.677105964918741E-2</v>
      </c>
      <c r="E218" s="133">
        <f>RATE(8,0,-B$210,B218)</f>
        <v>2.5845836997099254E-2</v>
      </c>
      <c r="F218" s="209"/>
      <c r="G218" s="209"/>
      <c r="H218"/>
      <c r="I218" s="6">
        <f>SUM(I99:I110)</f>
        <v>9832438.3749232162</v>
      </c>
      <c r="J218" s="36">
        <f t="shared" si="12"/>
        <v>-420578.62507678382</v>
      </c>
      <c r="K218" s="5">
        <f t="shared" si="13"/>
        <v>-4.1019987100068579E-2</v>
      </c>
    </row>
    <row r="219" spans="1:11" x14ac:dyDescent="0.2">
      <c r="A219">
        <v>2012</v>
      </c>
      <c r="B219" s="6">
        <f>SUM(B111:B122)</f>
        <v>10139708</v>
      </c>
      <c r="C219" s="131">
        <f t="shared" si="14"/>
        <v>-113309</v>
      </c>
      <c r="D219" s="133">
        <f t="shared" si="15"/>
        <v>-1.1051283734338878E-2</v>
      </c>
      <c r="E219" s="133">
        <f>RATE(9,0,-B$210,B219)</f>
        <v>2.1679097434702633E-2</v>
      </c>
      <c r="F219" s="209"/>
      <c r="G219" s="209"/>
      <c r="H219"/>
      <c r="I219" s="6">
        <f>SUM(I111:I122)</f>
        <v>9783973.9572405647</v>
      </c>
      <c r="J219" s="36">
        <f t="shared" si="12"/>
        <v>-355734.04275943525</v>
      </c>
      <c r="K219" s="5">
        <f t="shared" si="13"/>
        <v>-3.5083263024875591E-2</v>
      </c>
    </row>
    <row r="220" spans="1:11" x14ac:dyDescent="0.2">
      <c r="A220">
        <v>2013</v>
      </c>
      <c r="B220" s="6">
        <f>SUM(B123:B134)</f>
        <v>9082284</v>
      </c>
      <c r="C220" s="131">
        <f t="shared" si="14"/>
        <v>-1057424</v>
      </c>
      <c r="D220" s="133">
        <f t="shared" si="15"/>
        <v>-0.1042854488511898</v>
      </c>
      <c r="E220" s="133">
        <f>RATE(10,0,-B$210,B220)</f>
        <v>8.3238050230215084E-3</v>
      </c>
      <c r="F220" s="209"/>
      <c r="G220" s="209"/>
      <c r="H220"/>
      <c r="I220" s="6">
        <f ca="1">SUM(I123:I134)</f>
        <v>9563170.6059611365</v>
      </c>
      <c r="J220" s="36">
        <f t="shared" ca="1" si="12"/>
        <v>480886.60596113652</v>
      </c>
      <c r="K220" s="5">
        <f t="shared" ca="1" si="13"/>
        <v>5.2947761373806031E-2</v>
      </c>
    </row>
    <row r="221" spans="1:11" x14ac:dyDescent="0.2">
      <c r="A221">
        <v>2014</v>
      </c>
      <c r="B221" s="6">
        <f>SUM(B135:B146)</f>
        <v>9155875</v>
      </c>
      <c r="C221" s="131">
        <f t="shared" ref="C221" si="16">+B221-B220</f>
        <v>73591</v>
      </c>
      <c r="D221" s="133">
        <f t="shared" ref="D221" si="17">+C221/B220</f>
        <v>8.1026975152946115E-3</v>
      </c>
      <c r="E221" s="133">
        <f>RATE(10,0,-B$210,B221)</f>
        <v>9.13785549133634E-3</v>
      </c>
      <c r="F221" s="126"/>
      <c r="G221" s="209"/>
      <c r="H221"/>
      <c r="I221" s="6">
        <f>SUM(I135:I146)</f>
        <v>9830067.5424494781</v>
      </c>
      <c r="J221" s="36">
        <f t="shared" si="12"/>
        <v>674192.54244947806</v>
      </c>
      <c r="K221" s="5">
        <f t="shared" si="13"/>
        <v>7.363496579512914E-2</v>
      </c>
    </row>
    <row r="222" spans="1:11" x14ac:dyDescent="0.2">
      <c r="A222">
        <v>2015</v>
      </c>
      <c r="B222" s="6">
        <f t="shared" ref="B222:B226" ca="1" si="18">+I222</f>
        <v>9516951.7649268582</v>
      </c>
      <c r="C222" s="131">
        <f t="shared" ca="1" si="14"/>
        <v>361076.76492685825</v>
      </c>
      <c r="D222" s="133">
        <f t="shared" ca="1" si="15"/>
        <v>3.9436620194886696E-2</v>
      </c>
      <c r="E222" s="133">
        <f ca="1">RATE(12,0,-B$210,B222)</f>
        <v>1.0862105090639685E-2</v>
      </c>
      <c r="F222" s="126"/>
      <c r="G222" s="209"/>
      <c r="H222"/>
      <c r="I222" s="6">
        <f ca="1">SUM(I147:I158)</f>
        <v>9516951.7649268582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t="shared" ca="1" si="18"/>
        <v>9476426.6666181348</v>
      </c>
      <c r="C223" s="131">
        <f t="shared" ca="1" si="14"/>
        <v>-40525.09830872342</v>
      </c>
      <c r="D223" s="133">
        <f t="shared" ca="1" si="15"/>
        <v>-4.2582015029299534E-3</v>
      </c>
      <c r="E223" s="133">
        <f ca="1">RATE(13,0,-B$210,B223)</f>
        <v>9.6908971428456385E-3</v>
      </c>
      <c r="F223" s="126"/>
      <c r="G223" s="209"/>
      <c r="H223"/>
      <c r="I223" s="6">
        <f ca="1">SUM(I159:I170)</f>
        <v>9476426.6666181348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t="shared" ca="1" si="18"/>
        <v>9503888.4099211488</v>
      </c>
      <c r="C224" s="131">
        <f t="shared" ca="1" si="14"/>
        <v>27461.743303013965</v>
      </c>
      <c r="D224" s="133">
        <f t="shared" ca="1" si="15"/>
        <v>2.8979006823058417E-3</v>
      </c>
      <c r="E224" s="133">
        <f ca="1">RATE(14,0,-B$210,B224)</f>
        <v>9.2041608978801464E-3</v>
      </c>
      <c r="F224" s="126"/>
      <c r="G224" s="209"/>
      <c r="H224"/>
      <c r="I224" s="6">
        <f ca="1">SUM(I171:I182)</f>
        <v>9503888.4099211488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9497356.7324182931</v>
      </c>
      <c r="C225" s="131">
        <f t="shared" ca="1" si="14"/>
        <v>-6531.6775028556585</v>
      </c>
      <c r="D225" s="133">
        <f t="shared" ca="1" si="15"/>
        <v>-6.8726369893371355E-4</v>
      </c>
      <c r="E225" s="133">
        <f ca="1">RATE(15,0,-B$210,B225)</f>
        <v>8.5416972437262935E-3</v>
      </c>
      <c r="F225" s="126"/>
      <c r="G225" s="209"/>
      <c r="H225"/>
      <c r="I225" s="6">
        <f ca="1">SUM(I183:I194)</f>
        <v>9497356.7324182931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9490825.0549154375</v>
      </c>
      <c r="C226" s="131">
        <f t="shared" ca="1" si="14"/>
        <v>-6531.6775028556585</v>
      </c>
      <c r="D226" s="133">
        <f t="shared" ca="1" si="15"/>
        <v>-6.8773635516505556E-4</v>
      </c>
      <c r="E226" s="133">
        <f ca="1">RATE(16,0,-B$210,B226)</f>
        <v>7.9623684768776719E-3</v>
      </c>
      <c r="F226" s="126"/>
      <c r="G226" s="209"/>
      <c r="H226"/>
      <c r="I226" s="6">
        <f ca="1">SUM(I195:I206)</f>
        <v>9490825.0549154375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24"/>
      <c r="D227" s="209"/>
      <c r="F227" s="209"/>
      <c r="G227" s="209"/>
      <c r="H227"/>
      <c r="J227" s="209"/>
      <c r="K227" s="209"/>
    </row>
    <row r="228" spans="1:11" x14ac:dyDescent="0.2">
      <c r="A228" t="s">
        <v>9</v>
      </c>
      <c r="B228" s="6">
        <f ca="1">SUM(B210:B226)</f>
        <v>161861738.19227326</v>
      </c>
      <c r="C228" s="124"/>
      <c r="D228" s="209"/>
      <c r="F228" s="209"/>
      <c r="G228" s="209"/>
      <c r="H228"/>
      <c r="I228" s="6">
        <f ca="1">SUM(I210:I226)</f>
        <v>161861738.19227329</v>
      </c>
      <c r="J228" s="213">
        <f ca="1">I228-B228</f>
        <v>0</v>
      </c>
      <c r="K228" s="209"/>
    </row>
    <row r="229" spans="1:11" x14ac:dyDescent="0.2">
      <c r="C229" s="209"/>
      <c r="D229" s="209"/>
      <c r="F229" s="209"/>
      <c r="G229" s="209"/>
      <c r="H229"/>
      <c r="I229" s="209"/>
      <c r="J229" s="62"/>
      <c r="K229" s="209"/>
    </row>
    <row r="230" spans="1:11" x14ac:dyDescent="0.2">
      <c r="C230" s="209"/>
      <c r="D230" s="209"/>
      <c r="F230" s="209"/>
      <c r="G230" s="209"/>
      <c r="H230"/>
      <c r="I230" s="6">
        <f ca="1">SUM(I210:I226)</f>
        <v>161861738.19227329</v>
      </c>
      <c r="J230" s="213">
        <f ca="1">I208-I230</f>
        <v>0</v>
      </c>
      <c r="K230" s="209"/>
    </row>
    <row r="231" spans="1:11" x14ac:dyDescent="0.2">
      <c r="C231" s="209"/>
      <c r="D231" s="209"/>
      <c r="F231" s="209"/>
      <c r="G231" s="209"/>
      <c r="H231"/>
      <c r="I231" s="23"/>
      <c r="J231" s="214" t="s">
        <v>69</v>
      </c>
      <c r="K231" s="18"/>
    </row>
    <row r="243" spans="9:11" x14ac:dyDescent="0.2">
      <c r="I243" s="11"/>
      <c r="J243" s="11"/>
      <c r="K243" s="1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4"/>
  <sheetViews>
    <sheetView workbookViewId="0"/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2.5703125" style="6" customWidth="1"/>
    <col min="10" max="10" width="21.28515625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3.5703125" style="6" bestFit="1" customWidth="1"/>
    <col min="15" max="15" width="20.85546875" style="6" bestFit="1" customWidth="1"/>
    <col min="16" max="16" width="19" style="6" bestFit="1" customWidth="1"/>
    <col min="17" max="17" width="9.85546875" style="6" bestFit="1" customWidth="1"/>
    <col min="18" max="18" width="14" bestFit="1" customWidth="1"/>
    <col min="19" max="19" width="13.5703125" bestFit="1" customWidth="1"/>
    <col min="20" max="20" width="13.85546875" bestFit="1" customWidth="1"/>
    <col min="21" max="21" width="13.5703125" bestFit="1" customWidth="1"/>
  </cols>
  <sheetData>
    <row r="2" spans="1:18" ht="42" customHeight="1" x14ac:dyDescent="0.2">
      <c r="B2" s="7" t="s">
        <v>199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20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59">
        <v>300000</v>
      </c>
      <c r="C3" s="215">
        <f>+'Purchased Power Model '!C3</f>
        <v>786</v>
      </c>
      <c r="D3" s="215">
        <f>+'Purchased Power Model '!D3</f>
        <v>0</v>
      </c>
      <c r="E3" s="126">
        <f>+'Purchased Power Model '!E3</f>
        <v>4.7E-2</v>
      </c>
      <c r="F3" s="57">
        <f>+'Purchased Power Model '!F3</f>
        <v>31</v>
      </c>
      <c r="G3" s="57">
        <f>+'Purchased Power Model '!G3</f>
        <v>0</v>
      </c>
      <c r="H3" s="61">
        <v>300</v>
      </c>
      <c r="I3" s="222">
        <f>$N$18+C3*$N$19+D3*$N$20+E3*$N$21+F3*$N$22+G3*$N$23</f>
        <v>308649.88781425636</v>
      </c>
      <c r="J3" s="36">
        <f>I3-B3</f>
        <v>8649.8878142563626</v>
      </c>
      <c r="K3" s="5">
        <f>J3/B3</f>
        <v>2.8832959380854541E-2</v>
      </c>
      <c r="M3"/>
      <c r="N3"/>
      <c r="O3"/>
      <c r="P3"/>
      <c r="Q3"/>
    </row>
    <row r="4" spans="1:18" x14ac:dyDescent="0.2">
      <c r="A4" s="3">
        <v>37653</v>
      </c>
      <c r="B4" s="59">
        <v>300000</v>
      </c>
      <c r="C4" s="215">
        <f>+'Purchased Power Model '!C4</f>
        <v>686.5</v>
      </c>
      <c r="D4" s="215">
        <f>+'Purchased Power Model '!D4</f>
        <v>0</v>
      </c>
      <c r="E4" s="126">
        <f>+'Purchased Power Model '!E4</f>
        <v>4.7E-2</v>
      </c>
      <c r="F4" s="57">
        <f>+'Purchased Power Model '!F4</f>
        <v>28</v>
      </c>
      <c r="G4" s="57">
        <f>+'Purchased Power Model '!G4</f>
        <v>0</v>
      </c>
      <c r="H4" s="61">
        <v>300</v>
      </c>
      <c r="I4" s="222">
        <f t="shared" ref="I4:I67" si="0">$N$18+C4*$N$19+D4*$N$20+E4*$N$21+F4*$N$22+G4*$N$23</f>
        <v>311498.48665925453</v>
      </c>
      <c r="J4" s="36">
        <f t="shared" ref="J4:J67" si="1">I4-B4</f>
        <v>11498.48665925453</v>
      </c>
      <c r="K4" s="5">
        <f t="shared" ref="K4:K67" si="2">J4/B4</f>
        <v>3.8328288864181763E-2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59">
        <v>300000</v>
      </c>
      <c r="C5" s="215">
        <f>+'Purchased Power Model '!C5</f>
        <v>572.5</v>
      </c>
      <c r="D5" s="215">
        <f>+'Purchased Power Model '!D5</f>
        <v>0</v>
      </c>
      <c r="E5" s="126">
        <f>+'Purchased Power Model '!E5</f>
        <v>4.7E-2</v>
      </c>
      <c r="F5" s="57">
        <f>+'Purchased Power Model '!F5</f>
        <v>31</v>
      </c>
      <c r="G5" s="57">
        <f>+'Purchased Power Model '!G5</f>
        <v>1</v>
      </c>
      <c r="H5" s="61">
        <v>300</v>
      </c>
      <c r="I5" s="222">
        <f t="shared" si="0"/>
        <v>307495.74555485992</v>
      </c>
      <c r="J5" s="36">
        <f t="shared" si="1"/>
        <v>7495.7455548599246</v>
      </c>
      <c r="K5" s="5">
        <f t="shared" si="2"/>
        <v>2.498581851619975E-2</v>
      </c>
      <c r="M5" s="35" t="s">
        <v>20</v>
      </c>
      <c r="N5" s="118">
        <v>0.70615055325821119</v>
      </c>
      <c r="O5"/>
      <c r="P5"/>
      <c r="Q5"/>
    </row>
    <row r="6" spans="1:18" x14ac:dyDescent="0.2">
      <c r="A6" s="3">
        <v>37712</v>
      </c>
      <c r="B6" s="59">
        <v>300000</v>
      </c>
      <c r="C6" s="215">
        <f>+'Purchased Power Model '!C6</f>
        <v>403.9</v>
      </c>
      <c r="D6" s="215">
        <f>+'Purchased Power Model '!D6</f>
        <v>0</v>
      </c>
      <c r="E6" s="126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61">
        <v>300</v>
      </c>
      <c r="I6" s="222">
        <f t="shared" si="0"/>
        <v>294246.56872722268</v>
      </c>
      <c r="J6" s="36">
        <f t="shared" si="1"/>
        <v>-5753.4312727773213</v>
      </c>
      <c r="K6" s="5">
        <f t="shared" si="2"/>
        <v>-1.917810424259107E-2</v>
      </c>
      <c r="M6" s="35" t="s">
        <v>21</v>
      </c>
      <c r="N6" s="118">
        <v>0.49864860386687776</v>
      </c>
      <c r="O6"/>
      <c r="P6"/>
      <c r="Q6"/>
    </row>
    <row r="7" spans="1:18" x14ac:dyDescent="0.2">
      <c r="A7" s="3">
        <v>37742</v>
      </c>
      <c r="B7" s="59">
        <v>300000</v>
      </c>
      <c r="C7" s="215">
        <f>+'Purchased Power Model '!C7</f>
        <v>192</v>
      </c>
      <c r="D7" s="215">
        <f>+'Purchased Power Model '!D7</f>
        <v>0</v>
      </c>
      <c r="E7" s="126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61">
        <v>300</v>
      </c>
      <c r="I7" s="222">
        <f t="shared" si="0"/>
        <v>296227.3970953346</v>
      </c>
      <c r="J7" s="36">
        <f t="shared" si="1"/>
        <v>-3772.6029046654003</v>
      </c>
      <c r="K7" s="5">
        <f t="shared" si="2"/>
        <v>-1.2575343015551334E-2</v>
      </c>
      <c r="M7" s="35" t="s">
        <v>22</v>
      </c>
      <c r="N7" s="118">
        <v>0.48048369820988057</v>
      </c>
      <c r="O7"/>
      <c r="P7"/>
      <c r="Q7"/>
    </row>
    <row r="8" spans="1:18" x14ac:dyDescent="0.2">
      <c r="A8" s="3">
        <v>37773</v>
      </c>
      <c r="B8" s="59">
        <v>300000</v>
      </c>
      <c r="C8" s="215">
        <f>+'Purchased Power Model '!C8</f>
        <v>55.1</v>
      </c>
      <c r="D8" s="215">
        <f>+'Purchased Power Model '!D8</f>
        <v>31</v>
      </c>
      <c r="E8" s="126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61">
        <v>300</v>
      </c>
      <c r="I8" s="222">
        <f t="shared" si="0"/>
        <v>299991.69743881299</v>
      </c>
      <c r="J8" s="36">
        <f t="shared" si="1"/>
        <v>-8.3025611870107241</v>
      </c>
      <c r="K8" s="5">
        <f t="shared" si="2"/>
        <v>-2.7675203956702413E-5</v>
      </c>
      <c r="M8" s="35" t="s">
        <v>23</v>
      </c>
      <c r="N8" s="68">
        <v>27177.153843311586</v>
      </c>
      <c r="O8"/>
      <c r="P8"/>
      <c r="Q8"/>
    </row>
    <row r="9" spans="1:18" ht="13.5" thickBot="1" x14ac:dyDescent="0.25">
      <c r="A9" s="3">
        <v>37803</v>
      </c>
      <c r="B9" s="59">
        <v>300000</v>
      </c>
      <c r="C9" s="215">
        <f>+'Purchased Power Model '!C9</f>
        <v>5.7</v>
      </c>
      <c r="D9" s="215">
        <f>+'Purchased Power Model '!D9</f>
        <v>59.1</v>
      </c>
      <c r="E9" s="126">
        <f>+'Purchased Power Model '!E9</f>
        <v>5.2000000000000005E-2</v>
      </c>
      <c r="F9" s="57">
        <f>+'Purchased Power Model '!F9</f>
        <v>31</v>
      </c>
      <c r="G9" s="57">
        <f>+'Purchased Power Model '!G9</f>
        <v>0</v>
      </c>
      <c r="H9" s="61">
        <v>300</v>
      </c>
      <c r="I9" s="222">
        <f t="shared" si="0"/>
        <v>305126.57729879912</v>
      </c>
      <c r="J9" s="36">
        <f t="shared" si="1"/>
        <v>5126.5772987991222</v>
      </c>
      <c r="K9" s="5">
        <f t="shared" si="2"/>
        <v>1.7088590995997074E-2</v>
      </c>
      <c r="M9" s="51" t="s">
        <v>24</v>
      </c>
      <c r="N9" s="69">
        <v>144</v>
      </c>
      <c r="O9"/>
      <c r="P9"/>
      <c r="Q9"/>
    </row>
    <row r="10" spans="1:18" x14ac:dyDescent="0.2">
      <c r="A10" s="3">
        <v>37834</v>
      </c>
      <c r="B10" s="59">
        <v>300000</v>
      </c>
      <c r="C10" s="215">
        <f>+'Purchased Power Model '!C10</f>
        <v>10.4</v>
      </c>
      <c r="D10" s="215">
        <f>+'Purchased Power Model '!D10</f>
        <v>106.5</v>
      </c>
      <c r="E10" s="126">
        <f>+'Purchased Power Model '!E10</f>
        <v>5.2000000000000005E-2</v>
      </c>
      <c r="F10" s="57">
        <f>+'Purchased Power Model '!F10</f>
        <v>31</v>
      </c>
      <c r="G10" s="57">
        <f>+'Purchased Power Model '!G10</f>
        <v>0</v>
      </c>
      <c r="H10" s="61">
        <v>300</v>
      </c>
      <c r="I10" s="222">
        <f t="shared" si="0"/>
        <v>301809.46816478495</v>
      </c>
      <c r="J10" s="36">
        <f t="shared" si="1"/>
        <v>1809.4681647849502</v>
      </c>
      <c r="K10" s="5">
        <f t="shared" si="2"/>
        <v>6.0315605492831676E-3</v>
      </c>
      <c r="M10"/>
      <c r="N10"/>
      <c r="O10"/>
      <c r="P10"/>
      <c r="Q10"/>
    </row>
    <row r="11" spans="1:18" ht="13.5" thickBot="1" x14ac:dyDescent="0.25">
      <c r="A11" s="3">
        <v>37865</v>
      </c>
      <c r="B11" s="59">
        <v>300000</v>
      </c>
      <c r="C11" s="215">
        <f>+'Purchased Power Model '!C11</f>
        <v>55.2</v>
      </c>
      <c r="D11" s="215">
        <f>+'Purchased Power Model '!D11</f>
        <v>12.1</v>
      </c>
      <c r="E11" s="126">
        <f>+'Purchased Power Model '!E11</f>
        <v>5.2000000000000005E-2</v>
      </c>
      <c r="F11" s="57">
        <f>+'Purchased Power Model '!F11</f>
        <v>30</v>
      </c>
      <c r="G11" s="57">
        <f>+'Purchased Power Model '!G11</f>
        <v>1</v>
      </c>
      <c r="H11" s="61">
        <v>300</v>
      </c>
      <c r="I11" s="222">
        <f t="shared" si="0"/>
        <v>304613.97439978091</v>
      </c>
      <c r="J11" s="36">
        <f t="shared" si="1"/>
        <v>4613.9743997809128</v>
      </c>
      <c r="K11" s="5">
        <f t="shared" si="2"/>
        <v>1.5379914665936375E-2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59">
        <v>300000</v>
      </c>
      <c r="C12" s="215">
        <f>+'Purchased Power Model '!C12</f>
        <v>289.7</v>
      </c>
      <c r="D12" s="215">
        <f>+'Purchased Power Model '!D12</f>
        <v>0</v>
      </c>
      <c r="E12" s="126">
        <f>+'Purchased Power Model '!E12</f>
        <v>4.7E-2</v>
      </c>
      <c r="F12" s="57">
        <f>+'Purchased Power Model '!F12</f>
        <v>31</v>
      </c>
      <c r="G12" s="57">
        <f>+'Purchased Power Model '!G12</f>
        <v>1</v>
      </c>
      <c r="H12" s="61">
        <v>300</v>
      </c>
      <c r="I12" s="222">
        <f t="shared" si="0"/>
        <v>310877.29960936436</v>
      </c>
      <c r="J12" s="36">
        <f t="shared" si="1"/>
        <v>10877.29960936436</v>
      </c>
      <c r="K12" s="5">
        <f t="shared" si="2"/>
        <v>3.6257665364547866E-2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59">
        <v>300000</v>
      </c>
      <c r="C13" s="215">
        <f>+'Purchased Power Model '!C13</f>
        <v>387.6</v>
      </c>
      <c r="D13" s="215">
        <f>+'Purchased Power Model '!D13</f>
        <v>0</v>
      </c>
      <c r="E13" s="126">
        <f>+'Purchased Power Model '!E13</f>
        <v>4.7E-2</v>
      </c>
      <c r="F13" s="57">
        <f>+'Purchased Power Model '!F13</f>
        <v>30</v>
      </c>
      <c r="G13" s="57">
        <f>+'Purchased Power Model '!G13</f>
        <v>1</v>
      </c>
      <c r="H13" s="61">
        <v>300</v>
      </c>
      <c r="I13" s="222">
        <f t="shared" si="0"/>
        <v>310259.61537920684</v>
      </c>
      <c r="J13" s="36">
        <f t="shared" si="1"/>
        <v>10259.615379206836</v>
      </c>
      <c r="K13" s="5">
        <f t="shared" si="2"/>
        <v>3.4198717930689453E-2</v>
      </c>
      <c r="M13" s="35" t="s">
        <v>26</v>
      </c>
      <c r="N13" s="68">
        <v>5</v>
      </c>
      <c r="O13" s="68">
        <v>101376994299.46135</v>
      </c>
      <c r="P13" s="68">
        <v>20275398859.892269</v>
      </c>
      <c r="Q13" s="68">
        <v>27.451208020714198</v>
      </c>
      <c r="R13" s="68">
        <v>3.2520251449257068E-19</v>
      </c>
    </row>
    <row r="14" spans="1:18" x14ac:dyDescent="0.2">
      <c r="A14" s="3">
        <v>37956</v>
      </c>
      <c r="B14" s="59">
        <v>300000</v>
      </c>
      <c r="C14" s="215">
        <f>+'Purchased Power Model '!C14</f>
        <v>548.20000000000005</v>
      </c>
      <c r="D14" s="215">
        <f>+'Purchased Power Model '!D14</f>
        <v>0</v>
      </c>
      <c r="E14" s="126">
        <f>+'Purchased Power Model '!E14</f>
        <v>4.7E-2</v>
      </c>
      <c r="F14" s="57">
        <f>+'Purchased Power Model '!F14</f>
        <v>31</v>
      </c>
      <c r="G14" s="57">
        <f>+'Purchased Power Model '!G14</f>
        <v>0</v>
      </c>
      <c r="H14" s="61">
        <v>300</v>
      </c>
      <c r="I14" s="222">
        <f t="shared" si="0"/>
        <v>311493.35865641036</v>
      </c>
      <c r="J14" s="36">
        <f t="shared" si="1"/>
        <v>11493.358656410361</v>
      </c>
      <c r="K14" s="5">
        <f t="shared" si="2"/>
        <v>3.8311195521367872E-2</v>
      </c>
      <c r="M14" s="35" t="s">
        <v>27</v>
      </c>
      <c r="N14" s="68">
        <v>138</v>
      </c>
      <c r="O14" s="68">
        <v>101926481361.17754</v>
      </c>
      <c r="P14" s="68">
        <v>738597691.02302563</v>
      </c>
      <c r="Q14" s="68"/>
      <c r="R14" s="68"/>
    </row>
    <row r="15" spans="1:18" ht="13.5" thickBot="1" x14ac:dyDescent="0.25">
      <c r="A15" s="3">
        <v>37987</v>
      </c>
      <c r="B15" s="59">
        <v>300000</v>
      </c>
      <c r="C15" s="215">
        <f>+'Purchased Power Model '!C15</f>
        <v>828.8</v>
      </c>
      <c r="D15" s="215">
        <f>+'Purchased Power Model '!D15</f>
        <v>0</v>
      </c>
      <c r="E15" s="126">
        <f>+'Purchased Power Model '!E15</f>
        <v>0.05</v>
      </c>
      <c r="F15" s="57">
        <f>+'Purchased Power Model '!F15</f>
        <v>31</v>
      </c>
      <c r="G15" s="57">
        <f>+'Purchased Power Model '!G15</f>
        <v>0</v>
      </c>
      <c r="H15" s="61">
        <v>300</v>
      </c>
      <c r="I15" s="222">
        <f t="shared" si="0"/>
        <v>302865.3972405988</v>
      </c>
      <c r="J15" s="36">
        <f t="shared" si="1"/>
        <v>2865.3972405988025</v>
      </c>
      <c r="K15" s="5">
        <f t="shared" si="2"/>
        <v>9.5513241353293414E-3</v>
      </c>
      <c r="M15" s="51" t="s">
        <v>9</v>
      </c>
      <c r="N15" s="69">
        <v>143</v>
      </c>
      <c r="O15" s="69">
        <v>203303475660.63889</v>
      </c>
      <c r="P15" s="69"/>
      <c r="Q15" s="69"/>
      <c r="R15" s="69"/>
    </row>
    <row r="16" spans="1:18" ht="13.5" thickBot="1" x14ac:dyDescent="0.25">
      <c r="A16" s="3">
        <v>38018</v>
      </c>
      <c r="B16" s="59">
        <v>300000</v>
      </c>
      <c r="C16" s="215">
        <f>+'Purchased Power Model '!C16</f>
        <v>615.6</v>
      </c>
      <c r="D16" s="215">
        <f>+'Purchased Power Model '!D16</f>
        <v>0</v>
      </c>
      <c r="E16" s="126">
        <f>+'Purchased Power Model '!E16</f>
        <v>0.05</v>
      </c>
      <c r="F16" s="57">
        <f>+'Purchased Power Model '!F16</f>
        <v>29</v>
      </c>
      <c r="G16" s="57">
        <f>+'Purchased Power Model '!G16</f>
        <v>0</v>
      </c>
      <c r="H16" s="61">
        <v>300</v>
      </c>
      <c r="I16" s="222">
        <f t="shared" si="0"/>
        <v>306520.60731031315</v>
      </c>
      <c r="J16" s="36">
        <f t="shared" si="1"/>
        <v>6520.6073103131494</v>
      </c>
      <c r="K16" s="5">
        <f t="shared" si="2"/>
        <v>2.1735357701043831E-2</v>
      </c>
      <c r="M16"/>
      <c r="N16"/>
      <c r="O16"/>
      <c r="P16"/>
      <c r="Q16"/>
    </row>
    <row r="17" spans="1:21" x14ac:dyDescent="0.2">
      <c r="A17" s="3">
        <v>38047</v>
      </c>
      <c r="B17" s="59">
        <v>300000</v>
      </c>
      <c r="C17" s="215">
        <f>+'Purchased Power Model '!C17</f>
        <v>487.1</v>
      </c>
      <c r="D17" s="215">
        <f>+'Purchased Power Model '!D17</f>
        <v>0</v>
      </c>
      <c r="E17" s="126">
        <f>+'Purchased Power Model '!E17</f>
        <v>0.05</v>
      </c>
      <c r="F17" s="57">
        <f>+'Purchased Power Model '!F17</f>
        <v>31</v>
      </c>
      <c r="G17" s="57">
        <f>+'Purchased Power Model '!G17</f>
        <v>1</v>
      </c>
      <c r="H17" s="61">
        <v>300</v>
      </c>
      <c r="I17" s="222">
        <f t="shared" si="0"/>
        <v>303244.19426616514</v>
      </c>
      <c r="J17" s="36">
        <f t="shared" si="1"/>
        <v>3244.194266165141</v>
      </c>
      <c r="K17" s="5">
        <f t="shared" si="2"/>
        <v>1.0813980887217137E-2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59">
        <v>300000</v>
      </c>
      <c r="C18" s="215">
        <f>+'Purchased Power Model '!C18</f>
        <v>345</v>
      </c>
      <c r="D18" s="215">
        <f>+'Purchased Power Model '!D18</f>
        <v>0</v>
      </c>
      <c r="E18" s="126">
        <f>+'Purchased Power Model '!E18</f>
        <v>5.4000000000000006E-2</v>
      </c>
      <c r="F18" s="57">
        <f>+'Purchased Power Model '!F18</f>
        <v>30</v>
      </c>
      <c r="G18" s="57">
        <f>+'Purchased Power Model '!G18</f>
        <v>1</v>
      </c>
      <c r="H18" s="61">
        <v>300</v>
      </c>
      <c r="I18" s="222">
        <f t="shared" si="0"/>
        <v>298466.0022996249</v>
      </c>
      <c r="J18" s="36">
        <f t="shared" si="1"/>
        <v>-1533.9977003750973</v>
      </c>
      <c r="K18" s="5">
        <f t="shared" si="2"/>
        <v>-5.113325667916991E-3</v>
      </c>
      <c r="M18" s="35" t="s">
        <v>28</v>
      </c>
      <c r="N18" s="68">
        <v>417795.57157960086</v>
      </c>
      <c r="O18" s="68">
        <v>88761.645555919255</v>
      </c>
      <c r="P18" s="68">
        <v>4.7069381033094118</v>
      </c>
      <c r="Q18" s="68">
        <v>6.0464367871762032E-6</v>
      </c>
      <c r="R18" s="68">
        <v>242286.85542567848</v>
      </c>
      <c r="S18" s="68">
        <v>593304.28773352318</v>
      </c>
      <c r="T18" s="68">
        <v>242286.85542567848</v>
      </c>
      <c r="U18" s="68">
        <v>593304.28773352318</v>
      </c>
    </row>
    <row r="19" spans="1:21" x14ac:dyDescent="0.2">
      <c r="A19" s="3">
        <v>38108</v>
      </c>
      <c r="B19" s="59">
        <v>300000</v>
      </c>
      <c r="C19" s="215">
        <f>+'Purchased Power Model '!C19</f>
        <v>177.5</v>
      </c>
      <c r="D19" s="215">
        <f>+'Purchased Power Model '!D19</f>
        <v>0</v>
      </c>
      <c r="E19" s="126">
        <f>+'Purchased Power Model '!E19</f>
        <v>5.4000000000000006E-2</v>
      </c>
      <c r="F19" s="57">
        <f>+'Purchased Power Model '!F19</f>
        <v>31</v>
      </c>
      <c r="G19" s="57">
        <f>+'Purchased Power Model '!G19</f>
        <v>1</v>
      </c>
      <c r="H19" s="61">
        <v>300</v>
      </c>
      <c r="I19" s="222">
        <f t="shared" si="0"/>
        <v>299915.92189821776</v>
      </c>
      <c r="J19" s="36">
        <f t="shared" si="1"/>
        <v>-84.07810178224463</v>
      </c>
      <c r="K19" s="5">
        <f t="shared" si="2"/>
        <v>-2.8026033927414876E-4</v>
      </c>
      <c r="M19" s="35" t="s">
        <v>3</v>
      </c>
      <c r="N19" s="68">
        <v>-11.957404718898296</v>
      </c>
      <c r="O19" s="68">
        <v>13.832273930110423</v>
      </c>
      <c r="P19" s="68">
        <v>-0.864456905590131</v>
      </c>
      <c r="Q19" s="68">
        <v>0.38883707840788206</v>
      </c>
      <c r="R19" s="68">
        <v>-39.308008955202425</v>
      </c>
      <c r="S19" s="68">
        <v>15.393199517405829</v>
      </c>
      <c r="T19" s="68">
        <v>-39.308008955202425</v>
      </c>
      <c r="U19" s="68">
        <v>15.393199517405829</v>
      </c>
    </row>
    <row r="20" spans="1:21" x14ac:dyDescent="0.2">
      <c r="A20" s="3">
        <v>38139</v>
      </c>
      <c r="B20" s="59">
        <v>300000</v>
      </c>
      <c r="C20" s="215">
        <f>+'Purchased Power Model '!C20</f>
        <v>73.2</v>
      </c>
      <c r="D20" s="215">
        <f>+'Purchased Power Model '!D20</f>
        <v>15.6</v>
      </c>
      <c r="E20" s="126">
        <f>+'Purchased Power Model '!E20</f>
        <v>5.4000000000000006E-2</v>
      </c>
      <c r="F20" s="57">
        <f>+'Purchased Power Model '!F20</f>
        <v>30</v>
      </c>
      <c r="G20" s="57">
        <f>+'Purchased Power Model '!G20</f>
        <v>0</v>
      </c>
      <c r="H20" s="61">
        <v>300</v>
      </c>
      <c r="I20" s="222">
        <f t="shared" si="0"/>
        <v>304349.86240292893</v>
      </c>
      <c r="J20" s="36">
        <f t="shared" si="1"/>
        <v>4349.8624029289349</v>
      </c>
      <c r="K20" s="5">
        <f t="shared" si="2"/>
        <v>1.449954134309645E-2</v>
      </c>
      <c r="M20" s="35" t="s">
        <v>4</v>
      </c>
      <c r="N20" s="68">
        <v>-68.795555523953865</v>
      </c>
      <c r="O20" s="68">
        <v>107.17762137386609</v>
      </c>
      <c r="P20" s="68">
        <v>-0.64188358205837914</v>
      </c>
      <c r="Q20" s="68">
        <v>0.5220135676069606</v>
      </c>
      <c r="R20" s="68">
        <v>-280.71824589259813</v>
      </c>
      <c r="S20" s="68">
        <v>143.12713484469043</v>
      </c>
      <c r="T20" s="68">
        <v>-280.71824589259813</v>
      </c>
      <c r="U20" s="68">
        <v>143.12713484469043</v>
      </c>
    </row>
    <row r="21" spans="1:21" x14ac:dyDescent="0.2">
      <c r="A21" s="3">
        <v>38169</v>
      </c>
      <c r="B21" s="59">
        <v>300000</v>
      </c>
      <c r="C21" s="215">
        <f>+'Purchased Power Model '!C21</f>
        <v>2</v>
      </c>
      <c r="D21" s="215">
        <f>+'Purchased Power Model '!D21</f>
        <v>69.3</v>
      </c>
      <c r="E21" s="126">
        <f>+'Purchased Power Model '!E21</f>
        <v>5.5E-2</v>
      </c>
      <c r="F21" s="57">
        <f>+'Purchased Power Model '!F21</f>
        <v>31</v>
      </c>
      <c r="G21" s="57">
        <f>+'Purchased Power Model '!G21</f>
        <v>0</v>
      </c>
      <c r="H21" s="61">
        <v>300</v>
      </c>
      <c r="I21" s="222">
        <f t="shared" si="0"/>
        <v>299196.39137822599</v>
      </c>
      <c r="J21" s="36">
        <f t="shared" si="1"/>
        <v>-803.6086217740085</v>
      </c>
      <c r="K21" s="5">
        <f t="shared" si="2"/>
        <v>-2.6786954059133616E-3</v>
      </c>
      <c r="M21" s="35" t="s">
        <v>223</v>
      </c>
      <c r="N21" s="68">
        <v>-1757571.217229574</v>
      </c>
      <c r="O21" s="68">
        <v>150876.1689934805</v>
      </c>
      <c r="P21" s="68">
        <v>-11.649097594103946</v>
      </c>
      <c r="Q21" s="68">
        <v>2.8839938325941724E-22</v>
      </c>
      <c r="R21" s="68">
        <v>-2055899.200587946</v>
      </c>
      <c r="S21" s="68">
        <v>-1459243.233871202</v>
      </c>
      <c r="T21" s="68">
        <v>-2055899.200587946</v>
      </c>
      <c r="U21" s="68">
        <v>-1459243.233871202</v>
      </c>
    </row>
    <row r="22" spans="1:21" x14ac:dyDescent="0.2">
      <c r="A22" s="3">
        <v>38200</v>
      </c>
      <c r="B22" s="59">
        <v>300000</v>
      </c>
      <c r="C22" s="215">
        <f>+'Purchased Power Model '!C22</f>
        <v>19.600000000000001</v>
      </c>
      <c r="D22" s="215">
        <f>+'Purchased Power Model '!D22</f>
        <v>53.6</v>
      </c>
      <c r="E22" s="126">
        <f>+'Purchased Power Model '!E22</f>
        <v>5.5E-2</v>
      </c>
      <c r="F22" s="57">
        <f>+'Purchased Power Model '!F22</f>
        <v>31</v>
      </c>
      <c r="G22" s="57">
        <f>+'Purchased Power Model '!G22</f>
        <v>0</v>
      </c>
      <c r="H22" s="61">
        <v>300</v>
      </c>
      <c r="I22" s="222">
        <f t="shared" si="0"/>
        <v>300066.03127689951</v>
      </c>
      <c r="J22" s="36">
        <f t="shared" si="1"/>
        <v>66.031276899506338</v>
      </c>
      <c r="K22" s="5">
        <f t="shared" si="2"/>
        <v>2.201042563316878E-4</v>
      </c>
      <c r="M22" s="35" t="s">
        <v>5</v>
      </c>
      <c r="N22" s="68">
        <v>-552.94569182259534</v>
      </c>
      <c r="O22" s="68">
        <v>2903.4490030458442</v>
      </c>
      <c r="P22" s="68">
        <v>-0.19044443048337728</v>
      </c>
      <c r="Q22" s="68">
        <v>0.84924075573682756</v>
      </c>
      <c r="R22" s="68">
        <v>-6293.9456896418051</v>
      </c>
      <c r="S22" s="68">
        <v>5188.0543059966149</v>
      </c>
      <c r="T22" s="68">
        <v>-6293.9456896418051</v>
      </c>
      <c r="U22" s="68">
        <v>5188.0543059966149</v>
      </c>
    </row>
    <row r="23" spans="1:21" ht="13.5" thickBot="1" x14ac:dyDescent="0.25">
      <c r="A23" s="3">
        <v>38231</v>
      </c>
      <c r="B23" s="59">
        <v>300000</v>
      </c>
      <c r="C23" s="215">
        <f>+'Purchased Power Model '!C23</f>
        <v>41.7</v>
      </c>
      <c r="D23" s="215">
        <f>+'Purchased Power Model '!D23</f>
        <v>26.7</v>
      </c>
      <c r="E23" s="126">
        <f>+'Purchased Power Model '!E23</f>
        <v>5.5E-2</v>
      </c>
      <c r="F23" s="57">
        <f>+'Purchased Power Model '!F23</f>
        <v>30</v>
      </c>
      <c r="G23" s="57">
        <f>+'Purchased Power Model '!G23</f>
        <v>1</v>
      </c>
      <c r="H23" s="61">
        <v>300</v>
      </c>
      <c r="I23" s="222">
        <f t="shared" si="0"/>
        <v>298498.27060114761</v>
      </c>
      <c r="J23" s="36">
        <f t="shared" si="1"/>
        <v>-1501.7293988523888</v>
      </c>
      <c r="K23" s="5">
        <f t="shared" si="2"/>
        <v>-5.005764662841296E-3</v>
      </c>
      <c r="M23" s="51" t="s">
        <v>17</v>
      </c>
      <c r="N23" s="69">
        <v>-3707.0481668811758</v>
      </c>
      <c r="O23" s="69">
        <v>5855.993476038183</v>
      </c>
      <c r="P23" s="69">
        <v>-0.63303488674463892</v>
      </c>
      <c r="Q23" s="69">
        <v>0.52775849029417554</v>
      </c>
      <c r="R23" s="69">
        <v>-15286.124809142311</v>
      </c>
      <c r="S23" s="69">
        <v>7872.0284753799606</v>
      </c>
      <c r="T23" s="69">
        <v>-15286.124809142311</v>
      </c>
      <c r="U23" s="69">
        <v>7872.0284753799606</v>
      </c>
    </row>
    <row r="24" spans="1:21" x14ac:dyDescent="0.2">
      <c r="A24" s="3">
        <v>38261</v>
      </c>
      <c r="B24" s="59">
        <v>300000</v>
      </c>
      <c r="C24" s="215">
        <f>+'Purchased Power Model '!C24</f>
        <v>235</v>
      </c>
      <c r="D24" s="215">
        <f>+'Purchased Power Model '!D24</f>
        <v>0</v>
      </c>
      <c r="E24" s="126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61">
        <v>300</v>
      </c>
      <c r="I24" s="222">
        <f t="shared" si="0"/>
        <v>292198.0862579628</v>
      </c>
      <c r="J24" s="36">
        <f t="shared" si="1"/>
        <v>-7801.913742037199</v>
      </c>
      <c r="K24" s="5">
        <f t="shared" si="2"/>
        <v>-2.6006379140123995E-2</v>
      </c>
      <c r="M24"/>
      <c r="N24"/>
      <c r="O24"/>
      <c r="P24"/>
      <c r="Q24"/>
    </row>
    <row r="25" spans="1:21" x14ac:dyDescent="0.2">
      <c r="A25" s="3">
        <v>38292</v>
      </c>
      <c r="B25" s="59">
        <v>300000</v>
      </c>
      <c r="C25" s="215">
        <f>+'Purchased Power Model '!C25</f>
        <v>385.7</v>
      </c>
      <c r="D25" s="215">
        <f>+'Purchased Power Model '!D25</f>
        <v>0</v>
      </c>
      <c r="E25" s="126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61">
        <v>300</v>
      </c>
      <c r="I25" s="222">
        <f t="shared" si="0"/>
        <v>290949.05105864746</v>
      </c>
      <c r="J25" s="36">
        <f t="shared" si="1"/>
        <v>-9050.9489413525444</v>
      </c>
      <c r="K25" s="5">
        <f t="shared" si="2"/>
        <v>-3.0169829804508483E-2</v>
      </c>
      <c r="M25"/>
      <c r="N25"/>
      <c r="O25"/>
      <c r="P25"/>
      <c r="Q25"/>
    </row>
    <row r="26" spans="1:21" x14ac:dyDescent="0.2">
      <c r="A26" s="3">
        <v>38322</v>
      </c>
      <c r="B26" s="59">
        <v>300000</v>
      </c>
      <c r="C26" s="215">
        <f>+'Purchased Power Model '!C26</f>
        <v>627.5</v>
      </c>
      <c r="D26" s="215">
        <f>+'Purchased Power Model '!D26</f>
        <v>0</v>
      </c>
      <c r="E26" s="126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61">
        <v>300</v>
      </c>
      <c r="I26" s="222">
        <f t="shared" si="0"/>
        <v>291211.8530726764</v>
      </c>
      <c r="J26" s="36">
        <f t="shared" si="1"/>
        <v>-8788.1469273235998</v>
      </c>
      <c r="K26" s="5">
        <f t="shared" si="2"/>
        <v>-2.9293823091078666E-2</v>
      </c>
      <c r="M26"/>
      <c r="N26"/>
      <c r="O26"/>
      <c r="P26"/>
      <c r="Q26"/>
    </row>
    <row r="27" spans="1:21" x14ac:dyDescent="0.2">
      <c r="A27" s="3">
        <v>38353</v>
      </c>
      <c r="B27" s="59">
        <v>300000</v>
      </c>
      <c r="C27" s="215">
        <f>+'Purchased Power Model '!C27</f>
        <v>745.5</v>
      </c>
      <c r="D27" s="215">
        <f>+'Purchased Power Model '!D27</f>
        <v>0</v>
      </c>
      <c r="E27" s="126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61">
        <v>300</v>
      </c>
      <c r="I27" s="222">
        <f t="shared" si="0"/>
        <v>265194.88227463234</v>
      </c>
      <c r="J27" s="36">
        <f t="shared" si="1"/>
        <v>-34805.117725367658</v>
      </c>
      <c r="K27" s="5">
        <f t="shared" si="2"/>
        <v>-0.11601705908455887</v>
      </c>
      <c r="M27"/>
      <c r="N27"/>
      <c r="O27"/>
      <c r="P27"/>
      <c r="Q27"/>
    </row>
    <row r="28" spans="1:21" x14ac:dyDescent="0.2">
      <c r="A28" s="3">
        <v>38384</v>
      </c>
      <c r="B28" s="59">
        <v>300000</v>
      </c>
      <c r="C28" s="215">
        <f>+'Purchased Power Model '!C28</f>
        <v>589.5</v>
      </c>
      <c r="D28" s="215">
        <f>+'Purchased Power Model '!D28</f>
        <v>0</v>
      </c>
      <c r="E28" s="126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61">
        <v>300</v>
      </c>
      <c r="I28" s="222">
        <f t="shared" si="0"/>
        <v>268719.07448624825</v>
      </c>
      <c r="J28" s="36">
        <f t="shared" si="1"/>
        <v>-31280.925513751747</v>
      </c>
      <c r="K28" s="5">
        <f t="shared" si="2"/>
        <v>-0.10426975171250583</v>
      </c>
    </row>
    <row r="29" spans="1:21" x14ac:dyDescent="0.2">
      <c r="A29" s="3">
        <v>38412</v>
      </c>
      <c r="B29" s="59">
        <v>300000</v>
      </c>
      <c r="C29" s="215">
        <f>+'Purchased Power Model '!C29</f>
        <v>578.29999999999995</v>
      </c>
      <c r="D29" s="215">
        <f>+'Purchased Power Model '!D29</f>
        <v>0</v>
      </c>
      <c r="E29" s="126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61">
        <v>300</v>
      </c>
      <c r="I29" s="222">
        <f t="shared" si="0"/>
        <v>263487.11217675096</v>
      </c>
      <c r="J29" s="36">
        <f t="shared" si="1"/>
        <v>-36512.887823249039</v>
      </c>
      <c r="K29" s="5">
        <f t="shared" si="2"/>
        <v>-0.1217096260774968</v>
      </c>
    </row>
    <row r="30" spans="1:21" x14ac:dyDescent="0.2">
      <c r="A30" s="3">
        <v>38443</v>
      </c>
      <c r="B30" s="59">
        <v>300000</v>
      </c>
      <c r="C30" s="215">
        <f>+'Purchased Power Model '!C30</f>
        <v>325.3</v>
      </c>
      <c r="D30" s="215">
        <f>+'Purchased Power Model '!D30</f>
        <v>0</v>
      </c>
      <c r="E30" s="126">
        <f>+'Purchased Power Model '!E30</f>
        <v>6.4000000000000001E-2</v>
      </c>
      <c r="F30" s="57">
        <f>+'Purchased Power Model '!F30</f>
        <v>30</v>
      </c>
      <c r="G30" s="57">
        <f>+'Purchased Power Model '!G30</f>
        <v>1</v>
      </c>
      <c r="H30" s="61">
        <v>300</v>
      </c>
      <c r="I30" s="222">
        <f t="shared" si="0"/>
        <v>281125.85100029141</v>
      </c>
      <c r="J30" s="36">
        <f t="shared" si="1"/>
        <v>-18874.148999708588</v>
      </c>
      <c r="K30" s="5">
        <f t="shared" si="2"/>
        <v>-6.2913829999028628E-2</v>
      </c>
    </row>
    <row r="31" spans="1:21" x14ac:dyDescent="0.2">
      <c r="A31" s="3">
        <v>38473</v>
      </c>
      <c r="B31" s="59">
        <v>300000</v>
      </c>
      <c r="C31" s="215">
        <f>+'Purchased Power Model '!C31</f>
        <v>216.1</v>
      </c>
      <c r="D31" s="215">
        <f>+'Purchased Power Model '!D31</f>
        <v>0.3</v>
      </c>
      <c r="E31" s="126">
        <f>+'Purchased Power Model '!E31</f>
        <v>6.4000000000000001E-2</v>
      </c>
      <c r="F31" s="57">
        <f>+'Purchased Power Model '!F31</f>
        <v>31</v>
      </c>
      <c r="G31" s="57">
        <f>+'Purchased Power Model '!G31</f>
        <v>1</v>
      </c>
      <c r="H31" s="61">
        <v>300</v>
      </c>
      <c r="I31" s="222">
        <f t="shared" si="0"/>
        <v>281858.01523711527</v>
      </c>
      <c r="J31" s="36">
        <f t="shared" si="1"/>
        <v>-18141.984762884735</v>
      </c>
      <c r="K31" s="5">
        <f t="shared" si="2"/>
        <v>-6.0473282542949112E-2</v>
      </c>
    </row>
    <row r="32" spans="1:21" x14ac:dyDescent="0.2">
      <c r="A32" s="3">
        <v>38504</v>
      </c>
      <c r="B32" s="59">
        <v>300000</v>
      </c>
      <c r="C32" s="215">
        <f>+'Purchased Power Model '!C32</f>
        <v>13.7</v>
      </c>
      <c r="D32" s="215">
        <f>+'Purchased Power Model '!D32</f>
        <v>89.9</v>
      </c>
      <c r="E32" s="126">
        <f>+'Purchased Power Model '!E32</f>
        <v>6.4000000000000001E-2</v>
      </c>
      <c r="F32" s="57">
        <f>+'Purchased Power Model '!F32</f>
        <v>30</v>
      </c>
      <c r="G32" s="57">
        <f>+'Purchased Power Model '!G32</f>
        <v>0</v>
      </c>
      <c r="H32" s="61">
        <v>300</v>
      </c>
      <c r="I32" s="222">
        <f t="shared" si="0"/>
        <v>282374.10603597789</v>
      </c>
      <c r="J32" s="36">
        <f t="shared" si="1"/>
        <v>-17625.893964022107</v>
      </c>
      <c r="K32" s="5">
        <f t="shared" si="2"/>
        <v>-5.8752979880073691E-2</v>
      </c>
    </row>
    <row r="33" spans="1:11" x14ac:dyDescent="0.2">
      <c r="A33" s="3">
        <v>38534</v>
      </c>
      <c r="B33" s="59">
        <v>300000</v>
      </c>
      <c r="C33" s="215">
        <f>+'Purchased Power Model '!C33</f>
        <v>2.2000000000000002</v>
      </c>
      <c r="D33" s="215">
        <f>+'Purchased Power Model '!D33</f>
        <v>153</v>
      </c>
      <c r="E33" s="126">
        <f>+'Purchased Power Model '!E33</f>
        <v>5.7999999999999996E-2</v>
      </c>
      <c r="F33" s="57">
        <f>+'Purchased Power Model '!F33</f>
        <v>31</v>
      </c>
      <c r="G33" s="57">
        <f>+'Purchased Power Model '!G33</f>
        <v>0</v>
      </c>
      <c r="H33" s="61">
        <v>300</v>
      </c>
      <c r="I33" s="222">
        <f t="shared" si="0"/>
        <v>288163.09824823856</v>
      </c>
      <c r="J33" s="36">
        <f t="shared" si="1"/>
        <v>-11836.901751761441</v>
      </c>
      <c r="K33" s="5">
        <f t="shared" si="2"/>
        <v>-3.9456339172538137E-2</v>
      </c>
    </row>
    <row r="34" spans="1:11" x14ac:dyDescent="0.2">
      <c r="A34" s="3">
        <v>38565</v>
      </c>
      <c r="B34" s="59">
        <v>300000</v>
      </c>
      <c r="C34" s="215">
        <f>+'Purchased Power Model '!C34</f>
        <v>0</v>
      </c>
      <c r="D34" s="215">
        <f>+'Purchased Power Model '!D34</f>
        <v>108</v>
      </c>
      <c r="E34" s="126">
        <f>+'Purchased Power Model '!E34</f>
        <v>5.7999999999999996E-2</v>
      </c>
      <c r="F34" s="57">
        <f>+'Purchased Power Model '!F34</f>
        <v>31</v>
      </c>
      <c r="G34" s="57">
        <f>+'Purchased Power Model '!G34</f>
        <v>0</v>
      </c>
      <c r="H34" s="61">
        <v>300</v>
      </c>
      <c r="I34" s="222">
        <f t="shared" si="0"/>
        <v>291285.20453719806</v>
      </c>
      <c r="J34" s="36">
        <f t="shared" si="1"/>
        <v>-8714.7954628019361</v>
      </c>
      <c r="K34" s="5">
        <f t="shared" si="2"/>
        <v>-2.9049318209339786E-2</v>
      </c>
    </row>
    <row r="35" spans="1:11" x14ac:dyDescent="0.2">
      <c r="A35" s="3">
        <v>38596</v>
      </c>
      <c r="B35" s="59">
        <v>300000</v>
      </c>
      <c r="C35" s="215">
        <f>+'Purchased Power Model '!C35</f>
        <v>36.700000000000003</v>
      </c>
      <c r="D35" s="215">
        <f>+'Purchased Power Model '!D35</f>
        <v>32.799999999999997</v>
      </c>
      <c r="E35" s="126">
        <f>+'Purchased Power Model '!E35</f>
        <v>5.7999999999999996E-2</v>
      </c>
      <c r="F35" s="57">
        <f>+'Purchased Power Model '!F35</f>
        <v>30</v>
      </c>
      <c r="G35" s="57">
        <f>+'Purchased Power Model '!G35</f>
        <v>1</v>
      </c>
      <c r="H35" s="61">
        <v>300</v>
      </c>
      <c r="I35" s="222">
        <f t="shared" si="0"/>
        <v>292865.69108435727</v>
      </c>
      <c r="J35" s="36">
        <f t="shared" si="1"/>
        <v>-7134.3089156427304</v>
      </c>
      <c r="K35" s="5">
        <f t="shared" si="2"/>
        <v>-2.3781029718809101E-2</v>
      </c>
    </row>
    <row r="36" spans="1:11" x14ac:dyDescent="0.2">
      <c r="A36" s="3">
        <v>38626</v>
      </c>
      <c r="B36" s="59">
        <v>300000</v>
      </c>
      <c r="C36" s="215">
        <f>+'Purchased Power Model '!C36</f>
        <v>223.8</v>
      </c>
      <c r="D36" s="215">
        <f>+'Purchased Power Model '!D36</f>
        <v>0.5</v>
      </c>
      <c r="E36" s="126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61">
        <v>300</v>
      </c>
      <c r="I36" s="222">
        <f t="shared" si="0"/>
        <v>276479.47045798629</v>
      </c>
      <c r="J36" s="36">
        <f t="shared" si="1"/>
        <v>-23520.529542013712</v>
      </c>
      <c r="K36" s="5">
        <f t="shared" si="2"/>
        <v>-7.8401765140045709E-2</v>
      </c>
    </row>
    <row r="37" spans="1:11" x14ac:dyDescent="0.2">
      <c r="A37" s="3">
        <v>38657</v>
      </c>
      <c r="B37" s="59">
        <v>300000</v>
      </c>
      <c r="C37" s="215">
        <f>+'Purchased Power Model '!C37</f>
        <v>398.5</v>
      </c>
      <c r="D37" s="215">
        <f>+'Purchased Power Model '!D37</f>
        <v>0</v>
      </c>
      <c r="E37" s="126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61">
        <v>300</v>
      </c>
      <c r="I37" s="222">
        <f t="shared" si="0"/>
        <v>274977.85532317933</v>
      </c>
      <c r="J37" s="36">
        <f t="shared" si="1"/>
        <v>-25022.144676820666</v>
      </c>
      <c r="K37" s="5">
        <f t="shared" si="2"/>
        <v>-8.3407148922735555E-2</v>
      </c>
    </row>
    <row r="38" spans="1:11" x14ac:dyDescent="0.2">
      <c r="A38" s="3">
        <v>38687</v>
      </c>
      <c r="B38" s="59">
        <v>300000</v>
      </c>
      <c r="C38" s="215">
        <f>+'Purchased Power Model '!C38</f>
        <v>641.1</v>
      </c>
      <c r="D38" s="215">
        <f>+'Purchased Power Model '!D38</f>
        <v>0</v>
      </c>
      <c r="E38" s="126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61">
        <v>300</v>
      </c>
      <c r="I38" s="222">
        <f t="shared" si="0"/>
        <v>275231.0914134332</v>
      </c>
      <c r="J38" s="36">
        <f t="shared" si="1"/>
        <v>-24768.908586566802</v>
      </c>
      <c r="K38" s="5">
        <f t="shared" si="2"/>
        <v>-8.2563028621889342E-2</v>
      </c>
    </row>
    <row r="39" spans="1:11" x14ac:dyDescent="0.2">
      <c r="A39" s="3">
        <v>38718</v>
      </c>
      <c r="B39" s="59">
        <v>300000</v>
      </c>
      <c r="C39" s="215">
        <f>+'Purchased Power Model '!C39</f>
        <v>558.20000000000005</v>
      </c>
      <c r="D39" s="215">
        <f>+'Purchased Power Model '!D39</f>
        <v>0</v>
      </c>
      <c r="E39" s="126">
        <f>+'Purchased Power Model '!E39</f>
        <v>6.6000000000000003E-2</v>
      </c>
      <c r="F39" s="57">
        <f>+'Purchased Power Model '!F39</f>
        <v>31</v>
      </c>
      <c r="G39" s="57">
        <f>+'Purchased Power Model '!G39</f>
        <v>0</v>
      </c>
      <c r="H39" s="61">
        <v>300</v>
      </c>
      <c r="I39" s="222">
        <f t="shared" si="0"/>
        <v>277979.93148185947</v>
      </c>
      <c r="J39" s="36">
        <f t="shared" si="1"/>
        <v>-22020.068518140528</v>
      </c>
      <c r="K39" s="5">
        <f t="shared" si="2"/>
        <v>-7.3400228393801753E-2</v>
      </c>
    </row>
    <row r="40" spans="1:11" x14ac:dyDescent="0.2">
      <c r="A40" s="3">
        <v>38749</v>
      </c>
      <c r="B40" s="59">
        <v>300000</v>
      </c>
      <c r="C40" s="215">
        <f>+'Purchased Power Model '!C40</f>
        <v>608.79999999999995</v>
      </c>
      <c r="D40" s="215">
        <f>+'Purchased Power Model '!D40</f>
        <v>0</v>
      </c>
      <c r="E40" s="126">
        <f>+'Purchased Power Model '!E40</f>
        <v>6.6000000000000003E-2</v>
      </c>
      <c r="F40" s="57">
        <f>+'Purchased Power Model '!F40</f>
        <v>28</v>
      </c>
      <c r="G40" s="57">
        <f>+'Purchased Power Model '!G40</f>
        <v>0</v>
      </c>
      <c r="H40" s="61">
        <v>300</v>
      </c>
      <c r="I40" s="222">
        <f t="shared" si="0"/>
        <v>279033.72387855104</v>
      </c>
      <c r="J40" s="36">
        <f t="shared" si="1"/>
        <v>-20966.276121448958</v>
      </c>
      <c r="K40" s="5">
        <f t="shared" si="2"/>
        <v>-6.9887587071496532E-2</v>
      </c>
    </row>
    <row r="41" spans="1:11" x14ac:dyDescent="0.2">
      <c r="A41" s="3">
        <v>38777</v>
      </c>
      <c r="B41" s="59">
        <v>300000</v>
      </c>
      <c r="C41" s="215">
        <f>+'Purchased Power Model '!C41</f>
        <v>534</v>
      </c>
      <c r="D41" s="215">
        <f>+'Purchased Power Model '!D41</f>
        <v>0</v>
      </c>
      <c r="E41" s="126">
        <f>+'Purchased Power Model '!E41</f>
        <v>6.6000000000000003E-2</v>
      </c>
      <c r="F41" s="57">
        <f>+'Purchased Power Model '!F41</f>
        <v>31</v>
      </c>
      <c r="G41" s="57">
        <f>+'Purchased Power Model '!G41</f>
        <v>1</v>
      </c>
      <c r="H41" s="61">
        <v>300</v>
      </c>
      <c r="I41" s="222">
        <f t="shared" si="0"/>
        <v>274562.25250917563</v>
      </c>
      <c r="J41" s="36">
        <f t="shared" si="1"/>
        <v>-25437.747490824375</v>
      </c>
      <c r="K41" s="5">
        <f t="shared" si="2"/>
        <v>-8.4792491636081255E-2</v>
      </c>
    </row>
    <row r="42" spans="1:11" x14ac:dyDescent="0.2">
      <c r="A42" s="3">
        <v>38808</v>
      </c>
      <c r="B42" s="59">
        <v>300000</v>
      </c>
      <c r="C42" s="215">
        <f>+'Purchased Power Model '!C42</f>
        <v>323.60000000000002</v>
      </c>
      <c r="D42" s="215">
        <f>+'Purchased Power Model '!D42</f>
        <v>0</v>
      </c>
      <c r="E42" s="126">
        <f>+'Purchased Power Model '!E42</f>
        <v>6.5000000000000002E-2</v>
      </c>
      <c r="F42" s="57">
        <f>+'Purchased Power Model '!F42</f>
        <v>30</v>
      </c>
      <c r="G42" s="57">
        <f>+'Purchased Power Model '!G42</f>
        <v>1</v>
      </c>
      <c r="H42" s="61">
        <v>300</v>
      </c>
      <c r="I42" s="222">
        <f t="shared" si="0"/>
        <v>279388.60737108398</v>
      </c>
      <c r="J42" s="36">
        <f t="shared" si="1"/>
        <v>-20611.392628916015</v>
      </c>
      <c r="K42" s="5">
        <f t="shared" si="2"/>
        <v>-6.8704642096386714E-2</v>
      </c>
    </row>
    <row r="43" spans="1:11" x14ac:dyDescent="0.2">
      <c r="A43" s="3">
        <v>38838</v>
      </c>
      <c r="B43" s="59">
        <v>300000</v>
      </c>
      <c r="C43" s="215">
        <f>+'Purchased Power Model '!C43</f>
        <v>172.6</v>
      </c>
      <c r="D43" s="215">
        <f>+'Purchased Power Model '!D43</f>
        <v>12.8</v>
      </c>
      <c r="E43" s="126">
        <f>+'Purchased Power Model '!E43</f>
        <v>6.5000000000000002E-2</v>
      </c>
      <c r="F43" s="57">
        <f>+'Purchased Power Model '!F43</f>
        <v>31</v>
      </c>
      <c r="G43" s="57">
        <f>+'Purchased Power Model '!G43</f>
        <v>1</v>
      </c>
      <c r="H43" s="61">
        <v>300</v>
      </c>
      <c r="I43" s="222">
        <f t="shared" si="0"/>
        <v>279760.6466811084</v>
      </c>
      <c r="J43" s="36">
        <f t="shared" si="1"/>
        <v>-20239.353318891604</v>
      </c>
      <c r="K43" s="5">
        <f t="shared" si="2"/>
        <v>-6.7464511062972021E-2</v>
      </c>
    </row>
    <row r="44" spans="1:11" x14ac:dyDescent="0.2">
      <c r="A44" s="3">
        <v>38869</v>
      </c>
      <c r="B44" s="60">
        <v>312888</v>
      </c>
      <c r="C44" s="215">
        <f>+'Purchased Power Model '!C44</f>
        <v>22.6</v>
      </c>
      <c r="D44" s="215">
        <f>+'Purchased Power Model '!D44</f>
        <v>36.200000000000003</v>
      </c>
      <c r="E44" s="126">
        <f>+'Purchased Power Model '!E44</f>
        <v>6.5000000000000002E-2</v>
      </c>
      <c r="F44" s="57">
        <f>+'Purchased Power Model '!F44</f>
        <v>30</v>
      </c>
      <c r="G44" s="57">
        <f>+'Purchased Power Model '!G44</f>
        <v>0</v>
      </c>
      <c r="H44" s="61">
        <v>302</v>
      </c>
      <c r="I44" s="222">
        <f t="shared" si="0"/>
        <v>284204.43524838652</v>
      </c>
      <c r="J44" s="36">
        <f t="shared" si="1"/>
        <v>-28683.564751613478</v>
      </c>
      <c r="K44" s="5">
        <f t="shared" si="2"/>
        <v>-9.1673585281677392E-2</v>
      </c>
    </row>
    <row r="45" spans="1:11" x14ac:dyDescent="0.2">
      <c r="A45" s="3">
        <v>38899</v>
      </c>
      <c r="B45" s="60">
        <v>314422</v>
      </c>
      <c r="C45" s="215">
        <f>+'Purchased Power Model '!C45</f>
        <v>1.7</v>
      </c>
      <c r="D45" s="215">
        <f>+'Purchased Power Model '!D45</f>
        <v>107.6</v>
      </c>
      <c r="E45" s="126">
        <f>+'Purchased Power Model '!E45</f>
        <v>6.7000000000000004E-2</v>
      </c>
      <c r="F45" s="57">
        <f>+'Purchased Power Model '!F45</f>
        <v>31</v>
      </c>
      <c r="G45" s="57">
        <f>+'Purchased Power Model '!G45</f>
        <v>0</v>
      </c>
      <c r="H45" s="61">
        <v>302</v>
      </c>
      <c r="I45" s="222">
        <f t="shared" si="0"/>
        <v>275474.25421631936</v>
      </c>
      <c r="J45" s="36">
        <f t="shared" si="1"/>
        <v>-38947.745783680642</v>
      </c>
      <c r="K45" s="5">
        <f t="shared" si="2"/>
        <v>-0.12387093073538316</v>
      </c>
    </row>
    <row r="46" spans="1:11" x14ac:dyDescent="0.2">
      <c r="A46" s="3">
        <v>38930</v>
      </c>
      <c r="B46" s="60">
        <v>315113</v>
      </c>
      <c r="C46" s="215">
        <f>+'Purchased Power Model '!C46</f>
        <v>4.4000000000000004</v>
      </c>
      <c r="D46" s="215">
        <f>+'Purchased Power Model '!D46</f>
        <v>82.1</v>
      </c>
      <c r="E46" s="126">
        <f>+'Purchased Power Model '!E46</f>
        <v>6.7000000000000004E-2</v>
      </c>
      <c r="F46" s="57">
        <f>+'Purchased Power Model '!F46</f>
        <v>31</v>
      </c>
      <c r="G46" s="57">
        <f>+'Purchased Power Model '!G46</f>
        <v>0</v>
      </c>
      <c r="H46" s="61">
        <v>302</v>
      </c>
      <c r="I46" s="222">
        <f t="shared" si="0"/>
        <v>277196.25588943914</v>
      </c>
      <c r="J46" s="36">
        <f t="shared" si="1"/>
        <v>-37916.74411056086</v>
      </c>
      <c r="K46" s="5">
        <f t="shared" si="2"/>
        <v>-0.12032745113835627</v>
      </c>
    </row>
    <row r="47" spans="1:11" x14ac:dyDescent="0.2">
      <c r="A47" s="3">
        <v>38961</v>
      </c>
      <c r="B47" s="60">
        <v>315057</v>
      </c>
      <c r="C47" s="215">
        <f>+'Purchased Power Model '!C47</f>
        <v>70.7</v>
      </c>
      <c r="D47" s="215">
        <f>+'Purchased Power Model '!D47</f>
        <v>5.0999999999999996</v>
      </c>
      <c r="E47" s="126">
        <f>+'Purchased Power Model '!E47</f>
        <v>6.7000000000000004E-2</v>
      </c>
      <c r="F47" s="57">
        <f>+'Purchased Power Model '!F47</f>
        <v>30</v>
      </c>
      <c r="G47" s="57">
        <f>+'Purchased Power Model '!G47</f>
        <v>1</v>
      </c>
      <c r="H47" s="61">
        <v>303</v>
      </c>
      <c r="I47" s="222">
        <f t="shared" si="0"/>
        <v>278546.63525686204</v>
      </c>
      <c r="J47" s="36">
        <f t="shared" si="1"/>
        <v>-36510.364743137965</v>
      </c>
      <c r="K47" s="5">
        <f t="shared" si="2"/>
        <v>-0.11588495016183727</v>
      </c>
    </row>
    <row r="48" spans="1:11" x14ac:dyDescent="0.2">
      <c r="A48" s="3">
        <v>38991</v>
      </c>
      <c r="B48" s="60">
        <v>316073</v>
      </c>
      <c r="C48" s="215">
        <f>+'Purchased Power Model '!C48</f>
        <v>274.60000000000002</v>
      </c>
      <c r="D48" s="215">
        <f>+'Purchased Power Model '!D48</f>
        <v>0</v>
      </c>
      <c r="E48" s="126">
        <f>+'Purchased Power Model '!E48</f>
        <v>6.8000000000000005E-2</v>
      </c>
      <c r="F48" s="57">
        <f>+'Purchased Power Model '!F48</f>
        <v>31</v>
      </c>
      <c r="G48" s="57">
        <f>+'Purchased Power Model '!G48</f>
        <v>1</v>
      </c>
      <c r="H48" s="61">
        <v>302</v>
      </c>
      <c r="I48" s="222">
        <f t="shared" si="0"/>
        <v>274148.86085879867</v>
      </c>
      <c r="J48" s="36">
        <f t="shared" si="1"/>
        <v>-41924.139141201333</v>
      </c>
      <c r="K48" s="5">
        <f t="shared" si="2"/>
        <v>-0.13264068471904064</v>
      </c>
    </row>
    <row r="49" spans="1:11" x14ac:dyDescent="0.2">
      <c r="A49" s="3">
        <v>39022</v>
      </c>
      <c r="B49" s="60">
        <v>314584</v>
      </c>
      <c r="C49" s="215">
        <f>+'Purchased Power Model '!C49</f>
        <v>367.5</v>
      </c>
      <c r="D49" s="215">
        <f>+'Purchased Power Model '!D49</f>
        <v>0</v>
      </c>
      <c r="E49" s="126">
        <f>+'Purchased Power Model '!E49</f>
        <v>6.8000000000000005E-2</v>
      </c>
      <c r="F49" s="57">
        <f>+'Purchased Power Model '!F49</f>
        <v>30</v>
      </c>
      <c r="G49" s="57">
        <f>+'Purchased Power Model '!G49</f>
        <v>1</v>
      </c>
      <c r="H49" s="61">
        <v>301</v>
      </c>
      <c r="I49" s="222">
        <f t="shared" si="0"/>
        <v>273590.96365223563</v>
      </c>
      <c r="J49" s="36">
        <f t="shared" si="1"/>
        <v>-40993.03634776437</v>
      </c>
      <c r="K49" s="5">
        <f t="shared" si="2"/>
        <v>-0.1303087135638315</v>
      </c>
    </row>
    <row r="50" spans="1:11" x14ac:dyDescent="0.2">
      <c r="A50" s="3">
        <v>39052</v>
      </c>
      <c r="B50" s="60">
        <v>317051</v>
      </c>
      <c r="C50" s="215">
        <f>+'Purchased Power Model '!C50</f>
        <v>471.5</v>
      </c>
      <c r="D50" s="215">
        <f>+'Purchased Power Model '!D50</f>
        <v>0</v>
      </c>
      <c r="E50" s="126">
        <f>+'Purchased Power Model '!E50</f>
        <v>6.8000000000000005E-2</v>
      </c>
      <c r="F50" s="57">
        <f>+'Purchased Power Model '!F50</f>
        <v>31</v>
      </c>
      <c r="G50" s="57">
        <f>+'Purchased Power Model '!G50</f>
        <v>0</v>
      </c>
      <c r="H50" s="61">
        <v>301</v>
      </c>
      <c r="I50" s="222">
        <f t="shared" si="0"/>
        <v>275501.49603652878</v>
      </c>
      <c r="J50" s="36">
        <f t="shared" si="1"/>
        <v>-41549.503963471216</v>
      </c>
      <c r="K50" s="5">
        <f t="shared" si="2"/>
        <v>-0.13104990668211491</v>
      </c>
    </row>
    <row r="51" spans="1:11" x14ac:dyDescent="0.2">
      <c r="A51" s="3">
        <v>39083</v>
      </c>
      <c r="B51" s="60">
        <v>320674</v>
      </c>
      <c r="C51" s="215">
        <f>+'Purchased Power Model '!C51</f>
        <v>573.1</v>
      </c>
      <c r="D51" s="215">
        <f>+'Purchased Power Model '!D51</f>
        <v>0</v>
      </c>
      <c r="E51" s="126">
        <f>+'Purchased Power Model '!E51</f>
        <v>6.0999999999999999E-2</v>
      </c>
      <c r="F51" s="57">
        <f>+'Purchased Power Model '!F51</f>
        <v>31</v>
      </c>
      <c r="G51" s="57">
        <f>+'Purchased Power Model '!G51</f>
        <v>0</v>
      </c>
      <c r="H51" s="61">
        <v>301</v>
      </c>
      <c r="I51" s="222">
        <f t="shared" si="0"/>
        <v>286589.62223769579</v>
      </c>
      <c r="J51" s="36">
        <f t="shared" si="1"/>
        <v>-34084.377762304212</v>
      </c>
      <c r="K51" s="5">
        <f t="shared" si="2"/>
        <v>-0.10628980759994328</v>
      </c>
    </row>
    <row r="52" spans="1:11" x14ac:dyDescent="0.2">
      <c r="A52" s="3">
        <v>39114</v>
      </c>
      <c r="B52" s="60">
        <v>316965</v>
      </c>
      <c r="C52" s="215">
        <f>+'Purchased Power Model '!C52</f>
        <v>693.5</v>
      </c>
      <c r="D52" s="215">
        <f>+'Purchased Power Model '!D52</f>
        <v>0</v>
      </c>
      <c r="E52" s="126">
        <f>+'Purchased Power Model '!E52</f>
        <v>6.0999999999999999E-2</v>
      </c>
      <c r="F52" s="57">
        <f>+'Purchased Power Model '!F52</f>
        <v>28</v>
      </c>
      <c r="G52" s="57">
        <f>+'Purchased Power Model '!G52</f>
        <v>0</v>
      </c>
      <c r="H52" s="61">
        <v>301</v>
      </c>
      <c r="I52" s="222">
        <f t="shared" si="0"/>
        <v>286808.7877850082</v>
      </c>
      <c r="J52" s="36">
        <f t="shared" si="1"/>
        <v>-30156.2122149918</v>
      </c>
      <c r="K52" s="5">
        <f t="shared" si="2"/>
        <v>-9.514051146022999E-2</v>
      </c>
    </row>
    <row r="53" spans="1:11" x14ac:dyDescent="0.2">
      <c r="A53" s="3">
        <v>39142</v>
      </c>
      <c r="B53" s="60">
        <v>316965</v>
      </c>
      <c r="C53" s="215">
        <f>+'Purchased Power Model '!C53</f>
        <v>477.9</v>
      </c>
      <c r="D53" s="215">
        <f>+'Purchased Power Model '!D53</f>
        <v>0</v>
      </c>
      <c r="E53" s="126">
        <f>+'Purchased Power Model '!E53</f>
        <v>6.0999999999999999E-2</v>
      </c>
      <c r="F53" s="57">
        <f>+'Purchased Power Model '!F53</f>
        <v>31</v>
      </c>
      <c r="G53" s="57">
        <f>+'Purchased Power Model '!G53</f>
        <v>1</v>
      </c>
      <c r="H53" s="61">
        <v>301</v>
      </c>
      <c r="I53" s="222">
        <f t="shared" si="0"/>
        <v>284020.91900005372</v>
      </c>
      <c r="J53" s="36">
        <f t="shared" si="1"/>
        <v>-32944.08099994628</v>
      </c>
      <c r="K53" s="5">
        <f t="shared" si="2"/>
        <v>-0.1039360213271064</v>
      </c>
    </row>
    <row r="54" spans="1:11" x14ac:dyDescent="0.2">
      <c r="A54" s="3">
        <v>39173</v>
      </c>
      <c r="B54" s="60">
        <v>319741</v>
      </c>
      <c r="C54" s="215">
        <f>+'Purchased Power Model '!C54</f>
        <v>280.39999999999998</v>
      </c>
      <c r="D54" s="215">
        <f>+'Purchased Power Model '!D54</f>
        <v>0</v>
      </c>
      <c r="E54" s="126">
        <f>+'Purchased Power Model '!E54</f>
        <v>0.06</v>
      </c>
      <c r="F54" s="57">
        <f>+'Purchased Power Model '!F54</f>
        <v>30</v>
      </c>
      <c r="G54" s="57">
        <f>+'Purchased Power Model '!G54</f>
        <v>1</v>
      </c>
      <c r="H54" s="61">
        <v>301</v>
      </c>
      <c r="I54" s="222">
        <f t="shared" si="0"/>
        <v>288693.02334108826</v>
      </c>
      <c r="J54" s="36">
        <f t="shared" si="1"/>
        <v>-31047.976658911735</v>
      </c>
      <c r="K54" s="5">
        <f t="shared" si="2"/>
        <v>-9.7103520220777867E-2</v>
      </c>
    </row>
    <row r="55" spans="1:11" x14ac:dyDescent="0.2">
      <c r="A55" s="3">
        <v>39203</v>
      </c>
      <c r="B55" s="60">
        <v>318949</v>
      </c>
      <c r="C55" s="215">
        <f>+'Purchased Power Model '!C55</f>
        <v>72.8</v>
      </c>
      <c r="D55" s="215">
        <f>+'Purchased Power Model '!D55</f>
        <v>4.5</v>
      </c>
      <c r="E55" s="126">
        <f>+'Purchased Power Model '!E55</f>
        <v>0.06</v>
      </c>
      <c r="F55" s="57">
        <f>+'Purchased Power Model '!F55</f>
        <v>31</v>
      </c>
      <c r="G55" s="57">
        <f>+'Purchased Power Model '!G55</f>
        <v>1</v>
      </c>
      <c r="H55" s="61">
        <v>301</v>
      </c>
      <c r="I55" s="222">
        <f t="shared" si="0"/>
        <v>290312.85486905114</v>
      </c>
      <c r="J55" s="36">
        <f t="shared" si="1"/>
        <v>-28636.145130948862</v>
      </c>
      <c r="K55" s="5">
        <f t="shared" si="2"/>
        <v>-8.9782834029731598E-2</v>
      </c>
    </row>
    <row r="56" spans="1:11" x14ac:dyDescent="0.2">
      <c r="A56" s="3">
        <v>39234</v>
      </c>
      <c r="B56" s="60">
        <v>318657</v>
      </c>
      <c r="C56" s="215">
        <f>+'Purchased Power Model '!C56</f>
        <v>6.2</v>
      </c>
      <c r="D56" s="215">
        <f>+'Purchased Power Model '!D56</f>
        <v>32.799999999999997</v>
      </c>
      <c r="E56" s="126">
        <f>+'Purchased Power Model '!E56</f>
        <v>0.06</v>
      </c>
      <c r="F56" s="57">
        <f>+'Purchased Power Model '!F56</f>
        <v>30</v>
      </c>
      <c r="G56" s="57">
        <f>+'Purchased Power Model '!G56</f>
        <v>0</v>
      </c>
      <c r="H56" s="61">
        <v>301</v>
      </c>
      <c r="I56" s="222">
        <f t="shared" si="0"/>
        <v>293422.29766070569</v>
      </c>
      <c r="J56" s="36">
        <f t="shared" si="1"/>
        <v>-25234.702339294308</v>
      </c>
      <c r="K56" s="5">
        <f t="shared" si="2"/>
        <v>-7.9190798693561756E-2</v>
      </c>
    </row>
    <row r="57" spans="1:11" x14ac:dyDescent="0.2">
      <c r="A57" s="3">
        <v>39264</v>
      </c>
      <c r="B57" s="60">
        <v>318657</v>
      </c>
      <c r="C57" s="215">
        <f>+'Purchased Power Model '!C57</f>
        <v>8.6999999999999993</v>
      </c>
      <c r="D57" s="215">
        <f>+'Purchased Power Model '!D57</f>
        <v>41.6</v>
      </c>
      <c r="E57" s="126">
        <f>+'Purchased Power Model '!E57</f>
        <v>6.5000000000000002E-2</v>
      </c>
      <c r="F57" s="57">
        <f>+'Purchased Power Model '!F57</f>
        <v>31</v>
      </c>
      <c r="G57" s="57">
        <f>+'Purchased Power Model '!G57</f>
        <v>0</v>
      </c>
      <c r="H57" s="61">
        <v>301</v>
      </c>
      <c r="I57" s="222">
        <f t="shared" si="0"/>
        <v>283446.20148232719</v>
      </c>
      <c r="J57" s="36">
        <f t="shared" si="1"/>
        <v>-35210.798517672811</v>
      </c>
      <c r="K57" s="5">
        <f t="shared" si="2"/>
        <v>-0.11049748951905281</v>
      </c>
    </row>
    <row r="58" spans="1:11" x14ac:dyDescent="0.2">
      <c r="A58" s="3">
        <v>39295</v>
      </c>
      <c r="B58" s="60">
        <v>318433</v>
      </c>
      <c r="C58" s="215">
        <f>+'Purchased Power Model '!C58</f>
        <v>4</v>
      </c>
      <c r="D58" s="215">
        <f>+'Purchased Power Model '!D58</f>
        <v>87.8</v>
      </c>
      <c r="E58" s="126">
        <f>+'Purchased Power Model '!E58</f>
        <v>6.5000000000000002E-2</v>
      </c>
      <c r="F58" s="57">
        <f>+'Purchased Power Model '!F58</f>
        <v>31</v>
      </c>
      <c r="G58" s="57">
        <f>+'Purchased Power Model '!G58</f>
        <v>0</v>
      </c>
      <c r="H58" s="61">
        <v>301</v>
      </c>
      <c r="I58" s="222">
        <f t="shared" si="0"/>
        <v>280324.04661929933</v>
      </c>
      <c r="J58" s="36">
        <f t="shared" si="1"/>
        <v>-38108.953380700666</v>
      </c>
      <c r="K58" s="5">
        <f t="shared" si="2"/>
        <v>-0.11967652027491078</v>
      </c>
    </row>
    <row r="59" spans="1:11" x14ac:dyDescent="0.2">
      <c r="A59" s="3">
        <v>39326</v>
      </c>
      <c r="B59" s="60">
        <v>317622</v>
      </c>
      <c r="C59" s="215">
        <f>+'Purchased Power Model '!C59</f>
        <v>20.100000000000001</v>
      </c>
      <c r="D59" s="215">
        <f>+'Purchased Power Model '!D59</f>
        <v>12.3</v>
      </c>
      <c r="E59" s="126">
        <f>+'Purchased Power Model '!E59</f>
        <v>6.5000000000000002E-2</v>
      </c>
      <c r="F59" s="57">
        <f>+'Purchased Power Model '!F59</f>
        <v>30</v>
      </c>
      <c r="G59" s="57">
        <f>+'Purchased Power Model '!G59</f>
        <v>1</v>
      </c>
      <c r="H59" s="61">
        <v>301</v>
      </c>
      <c r="I59" s="222">
        <f t="shared" si="0"/>
        <v>282171.49437032506</v>
      </c>
      <c r="J59" s="36">
        <f t="shared" si="1"/>
        <v>-35450.505629674939</v>
      </c>
      <c r="K59" s="5">
        <f t="shared" si="2"/>
        <v>-0.1116122486152563</v>
      </c>
    </row>
    <row r="60" spans="1:11" x14ac:dyDescent="0.2">
      <c r="A60" s="3">
        <v>39356</v>
      </c>
      <c r="B60" s="60">
        <v>317550</v>
      </c>
      <c r="C60" s="215">
        <f>+'Purchased Power Model '!C60</f>
        <v>101.5</v>
      </c>
      <c r="D60" s="215">
        <f>+'Purchased Power Model '!D60</f>
        <v>0</v>
      </c>
      <c r="E60" s="126">
        <f>+'Purchased Power Model '!E60</f>
        <v>6.3E-2</v>
      </c>
      <c r="F60" s="57">
        <f>+'Purchased Power Model '!F60</f>
        <v>31</v>
      </c>
      <c r="G60" s="57">
        <f>+'Purchased Power Model '!G60</f>
        <v>1</v>
      </c>
      <c r="H60" s="61">
        <v>301</v>
      </c>
      <c r="I60" s="222">
        <f t="shared" si="0"/>
        <v>285006.54370178783</v>
      </c>
      <c r="J60" s="36">
        <f t="shared" si="1"/>
        <v>-32543.456298212172</v>
      </c>
      <c r="K60" s="5">
        <f t="shared" si="2"/>
        <v>-0.10248293590997377</v>
      </c>
    </row>
    <row r="61" spans="1:11" x14ac:dyDescent="0.2">
      <c r="A61" s="3">
        <v>39387</v>
      </c>
      <c r="B61" s="60">
        <v>317300</v>
      </c>
      <c r="C61" s="215">
        <f>+'Purchased Power Model '!C61</f>
        <v>314.10000000000002</v>
      </c>
      <c r="D61" s="215">
        <f>+'Purchased Power Model '!D61</f>
        <v>0</v>
      </c>
      <c r="E61" s="126">
        <f>+'Purchased Power Model '!E61</f>
        <v>6.3E-2</v>
      </c>
      <c r="F61" s="57">
        <f>+'Purchased Power Model '!F61</f>
        <v>30</v>
      </c>
      <c r="G61" s="57">
        <f>+'Purchased Power Model '!G61</f>
        <v>1</v>
      </c>
      <c r="H61" s="61">
        <v>301</v>
      </c>
      <c r="I61" s="222">
        <f t="shared" si="0"/>
        <v>283017.34515037265</v>
      </c>
      <c r="J61" s="36">
        <f t="shared" si="1"/>
        <v>-34282.654849627346</v>
      </c>
      <c r="K61" s="5">
        <f t="shared" si="2"/>
        <v>-0.1080449254636853</v>
      </c>
    </row>
    <row r="62" spans="1:11" x14ac:dyDescent="0.2">
      <c r="A62" s="3">
        <v>39417</v>
      </c>
      <c r="B62" s="60">
        <v>317352</v>
      </c>
      <c r="C62" s="215">
        <f>+'Purchased Power Model '!C62</f>
        <v>337.8</v>
      </c>
      <c r="D62" s="215">
        <f>+'Purchased Power Model '!D62</f>
        <v>0</v>
      </c>
      <c r="E62" s="126">
        <f>+'Purchased Power Model '!E62</f>
        <v>6.3E-2</v>
      </c>
      <c r="F62" s="57">
        <f>+'Purchased Power Model '!F62</f>
        <v>31</v>
      </c>
      <c r="G62" s="57">
        <f>+'Purchased Power Model '!G62</f>
        <v>0</v>
      </c>
      <c r="H62" s="61">
        <v>301</v>
      </c>
      <c r="I62" s="222">
        <f t="shared" si="0"/>
        <v>285888.05713359336</v>
      </c>
      <c r="J62" s="36">
        <f t="shared" si="1"/>
        <v>-31463.942866406636</v>
      </c>
      <c r="K62" s="5">
        <f t="shared" si="2"/>
        <v>-9.9145248387930873E-2</v>
      </c>
    </row>
    <row r="63" spans="1:11" x14ac:dyDescent="0.2">
      <c r="A63" s="3">
        <v>39448</v>
      </c>
      <c r="B63" s="61">
        <v>315539</v>
      </c>
      <c r="C63" s="216">
        <f>+'Purchased Power Model '!C63</f>
        <v>432.8</v>
      </c>
      <c r="D63" s="216">
        <f>+'Purchased Power Model '!D63</f>
        <v>0</v>
      </c>
      <c r="E63" s="126">
        <f>+'Purchased Power Model '!E63</f>
        <v>6.4000000000000001E-2</v>
      </c>
      <c r="F63" s="57">
        <f>+'Purchased Power Model '!F63</f>
        <v>31</v>
      </c>
      <c r="G63" s="57">
        <f>+'Purchased Power Model '!G63</f>
        <v>0</v>
      </c>
      <c r="H63" s="61">
        <v>301</v>
      </c>
      <c r="I63" s="222">
        <f t="shared" si="0"/>
        <v>282994.53246806841</v>
      </c>
      <c r="J63" s="36">
        <f t="shared" si="1"/>
        <v>-32544.467531931587</v>
      </c>
      <c r="K63" s="5">
        <f t="shared" si="2"/>
        <v>-0.10313928716238432</v>
      </c>
    </row>
    <row r="64" spans="1:11" x14ac:dyDescent="0.2">
      <c r="A64" s="3">
        <v>39479</v>
      </c>
      <c r="B64" s="61">
        <v>313200</v>
      </c>
      <c r="C64" s="216">
        <f>+'Purchased Power Model '!C64</f>
        <v>317.60000000000002</v>
      </c>
      <c r="D64" s="216">
        <f>+'Purchased Power Model '!D64</f>
        <v>0</v>
      </c>
      <c r="E64" s="126">
        <f>+'Purchased Power Model '!E64</f>
        <v>6.4000000000000001E-2</v>
      </c>
      <c r="F64" s="57">
        <f>+'Purchased Power Model '!F64</f>
        <v>29</v>
      </c>
      <c r="G64" s="57">
        <f>+'Purchased Power Model '!G64</f>
        <v>0</v>
      </c>
      <c r="H64" s="61">
        <v>301</v>
      </c>
      <c r="I64" s="222">
        <f t="shared" si="0"/>
        <v>285477.91687533079</v>
      </c>
      <c r="J64" s="36">
        <f t="shared" si="1"/>
        <v>-27722.083124669211</v>
      </c>
      <c r="K64" s="5">
        <f t="shared" si="2"/>
        <v>-8.8512398226913189E-2</v>
      </c>
    </row>
    <row r="65" spans="1:17" x14ac:dyDescent="0.2">
      <c r="A65" s="3">
        <v>39508</v>
      </c>
      <c r="B65" s="61">
        <v>315180</v>
      </c>
      <c r="C65" s="216">
        <f>+'Purchased Power Model '!C65</f>
        <v>430</v>
      </c>
      <c r="D65" s="216">
        <f>+'Purchased Power Model '!D65</f>
        <v>0</v>
      </c>
      <c r="E65" s="126">
        <f>+'Purchased Power Model '!E65</f>
        <v>6.4000000000000001E-2</v>
      </c>
      <c r="F65" s="57">
        <f>+'Purchased Power Model '!F65</f>
        <v>31</v>
      </c>
      <c r="G65" s="57">
        <f>+'Purchased Power Model '!G65</f>
        <v>1</v>
      </c>
      <c r="H65" s="61">
        <v>301</v>
      </c>
      <c r="I65" s="222">
        <f t="shared" si="0"/>
        <v>279320.96503440017</v>
      </c>
      <c r="J65" s="36">
        <f t="shared" si="1"/>
        <v>-35859.034965599829</v>
      </c>
      <c r="K65" s="5">
        <f t="shared" si="2"/>
        <v>-0.1137731929868641</v>
      </c>
    </row>
    <row r="66" spans="1:17" x14ac:dyDescent="0.2">
      <c r="A66" s="3">
        <v>39539</v>
      </c>
      <c r="B66" s="61">
        <v>315180</v>
      </c>
      <c r="C66" s="216">
        <f>+'Purchased Power Model '!C66</f>
        <v>144.6</v>
      </c>
      <c r="D66" s="216">
        <f>+'Purchased Power Model '!D66</f>
        <v>0</v>
      </c>
      <c r="E66" s="126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61">
        <v>301</v>
      </c>
      <c r="I66" s="222">
        <f t="shared" si="0"/>
        <v>265710.84186070063</v>
      </c>
      <c r="J66" s="36">
        <f t="shared" si="1"/>
        <v>-49469.158139299368</v>
      </c>
      <c r="K66" s="5">
        <f t="shared" si="2"/>
        <v>-0.15695525775524896</v>
      </c>
    </row>
    <row r="67" spans="1:17" x14ac:dyDescent="0.2">
      <c r="A67" s="3">
        <v>39569</v>
      </c>
      <c r="B67" s="61">
        <v>288406</v>
      </c>
      <c r="C67" s="216">
        <f>+'Purchased Power Model '!C67</f>
        <v>151</v>
      </c>
      <c r="D67" s="216">
        <f>+'Purchased Power Model '!D67</f>
        <v>0</v>
      </c>
      <c r="E67" s="126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61">
        <v>301</v>
      </c>
      <c r="I67" s="222">
        <f t="shared" si="0"/>
        <v>265081.36877867708</v>
      </c>
      <c r="J67" s="36">
        <f t="shared" si="1"/>
        <v>-23324.631221322925</v>
      </c>
      <c r="K67" s="5">
        <f t="shared" si="2"/>
        <v>-8.0874292564381195E-2</v>
      </c>
    </row>
    <row r="68" spans="1:17" x14ac:dyDescent="0.2">
      <c r="A68" s="3">
        <v>39600</v>
      </c>
      <c r="B68" s="61">
        <v>288406</v>
      </c>
      <c r="C68" s="216">
        <f>+'Purchased Power Model '!C68</f>
        <v>15.5</v>
      </c>
      <c r="D68" s="216">
        <f>+'Purchased Power Model '!D68</f>
        <v>23.6</v>
      </c>
      <c r="E68" s="126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61">
        <v>301</v>
      </c>
      <c r="I68" s="222">
        <f t="shared" ref="I68:I131" si="3">$N$18+C68*$N$19+D68*$N$20+E68*$N$21+F68*$N$22+G68*$N$23</f>
        <v>269338.01586642629</v>
      </c>
      <c r="J68" s="36">
        <f t="shared" ref="J68:J131" si="4">I68-B68</f>
        <v>-19067.984133573715</v>
      </c>
      <c r="K68" s="5">
        <f t="shared" ref="K68:K131" si="5">J68/B68</f>
        <v>-6.6115074352037451E-2</v>
      </c>
    </row>
    <row r="69" spans="1:17" x14ac:dyDescent="0.2">
      <c r="A69" s="3">
        <v>39630</v>
      </c>
      <c r="B69" s="61">
        <v>287542</v>
      </c>
      <c r="C69" s="216">
        <f>+'Purchased Power Model '!C69</f>
        <v>1</v>
      </c>
      <c r="D69" s="216">
        <f>+'Purchased Power Model '!D69</f>
        <v>61.4</v>
      </c>
      <c r="E69" s="126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61">
        <v>301</v>
      </c>
      <c r="I69" s="222">
        <f t="shared" si="3"/>
        <v>276903.40784759965</v>
      </c>
      <c r="J69" s="36">
        <f t="shared" si="4"/>
        <v>-10638.59215240035</v>
      </c>
      <c r="K69" s="5">
        <f t="shared" si="5"/>
        <v>-3.6998393808210107E-2</v>
      </c>
    </row>
    <row r="70" spans="1:17" x14ac:dyDescent="0.2">
      <c r="A70" s="3">
        <v>39661</v>
      </c>
      <c r="B70" s="61">
        <v>288406</v>
      </c>
      <c r="C70" s="216">
        <f>+'Purchased Power Model '!C70</f>
        <v>13.8</v>
      </c>
      <c r="D70" s="216">
        <f>+'Purchased Power Model '!D70</f>
        <v>29.9</v>
      </c>
      <c r="E70" s="126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61">
        <v>301</v>
      </c>
      <c r="I70" s="222">
        <f t="shared" si="3"/>
        <v>278917.41306620231</v>
      </c>
      <c r="J70" s="36">
        <f t="shared" si="4"/>
        <v>-9488.586933797691</v>
      </c>
      <c r="K70" s="5">
        <f t="shared" si="5"/>
        <v>-3.2900102403548091E-2</v>
      </c>
    </row>
    <row r="71" spans="1:17" x14ac:dyDescent="0.2">
      <c r="A71" s="3">
        <v>39692</v>
      </c>
      <c r="B71" s="61">
        <v>244903</v>
      </c>
      <c r="C71" s="216">
        <f>+'Purchased Power Model '!C71</f>
        <v>51.6</v>
      </c>
      <c r="D71" s="216">
        <f>+'Purchased Power Model '!D71</f>
        <v>15.1</v>
      </c>
      <c r="E71" s="126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61">
        <v>300</v>
      </c>
      <c r="I71" s="222">
        <f t="shared" si="3"/>
        <v>276329.49491452391</v>
      </c>
      <c r="J71" s="36">
        <f t="shared" si="4"/>
        <v>31426.494914523908</v>
      </c>
      <c r="K71" s="5">
        <f t="shared" si="5"/>
        <v>0.12832221293542304</v>
      </c>
    </row>
    <row r="72" spans="1:17" x14ac:dyDescent="0.2">
      <c r="A72" s="3">
        <v>39722</v>
      </c>
      <c r="B72" s="61">
        <v>243233</v>
      </c>
      <c r="C72" s="216">
        <f>+'Purchased Power Model '!C72</f>
        <v>203.1</v>
      </c>
      <c r="D72" s="216">
        <f>+'Purchased Power Model '!D72</f>
        <v>0</v>
      </c>
      <c r="E72" s="126">
        <f>+'Purchased Power Model '!E72</f>
        <v>7.9000000000000001E-2</v>
      </c>
      <c r="F72" s="57">
        <f>+'Purchased Power Model '!F72</f>
        <v>31</v>
      </c>
      <c r="G72" s="57">
        <f>+'Purchased Power Model '!G72</f>
        <v>1</v>
      </c>
      <c r="H72" s="61">
        <v>300</v>
      </c>
      <c r="I72" s="222">
        <f t="shared" si="3"/>
        <v>255670.53190667467</v>
      </c>
      <c r="J72" s="36">
        <f t="shared" si="4"/>
        <v>12437.531906674674</v>
      </c>
      <c r="K72" s="5">
        <f t="shared" si="5"/>
        <v>5.1134228935525501E-2</v>
      </c>
    </row>
    <row r="73" spans="1:17" x14ac:dyDescent="0.2">
      <c r="A73" s="3">
        <v>39753</v>
      </c>
      <c r="B73" s="61">
        <v>236648</v>
      </c>
      <c r="C73" s="216">
        <f>+'Purchased Power Model '!C73</f>
        <v>268.8</v>
      </c>
      <c r="D73" s="216">
        <f>+'Purchased Power Model '!D73</f>
        <v>0</v>
      </c>
      <c r="E73" s="126">
        <f>+'Purchased Power Model '!E73</f>
        <v>7.9000000000000001E-2</v>
      </c>
      <c r="F73" s="57">
        <f>+'Purchased Power Model '!F73</f>
        <v>30</v>
      </c>
      <c r="G73" s="57">
        <f>+'Purchased Power Model '!G73</f>
        <v>1</v>
      </c>
      <c r="H73" s="61">
        <v>301</v>
      </c>
      <c r="I73" s="222">
        <f t="shared" si="3"/>
        <v>255437.87610846557</v>
      </c>
      <c r="J73" s="36">
        <f t="shared" si="4"/>
        <v>18789.876108465571</v>
      </c>
      <c r="K73" s="5">
        <f t="shared" si="5"/>
        <v>7.9400105255339457E-2</v>
      </c>
    </row>
    <row r="74" spans="1:17" x14ac:dyDescent="0.2">
      <c r="A74" s="3">
        <v>39783</v>
      </c>
      <c r="B74" s="61">
        <v>236230</v>
      </c>
      <c r="C74" s="216">
        <f>+'Purchased Power Model '!C74</f>
        <v>378.9</v>
      </c>
      <c r="D74" s="216">
        <f>+'Purchased Power Model '!D74</f>
        <v>0</v>
      </c>
      <c r="E74" s="126">
        <f>+'Purchased Power Model '!E74</f>
        <v>7.9000000000000001E-2</v>
      </c>
      <c r="F74" s="57">
        <f>+'Purchased Power Model '!F74</f>
        <v>31</v>
      </c>
      <c r="G74" s="57">
        <f>+'Purchased Power Model '!G74</f>
        <v>0</v>
      </c>
      <c r="H74" s="61">
        <v>301</v>
      </c>
      <c r="I74" s="222">
        <f t="shared" si="3"/>
        <v>257275.4683239735</v>
      </c>
      <c r="J74" s="36">
        <f t="shared" si="4"/>
        <v>21045.468323973502</v>
      </c>
      <c r="K74" s="5">
        <f t="shared" si="5"/>
        <v>8.90888893196186E-2</v>
      </c>
    </row>
    <row r="75" spans="1:17" s="14" customFormat="1" x14ac:dyDescent="0.2">
      <c r="A75" s="3">
        <v>39814</v>
      </c>
      <c r="B75" s="61">
        <v>236230</v>
      </c>
      <c r="C75" s="216">
        <f>+'Purchased Power Model '!C75</f>
        <v>684.3</v>
      </c>
      <c r="D75" s="216">
        <f>+'Purchased Power Model '!D75</f>
        <v>0</v>
      </c>
      <c r="E75" s="126">
        <f>+'Purchased Power Model '!E75</f>
        <v>8.5000000000000006E-2</v>
      </c>
      <c r="F75" s="57">
        <f>+'Purchased Power Model '!F75</f>
        <v>31</v>
      </c>
      <c r="G75" s="57">
        <f>+'Purchased Power Model '!G75</f>
        <v>0</v>
      </c>
      <c r="H75" s="61">
        <v>302</v>
      </c>
      <c r="I75" s="222">
        <f t="shared" si="3"/>
        <v>243078.24961944451</v>
      </c>
      <c r="J75" s="36">
        <f t="shared" si="4"/>
        <v>6848.2496194445121</v>
      </c>
      <c r="K75" s="5">
        <f t="shared" si="5"/>
        <v>2.8989754135564965E-2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61">
        <v>236526</v>
      </c>
      <c r="C76" s="216">
        <f>+'Purchased Power Model '!C76</f>
        <v>595.29999999999995</v>
      </c>
      <c r="D76" s="216">
        <f>+'Purchased Power Model '!D76</f>
        <v>0</v>
      </c>
      <c r="E76" s="126">
        <f>+'Purchased Power Model '!E76</f>
        <v>8.5000000000000006E-2</v>
      </c>
      <c r="F76" s="57">
        <f>+'Purchased Power Model '!F76</f>
        <v>28</v>
      </c>
      <c r="G76" s="57">
        <f>+'Purchased Power Model '!G76</f>
        <v>0</v>
      </c>
      <c r="H76" s="61">
        <v>302</v>
      </c>
      <c r="I76" s="222">
        <f t="shared" si="3"/>
        <v>245801.29571489425</v>
      </c>
      <c r="J76" s="36">
        <f t="shared" si="4"/>
        <v>9275.2957148942514</v>
      </c>
      <c r="K76" s="5">
        <f t="shared" si="5"/>
        <v>3.9214698235687628E-2</v>
      </c>
    </row>
    <row r="77" spans="1:17" x14ac:dyDescent="0.2">
      <c r="A77" s="3">
        <v>39873</v>
      </c>
      <c r="B77" s="61">
        <v>236526</v>
      </c>
      <c r="C77" s="216">
        <f>+'Purchased Power Model '!C77</f>
        <v>442.2</v>
      </c>
      <c r="D77" s="216">
        <f>+'Purchased Power Model '!D77</f>
        <v>0</v>
      </c>
      <c r="E77" s="126">
        <f>+'Purchased Power Model '!E77</f>
        <v>8.5000000000000006E-2</v>
      </c>
      <c r="F77" s="57">
        <f>+'Purchased Power Model '!F77</f>
        <v>31</v>
      </c>
      <c r="G77" s="57">
        <f>+'Purchased Power Model '!G77</f>
        <v>1</v>
      </c>
      <c r="H77" s="61">
        <v>302</v>
      </c>
      <c r="I77" s="222">
        <f t="shared" si="3"/>
        <v>242266.08913500863</v>
      </c>
      <c r="J77" s="36">
        <f t="shared" si="4"/>
        <v>5740.0891350086313</v>
      </c>
      <c r="K77" s="5">
        <f t="shared" si="5"/>
        <v>2.4268322023830915E-2</v>
      </c>
    </row>
    <row r="78" spans="1:17" x14ac:dyDescent="0.2">
      <c r="A78" s="3">
        <v>39904</v>
      </c>
      <c r="B78" s="61">
        <v>237710</v>
      </c>
      <c r="C78" s="216">
        <f>+'Purchased Power Model '!C78</f>
        <v>313.8</v>
      </c>
      <c r="D78" s="216">
        <f>+'Purchased Power Model '!D78</f>
        <v>0</v>
      </c>
      <c r="E78" s="126">
        <f>+'Purchased Power Model '!E78</f>
        <v>8.6999999999999994E-2</v>
      </c>
      <c r="F78" s="57">
        <f>+'Purchased Power Model '!F78</f>
        <v>30</v>
      </c>
      <c r="G78" s="57">
        <f>+'Purchased Power Model '!G78</f>
        <v>1</v>
      </c>
      <c r="H78" s="61">
        <v>302</v>
      </c>
      <c r="I78" s="222">
        <f t="shared" si="3"/>
        <v>240839.22315827865</v>
      </c>
      <c r="J78" s="36">
        <f t="shared" si="4"/>
        <v>3129.223158278648</v>
      </c>
      <c r="K78" s="5">
        <f t="shared" si="5"/>
        <v>1.3164036676112271E-2</v>
      </c>
    </row>
    <row r="79" spans="1:17" x14ac:dyDescent="0.2">
      <c r="A79" s="3">
        <v>39934</v>
      </c>
      <c r="B79" s="61">
        <v>209493</v>
      </c>
      <c r="C79" s="216">
        <f>+'Purchased Power Model '!C79</f>
        <v>170.1</v>
      </c>
      <c r="D79" s="216">
        <f>+'Purchased Power Model '!D79</f>
        <v>0</v>
      </c>
      <c r="E79" s="126">
        <f>+'Purchased Power Model '!E79</f>
        <v>8.6999999999999994E-2</v>
      </c>
      <c r="F79" s="57">
        <f>+'Purchased Power Model '!F79</f>
        <v>31</v>
      </c>
      <c r="G79" s="57">
        <f>+'Purchased Power Model '!G79</f>
        <v>1</v>
      </c>
      <c r="H79" s="61">
        <v>302</v>
      </c>
      <c r="I79" s="222">
        <f t="shared" si="3"/>
        <v>242004.55652456172</v>
      </c>
      <c r="J79" s="36">
        <f t="shared" si="4"/>
        <v>32511.556524561718</v>
      </c>
      <c r="K79" s="5">
        <f t="shared" si="5"/>
        <v>0.15519161272482479</v>
      </c>
    </row>
    <row r="80" spans="1:17" x14ac:dyDescent="0.2">
      <c r="A80" s="3">
        <v>39965</v>
      </c>
      <c r="B80" s="61">
        <v>238292</v>
      </c>
      <c r="C80" s="216">
        <f>+'Purchased Power Model '!C80</f>
        <v>57.9</v>
      </c>
      <c r="D80" s="216">
        <f>+'Purchased Power Model '!D80</f>
        <v>26.3</v>
      </c>
      <c r="E80" s="126">
        <f>+'Purchased Power Model '!E80</f>
        <v>8.6999999999999994E-2</v>
      </c>
      <c r="F80" s="57">
        <f>+'Purchased Power Model '!F80</f>
        <v>30</v>
      </c>
      <c r="G80" s="57">
        <f>+'Purchased Power Model '!G80</f>
        <v>0</v>
      </c>
      <c r="H80" s="61">
        <v>302</v>
      </c>
      <c r="I80" s="222">
        <f t="shared" si="3"/>
        <v>245796.84808244591</v>
      </c>
      <c r="J80" s="36">
        <f t="shared" si="4"/>
        <v>7504.8480824459111</v>
      </c>
      <c r="K80" s="5">
        <f t="shared" si="5"/>
        <v>3.1494335027805846E-2</v>
      </c>
    </row>
    <row r="81" spans="1:17" x14ac:dyDescent="0.2">
      <c r="A81" s="3">
        <v>39995</v>
      </c>
      <c r="B81" s="61">
        <v>237932</v>
      </c>
      <c r="C81" s="216">
        <f>+'Purchased Power Model '!C81</f>
        <v>16.8</v>
      </c>
      <c r="D81" s="216">
        <f>+'Purchased Power Model '!D81</f>
        <v>25.6</v>
      </c>
      <c r="E81" s="126">
        <f>+'Purchased Power Model '!E81</f>
        <v>9.1999999999999998E-2</v>
      </c>
      <c r="F81" s="57">
        <f>+'Purchased Power Model '!F81</f>
        <v>31</v>
      </c>
      <c r="G81" s="57">
        <f>+'Purchased Power Model '!G81</f>
        <v>0</v>
      </c>
      <c r="H81" s="61">
        <v>303</v>
      </c>
      <c r="I81" s="222">
        <f t="shared" si="3"/>
        <v>236995.65252728885</v>
      </c>
      <c r="J81" s="36">
        <f t="shared" si="4"/>
        <v>-936.34747271114611</v>
      </c>
      <c r="K81" s="5">
        <f t="shared" si="5"/>
        <v>-3.935357466465823E-3</v>
      </c>
    </row>
    <row r="82" spans="1:17" x14ac:dyDescent="0.2">
      <c r="A82" s="3">
        <v>40026</v>
      </c>
      <c r="B82" s="61">
        <v>237846</v>
      </c>
      <c r="C82" s="216">
        <f>+'Purchased Power Model '!C82</f>
        <v>13.1</v>
      </c>
      <c r="D82" s="216">
        <f>+'Purchased Power Model '!D82</f>
        <v>77.7</v>
      </c>
      <c r="E82" s="126">
        <f>+'Purchased Power Model '!E82</f>
        <v>9.1999999999999998E-2</v>
      </c>
      <c r="F82" s="57">
        <f>+'Purchased Power Model '!F82</f>
        <v>31</v>
      </c>
      <c r="G82" s="57">
        <f>+'Purchased Power Model '!G82</f>
        <v>0</v>
      </c>
      <c r="H82" s="61">
        <v>303</v>
      </c>
      <c r="I82" s="222">
        <f t="shared" si="3"/>
        <v>233455.6464819508</v>
      </c>
      <c r="J82" s="36">
        <f t="shared" si="4"/>
        <v>-4390.3535180492036</v>
      </c>
      <c r="K82" s="5">
        <f t="shared" si="5"/>
        <v>-1.8458807455451021E-2</v>
      </c>
    </row>
    <row r="83" spans="1:17" x14ac:dyDescent="0.2">
      <c r="A83" s="3">
        <v>40057</v>
      </c>
      <c r="B83" s="61">
        <v>238562</v>
      </c>
      <c r="C83" s="216">
        <f>+'Purchased Power Model '!C83</f>
        <v>64.8</v>
      </c>
      <c r="D83" s="216">
        <f>+'Purchased Power Model '!D83</f>
        <v>9</v>
      </c>
      <c r="E83" s="126">
        <f>+'Purchased Power Model '!E83</f>
        <v>9.1999999999999998E-2</v>
      </c>
      <c r="F83" s="57">
        <f>+'Purchased Power Model '!F83</f>
        <v>30</v>
      </c>
      <c r="G83" s="57">
        <f>+'Purchased Power Model '!G83</f>
        <v>1</v>
      </c>
      <c r="H83" s="61">
        <v>303</v>
      </c>
      <c r="I83" s="222">
        <f t="shared" si="3"/>
        <v>234409.60084742084</v>
      </c>
      <c r="J83" s="36">
        <f t="shared" si="4"/>
        <v>-4152.3991525791644</v>
      </c>
      <c r="K83" s="5">
        <f t="shared" si="5"/>
        <v>-1.7405953808985356E-2</v>
      </c>
    </row>
    <row r="84" spans="1:17" x14ac:dyDescent="0.2">
      <c r="A84" s="3">
        <v>40087</v>
      </c>
      <c r="B84" s="61">
        <v>238528</v>
      </c>
      <c r="C84" s="216">
        <f>+'Purchased Power Model '!C84</f>
        <v>287.89999999999998</v>
      </c>
      <c r="D84" s="216">
        <f>+'Purchased Power Model '!D84</f>
        <v>0</v>
      </c>
      <c r="E84" s="126">
        <f>+'Purchased Power Model '!E84</f>
        <v>9.9000000000000005E-2</v>
      </c>
      <c r="F84" s="57">
        <f>+'Purchased Power Model '!F84</f>
        <v>31</v>
      </c>
      <c r="G84" s="57">
        <f>+'Purchased Power Model '!G84</f>
        <v>1</v>
      </c>
      <c r="H84" s="61">
        <v>304</v>
      </c>
      <c r="I84" s="222">
        <f t="shared" si="3"/>
        <v>219505.11964192061</v>
      </c>
      <c r="J84" s="36">
        <f t="shared" si="4"/>
        <v>-19022.88035807939</v>
      </c>
      <c r="K84" s="5">
        <f t="shared" si="5"/>
        <v>-7.9751141828545868E-2</v>
      </c>
    </row>
    <row r="85" spans="1:17" x14ac:dyDescent="0.2">
      <c r="A85" s="3">
        <v>40118</v>
      </c>
      <c r="B85" s="61">
        <v>238905</v>
      </c>
      <c r="C85" s="216">
        <f>+'Purchased Power Model '!C85</f>
        <v>347.4</v>
      </c>
      <c r="D85" s="216">
        <f>+'Purchased Power Model '!D85</f>
        <v>0</v>
      </c>
      <c r="E85" s="126">
        <f>+'Purchased Power Model '!E85</f>
        <v>9.9000000000000005E-2</v>
      </c>
      <c r="F85" s="57">
        <f>+'Purchased Power Model '!F85</f>
        <v>30</v>
      </c>
      <c r="G85" s="57">
        <f>+'Purchased Power Model '!G85</f>
        <v>1</v>
      </c>
      <c r="H85" s="61">
        <v>304</v>
      </c>
      <c r="I85" s="222">
        <f t="shared" si="3"/>
        <v>219346.59975296873</v>
      </c>
      <c r="J85" s="36">
        <f t="shared" si="4"/>
        <v>-19558.40024703127</v>
      </c>
      <c r="K85" s="5">
        <f t="shared" si="5"/>
        <v>-8.1866851874306812E-2</v>
      </c>
    </row>
    <row r="86" spans="1:17" s="31" customFormat="1" x14ac:dyDescent="0.2">
      <c r="A86" s="3">
        <v>40148</v>
      </c>
      <c r="B86" s="61">
        <v>238905</v>
      </c>
      <c r="C86" s="216">
        <f>+'Purchased Power Model '!C86</f>
        <v>619.1</v>
      </c>
      <c r="D86" s="216">
        <f>+'Purchased Power Model '!D86</f>
        <v>0</v>
      </c>
      <c r="E86" s="126">
        <f>+'Purchased Power Model '!E86</f>
        <v>9.9000000000000005E-2</v>
      </c>
      <c r="F86" s="57">
        <f>+'Purchased Power Model '!F86</f>
        <v>31</v>
      </c>
      <c r="G86" s="57">
        <f>+'Purchased Power Model '!G86</f>
        <v>0</v>
      </c>
      <c r="H86" s="61">
        <v>304</v>
      </c>
      <c r="I86" s="222">
        <f t="shared" si="3"/>
        <v>219251.87536590264</v>
      </c>
      <c r="J86" s="36">
        <f t="shared" si="4"/>
        <v>-19653.124634097359</v>
      </c>
      <c r="K86" s="5">
        <f t="shared" si="5"/>
        <v>-8.2263345824061279E-2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59">
        <v>238905</v>
      </c>
      <c r="C87" s="216">
        <f>+'Purchased Power Model '!C87</f>
        <v>699.9</v>
      </c>
      <c r="D87" s="216">
        <f>+'Purchased Power Model '!D87</f>
        <v>0</v>
      </c>
      <c r="E87" s="126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61">
        <v>308</v>
      </c>
      <c r="I87" s="222">
        <f t="shared" si="3"/>
        <v>211255.43219569736</v>
      </c>
      <c r="J87" s="36">
        <f t="shared" si="4"/>
        <v>-27649.567804302642</v>
      </c>
      <c r="K87" s="5">
        <f t="shared" si="5"/>
        <v>-0.11573457150039825</v>
      </c>
    </row>
    <row r="88" spans="1:17" x14ac:dyDescent="0.2">
      <c r="A88" s="3">
        <v>40210</v>
      </c>
      <c r="B88" s="59">
        <v>252955</v>
      </c>
      <c r="C88" s="216">
        <f>+'Purchased Power Model '!C88</f>
        <v>583.79999999999995</v>
      </c>
      <c r="D88" s="216">
        <f>+'Purchased Power Model '!D88</f>
        <v>0</v>
      </c>
      <c r="E88" s="126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61">
        <v>308</v>
      </c>
      <c r="I88" s="222">
        <f t="shared" si="3"/>
        <v>214302.52395902923</v>
      </c>
      <c r="J88" s="36">
        <f t="shared" si="4"/>
        <v>-38652.476040970767</v>
      </c>
      <c r="K88" s="5">
        <f t="shared" si="5"/>
        <v>-0.15280376367721835</v>
      </c>
    </row>
    <row r="89" spans="1:17" x14ac:dyDescent="0.2">
      <c r="A89" s="3">
        <v>40238</v>
      </c>
      <c r="B89" s="59">
        <v>240843</v>
      </c>
      <c r="C89" s="216">
        <f>+'Purchased Power Model '!C89</f>
        <v>411</v>
      </c>
      <c r="D89" s="216">
        <f>+'Purchased Power Model '!D89</f>
        <v>0</v>
      </c>
      <c r="E89" s="126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61">
        <v>306</v>
      </c>
      <c r="I89" s="222">
        <f t="shared" si="3"/>
        <v>211002.8782521059</v>
      </c>
      <c r="J89" s="36">
        <f t="shared" si="4"/>
        <v>-29840.121747894096</v>
      </c>
      <c r="K89" s="5">
        <f t="shared" si="5"/>
        <v>-0.12389864661997274</v>
      </c>
    </row>
    <row r="90" spans="1:17" x14ac:dyDescent="0.2">
      <c r="A90" s="3">
        <v>40269</v>
      </c>
      <c r="B90" s="59">
        <v>232500</v>
      </c>
      <c r="C90" s="216">
        <f>+'Purchased Power Model '!C90</f>
        <v>244</v>
      </c>
      <c r="D90" s="216">
        <f>+'Purchased Power Model '!D90</f>
        <v>0</v>
      </c>
      <c r="E90" s="126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61">
        <v>306</v>
      </c>
      <c r="I90" s="222">
        <f t="shared" si="3"/>
        <v>220582.99540090284</v>
      </c>
      <c r="J90" s="36">
        <f t="shared" si="4"/>
        <v>-11917.004599097156</v>
      </c>
      <c r="K90" s="5">
        <f t="shared" si="5"/>
        <v>-5.1255933759557656E-2</v>
      </c>
    </row>
    <row r="91" spans="1:17" x14ac:dyDescent="0.2">
      <c r="A91" s="3">
        <v>40299</v>
      </c>
      <c r="B91" s="59">
        <v>246046</v>
      </c>
      <c r="C91" s="216">
        <f>+'Purchased Power Model '!C91</f>
        <v>121.7</v>
      </c>
      <c r="D91" s="216">
        <f>+'Purchased Power Model '!D91</f>
        <v>23.2</v>
      </c>
      <c r="E91" s="126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61">
        <v>306</v>
      </c>
      <c r="I91" s="222">
        <f t="shared" si="3"/>
        <v>219896.38341804576</v>
      </c>
      <c r="J91" s="36">
        <f t="shared" si="4"/>
        <v>-26149.616581954237</v>
      </c>
      <c r="K91" s="5">
        <f t="shared" si="5"/>
        <v>-0.1062793810179976</v>
      </c>
    </row>
    <row r="92" spans="1:17" x14ac:dyDescent="0.2">
      <c r="A92" s="3">
        <v>40330</v>
      </c>
      <c r="B92" s="59">
        <v>232443</v>
      </c>
      <c r="C92" s="216">
        <f>+'Purchased Power Model '!C92</f>
        <v>19.399999999999999</v>
      </c>
      <c r="D92" s="216">
        <f>+'Purchased Power Model '!D92</f>
        <v>46.6</v>
      </c>
      <c r="E92" s="126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61">
        <v>306</v>
      </c>
      <c r="I92" s="222">
        <f t="shared" si="3"/>
        <v>223769.80378023227</v>
      </c>
      <c r="J92" s="36">
        <f t="shared" si="4"/>
        <v>-8673.1962197677349</v>
      </c>
      <c r="K92" s="5">
        <f t="shared" si="5"/>
        <v>-3.7313217518994912E-2</v>
      </c>
    </row>
    <row r="93" spans="1:17" x14ac:dyDescent="0.2">
      <c r="A93" s="3">
        <v>40360</v>
      </c>
      <c r="B93" s="59">
        <v>232567</v>
      </c>
      <c r="C93" s="216">
        <f>+'Purchased Power Model '!C93</f>
        <v>3.5</v>
      </c>
      <c r="D93" s="216">
        <f>+'Purchased Power Model '!D93</f>
        <v>124</v>
      </c>
      <c r="E93" s="126">
        <f>+'Purchased Power Model '!E93</f>
        <v>0.10400000000000001</v>
      </c>
      <c r="F93" s="57">
        <f>+'Purchased Power Model '!F93</f>
        <v>31</v>
      </c>
      <c r="G93" s="57">
        <f>+'Purchased Power Model '!G93</f>
        <v>0</v>
      </c>
      <c r="H93" s="61">
        <v>306</v>
      </c>
      <c r="I93" s="222">
        <f t="shared" si="3"/>
        <v>209294.34873973826</v>
      </c>
      <c r="J93" s="36">
        <f t="shared" si="4"/>
        <v>-23272.651260261744</v>
      </c>
      <c r="K93" s="5">
        <f t="shared" si="5"/>
        <v>-0.10006858780593009</v>
      </c>
    </row>
    <row r="94" spans="1:17" x14ac:dyDescent="0.2">
      <c r="A94" s="3">
        <v>40391</v>
      </c>
      <c r="B94" s="59">
        <v>231873</v>
      </c>
      <c r="C94" s="216">
        <f>+'Purchased Power Model '!C94</f>
        <v>3.2</v>
      </c>
      <c r="D94" s="216">
        <f>+'Purchased Power Model '!D94</f>
        <v>96.8</v>
      </c>
      <c r="E94" s="126">
        <f>+'Purchased Power Model '!E94</f>
        <v>0.10400000000000001</v>
      </c>
      <c r="F94" s="57">
        <f>+'Purchased Power Model '!F94</f>
        <v>31</v>
      </c>
      <c r="G94" s="57">
        <f>+'Purchased Power Model '!G94</f>
        <v>0</v>
      </c>
      <c r="H94" s="61">
        <v>306</v>
      </c>
      <c r="I94" s="222">
        <f t="shared" si="3"/>
        <v>211169.17507140545</v>
      </c>
      <c r="J94" s="36">
        <f t="shared" si="4"/>
        <v>-20703.824928594549</v>
      </c>
      <c r="K94" s="5">
        <f t="shared" si="5"/>
        <v>-8.9289502997738204E-2</v>
      </c>
    </row>
    <row r="95" spans="1:17" x14ac:dyDescent="0.2">
      <c r="A95" s="3">
        <v>40422</v>
      </c>
      <c r="B95" s="59">
        <v>231868</v>
      </c>
      <c r="C95" s="216">
        <f>+'Purchased Power Model '!C95</f>
        <v>85.5</v>
      </c>
      <c r="D95" s="216">
        <f>+'Purchased Power Model '!D95</f>
        <v>18.5</v>
      </c>
      <c r="E95" s="126">
        <f>+'Purchased Power Model '!E95</f>
        <v>0.10400000000000001</v>
      </c>
      <c r="F95" s="57">
        <f>+'Purchased Power Model '!F95</f>
        <v>30</v>
      </c>
      <c r="G95" s="57">
        <f>+'Purchased Power Model '!G95</f>
        <v>1</v>
      </c>
      <c r="H95" s="61">
        <v>306</v>
      </c>
      <c r="I95" s="222">
        <f t="shared" si="3"/>
        <v>212417.67018550713</v>
      </c>
      <c r="J95" s="36">
        <f t="shared" si="4"/>
        <v>-19450.32981449287</v>
      </c>
      <c r="K95" s="5">
        <f t="shared" si="5"/>
        <v>-8.3885356385930226E-2</v>
      </c>
    </row>
    <row r="96" spans="1:17" x14ac:dyDescent="0.2">
      <c r="A96" s="3">
        <v>40452</v>
      </c>
      <c r="B96" s="59">
        <v>230332</v>
      </c>
      <c r="C96" s="216">
        <f>+'Purchased Power Model '!C96</f>
        <v>247.8</v>
      </c>
      <c r="D96" s="216">
        <f>+'Purchased Power Model '!D96</f>
        <v>0</v>
      </c>
      <c r="E96" s="126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61">
        <v>307</v>
      </c>
      <c r="I96" s="222">
        <f t="shared" si="3"/>
        <v>230530.03887452587</v>
      </c>
      <c r="J96" s="36">
        <f t="shared" si="4"/>
        <v>198.03887452586787</v>
      </c>
      <c r="K96" s="5">
        <f t="shared" si="5"/>
        <v>8.5979748591540853E-4</v>
      </c>
    </row>
    <row r="97" spans="1:11" x14ac:dyDescent="0.2">
      <c r="A97" s="3">
        <v>40483</v>
      </c>
      <c r="B97" s="59">
        <v>230599</v>
      </c>
      <c r="C97" s="216">
        <f>+'Purchased Power Model '!C97</f>
        <v>389.2</v>
      </c>
      <c r="D97" s="216">
        <f>+'Purchased Power Model '!D97</f>
        <v>0</v>
      </c>
      <c r="E97" s="126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61">
        <v>309</v>
      </c>
      <c r="I97" s="222">
        <f t="shared" si="3"/>
        <v>229392.20753909621</v>
      </c>
      <c r="J97" s="36">
        <f t="shared" si="4"/>
        <v>-1206.7924609037873</v>
      </c>
      <c r="K97" s="5">
        <f t="shared" si="5"/>
        <v>-5.233294424103258E-3</v>
      </c>
    </row>
    <row r="98" spans="1:11" x14ac:dyDescent="0.2">
      <c r="A98" s="3">
        <v>40513</v>
      </c>
      <c r="B98" s="59">
        <v>230570</v>
      </c>
      <c r="C98" s="216">
        <f>+'Purchased Power Model '!C98</f>
        <v>628.70000000000005</v>
      </c>
      <c r="D98" s="216">
        <f>+'Purchased Power Model '!D98</f>
        <v>0</v>
      </c>
      <c r="E98" s="126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61">
        <v>309</v>
      </c>
      <c r="I98" s="222">
        <f t="shared" si="3"/>
        <v>229682.51158397863</v>
      </c>
      <c r="J98" s="36">
        <f t="shared" si="4"/>
        <v>-887.48841602136963</v>
      </c>
      <c r="K98" s="5">
        <f t="shared" si="5"/>
        <v>-3.8491061977766823E-3</v>
      </c>
    </row>
    <row r="99" spans="1:11" x14ac:dyDescent="0.2">
      <c r="A99" s="3">
        <v>40544</v>
      </c>
      <c r="B99" s="129">
        <v>231111</v>
      </c>
      <c r="C99" s="219">
        <f>+'Purchased Power Model '!C99</f>
        <v>760.9</v>
      </c>
      <c r="D99" s="219">
        <f>+'Purchased Power Model '!D99</f>
        <v>0</v>
      </c>
      <c r="E99" s="126">
        <f>+'Purchased Power Model '!E99</f>
        <v>8.6999999999999994E-2</v>
      </c>
      <c r="F99" s="57">
        <f>+'Purchased Power Model '!F99</f>
        <v>31</v>
      </c>
      <c r="G99" s="57">
        <f>+'Purchased Power Model '!G99</f>
        <v>0</v>
      </c>
      <c r="H99" s="61">
        <v>309</v>
      </c>
      <c r="I99" s="222">
        <f t="shared" si="3"/>
        <v>238647.16998351776</v>
      </c>
      <c r="J99" s="36">
        <f t="shared" si="4"/>
        <v>7536.1699835177569</v>
      </c>
      <c r="K99" s="5">
        <f t="shared" si="5"/>
        <v>3.2608443490434277E-2</v>
      </c>
    </row>
    <row r="100" spans="1:11" x14ac:dyDescent="0.2">
      <c r="A100" s="3">
        <v>40575</v>
      </c>
      <c r="B100" s="129">
        <v>231111</v>
      </c>
      <c r="C100" s="219">
        <f>+'Purchased Power Model '!C100</f>
        <v>634.19999999999993</v>
      </c>
      <c r="D100" s="219">
        <f>+'Purchased Power Model '!D100</f>
        <v>0</v>
      </c>
      <c r="E100" s="126">
        <f>+'Purchased Power Model '!E100</f>
        <v>8.6999999999999994E-2</v>
      </c>
      <c r="F100" s="57">
        <f>+'Purchased Power Model '!F100</f>
        <v>28</v>
      </c>
      <c r="G100" s="57">
        <f>+'Purchased Power Model '!G100</f>
        <v>0</v>
      </c>
      <c r="H100" s="61">
        <v>309</v>
      </c>
      <c r="I100" s="222">
        <f t="shared" si="3"/>
        <v>241821.01023686997</v>
      </c>
      <c r="J100" s="36">
        <f t="shared" si="4"/>
        <v>10710.010236869974</v>
      </c>
      <c r="K100" s="5">
        <f t="shared" si="5"/>
        <v>4.6341412727520431E-2</v>
      </c>
    </row>
    <row r="101" spans="1:11" x14ac:dyDescent="0.2">
      <c r="A101" s="3">
        <v>40603</v>
      </c>
      <c r="B101" s="129">
        <v>231111</v>
      </c>
      <c r="C101" s="219">
        <f>+'Purchased Power Model '!C101</f>
        <v>559.80000000000007</v>
      </c>
      <c r="D101" s="219">
        <f>+'Purchased Power Model '!D101</f>
        <v>0</v>
      </c>
      <c r="E101" s="126">
        <f>+'Purchased Power Model '!E101</f>
        <v>8.6999999999999994E-2</v>
      </c>
      <c r="F101" s="57">
        <f>+'Purchased Power Model '!F101</f>
        <v>31</v>
      </c>
      <c r="G101" s="57">
        <f>+'Purchased Power Model '!G101</f>
        <v>1</v>
      </c>
      <c r="H101" s="61">
        <v>310</v>
      </c>
      <c r="I101" s="222">
        <f t="shared" si="3"/>
        <v>237344.75590560707</v>
      </c>
      <c r="J101" s="36">
        <f t="shared" si="4"/>
        <v>6233.755905607075</v>
      </c>
      <c r="K101" s="5">
        <f t="shared" si="5"/>
        <v>2.6972995251662947E-2</v>
      </c>
    </row>
    <row r="102" spans="1:11" x14ac:dyDescent="0.2">
      <c r="A102" s="3">
        <v>40634</v>
      </c>
      <c r="B102" s="129">
        <v>231060</v>
      </c>
      <c r="C102" s="219">
        <f>+'Purchased Power Model '!C102</f>
        <v>350.79999999999995</v>
      </c>
      <c r="D102" s="219">
        <f>+'Purchased Power Model '!D102</f>
        <v>0</v>
      </c>
      <c r="E102" s="126">
        <f>+'Purchased Power Model '!E102</f>
        <v>9.3000000000000013E-2</v>
      </c>
      <c r="F102" s="57">
        <f>+'Purchased Power Model '!F102</f>
        <v>30</v>
      </c>
      <c r="G102" s="57">
        <f>+'Purchased Power Model '!G102</f>
        <v>1</v>
      </c>
      <c r="H102" s="61">
        <v>310</v>
      </c>
      <c r="I102" s="222">
        <f t="shared" si="3"/>
        <v>229851.37188030189</v>
      </c>
      <c r="J102" s="36">
        <f t="shared" si="4"/>
        <v>-1208.6281196981145</v>
      </c>
      <c r="K102" s="5">
        <f t="shared" si="5"/>
        <v>-5.2307977135727275E-3</v>
      </c>
    </row>
    <row r="103" spans="1:11" x14ac:dyDescent="0.2">
      <c r="A103" s="3">
        <v>40664</v>
      </c>
      <c r="B103" s="129">
        <v>231231</v>
      </c>
      <c r="C103" s="219">
        <f>+'Purchased Power Model '!C103</f>
        <v>157.69999999999996</v>
      </c>
      <c r="D103" s="219">
        <f>+'Purchased Power Model '!D103</f>
        <v>2.8</v>
      </c>
      <c r="E103" s="126">
        <f>+'Purchased Power Model '!E103</f>
        <v>9.3000000000000013E-2</v>
      </c>
      <c r="F103" s="57">
        <f>+'Purchased Power Model '!F103</f>
        <v>31</v>
      </c>
      <c r="G103" s="57">
        <f>+'Purchased Power Model '!G103</f>
        <v>1</v>
      </c>
      <c r="H103" s="61">
        <v>310</v>
      </c>
      <c r="I103" s="222">
        <f t="shared" si="3"/>
        <v>231414.7734842315</v>
      </c>
      <c r="J103" s="36">
        <f t="shared" si="4"/>
        <v>183.7734842314967</v>
      </c>
      <c r="K103" s="5">
        <f t="shared" si="5"/>
        <v>7.9476144734701095E-4</v>
      </c>
    </row>
    <row r="104" spans="1:11" x14ac:dyDescent="0.2">
      <c r="A104" s="3">
        <v>40695</v>
      </c>
      <c r="B104" s="129">
        <v>231231</v>
      </c>
      <c r="C104" s="219">
        <f>+'Purchased Power Model '!C104</f>
        <v>26.699999999999996</v>
      </c>
      <c r="D104" s="219">
        <f>+'Purchased Power Model '!D104</f>
        <v>36.900000000000006</v>
      </c>
      <c r="E104" s="126">
        <f>+'Purchased Power Model '!E104</f>
        <v>9.3000000000000013E-2</v>
      </c>
      <c r="F104" s="57">
        <f>+'Purchased Power Model '!F104</f>
        <v>30</v>
      </c>
      <c r="G104" s="57">
        <f>+'Purchased Power Model '!G104</f>
        <v>0</v>
      </c>
      <c r="H104" s="61">
        <v>297</v>
      </c>
      <c r="I104" s="222">
        <f t="shared" si="3"/>
        <v>234895.2589177441</v>
      </c>
      <c r="J104" s="36">
        <f t="shared" si="4"/>
        <v>3664.2589177440968</v>
      </c>
      <c r="K104" s="5">
        <f t="shared" si="5"/>
        <v>1.5846745971535379E-2</v>
      </c>
    </row>
    <row r="105" spans="1:11" x14ac:dyDescent="0.2">
      <c r="A105" s="3">
        <v>40725</v>
      </c>
      <c r="B105" s="129">
        <v>231231</v>
      </c>
      <c r="C105" s="219">
        <f>+'Purchased Power Model '!C105</f>
        <v>0.2</v>
      </c>
      <c r="D105" s="219">
        <f>+'Purchased Power Model '!D105</f>
        <v>141.19999999999999</v>
      </c>
      <c r="E105" s="126">
        <f>+'Purchased Power Model '!E105</f>
        <v>7.2000000000000008E-2</v>
      </c>
      <c r="F105" s="57">
        <f>+'Purchased Power Model '!F105</f>
        <v>31</v>
      </c>
      <c r="G105" s="57">
        <f>+'Purchased Power Model '!G105</f>
        <v>0</v>
      </c>
      <c r="H105" s="61">
        <v>296</v>
      </c>
      <c r="I105" s="222">
        <f t="shared" si="3"/>
        <v>264392.80357164494</v>
      </c>
      <c r="J105" s="36">
        <f t="shared" si="4"/>
        <v>33161.803571644938</v>
      </c>
      <c r="K105" s="5">
        <f t="shared" si="5"/>
        <v>0.14341417704219994</v>
      </c>
    </row>
    <row r="106" spans="1:11" x14ac:dyDescent="0.2">
      <c r="A106" s="3">
        <v>40756</v>
      </c>
      <c r="B106" s="129">
        <v>229875</v>
      </c>
      <c r="C106" s="219">
        <f>+'Purchased Power Model '!C106</f>
        <v>3.7</v>
      </c>
      <c r="D106" s="219">
        <f>+'Purchased Power Model '!D106</f>
        <v>80.499999999999957</v>
      </c>
      <c r="E106" s="126">
        <f>+'Purchased Power Model '!E106</f>
        <v>7.2000000000000008E-2</v>
      </c>
      <c r="F106" s="57">
        <f>+'Purchased Power Model '!F106</f>
        <v>31</v>
      </c>
      <c r="G106" s="57">
        <f>+'Purchased Power Model '!G106</f>
        <v>0</v>
      </c>
      <c r="H106" s="61">
        <v>296</v>
      </c>
      <c r="I106" s="222">
        <f t="shared" si="3"/>
        <v>268526.84287543281</v>
      </c>
      <c r="J106" s="36">
        <f t="shared" si="4"/>
        <v>38651.842875432805</v>
      </c>
      <c r="K106" s="5">
        <f t="shared" si="5"/>
        <v>0.1681428727588159</v>
      </c>
    </row>
    <row r="107" spans="1:11" x14ac:dyDescent="0.2">
      <c r="A107" s="3">
        <v>40787</v>
      </c>
      <c r="B107" s="129">
        <v>229977</v>
      </c>
      <c r="C107" s="219">
        <f>+'Purchased Power Model '!C107</f>
        <v>48.900000000000006</v>
      </c>
      <c r="D107" s="219">
        <f>+'Purchased Power Model '!D107</f>
        <v>34.6</v>
      </c>
      <c r="E107" s="126">
        <f>+'Purchased Power Model '!E107</f>
        <v>7.2000000000000008E-2</v>
      </c>
      <c r="F107" s="57">
        <f>+'Purchased Power Model '!F107</f>
        <v>30</v>
      </c>
      <c r="G107" s="57">
        <f>+'Purchased Power Model '!G107</f>
        <v>1</v>
      </c>
      <c r="H107" s="61">
        <v>295</v>
      </c>
      <c r="I107" s="222">
        <f t="shared" si="3"/>
        <v>267989.9817056295</v>
      </c>
      <c r="J107" s="36">
        <f t="shared" si="4"/>
        <v>38012.9817056295</v>
      </c>
      <c r="K107" s="5">
        <f t="shared" si="5"/>
        <v>0.16529036253899085</v>
      </c>
    </row>
    <row r="108" spans="1:11" x14ac:dyDescent="0.2">
      <c r="A108" s="3">
        <v>40817</v>
      </c>
      <c r="B108" s="129">
        <v>229977</v>
      </c>
      <c r="C108" s="219">
        <f>+'Purchased Power Model '!C108</f>
        <v>225.29999999999998</v>
      </c>
      <c r="D108" s="219">
        <f>+'Purchased Power Model '!D108</f>
        <v>0</v>
      </c>
      <c r="E108" s="126">
        <f>+'Purchased Power Model '!E108</f>
        <v>7.2000000000000008E-2</v>
      </c>
      <c r="F108" s="57">
        <f>+'Purchased Power Model '!F108</f>
        <v>31</v>
      </c>
      <c r="G108" s="57">
        <f>+'Purchased Power Model '!G108</f>
        <v>1</v>
      </c>
      <c r="H108" s="61">
        <v>295</v>
      </c>
      <c r="I108" s="222">
        <f t="shared" si="3"/>
        <v>267708.07604252204</v>
      </c>
      <c r="J108" s="36">
        <f t="shared" si="4"/>
        <v>37731.076042522036</v>
      </c>
      <c r="K108" s="5">
        <f t="shared" si="5"/>
        <v>0.16406456316293383</v>
      </c>
    </row>
    <row r="109" spans="1:11" x14ac:dyDescent="0.2">
      <c r="A109" s="3">
        <v>40848</v>
      </c>
      <c r="B109" s="129">
        <v>231136</v>
      </c>
      <c r="C109" s="219">
        <f>+'Purchased Power Model '!C109</f>
        <v>349.69999999999993</v>
      </c>
      <c r="D109" s="219">
        <f>+'Purchased Power Model '!D109</f>
        <v>0</v>
      </c>
      <c r="E109" s="126">
        <f>+'Purchased Power Model '!E109</f>
        <v>7.2000000000000008E-2</v>
      </c>
      <c r="F109" s="57">
        <f>+'Purchased Power Model '!F109</f>
        <v>30</v>
      </c>
      <c r="G109" s="57">
        <f>+'Purchased Power Model '!G109</f>
        <v>1</v>
      </c>
      <c r="H109" s="61">
        <v>295</v>
      </c>
      <c r="I109" s="222">
        <f t="shared" si="3"/>
        <v>266773.52058731369</v>
      </c>
      <c r="J109" s="36">
        <f t="shared" si="4"/>
        <v>35637.520587313687</v>
      </c>
      <c r="K109" s="5">
        <f t="shared" si="5"/>
        <v>0.15418420578063863</v>
      </c>
    </row>
    <row r="110" spans="1:11" x14ac:dyDescent="0.2">
      <c r="A110" s="3">
        <v>40878</v>
      </c>
      <c r="B110" s="129">
        <v>229977</v>
      </c>
      <c r="C110" s="219">
        <f>+'Purchased Power Model '!C110</f>
        <v>531.20000000000005</v>
      </c>
      <c r="D110" s="219">
        <f>+'Purchased Power Model '!D110</f>
        <v>0</v>
      </c>
      <c r="E110" s="126">
        <f>+'Purchased Power Model '!E110</f>
        <v>7.2000000000000008E-2</v>
      </c>
      <c r="F110" s="57">
        <f>+'Purchased Power Model '!F110</f>
        <v>31</v>
      </c>
      <c r="G110" s="57">
        <f>+'Purchased Power Model '!G110</f>
        <v>0</v>
      </c>
      <c r="H110" s="61">
        <v>296</v>
      </c>
      <c r="I110" s="222">
        <f t="shared" si="3"/>
        <v>267757.35410589224</v>
      </c>
      <c r="J110" s="36">
        <f t="shared" si="4"/>
        <v>37780.354105892242</v>
      </c>
      <c r="K110" s="5">
        <f t="shared" si="5"/>
        <v>0.16427883703975721</v>
      </c>
    </row>
    <row r="111" spans="1:11" x14ac:dyDescent="0.2">
      <c r="A111" s="3">
        <v>40909</v>
      </c>
      <c r="B111" s="129">
        <v>230082</v>
      </c>
      <c r="C111" s="219">
        <f>+'Purchased Power Model '!C111</f>
        <v>611</v>
      </c>
      <c r="D111" s="219">
        <f>+'Purchased Power Model '!D111</f>
        <v>0</v>
      </c>
      <c r="E111" s="126">
        <f>+'Purchased Power Model '!E111</f>
        <v>0.08</v>
      </c>
      <c r="F111" s="57">
        <f>+'Purchased Power Model '!F111</f>
        <v>31</v>
      </c>
      <c r="G111" s="57">
        <f>+'Purchased Power Model '!G111</f>
        <v>0</v>
      </c>
      <c r="H111" s="61">
        <v>297</v>
      </c>
      <c r="I111" s="222">
        <f t="shared" si="3"/>
        <v>252742.58347148765</v>
      </c>
      <c r="J111" s="36">
        <f t="shared" si="4"/>
        <v>22660.583471487655</v>
      </c>
      <c r="K111" s="5">
        <f t="shared" si="5"/>
        <v>9.8489162435512798E-2</v>
      </c>
    </row>
    <row r="112" spans="1:11" x14ac:dyDescent="0.2">
      <c r="A112" s="3">
        <v>40940</v>
      </c>
      <c r="B112" s="129">
        <v>230313</v>
      </c>
      <c r="C112" s="219">
        <f>+'Purchased Power Model '!C112</f>
        <v>536.20000000000005</v>
      </c>
      <c r="D112" s="219">
        <f>+'Purchased Power Model '!D112</f>
        <v>0</v>
      </c>
      <c r="E112" s="126">
        <f>+'Purchased Power Model '!E112</f>
        <v>0.08</v>
      </c>
      <c r="F112" s="57">
        <f>+'Purchased Power Model '!F112</f>
        <v>29</v>
      </c>
      <c r="G112" s="57">
        <f>+'Purchased Power Model '!G112</f>
        <v>0</v>
      </c>
      <c r="H112" s="61">
        <v>297</v>
      </c>
      <c r="I112" s="222">
        <f t="shared" si="3"/>
        <v>254742.88872810637</v>
      </c>
      <c r="J112" s="36">
        <f t="shared" si="4"/>
        <v>24429.888728106365</v>
      </c>
      <c r="K112" s="5">
        <f t="shared" si="5"/>
        <v>0.10607255659952484</v>
      </c>
    </row>
    <row r="113" spans="1:11" x14ac:dyDescent="0.2">
      <c r="A113" s="3">
        <v>40969</v>
      </c>
      <c r="B113" s="129">
        <v>230313</v>
      </c>
      <c r="C113" s="219">
        <f>+'Purchased Power Model '!C113</f>
        <v>399.39999999999992</v>
      </c>
      <c r="D113" s="219">
        <f>+'Purchased Power Model '!D113</f>
        <v>0</v>
      </c>
      <c r="E113" s="126">
        <f>+'Purchased Power Model '!E113</f>
        <v>0.08</v>
      </c>
      <c r="F113" s="57">
        <f>+'Purchased Power Model '!F113</f>
        <v>31</v>
      </c>
      <c r="G113" s="57">
        <f>+'Purchased Power Model '!G113</f>
        <v>1</v>
      </c>
      <c r="H113" s="61">
        <v>297</v>
      </c>
      <c r="I113" s="222">
        <f t="shared" si="3"/>
        <v>251565.72214312531</v>
      </c>
      <c r="J113" s="36">
        <f t="shared" si="4"/>
        <v>21252.722143125313</v>
      </c>
      <c r="K113" s="5">
        <f t="shared" si="5"/>
        <v>9.227756202700374E-2</v>
      </c>
    </row>
    <row r="114" spans="1:11" x14ac:dyDescent="0.2">
      <c r="A114" s="3">
        <v>41000</v>
      </c>
      <c r="B114" s="129">
        <v>229486</v>
      </c>
      <c r="C114" s="219">
        <f>+'Purchased Power Model '!C114</f>
        <v>336.89999999999992</v>
      </c>
      <c r="D114" s="219">
        <f>+'Purchased Power Model '!D114</f>
        <v>0</v>
      </c>
      <c r="E114" s="126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61">
        <v>297</v>
      </c>
      <c r="I114" s="222">
        <f t="shared" si="3"/>
        <v>245835.7207609608</v>
      </c>
      <c r="J114" s="36">
        <f t="shared" si="4"/>
        <v>16349.720760960801</v>
      </c>
      <c r="K114" s="5">
        <f t="shared" si="5"/>
        <v>7.1244959435263155E-2</v>
      </c>
    </row>
    <row r="115" spans="1:11" x14ac:dyDescent="0.2">
      <c r="A115" s="3">
        <v>41030</v>
      </c>
      <c r="B115" s="129">
        <v>229819</v>
      </c>
      <c r="C115" s="219">
        <f>+'Purchased Power Model '!C115</f>
        <v>109.30000000000001</v>
      </c>
      <c r="D115" s="219">
        <f>+'Purchased Power Model '!D115</f>
        <v>21.8</v>
      </c>
      <c r="E115" s="126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61">
        <v>297</v>
      </c>
      <c r="I115" s="222">
        <f t="shared" si="3"/>
        <v>246504.53727273719</v>
      </c>
      <c r="J115" s="36">
        <f t="shared" si="4"/>
        <v>16685.537272737187</v>
      </c>
      <c r="K115" s="5">
        <f t="shared" si="5"/>
        <v>7.2602949593972593E-2</v>
      </c>
    </row>
    <row r="116" spans="1:11" x14ac:dyDescent="0.2">
      <c r="A116" s="3">
        <v>41061</v>
      </c>
      <c r="B116" s="129">
        <v>207283</v>
      </c>
      <c r="C116" s="219">
        <f>+'Purchased Power Model '!C116</f>
        <v>28.2</v>
      </c>
      <c r="D116" s="219">
        <f>+'Purchased Power Model '!D116</f>
        <v>64.3</v>
      </c>
      <c r="E116" s="126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61">
        <v>297</v>
      </c>
      <c r="I116" s="222">
        <f t="shared" si="3"/>
        <v>248810.46554437565</v>
      </c>
      <c r="J116" s="36">
        <f t="shared" si="4"/>
        <v>41527.465544375649</v>
      </c>
      <c r="K116" s="5">
        <f t="shared" si="5"/>
        <v>0.20034187822626867</v>
      </c>
    </row>
    <row r="117" spans="1:11" x14ac:dyDescent="0.2">
      <c r="A117" s="3">
        <v>41091</v>
      </c>
      <c r="B117" s="129">
        <v>252595</v>
      </c>
      <c r="C117" s="219">
        <f>+'Purchased Power Model '!C117</f>
        <v>0</v>
      </c>
      <c r="D117" s="219">
        <f>+'Purchased Power Model '!D117</f>
        <v>155.30000000000001</v>
      </c>
      <c r="E117" s="126">
        <f>+'Purchased Power Model '!E117</f>
        <v>9.3000000000000013E-2</v>
      </c>
      <c r="F117" s="57">
        <f>+'Purchased Power Model '!F117</f>
        <v>31</v>
      </c>
      <c r="G117" s="57">
        <f>+'Purchased Power Model '!G117</f>
        <v>0</v>
      </c>
      <c r="H117" s="61">
        <v>297</v>
      </c>
      <c r="I117" s="222">
        <f t="shared" si="3"/>
        <v>226516.18215787996</v>
      </c>
      <c r="J117" s="36">
        <f t="shared" si="4"/>
        <v>-26078.817842120043</v>
      </c>
      <c r="K117" s="5">
        <f t="shared" si="5"/>
        <v>-0.10324360277170982</v>
      </c>
    </row>
    <row r="118" spans="1:11" x14ac:dyDescent="0.2">
      <c r="A118" s="3">
        <v>41122</v>
      </c>
      <c r="B118" s="129">
        <v>230561</v>
      </c>
      <c r="C118" s="219">
        <f>+'Purchased Power Model '!C118</f>
        <v>4.4000000000000004</v>
      </c>
      <c r="D118" s="219">
        <f>+'Purchased Power Model '!D118</f>
        <v>102.79999999999998</v>
      </c>
      <c r="E118" s="126">
        <f>+'Purchased Power Model '!E118</f>
        <v>9.3000000000000013E-2</v>
      </c>
      <c r="F118" s="57">
        <f>+'Purchased Power Model '!F118</f>
        <v>31</v>
      </c>
      <c r="G118" s="57">
        <f>+'Purchased Power Model '!G118</f>
        <v>0</v>
      </c>
      <c r="H118" s="61">
        <v>296</v>
      </c>
      <c r="I118" s="222">
        <f t="shared" si="3"/>
        <v>230075.33624212435</v>
      </c>
      <c r="J118" s="36">
        <f t="shared" si="4"/>
        <v>-485.66375787564903</v>
      </c>
      <c r="K118" s="5">
        <f t="shared" si="5"/>
        <v>-2.106443665128313E-3</v>
      </c>
    </row>
    <row r="119" spans="1:11" x14ac:dyDescent="0.2">
      <c r="A119" s="3">
        <v>41153</v>
      </c>
      <c r="B119" s="129">
        <v>229887</v>
      </c>
      <c r="C119" s="219">
        <f>+'Purchased Power Model '!C119</f>
        <v>84</v>
      </c>
      <c r="D119" s="219">
        <f>+'Purchased Power Model '!D119</f>
        <v>24.400000000000002</v>
      </c>
      <c r="E119" s="126">
        <f>+'Purchased Power Model '!E119</f>
        <v>9.3000000000000013E-2</v>
      </c>
      <c r="F119" s="57">
        <f>+'Purchased Power Model '!F119</f>
        <v>30</v>
      </c>
      <c r="G119" s="57">
        <f>+'Purchased Power Model '!G119</f>
        <v>1</v>
      </c>
      <c r="H119" s="61">
        <v>296</v>
      </c>
      <c r="I119" s="222">
        <f t="shared" si="3"/>
        <v>231362.99590451948</v>
      </c>
      <c r="J119" s="36">
        <f t="shared" si="4"/>
        <v>1475.9959045194846</v>
      </c>
      <c r="K119" s="5">
        <f t="shared" si="5"/>
        <v>6.4205279311987393E-3</v>
      </c>
    </row>
    <row r="120" spans="1:11" x14ac:dyDescent="0.2">
      <c r="A120" s="3">
        <v>41183</v>
      </c>
      <c r="B120" s="129">
        <v>229885</v>
      </c>
      <c r="C120" s="219">
        <f>+'Purchased Power Model '!C120</f>
        <v>228.99999999999994</v>
      </c>
      <c r="D120" s="219">
        <f>+'Purchased Power Model '!D120</f>
        <v>0</v>
      </c>
      <c r="E120" s="126">
        <f>+'Purchased Power Model '!E120</f>
        <v>9.4E-2</v>
      </c>
      <c r="F120" s="57">
        <f>+'Purchased Power Model '!F120</f>
        <v>31</v>
      </c>
      <c r="G120" s="57">
        <f>+'Purchased Power Model '!G120</f>
        <v>1</v>
      </c>
      <c r="H120" s="61">
        <v>296</v>
      </c>
      <c r="I120" s="222">
        <f t="shared" si="3"/>
        <v>228997.26686601157</v>
      </c>
      <c r="J120" s="36">
        <f t="shared" si="4"/>
        <v>-887.73313398842583</v>
      </c>
      <c r="K120" s="5">
        <f t="shared" si="5"/>
        <v>-3.8616400982596768E-3</v>
      </c>
    </row>
    <row r="121" spans="1:11" x14ac:dyDescent="0.2">
      <c r="A121" s="3">
        <v>41214</v>
      </c>
      <c r="B121" s="129">
        <v>209602</v>
      </c>
      <c r="C121" s="219">
        <f>+'Purchased Power Model '!C121</f>
        <v>427.89999999999992</v>
      </c>
      <c r="D121" s="219">
        <f>+'Purchased Power Model '!D121</f>
        <v>0</v>
      </c>
      <c r="E121" s="126">
        <f>+'Purchased Power Model '!E121</f>
        <v>9.4E-2</v>
      </c>
      <c r="F121" s="57">
        <f>+'Purchased Power Model '!F121</f>
        <v>30</v>
      </c>
      <c r="G121" s="57">
        <f>+'Purchased Power Model '!G121</f>
        <v>1</v>
      </c>
      <c r="H121" s="61">
        <v>296</v>
      </c>
      <c r="I121" s="222">
        <f t="shared" si="3"/>
        <v>227171.88475924527</v>
      </c>
      <c r="J121" s="36">
        <f t="shared" si="4"/>
        <v>17569.884759245266</v>
      </c>
      <c r="K121" s="5">
        <f t="shared" si="5"/>
        <v>8.3824986208362831E-2</v>
      </c>
    </row>
    <row r="122" spans="1:11" x14ac:dyDescent="0.2">
      <c r="A122" s="3">
        <v>41244</v>
      </c>
      <c r="B122" s="129">
        <v>235875</v>
      </c>
      <c r="C122" s="219">
        <f>+'Purchased Power Model '!C122</f>
        <v>451.09999999999997</v>
      </c>
      <c r="D122" s="219">
        <f>+'Purchased Power Model '!D122</f>
        <v>0</v>
      </c>
      <c r="E122" s="126">
        <f>+'Purchased Power Model '!E122</f>
        <v>9.4E-2</v>
      </c>
      <c r="F122" s="57">
        <f>+'Purchased Power Model '!F122</f>
        <v>31</v>
      </c>
      <c r="G122" s="57">
        <f>+'Purchased Power Model '!G122</f>
        <v>0</v>
      </c>
      <c r="H122" s="61">
        <v>295</v>
      </c>
      <c r="I122" s="222">
        <f t="shared" si="3"/>
        <v>230048.5754448254</v>
      </c>
      <c r="J122" s="36">
        <f t="shared" si="4"/>
        <v>-5826.4245551745989</v>
      </c>
      <c r="K122" s="5">
        <f t="shared" si="5"/>
        <v>-2.4701322968413774E-2</v>
      </c>
    </row>
    <row r="123" spans="1:11" x14ac:dyDescent="0.2">
      <c r="A123" s="3">
        <v>41275</v>
      </c>
      <c r="B123" s="129">
        <v>228723</v>
      </c>
      <c r="C123" s="219">
        <f>+'Purchased Power Model '!C123</f>
        <v>615.40000000000009</v>
      </c>
      <c r="D123" s="219">
        <f>+'Purchased Power Model '!D123</f>
        <v>0</v>
      </c>
      <c r="E123" s="126">
        <f>+'Purchased Power Model '!E123</f>
        <v>8.4000000000000005E-2</v>
      </c>
      <c r="F123" s="57">
        <f>+'Purchased Power Model '!F123</f>
        <v>31</v>
      </c>
      <c r="G123" s="57">
        <f>+'Purchased Power Model '!G123</f>
        <v>0</v>
      </c>
      <c r="H123" s="61">
        <v>295</v>
      </c>
      <c r="I123" s="222">
        <f t="shared" si="3"/>
        <v>245659.68602180612</v>
      </c>
      <c r="J123" s="36">
        <f t="shared" si="4"/>
        <v>16936.686021806119</v>
      </c>
      <c r="K123" s="5">
        <f t="shared" si="5"/>
        <v>7.404889767013427E-2</v>
      </c>
    </row>
    <row r="124" spans="1:11" x14ac:dyDescent="0.2">
      <c r="A124" s="3">
        <v>41306</v>
      </c>
      <c r="B124" s="129">
        <v>229299</v>
      </c>
      <c r="C124" s="219">
        <f>+'Purchased Power Model '!C124</f>
        <v>611.5</v>
      </c>
      <c r="D124" s="219">
        <f>+'Purchased Power Model '!D124</f>
        <v>0</v>
      </c>
      <c r="E124" s="126">
        <f>+'Purchased Power Model '!E124</f>
        <v>8.4000000000000005E-2</v>
      </c>
      <c r="F124" s="57">
        <f>+'Purchased Power Model '!F124</f>
        <v>28</v>
      </c>
      <c r="G124" s="57">
        <f>+'Purchased Power Model '!G124</f>
        <v>0</v>
      </c>
      <c r="H124" s="61">
        <v>295</v>
      </c>
      <c r="I124" s="222">
        <f t="shared" si="3"/>
        <v>247365.15697567759</v>
      </c>
      <c r="J124" s="36">
        <f t="shared" si="4"/>
        <v>18066.156975677586</v>
      </c>
      <c r="K124" s="5">
        <f t="shared" si="5"/>
        <v>7.878864267038925E-2</v>
      </c>
    </row>
    <row r="125" spans="1:11" x14ac:dyDescent="0.2">
      <c r="A125" s="3">
        <v>41334</v>
      </c>
      <c r="B125" s="129">
        <v>228445</v>
      </c>
      <c r="C125" s="219">
        <f>+'Purchased Power Model '!C125</f>
        <v>545</v>
      </c>
      <c r="D125" s="219">
        <f>+'Purchased Power Model '!D125</f>
        <v>0</v>
      </c>
      <c r="E125" s="126">
        <f>+'Purchased Power Model '!E125</f>
        <v>8.4000000000000005E-2</v>
      </c>
      <c r="F125" s="57">
        <f>+'Purchased Power Model '!F125</f>
        <v>31</v>
      </c>
      <c r="G125" s="57">
        <f>+'Purchased Power Model '!G125</f>
        <v>1</v>
      </c>
      <c r="H125" s="61">
        <v>295</v>
      </c>
      <c r="I125" s="222">
        <f t="shared" si="3"/>
        <v>242794.43914713542</v>
      </c>
      <c r="J125" s="36">
        <f t="shared" si="4"/>
        <v>14349.439147135417</v>
      </c>
      <c r="K125" s="5">
        <f t="shared" si="5"/>
        <v>6.2813540008034394E-2</v>
      </c>
    </row>
    <row r="126" spans="1:11" x14ac:dyDescent="0.2">
      <c r="A126" s="3">
        <v>41365</v>
      </c>
      <c r="B126" s="129">
        <v>239530</v>
      </c>
      <c r="C126" s="219">
        <f>+'Purchased Power Model '!C126</f>
        <v>366.49999999999994</v>
      </c>
      <c r="D126" s="219">
        <f>+'Purchased Power Model '!D126</f>
        <v>0</v>
      </c>
      <c r="E126" s="126">
        <f>+'Purchased Power Model '!E126</f>
        <v>7.0999999999999994E-2</v>
      </c>
      <c r="F126" s="57">
        <f>+'Purchased Power Model '!F126</f>
        <v>30</v>
      </c>
      <c r="G126" s="57">
        <f>+'Purchased Power Model '!G126</f>
        <v>1</v>
      </c>
      <c r="H126" s="61">
        <v>295</v>
      </c>
      <c r="I126" s="222">
        <f t="shared" si="3"/>
        <v>268330.20740526583</v>
      </c>
      <c r="J126" s="36">
        <f t="shared" si="4"/>
        <v>28800.207405265828</v>
      </c>
      <c r="K126" s="5">
        <f t="shared" si="5"/>
        <v>0.12023632699564074</v>
      </c>
    </row>
    <row r="127" spans="1:11" x14ac:dyDescent="0.2">
      <c r="A127" s="3">
        <v>41395</v>
      </c>
      <c r="B127" s="129">
        <v>228536</v>
      </c>
      <c r="C127" s="219">
        <f>+'Purchased Power Model '!C127</f>
        <v>133.4</v>
      </c>
      <c r="D127" s="219">
        <f>+'Purchased Power Model '!D127</f>
        <v>3</v>
      </c>
      <c r="E127" s="126">
        <f>+'Purchased Power Model '!E127</f>
        <v>7.0999999999999994E-2</v>
      </c>
      <c r="F127" s="57">
        <f>+'Purchased Power Model '!F127</f>
        <v>31</v>
      </c>
      <c r="G127" s="57">
        <f>+'Purchased Power Model '!G127</f>
        <v>1</v>
      </c>
      <c r="H127" s="61">
        <v>295</v>
      </c>
      <c r="I127" s="222">
        <f t="shared" si="3"/>
        <v>270358.14608684659</v>
      </c>
      <c r="J127" s="36">
        <f t="shared" si="4"/>
        <v>41822.146086846595</v>
      </c>
      <c r="K127" s="5">
        <f t="shared" si="5"/>
        <v>0.18300025416935009</v>
      </c>
    </row>
    <row r="128" spans="1:11" x14ac:dyDescent="0.2">
      <c r="A128" s="3">
        <v>41426</v>
      </c>
      <c r="B128" s="129">
        <v>228542</v>
      </c>
      <c r="C128" s="219">
        <f>+'Purchased Power Model '!C128</f>
        <v>42.900000000000006</v>
      </c>
      <c r="D128" s="219">
        <f>+'Purchased Power Model '!D128</f>
        <v>32.200000000000003</v>
      </c>
      <c r="E128" s="126">
        <f>+'Purchased Power Model '!E128</f>
        <v>7.0999999999999994E-2</v>
      </c>
      <c r="F128" s="57">
        <f>+'Purchased Power Model '!F128</f>
        <v>30</v>
      </c>
      <c r="G128" s="57">
        <f>+'Purchased Power Model '!G128</f>
        <v>0</v>
      </c>
      <c r="H128" s="61">
        <v>295</v>
      </c>
      <c r="I128" s="222">
        <f t="shared" si="3"/>
        <v>273691.45485131122</v>
      </c>
      <c r="J128" s="36">
        <f t="shared" si="4"/>
        <v>45149.454851311224</v>
      </c>
      <c r="K128" s="5">
        <f t="shared" si="5"/>
        <v>0.19755430009062327</v>
      </c>
    </row>
    <row r="129" spans="1:11" x14ac:dyDescent="0.2">
      <c r="A129" s="3">
        <v>41456</v>
      </c>
      <c r="B129" s="129">
        <v>228399</v>
      </c>
      <c r="C129" s="219">
        <f>+'Purchased Power Model '!C129</f>
        <v>4.4000000000000004</v>
      </c>
      <c r="D129" s="219">
        <f>+'Purchased Power Model '!D129</f>
        <v>109.99999999999999</v>
      </c>
      <c r="E129" s="126">
        <f>+'Purchased Power Model '!E129</f>
        <v>6.3E-2</v>
      </c>
      <c r="F129" s="57">
        <f>+'Purchased Power Model '!F129</f>
        <v>31</v>
      </c>
      <c r="G129" s="57">
        <f>+'Purchased Power Model '!G129</f>
        <v>0</v>
      </c>
      <c r="H129" s="61">
        <v>295</v>
      </c>
      <c r="I129" s="222">
        <f t="shared" si="3"/>
        <v>282307.14475923911</v>
      </c>
      <c r="J129" s="36">
        <f t="shared" si="4"/>
        <v>53908.144759239105</v>
      </c>
      <c r="K129" s="5">
        <f t="shared" si="5"/>
        <v>0.23602618557541455</v>
      </c>
    </row>
    <row r="130" spans="1:11" x14ac:dyDescent="0.2">
      <c r="A130" s="3">
        <v>41487</v>
      </c>
      <c r="B130" s="129">
        <v>228399</v>
      </c>
      <c r="C130" s="219">
        <f>+'Purchased Power Model '!C130</f>
        <v>11</v>
      </c>
      <c r="D130" s="219">
        <f>+'Purchased Power Model '!D130</f>
        <v>57.899999999999991</v>
      </c>
      <c r="E130" s="126">
        <f>+'Purchased Power Model '!E130</f>
        <v>6.3E-2</v>
      </c>
      <c r="F130" s="57">
        <f>+'Purchased Power Model '!F130</f>
        <v>31</v>
      </c>
      <c r="G130" s="57">
        <f>+'Purchased Power Model '!G130</f>
        <v>0</v>
      </c>
      <c r="H130" s="61">
        <v>295</v>
      </c>
      <c r="I130" s="222">
        <f t="shared" si="3"/>
        <v>285812.47433089238</v>
      </c>
      <c r="J130" s="36">
        <f t="shared" si="4"/>
        <v>57413.474330892379</v>
      </c>
      <c r="K130" s="5">
        <f t="shared" si="5"/>
        <v>0.25137358014217392</v>
      </c>
    </row>
    <row r="131" spans="1:11" x14ac:dyDescent="0.2">
      <c r="A131" s="3">
        <v>41518</v>
      </c>
      <c r="B131" s="129">
        <v>228559</v>
      </c>
      <c r="C131" s="219">
        <f>+'Purchased Power Model '!C131</f>
        <v>96.600000000000009</v>
      </c>
      <c r="D131" s="219">
        <f>+'Purchased Power Model '!D131</f>
        <v>15.700000000000001</v>
      </c>
      <c r="E131" s="126">
        <f>+'Purchased Power Model '!E131</f>
        <v>6.3E-2</v>
      </c>
      <c r="F131" s="57">
        <f>+'Purchased Power Model '!F131</f>
        <v>30</v>
      </c>
      <c r="G131" s="57">
        <f>+'Purchased Power Model '!G131</f>
        <v>1</v>
      </c>
      <c r="H131" s="61">
        <v>296</v>
      </c>
      <c r="I131" s="222">
        <f t="shared" si="3"/>
        <v>284537.99045500695</v>
      </c>
      <c r="J131" s="36">
        <f t="shared" si="4"/>
        <v>55978.990455006948</v>
      </c>
      <c r="K131" s="5">
        <f t="shared" si="5"/>
        <v>0.24492140084182618</v>
      </c>
    </row>
    <row r="132" spans="1:11" x14ac:dyDescent="0.2">
      <c r="A132" s="3">
        <v>41548</v>
      </c>
      <c r="B132" s="129">
        <v>228026</v>
      </c>
      <c r="C132" s="219">
        <f>+'Purchased Power Model '!C132</f>
        <v>221</v>
      </c>
      <c r="D132" s="219">
        <f>+'Purchased Power Model '!D132</f>
        <v>3</v>
      </c>
      <c r="E132" s="126">
        <f>+'Purchased Power Model '!E132</f>
        <v>7.0000000000000007E-2</v>
      </c>
      <c r="F132" s="57">
        <f>+'Purchased Power Model '!F132</f>
        <v>31</v>
      </c>
      <c r="G132" s="57">
        <f>+'Purchased Power Model '!G132</f>
        <v>1</v>
      </c>
      <c r="H132" s="61">
        <v>296</v>
      </c>
      <c r="I132" s="222">
        <f t="shared" ref="I132:I195" si="6">$N$18+C132*$N$19+D132*$N$20+E132*$N$21+F132*$N$22+G132*$N$23</f>
        <v>271068.24865070061</v>
      </c>
      <c r="J132" s="36">
        <f t="shared" ref="J132:J133" si="7">I132-B132</f>
        <v>43042.248650700611</v>
      </c>
      <c r="K132" s="5">
        <f t="shared" ref="K132:K133" si="8">J132/B132</f>
        <v>0.18876026703402513</v>
      </c>
    </row>
    <row r="133" spans="1:11" x14ac:dyDescent="0.2">
      <c r="A133" s="3">
        <v>41579</v>
      </c>
      <c r="B133" s="129">
        <v>227979</v>
      </c>
      <c r="C133" s="219">
        <f>+'Purchased Power Model '!C133</f>
        <v>458.6</v>
      </c>
      <c r="D133" s="219">
        <f>+'Purchased Power Model '!D133</f>
        <v>0</v>
      </c>
      <c r="E133" s="126">
        <f>+'Purchased Power Model '!E133</f>
        <v>7.0000000000000007E-2</v>
      </c>
      <c r="F133" s="57">
        <f>+'Purchased Power Model '!F133</f>
        <v>30</v>
      </c>
      <c r="G133" s="57">
        <f>+'Purchased Power Model '!G133</f>
        <v>1</v>
      </c>
      <c r="H133" s="61">
        <v>295</v>
      </c>
      <c r="I133" s="222">
        <f t="shared" si="6"/>
        <v>268986.50164788484</v>
      </c>
      <c r="J133" s="36">
        <f t="shared" si="7"/>
        <v>41007.501647884841</v>
      </c>
      <c r="K133" s="5">
        <f t="shared" si="8"/>
        <v>0.17987403071285005</v>
      </c>
    </row>
    <row r="134" spans="1:11" x14ac:dyDescent="0.2">
      <c r="A134" s="3">
        <v>41609</v>
      </c>
      <c r="B134" s="129">
        <v>227979</v>
      </c>
      <c r="C134" s="219">
        <f>+'Purchased Power Model '!C134</f>
        <v>472.8</v>
      </c>
      <c r="D134" s="219">
        <f ca="1">+'Purchased Power Model '!D134</f>
        <v>0</v>
      </c>
      <c r="E134" s="126">
        <f>+'Purchased Power Model '!E134</f>
        <v>7.0000000000000007E-2</v>
      </c>
      <c r="F134" s="57">
        <f>+'Purchased Power Model '!F134</f>
        <v>31</v>
      </c>
      <c r="G134" s="57">
        <f>+'Purchased Power Model '!G134</f>
        <v>0</v>
      </c>
      <c r="H134" s="61">
        <v>295</v>
      </c>
      <c r="I134" s="222">
        <f t="shared" ca="1" si="6"/>
        <v>271970.8089759351</v>
      </c>
      <c r="J134" s="36">
        <f t="shared" ref="J134" ca="1" si="9">I134-B134</f>
        <v>43991.808975935099</v>
      </c>
      <c r="K134" s="5">
        <f t="shared" ref="K134" ca="1" si="10">J134/B134</f>
        <v>0.19296430362417197</v>
      </c>
    </row>
    <row r="135" spans="1:11" x14ac:dyDescent="0.2">
      <c r="A135" s="3">
        <v>41640</v>
      </c>
      <c r="B135" s="6">
        <v>227979</v>
      </c>
      <c r="C135" s="217">
        <f>+'Purchased Power Model '!C135</f>
        <v>771.3</v>
      </c>
      <c r="D135" s="217">
        <f>+'Purchased Power Model '!D135</f>
        <v>0</v>
      </c>
      <c r="E135" s="126">
        <f>+'Purchased Power Model '!E135</f>
        <v>7.0999869999999993E-2</v>
      </c>
      <c r="F135" s="57">
        <f>+'Purchased Power Model '!F135</f>
        <v>31</v>
      </c>
      <c r="G135" s="57">
        <f>+'Purchased Power Model '!G135</f>
        <v>0</v>
      </c>
      <c r="H135" s="221">
        <v>295</v>
      </c>
      <c r="I135" s="222">
        <f t="shared" si="6"/>
        <v>266644.18093437265</v>
      </c>
      <c r="J135" s="36"/>
      <c r="K135" s="5"/>
    </row>
    <row r="136" spans="1:11" x14ac:dyDescent="0.2">
      <c r="A136" s="3">
        <v>41671</v>
      </c>
      <c r="B136" s="6">
        <v>227979</v>
      </c>
      <c r="C136" s="217">
        <f>+'Purchased Power Model '!C136</f>
        <v>690.84999999999991</v>
      </c>
      <c r="D136" s="217">
        <f>+'Purchased Power Model '!D136</f>
        <v>0</v>
      </c>
      <c r="E136" s="126">
        <f>+'Purchased Power Model '!E136</f>
        <v>7.0999869999999993E-2</v>
      </c>
      <c r="F136" s="57">
        <f>+'Purchased Power Model '!F136</f>
        <v>28</v>
      </c>
      <c r="G136" s="57">
        <f>+'Purchased Power Model '!G136</f>
        <v>0</v>
      </c>
      <c r="H136" s="221">
        <v>295</v>
      </c>
      <c r="I136" s="222">
        <f t="shared" si="6"/>
        <v>269264.99121947581</v>
      </c>
      <c r="J136" s="36"/>
      <c r="K136" s="5"/>
    </row>
    <row r="137" spans="1:11" x14ac:dyDescent="0.2">
      <c r="A137" s="3">
        <v>41699</v>
      </c>
      <c r="B137" s="6">
        <v>228084</v>
      </c>
      <c r="C137" s="217">
        <f>+'Purchased Power Model '!C137</f>
        <v>677.95</v>
      </c>
      <c r="D137" s="217">
        <f>+'Purchased Power Model '!D137</f>
        <v>0</v>
      </c>
      <c r="E137" s="126">
        <f>+'Purchased Power Model '!E137</f>
        <v>7.0999869999999993E-2</v>
      </c>
      <c r="F137" s="57">
        <f>+'Purchased Power Model '!F137</f>
        <v>31</v>
      </c>
      <c r="G137" s="57">
        <f>+'Purchased Power Model '!G137</f>
        <v>1</v>
      </c>
      <c r="H137" s="221">
        <v>295</v>
      </c>
      <c r="I137" s="222">
        <f t="shared" si="6"/>
        <v>264053.35649800062</v>
      </c>
      <c r="J137" s="36"/>
      <c r="K137" s="5"/>
    </row>
    <row r="138" spans="1:11" x14ac:dyDescent="0.2">
      <c r="A138" s="3">
        <v>41730</v>
      </c>
      <c r="B138" s="6">
        <v>228063</v>
      </c>
      <c r="C138" s="217">
        <f>+'Purchased Power Model '!C138</f>
        <v>371.2999999999999</v>
      </c>
      <c r="D138" s="217">
        <f>+'Purchased Power Model '!D138</f>
        <v>0</v>
      </c>
      <c r="E138" s="126">
        <f>+'Purchased Power Model '!E138</f>
        <v>7.2000069999999999E-2</v>
      </c>
      <c r="F138" s="57">
        <f>+'Purchased Power Model '!F138</f>
        <v>30</v>
      </c>
      <c r="G138" s="57">
        <f>+'Purchased Power Model '!G138</f>
        <v>1</v>
      </c>
      <c r="H138" s="221">
        <v>295</v>
      </c>
      <c r="I138" s="222">
        <f t="shared" si="6"/>
        <v>266515.11761540035</v>
      </c>
      <c r="J138" s="36"/>
      <c r="K138" s="5"/>
    </row>
    <row r="139" spans="1:11" x14ac:dyDescent="0.2">
      <c r="A139" s="3">
        <v>41760</v>
      </c>
      <c r="B139" s="6">
        <v>228049</v>
      </c>
      <c r="C139" s="217">
        <f>+'Purchased Power Model '!C139</f>
        <v>160.49999999999994</v>
      </c>
      <c r="D139" s="217">
        <f>+'Purchased Power Model '!D139</f>
        <v>1.3</v>
      </c>
      <c r="E139" s="126">
        <f>+'Purchased Power Model '!E139</f>
        <v>7.2000069999999999E-2</v>
      </c>
      <c r="F139" s="57">
        <f>+'Purchased Power Model '!F139</f>
        <v>31</v>
      </c>
      <c r="G139" s="57">
        <f>+'Purchased Power Model '!G139</f>
        <v>1</v>
      </c>
      <c r="H139" s="221">
        <v>294</v>
      </c>
      <c r="I139" s="222">
        <f t="shared" si="6"/>
        <v>268393.35861614032</v>
      </c>
      <c r="J139" s="36"/>
      <c r="K139" s="5"/>
    </row>
    <row r="140" spans="1:11" x14ac:dyDescent="0.2">
      <c r="A140" s="3">
        <v>41791</v>
      </c>
      <c r="B140" s="6">
        <v>227711</v>
      </c>
      <c r="C140" s="217">
        <f>+'Purchased Power Model '!C140</f>
        <v>26.9</v>
      </c>
      <c r="D140" s="217">
        <f>+'Purchased Power Model '!D140</f>
        <v>40.1</v>
      </c>
      <c r="E140" s="126">
        <f>+'Purchased Power Model '!E140</f>
        <v>7.2000069999999999E-2</v>
      </c>
      <c r="F140" s="57">
        <f>+'Purchased Power Model '!F140</f>
        <v>30</v>
      </c>
      <c r="G140" s="57">
        <f>+'Purchased Power Model '!G140</f>
        <v>0</v>
      </c>
      <c r="H140" s="221">
        <v>294</v>
      </c>
      <c r="I140" s="222">
        <f t="shared" si="6"/>
        <v>271581.59419095953</v>
      </c>
      <c r="J140" s="36"/>
      <c r="K140" s="5"/>
    </row>
    <row r="141" spans="1:11" x14ac:dyDescent="0.2">
      <c r="A141" s="3">
        <v>41821</v>
      </c>
      <c r="B141" s="6">
        <v>227593</v>
      </c>
      <c r="C141" s="217">
        <f>+'Purchased Power Model '!C141</f>
        <v>9.5999999999999979</v>
      </c>
      <c r="D141" s="217">
        <f>+'Purchased Power Model '!D141</f>
        <v>54.599999999999994</v>
      </c>
      <c r="E141" s="126">
        <f>+'Purchased Power Model '!E141</f>
        <v>7.6999829999999991E-2</v>
      </c>
      <c r="F141" s="57">
        <f>+'Purchased Power Model '!F141</f>
        <v>31</v>
      </c>
      <c r="G141" s="57">
        <f>+'Purchased Power Model '!G141</f>
        <v>0</v>
      </c>
      <c r="H141" s="221">
        <v>295</v>
      </c>
      <c r="I141" s="222">
        <f t="shared" si="6"/>
        <v>261450.54177662081</v>
      </c>
      <c r="J141" s="36"/>
      <c r="K141" s="5"/>
    </row>
    <row r="142" spans="1:11" x14ac:dyDescent="0.2">
      <c r="A142" s="3">
        <v>41852</v>
      </c>
      <c r="B142" s="6">
        <v>227669</v>
      </c>
      <c r="C142" s="217">
        <f>+'Purchased Power Model '!C142</f>
        <v>12.7</v>
      </c>
      <c r="D142" s="217">
        <f>+'Purchased Power Model '!D142</f>
        <v>58</v>
      </c>
      <c r="E142" s="126">
        <f>+'Purchased Power Model '!E142</f>
        <v>7.6999829999999991E-2</v>
      </c>
      <c r="F142" s="57">
        <f>+'Purchased Power Model '!F142</f>
        <v>31</v>
      </c>
      <c r="G142" s="57">
        <f>+'Purchased Power Model '!G142</f>
        <v>0</v>
      </c>
      <c r="H142" s="221">
        <v>295</v>
      </c>
      <c r="I142" s="222">
        <f t="shared" si="6"/>
        <v>261179.56893321083</v>
      </c>
      <c r="J142" s="36"/>
      <c r="K142" s="5"/>
    </row>
    <row r="143" spans="1:11" x14ac:dyDescent="0.2">
      <c r="A143" s="3">
        <v>41883</v>
      </c>
      <c r="B143" s="6">
        <v>226353</v>
      </c>
      <c r="C143" s="217">
        <f>+'Purchased Power Model '!C143</f>
        <v>77.400000000000006</v>
      </c>
      <c r="D143" s="217">
        <f>+'Purchased Power Model '!D143</f>
        <v>22.5</v>
      </c>
      <c r="E143" s="126">
        <f>+'Purchased Power Model '!E143</f>
        <v>7.6999829999999991E-2</v>
      </c>
      <c r="F143" s="57">
        <f>+'Purchased Power Model '!F143</f>
        <v>30</v>
      </c>
      <c r="G143" s="57">
        <f>+'Purchased Power Model '!G143</f>
        <v>1</v>
      </c>
      <c r="H143" s="221">
        <v>295</v>
      </c>
      <c r="I143" s="222">
        <f t="shared" si="6"/>
        <v>259694.0645939399</v>
      </c>
      <c r="J143" s="36"/>
      <c r="K143" s="5"/>
    </row>
    <row r="144" spans="1:11" x14ac:dyDescent="0.2">
      <c r="A144" s="3">
        <v>41913</v>
      </c>
      <c r="B144" s="6">
        <v>226216</v>
      </c>
      <c r="C144" s="217">
        <f>+'Purchased Power Model '!C144</f>
        <v>216.29999999999998</v>
      </c>
      <c r="D144" s="217">
        <f>+'Purchased Power Model '!D144</f>
        <v>0.5</v>
      </c>
      <c r="E144" s="126">
        <f>+'Purchased Power Model '!E144</f>
        <v>7.3406150000000003E-2</v>
      </c>
      <c r="F144" s="57">
        <f>+'Purchased Power Model '!F144</f>
        <v>31</v>
      </c>
      <c r="G144" s="57">
        <f>+'Purchased Power Model '!G144</f>
        <v>1</v>
      </c>
      <c r="H144" s="221">
        <v>295</v>
      </c>
      <c r="I144" s="222">
        <f t="shared" si="6"/>
        <v>265309.88614012278</v>
      </c>
      <c r="J144" s="36"/>
      <c r="K144" s="5"/>
    </row>
    <row r="145" spans="1:11" x14ac:dyDescent="0.2">
      <c r="A145" s="3">
        <v>41944</v>
      </c>
      <c r="B145" s="6">
        <v>226299</v>
      </c>
      <c r="C145" s="217">
        <f>+'Purchased Power Model '!C145</f>
        <v>407.30000000000013</v>
      </c>
      <c r="D145" s="217">
        <f>+'Purchased Power Model '!D145</f>
        <v>0</v>
      </c>
      <c r="E145" s="126">
        <f>+'Purchased Power Model '!E145</f>
        <v>7.3406150000000003E-2</v>
      </c>
      <c r="F145" s="57">
        <f>+'Purchased Power Model '!F145</f>
        <v>30</v>
      </c>
      <c r="G145" s="57">
        <f>+'Purchased Power Model '!G145</f>
        <v>1</v>
      </c>
      <c r="H145" s="221">
        <v>295</v>
      </c>
      <c r="I145" s="222">
        <f t="shared" si="6"/>
        <v>263613.3653083978</v>
      </c>
      <c r="J145" s="36"/>
      <c r="K145" s="5"/>
    </row>
    <row r="146" spans="1:11" x14ac:dyDescent="0.2">
      <c r="A146" s="3">
        <v>41974</v>
      </c>
      <c r="B146" s="6">
        <v>209224</v>
      </c>
      <c r="C146" s="217">
        <f>+'Purchased Power Model '!C146</f>
        <v>551.79999999999995</v>
      </c>
      <c r="D146" s="217">
        <f>+'Purchased Power Model '!D146</f>
        <v>0</v>
      </c>
      <c r="E146" s="126">
        <f>+'Purchased Power Model '!E146</f>
        <v>7.3406150000000003E-2</v>
      </c>
      <c r="F146" s="57">
        <f>+'Purchased Power Model '!F146</f>
        <v>31</v>
      </c>
      <c r="G146" s="57">
        <f>+'Purchased Power Model '!G146</f>
        <v>0</v>
      </c>
      <c r="H146" s="221">
        <v>296</v>
      </c>
      <c r="I146" s="222">
        <f t="shared" si="6"/>
        <v>265039.62280157558</v>
      </c>
      <c r="J146" s="36"/>
      <c r="K146" s="5"/>
    </row>
    <row r="147" spans="1:11" x14ac:dyDescent="0.2">
      <c r="A147" s="3">
        <v>42005</v>
      </c>
      <c r="C147" s="217">
        <f>+'Purchased Power Model '!C147</f>
        <v>665.29813270224599</v>
      </c>
      <c r="D147" s="217">
        <f ca="1">+'Purchased Power Model '!D147</f>
        <v>0</v>
      </c>
      <c r="E147" s="126">
        <f>+'Purchased Power Model '!E147</f>
        <v>7.3406150000000003E-2</v>
      </c>
      <c r="F147" s="57">
        <f>+'Purchased Power Model '!F147</f>
        <v>31</v>
      </c>
      <c r="G147" s="57">
        <f>+'Purchased Power Model '!G147</f>
        <v>0</v>
      </c>
      <c r="H147" s="221"/>
      <c r="I147" s="222">
        <f t="shared" ca="1" si="6"/>
        <v>263682.47969401558</v>
      </c>
      <c r="J147" s="36"/>
      <c r="K147" s="5"/>
    </row>
    <row r="148" spans="1:11" x14ac:dyDescent="0.2">
      <c r="A148" s="3">
        <v>42036</v>
      </c>
      <c r="C148" s="217">
        <f>+'Purchased Power Model '!C148</f>
        <v>595.90459610702271</v>
      </c>
      <c r="D148" s="217">
        <f ca="1">+'Purchased Power Model '!D148</f>
        <v>0</v>
      </c>
      <c r="E148" s="126">
        <f>+'Purchased Power Model '!E148</f>
        <v>7.3406150000000003E-2</v>
      </c>
      <c r="F148" s="57">
        <f>+'Purchased Power Model '!F148</f>
        <v>28</v>
      </c>
      <c r="G148" s="57">
        <f>+'Purchased Power Model '!G148</f>
        <v>0</v>
      </c>
      <c r="H148" s="221"/>
      <c r="I148" s="222">
        <f t="shared" ca="1" si="6"/>
        <v>266171.08337142819</v>
      </c>
      <c r="J148" s="36"/>
      <c r="K148" s="5"/>
    </row>
    <row r="149" spans="1:11" x14ac:dyDescent="0.2">
      <c r="A149" s="3">
        <v>42064</v>
      </c>
      <c r="C149" s="217">
        <f>+'Purchased Power Model '!C149</f>
        <v>584.77747836832327</v>
      </c>
      <c r="D149" s="217">
        <f ca="1">+'Purchased Power Model '!D149</f>
        <v>0</v>
      </c>
      <c r="E149" s="126">
        <f>+'Purchased Power Model '!E149</f>
        <v>7.3406150000000003E-2</v>
      </c>
      <c r="F149" s="57">
        <f>+'Purchased Power Model '!F149</f>
        <v>31</v>
      </c>
      <c r="G149" s="57">
        <f>+'Purchased Power Model '!G149</f>
        <v>1</v>
      </c>
      <c r="H149" s="221"/>
      <c r="I149" s="222">
        <f t="shared" ca="1" si="6"/>
        <v>260938.24957923565</v>
      </c>
      <c r="J149" s="36"/>
      <c r="K149" s="5"/>
    </row>
    <row r="150" spans="1:11" x14ac:dyDescent="0.2">
      <c r="A150" s="3">
        <v>42095</v>
      </c>
      <c r="C150" s="217">
        <f>+'Purchased Power Model '!C150</f>
        <v>320.27122607590286</v>
      </c>
      <c r="D150" s="217">
        <f ca="1">+'Purchased Power Model '!D150</f>
        <v>0</v>
      </c>
      <c r="E150" s="126">
        <f>+'Purchased Power Model '!E150</f>
        <v>7.3406150000000003E-2</v>
      </c>
      <c r="F150" s="57">
        <f>+'Purchased Power Model '!F150</f>
        <v>30</v>
      </c>
      <c r="G150" s="57">
        <f>+'Purchased Power Model '!G150</f>
        <v>1</v>
      </c>
      <c r="H150" s="221"/>
      <c r="I150" s="222">
        <f t="shared" ca="1" si="6"/>
        <v>264654.00358039775</v>
      </c>
      <c r="J150" s="36"/>
      <c r="K150" s="5"/>
    </row>
    <row r="151" spans="1:11" x14ac:dyDescent="0.2">
      <c r="A151" s="3">
        <v>42125</v>
      </c>
      <c r="C151" s="217">
        <f>+'Purchased Power Model '!C151</f>
        <v>138.4420462838201</v>
      </c>
      <c r="D151" s="217">
        <f ca="1">+'Purchased Power Model '!D151</f>
        <v>1.8457952405410045</v>
      </c>
      <c r="E151" s="126">
        <f>+'Purchased Power Model '!E151</f>
        <v>7.3406150000000003E-2</v>
      </c>
      <c r="F151" s="57">
        <f>+'Purchased Power Model '!F151</f>
        <v>31</v>
      </c>
      <c r="G151" s="57">
        <f>+'Purchased Power Model '!G151</f>
        <v>1</v>
      </c>
      <c r="H151" s="221"/>
      <c r="I151" s="222">
        <f t="shared" ca="1" si="6"/>
        <v>266148.28047209786</v>
      </c>
      <c r="J151" s="36"/>
      <c r="K151" s="5"/>
    </row>
    <row r="152" spans="1:11" x14ac:dyDescent="0.2">
      <c r="A152" s="3">
        <v>42156</v>
      </c>
      <c r="C152" s="217">
        <f>+'Purchased Power Model '!C152</f>
        <v>23.203059470621568</v>
      </c>
      <c r="D152" s="217">
        <f ca="1">+'Purchased Power Model '!D152</f>
        <v>56.93568395822637</v>
      </c>
      <c r="E152" s="126">
        <f>+'Purchased Power Model '!E152</f>
        <v>7.3406150000000003E-2</v>
      </c>
      <c r="F152" s="57">
        <f>+'Purchased Power Model '!F152</f>
        <v>30</v>
      </c>
      <c r="G152" s="57">
        <f>+'Purchased Power Model '!G152</f>
        <v>0</v>
      </c>
      <c r="H152" s="221"/>
      <c r="I152" s="222">
        <f t="shared" ca="1" si="6"/>
        <v>267996.29403743695</v>
      </c>
      <c r="J152" s="36"/>
      <c r="K152" s="5"/>
    </row>
    <row r="153" spans="1:11" x14ac:dyDescent="0.2">
      <c r="A153" s="3">
        <v>42186</v>
      </c>
      <c r="C153" s="217">
        <f>+'Purchased Power Model '!C153</f>
        <v>8.2806457590322324</v>
      </c>
      <c r="D153" s="217">
        <f ca="1">+'Purchased Power Model '!D153</f>
        <v>77.523400102722178</v>
      </c>
      <c r="E153" s="126">
        <f>+'Purchased Power Model '!E153</f>
        <v>7.3406150000000003E-2</v>
      </c>
      <c r="F153" s="57">
        <f>+'Purchased Power Model '!F153</f>
        <v>31</v>
      </c>
      <c r="G153" s="57">
        <f>+'Purchased Power Model '!G153</f>
        <v>0</v>
      </c>
      <c r="H153" s="221"/>
      <c r="I153" s="222">
        <f t="shared" ca="1" si="6"/>
        <v>266205.43831661658</v>
      </c>
      <c r="J153" s="36"/>
      <c r="K153" s="5"/>
    </row>
    <row r="154" spans="1:11" x14ac:dyDescent="0.2">
      <c r="A154" s="3">
        <v>42217</v>
      </c>
      <c r="C154" s="217">
        <f>+'Purchased Power Model '!C154</f>
        <v>10.954604285386392</v>
      </c>
      <c r="D154" s="217">
        <f ca="1">+'Purchased Power Model '!D154</f>
        <v>82.350864577983273</v>
      </c>
      <c r="E154" s="126">
        <f>+'Purchased Power Model '!E154</f>
        <v>7.3406150000000003E-2</v>
      </c>
      <c r="F154" s="57">
        <f>+'Purchased Power Model '!F154</f>
        <v>31</v>
      </c>
      <c r="G154" s="57">
        <f>+'Purchased Power Model '!G154</f>
        <v>0</v>
      </c>
      <c r="H154" s="221"/>
      <c r="I154" s="222">
        <f t="shared" ca="1" si="6"/>
        <v>265841.35661196767</v>
      </c>
      <c r="J154" s="36"/>
      <c r="K154" s="5"/>
    </row>
    <row r="155" spans="1:11" x14ac:dyDescent="0.2">
      <c r="A155" s="3">
        <v>42248</v>
      </c>
      <c r="C155" s="217">
        <f>+'Purchased Power Model '!C155</f>
        <v>66.76270643219739</v>
      </c>
      <c r="D155" s="217">
        <f ca="1">+'Purchased Power Model '!D155</f>
        <v>31.946456086286616</v>
      </c>
      <c r="E155" s="126">
        <f>+'Purchased Power Model '!E155</f>
        <v>7.3406150000000003E-2</v>
      </c>
      <c r="F155" s="57">
        <f>+'Purchased Power Model '!F155</f>
        <v>30</v>
      </c>
      <c r="G155" s="57">
        <f>+'Purchased Power Model '!G155</f>
        <v>1</v>
      </c>
      <c r="H155" s="221"/>
      <c r="I155" s="222">
        <f t="shared" ca="1" si="6"/>
        <v>265487.53335598862</v>
      </c>
      <c r="J155" s="36"/>
      <c r="K155" s="5"/>
    </row>
    <row r="156" spans="1:11" x14ac:dyDescent="0.2">
      <c r="A156" s="3">
        <v>42278</v>
      </c>
      <c r="C156" s="217">
        <f>+'Purchased Power Model '!C156</f>
        <v>186.57329975819502</v>
      </c>
      <c r="D156" s="217">
        <f ca="1">+'Purchased Power Model '!D156</f>
        <v>0.70992124636192477</v>
      </c>
      <c r="E156" s="126">
        <f>+'Purchased Power Model '!E156</f>
        <v>7.3406150000000003E-2</v>
      </c>
      <c r="F156" s="57">
        <f>+'Purchased Power Model '!F156</f>
        <v>31</v>
      </c>
      <c r="G156" s="57">
        <f>+'Purchased Power Model '!G156</f>
        <v>1</v>
      </c>
      <c r="H156" s="221"/>
      <c r="I156" s="222">
        <f t="shared" ca="1" si="6"/>
        <v>265650.89867711166</v>
      </c>
      <c r="J156" s="36"/>
      <c r="K156" s="5"/>
    </row>
    <row r="157" spans="1:11" x14ac:dyDescent="0.2">
      <c r="A157" s="3">
        <v>42309</v>
      </c>
      <c r="C157" s="217">
        <f>+'Purchased Power Model '!C157</f>
        <v>351.32364767227392</v>
      </c>
      <c r="D157" s="217">
        <f ca="1">+'Purchased Power Model '!D157</f>
        <v>0</v>
      </c>
      <c r="E157" s="126">
        <f>+'Purchased Power Model '!E157</f>
        <v>7.3406150000000003E-2</v>
      </c>
      <c r="F157" s="57">
        <f>+'Purchased Power Model '!F157</f>
        <v>30</v>
      </c>
      <c r="G157" s="57">
        <f>+'Purchased Power Model '!G157</f>
        <v>1</v>
      </c>
      <c r="H157" s="221"/>
      <c r="I157" s="222">
        <f t="shared" ca="1" si="6"/>
        <v>264282.6972078681</v>
      </c>
      <c r="J157" s="36"/>
      <c r="K157" s="5"/>
    </row>
    <row r="158" spans="1:11" x14ac:dyDescent="0.2">
      <c r="A158" s="3">
        <v>42339</v>
      </c>
      <c r="C158" s="217">
        <f>+'Purchased Power Model '!C158</f>
        <v>475.96461769104019</v>
      </c>
      <c r="D158" s="217">
        <f ca="1">+'Purchased Power Model '!D158</f>
        <v>0</v>
      </c>
      <c r="E158" s="126">
        <f>+'Purchased Power Model '!E158</f>
        <v>7.3406150000000003E-2</v>
      </c>
      <c r="F158" s="57">
        <f>+'Purchased Power Model '!F158</f>
        <v>31</v>
      </c>
      <c r="G158" s="57">
        <f>+'Purchased Power Model '!G158</f>
        <v>0</v>
      </c>
      <c r="H158" s="221"/>
      <c r="I158" s="222">
        <f t="shared" ca="1" si="6"/>
        <v>265946.41715985618</v>
      </c>
      <c r="J158" s="36"/>
      <c r="K158" s="5"/>
    </row>
    <row r="159" spans="1:11" x14ac:dyDescent="0.2">
      <c r="A159" s="3">
        <v>42370</v>
      </c>
      <c r="C159" s="217">
        <f>+'Purchased Power Model '!C159</f>
        <v>663.68561281945165</v>
      </c>
      <c r="D159" s="217">
        <f ca="1">+'Purchased Power Model '!D159</f>
        <v>0</v>
      </c>
      <c r="E159" s="126">
        <f>+'Purchased Power Model '!E159</f>
        <v>7.3406150000000003E-2</v>
      </c>
      <c r="F159" s="57">
        <f>+'Purchased Power Model '!F159</f>
        <v>31</v>
      </c>
      <c r="G159" s="57">
        <f>+'Purchased Power Model '!G159</f>
        <v>0</v>
      </c>
      <c r="H159" s="221"/>
      <c r="I159" s="222">
        <f t="shared" ca="1" si="6"/>
        <v>263701.76124687144</v>
      </c>
      <c r="J159" s="36"/>
      <c r="K159" s="5"/>
    </row>
    <row r="160" spans="1:11" x14ac:dyDescent="0.2">
      <c r="A160" s="3">
        <v>42401</v>
      </c>
      <c r="C160" s="217">
        <f>+'Purchased Power Model '!C160</f>
        <v>594.4602691771272</v>
      </c>
      <c r="D160" s="217">
        <f ca="1">+'Purchased Power Model '!D160</f>
        <v>0</v>
      </c>
      <c r="E160" s="126">
        <f>+'Purchased Power Model '!E160</f>
        <v>7.3406150000000003E-2</v>
      </c>
      <c r="F160" s="57">
        <f>+'Purchased Power Model '!F160</f>
        <v>29</v>
      </c>
      <c r="G160" s="57">
        <f>+'Purchased Power Model '!G160</f>
        <v>0</v>
      </c>
      <c r="H160" s="221"/>
      <c r="I160" s="222">
        <f t="shared" ca="1" si="6"/>
        <v>265635.40808125277</v>
      </c>
      <c r="J160" s="36"/>
      <c r="K160" s="5"/>
    </row>
    <row r="161" spans="1:11" x14ac:dyDescent="0.2">
      <c r="A161" s="3">
        <v>42430</v>
      </c>
      <c r="C161" s="217">
        <f>+'Purchased Power Model '!C161</f>
        <v>583.36012084914728</v>
      </c>
      <c r="D161" s="217">
        <f ca="1">+'Purchased Power Model '!D161</f>
        <v>0</v>
      </c>
      <c r="E161" s="126">
        <f>+'Purchased Power Model '!E161</f>
        <v>7.3406150000000003E-2</v>
      </c>
      <c r="F161" s="57">
        <f>+'Purchased Power Model '!F161</f>
        <v>31</v>
      </c>
      <c r="G161" s="57">
        <f>+'Purchased Power Model '!G161</f>
        <v>1</v>
      </c>
      <c r="H161" s="221"/>
      <c r="I161" s="222">
        <f t="shared" ca="1" si="6"/>
        <v>260955.19749672382</v>
      </c>
      <c r="J161" s="36"/>
      <c r="K161" s="5"/>
    </row>
    <row r="162" spans="1:11" x14ac:dyDescent="0.2">
      <c r="A162" s="3">
        <v>42461</v>
      </c>
      <c r="C162" s="217">
        <f>+'Purchased Power Model '!C162</f>
        <v>319.49496699061632</v>
      </c>
      <c r="D162" s="217">
        <f ca="1">+'Purchased Power Model '!D162</f>
        <v>0</v>
      </c>
      <c r="E162" s="126">
        <f>+'Purchased Power Model '!E162</f>
        <v>7.3406150000000003E-2</v>
      </c>
      <c r="F162" s="57">
        <f>+'Purchased Power Model '!F162</f>
        <v>30</v>
      </c>
      <c r="G162" s="57">
        <f>+'Purchased Power Model '!G162</f>
        <v>1</v>
      </c>
      <c r="H162" s="221"/>
      <c r="I162" s="222">
        <f t="shared" ca="1" si="6"/>
        <v>264663.28562444722</v>
      </c>
      <c r="J162" s="36"/>
      <c r="K162" s="5"/>
    </row>
    <row r="163" spans="1:11" x14ac:dyDescent="0.2">
      <c r="A163" s="3">
        <v>42491</v>
      </c>
      <c r="C163" s="217">
        <f>+'Purchased Power Model '!C163</f>
        <v>138.10649663882012</v>
      </c>
      <c r="D163" s="217">
        <f ca="1">+'Purchased Power Model '!D163</f>
        <v>1.8640104434172213</v>
      </c>
      <c r="E163" s="126">
        <f>+'Purchased Power Model '!E163</f>
        <v>7.3406150000000003E-2</v>
      </c>
      <c r="F163" s="57">
        <f>+'Purchased Power Model '!F163</f>
        <v>31</v>
      </c>
      <c r="G163" s="57">
        <f>+'Purchased Power Model '!G163</f>
        <v>1</v>
      </c>
      <c r="H163" s="221"/>
      <c r="I163" s="222">
        <f t="shared" ca="1" si="6"/>
        <v>266151.03965000564</v>
      </c>
      <c r="J163" s="36"/>
      <c r="K163" s="5"/>
    </row>
    <row r="164" spans="1:11" x14ac:dyDescent="0.2">
      <c r="A164" s="3">
        <v>42522</v>
      </c>
      <c r="C164" s="217">
        <f>+'Purchased Power Model '!C164</f>
        <v>23.146820931989172</v>
      </c>
      <c r="D164" s="217">
        <f ca="1">+'Purchased Power Model '!D164</f>
        <v>57.497552908485055</v>
      </c>
      <c r="E164" s="126">
        <f>+'Purchased Power Model '!E164</f>
        <v>7.3406150000000003E-2</v>
      </c>
      <c r="F164" s="57">
        <f>+'Purchased Power Model '!F164</f>
        <v>30</v>
      </c>
      <c r="G164" s="57">
        <f>+'Purchased Power Model '!G164</f>
        <v>0</v>
      </c>
      <c r="H164" s="221"/>
      <c r="I164" s="222">
        <f t="shared" ca="1" si="6"/>
        <v>267958.31241783948</v>
      </c>
      <c r="J164" s="36"/>
      <c r="K164" s="5"/>
    </row>
    <row r="165" spans="1:11" x14ac:dyDescent="0.2">
      <c r="A165" s="3">
        <v>42552</v>
      </c>
      <c r="C165" s="217">
        <f>+'Purchased Power Model '!C165</f>
        <v>8.2605754998920471</v>
      </c>
      <c r="D165" s="217">
        <f ca="1">+'Purchased Power Model '!D165</f>
        <v>78.288438623523277</v>
      </c>
      <c r="E165" s="126">
        <f>+'Purchased Power Model '!E165</f>
        <v>7.3406150000000003E-2</v>
      </c>
      <c r="F165" s="57">
        <f>+'Purchased Power Model '!F165</f>
        <v>31</v>
      </c>
      <c r="G165" s="57">
        <f>+'Purchased Power Model '!G165</f>
        <v>0</v>
      </c>
      <c r="H165" s="221"/>
      <c r="I165" s="222">
        <f t="shared" ca="1" si="6"/>
        <v>266153.04705479217</v>
      </c>
      <c r="J165" s="36"/>
      <c r="K165" s="5"/>
    </row>
    <row r="166" spans="1:11" x14ac:dyDescent="0.2">
      <c r="A166" s="3">
        <v>42583</v>
      </c>
      <c r="C166" s="217">
        <f>+'Purchased Power Model '!C166</f>
        <v>10.92805300506552</v>
      </c>
      <c r="D166" s="217">
        <f ca="1">+'Purchased Power Model '!D166</f>
        <v>83.163542860152944</v>
      </c>
      <c r="E166" s="126">
        <f>+'Purchased Power Model '!E166</f>
        <v>7.3406150000000003E-2</v>
      </c>
      <c r="F166" s="57">
        <f>+'Purchased Power Model '!F166</f>
        <v>31</v>
      </c>
      <c r="G166" s="57">
        <f>+'Purchased Power Model '!G166</f>
        <v>0</v>
      </c>
      <c r="H166" s="221"/>
      <c r="I166" s="222">
        <f t="shared" ca="1" si="6"/>
        <v>265785.76544248813</v>
      </c>
      <c r="J166" s="36"/>
      <c r="K166" s="5"/>
    </row>
    <row r="167" spans="1:11" x14ac:dyDescent="0.2">
      <c r="A167" s="3">
        <v>42614</v>
      </c>
      <c r="C167" s="217">
        <f>+'Purchased Power Model '!C167</f>
        <v>66.600889967879638</v>
      </c>
      <c r="D167" s="217">
        <f ca="1">+'Purchased Power Model '!D167</f>
        <v>32.261719212990371</v>
      </c>
      <c r="E167" s="126">
        <f>+'Purchased Power Model '!E167</f>
        <v>7.3406150000000003E-2</v>
      </c>
      <c r="F167" s="57">
        <f>+'Purchased Power Model '!F167</f>
        <v>30</v>
      </c>
      <c r="G167" s="57">
        <f>+'Purchased Power Model '!G167</f>
        <v>1</v>
      </c>
      <c r="H167" s="221"/>
      <c r="I167" s="222">
        <f t="shared" ca="1" si="6"/>
        <v>265467.77955900482</v>
      </c>
      <c r="J167" s="36"/>
      <c r="K167" s="5"/>
    </row>
    <row r="168" spans="1:11" x14ac:dyDescent="0.2">
      <c r="A168" s="3">
        <v>42644</v>
      </c>
      <c r="C168" s="217">
        <f>+'Purchased Power Model '!C168</f>
        <v>186.1210917319427</v>
      </c>
      <c r="D168" s="217">
        <f ca="1">+'Purchased Power Model '!D168</f>
        <v>0.71692709362200813</v>
      </c>
      <c r="E168" s="126">
        <f>+'Purchased Power Model '!E168</f>
        <v>7.3406150000000003E-2</v>
      </c>
      <c r="F168" s="57">
        <f>+'Purchased Power Model '!F168</f>
        <v>31</v>
      </c>
      <c r="G168" s="57">
        <f>+'Purchased Power Model '!G168</f>
        <v>1</v>
      </c>
      <c r="H168" s="221"/>
      <c r="I168" s="222">
        <f t="shared" ca="1" si="6"/>
        <v>265655.82394034456</v>
      </c>
      <c r="J168" s="36"/>
      <c r="K168" s="5"/>
    </row>
    <row r="169" spans="1:11" x14ac:dyDescent="0.2">
      <c r="A169" s="3">
        <v>42675</v>
      </c>
      <c r="C169" s="217">
        <f>+'Purchased Power Model '!C169</f>
        <v>350.47212511521167</v>
      </c>
      <c r="D169" s="217">
        <f ca="1">+'Purchased Power Model '!D169</f>
        <v>0</v>
      </c>
      <c r="E169" s="126">
        <f>+'Purchased Power Model '!E169</f>
        <v>7.3406150000000003E-2</v>
      </c>
      <c r="F169" s="57">
        <f>+'Purchased Power Model '!F169</f>
        <v>30</v>
      </c>
      <c r="G169" s="57">
        <f>+'Purchased Power Model '!G169</f>
        <v>1</v>
      </c>
      <c r="H169" s="221"/>
      <c r="I169" s="222">
        <f t="shared" ca="1" si="6"/>
        <v>264292.87920771015</v>
      </c>
      <c r="J169" s="36"/>
      <c r="K169" s="5"/>
    </row>
    <row r="170" spans="1:11" x14ac:dyDescent="0.2">
      <c r="A170" s="3">
        <v>42705</v>
      </c>
      <c r="C170" s="217">
        <f>+'Purchased Power Model '!C170</f>
        <v>474.81099592087827</v>
      </c>
      <c r="D170" s="217">
        <f ca="1">+'Purchased Power Model '!D170</f>
        <v>0</v>
      </c>
      <c r="E170" s="126">
        <f>+'Purchased Power Model '!E170</f>
        <v>7.3406150000000003E-2</v>
      </c>
      <c r="F170" s="57">
        <f>+'Purchased Power Model '!F170</f>
        <v>31</v>
      </c>
      <c r="G170" s="57">
        <f>+'Purchased Power Model '!G170</f>
        <v>0</v>
      </c>
      <c r="H170" s="221"/>
      <c r="I170" s="222">
        <f t="shared" ca="1" si="6"/>
        <v>265960.21148225456</v>
      </c>
      <c r="J170" s="36"/>
      <c r="K170" s="5"/>
    </row>
    <row r="171" spans="1:11" x14ac:dyDescent="0.2">
      <c r="A171" s="3">
        <v>42736</v>
      </c>
      <c r="C171" s="217">
        <f>+'Purchased Power Model '!C171</f>
        <v>662.07309293665651</v>
      </c>
      <c r="D171" s="217">
        <f ca="1">+'Purchased Power Model '!D171</f>
        <v>0</v>
      </c>
      <c r="E171" s="126">
        <f>+'Purchased Power Model '!E171</f>
        <v>7.3406150000000003E-2</v>
      </c>
      <c r="F171" s="57">
        <f>+'Purchased Power Model '!F171</f>
        <v>31</v>
      </c>
      <c r="G171" s="57">
        <f>+'Purchased Power Model '!G171</f>
        <v>0</v>
      </c>
      <c r="H171" s="221"/>
      <c r="I171" s="222">
        <f t="shared" ca="1" si="6"/>
        <v>263721.04279972729</v>
      </c>
      <c r="J171" s="36"/>
      <c r="K171" s="5"/>
    </row>
    <row r="172" spans="1:11" x14ac:dyDescent="0.2">
      <c r="A172" s="3">
        <v>42767</v>
      </c>
      <c r="C172" s="217">
        <f>+'Purchased Power Model '!C172</f>
        <v>593.0159422472309</v>
      </c>
      <c r="D172" s="217">
        <f ca="1">+'Purchased Power Model '!D172</f>
        <v>0</v>
      </c>
      <c r="E172" s="126">
        <f>+'Purchased Power Model '!E172</f>
        <v>7.3406150000000003E-2</v>
      </c>
      <c r="F172" s="57">
        <f>+'Purchased Power Model '!F172</f>
        <v>28</v>
      </c>
      <c r="G172" s="57">
        <f>+'Purchased Power Model '!G172</f>
        <v>0</v>
      </c>
      <c r="H172" s="221"/>
      <c r="I172" s="222">
        <f t="shared" ca="1" si="6"/>
        <v>266205.62417472253</v>
      </c>
      <c r="J172" s="36"/>
      <c r="K172" s="5"/>
    </row>
    <row r="173" spans="1:11" x14ac:dyDescent="0.2">
      <c r="A173" s="3">
        <v>42795</v>
      </c>
      <c r="C173" s="217">
        <f>+'Purchased Power Model '!C173</f>
        <v>581.9427633299706</v>
      </c>
      <c r="D173" s="217">
        <f ca="1">+'Purchased Power Model '!D173</f>
        <v>0</v>
      </c>
      <c r="E173" s="126">
        <f>+'Purchased Power Model '!E173</f>
        <v>7.3406150000000003E-2</v>
      </c>
      <c r="F173" s="57">
        <f>+'Purchased Power Model '!F173</f>
        <v>31</v>
      </c>
      <c r="G173" s="57">
        <f>+'Purchased Power Model '!G173</f>
        <v>1</v>
      </c>
      <c r="H173" s="221"/>
      <c r="I173" s="222">
        <f t="shared" ca="1" si="6"/>
        <v>260972.14541421199</v>
      </c>
      <c r="J173" s="36"/>
      <c r="K173" s="5"/>
    </row>
    <row r="174" spans="1:11" x14ac:dyDescent="0.2">
      <c r="A174" s="3">
        <v>42826</v>
      </c>
      <c r="C174" s="217">
        <f>+'Purchased Power Model '!C174</f>
        <v>318.71870790532938</v>
      </c>
      <c r="D174" s="217">
        <f ca="1">+'Purchased Power Model '!D174</f>
        <v>0</v>
      </c>
      <c r="E174" s="126">
        <f>+'Purchased Power Model '!E174</f>
        <v>7.3406150000000003E-2</v>
      </c>
      <c r="F174" s="57">
        <f>+'Purchased Power Model '!F174</f>
        <v>30</v>
      </c>
      <c r="G174" s="57">
        <f>+'Purchased Power Model '!G174</f>
        <v>1</v>
      </c>
      <c r="H174" s="221"/>
      <c r="I174" s="222">
        <f t="shared" ca="1" si="6"/>
        <v>264672.56766849675</v>
      </c>
      <c r="J174" s="36"/>
      <c r="K174" s="5"/>
    </row>
    <row r="175" spans="1:11" x14ac:dyDescent="0.2">
      <c r="A175" s="3">
        <v>42856</v>
      </c>
      <c r="C175" s="217">
        <f>+'Purchased Power Model '!C175</f>
        <v>137.77094699381996</v>
      </c>
      <c r="D175" s="217">
        <f ca="1">+'Purchased Power Model '!D175</f>
        <v>1.8822256462934444</v>
      </c>
      <c r="E175" s="126">
        <f>+'Purchased Power Model '!E175</f>
        <v>7.3406150000000003E-2</v>
      </c>
      <c r="F175" s="57">
        <f>+'Purchased Power Model '!F175</f>
        <v>31</v>
      </c>
      <c r="G175" s="57">
        <f>+'Purchased Power Model '!G175</f>
        <v>1</v>
      </c>
      <c r="H175" s="221"/>
      <c r="I175" s="222">
        <f t="shared" ca="1" si="6"/>
        <v>266153.7988279133</v>
      </c>
      <c r="J175" s="36"/>
      <c r="K175" s="5"/>
    </row>
    <row r="176" spans="1:11" x14ac:dyDescent="0.2">
      <c r="A176" s="3">
        <v>42887</v>
      </c>
      <c r="C176" s="217">
        <f>+'Purchased Power Model '!C176</f>
        <v>23.090582393356748</v>
      </c>
      <c r="D176" s="217">
        <f ca="1">+'Purchased Power Model '!D176</f>
        <v>58.059421858743939</v>
      </c>
      <c r="E176" s="126">
        <f>+'Purchased Power Model '!E176</f>
        <v>7.3406150000000003E-2</v>
      </c>
      <c r="F176" s="57">
        <f>+'Purchased Power Model '!F176</f>
        <v>30</v>
      </c>
      <c r="G176" s="57">
        <f>+'Purchased Power Model '!G176</f>
        <v>0</v>
      </c>
      <c r="H176" s="221"/>
      <c r="I176" s="222">
        <f t="shared" ca="1" si="6"/>
        <v>267920.33079824195</v>
      </c>
      <c r="J176" s="36"/>
      <c r="K176" s="5"/>
    </row>
    <row r="177" spans="1:11" x14ac:dyDescent="0.2">
      <c r="A177" s="3">
        <v>42917</v>
      </c>
      <c r="C177" s="217">
        <f>+'Purchased Power Model '!C177</f>
        <v>8.2405052407518511</v>
      </c>
      <c r="D177" s="217">
        <f ca="1">+'Purchased Power Model '!D177</f>
        <v>79.053477144324646</v>
      </c>
      <c r="E177" s="126">
        <f>+'Purchased Power Model '!E177</f>
        <v>7.3406150000000003E-2</v>
      </c>
      <c r="F177" s="57">
        <f>+'Purchased Power Model '!F177</f>
        <v>31</v>
      </c>
      <c r="G177" s="57">
        <f>+'Purchased Power Model '!G177</f>
        <v>0</v>
      </c>
      <c r="H177" s="221"/>
      <c r="I177" s="222">
        <f t="shared" ca="1" si="6"/>
        <v>266100.65579296782</v>
      </c>
      <c r="J177" s="36"/>
      <c r="K177" s="5"/>
    </row>
    <row r="178" spans="1:11" x14ac:dyDescent="0.2">
      <c r="A178" s="3">
        <v>42948</v>
      </c>
      <c r="C178" s="217">
        <f>+'Purchased Power Model '!C178</f>
        <v>10.901501724744636</v>
      </c>
      <c r="D178" s="217">
        <f ca="1">+'Purchased Power Model '!D178</f>
        <v>83.976221142322899</v>
      </c>
      <c r="E178" s="126">
        <f>+'Purchased Power Model '!E178</f>
        <v>7.3406150000000003E-2</v>
      </c>
      <c r="F178" s="57">
        <f>+'Purchased Power Model '!F178</f>
        <v>31</v>
      </c>
      <c r="G178" s="57">
        <f>+'Purchased Power Model '!G178</f>
        <v>0</v>
      </c>
      <c r="H178" s="221"/>
      <c r="I178" s="222">
        <f t="shared" ca="1" si="6"/>
        <v>265730.1742730086</v>
      </c>
      <c r="J178" s="36"/>
      <c r="K178" s="5"/>
    </row>
    <row r="179" spans="1:11" x14ac:dyDescent="0.2">
      <c r="A179" s="3">
        <v>42979</v>
      </c>
      <c r="C179" s="217">
        <f>+'Purchased Power Model '!C179</f>
        <v>66.439073503561801</v>
      </c>
      <c r="D179" s="217">
        <f ca="1">+'Purchased Power Model '!D179</f>
        <v>32.576982339694233</v>
      </c>
      <c r="E179" s="126">
        <f>+'Purchased Power Model '!E179</f>
        <v>7.3406150000000003E-2</v>
      </c>
      <c r="F179" s="57">
        <f>+'Purchased Power Model '!F179</f>
        <v>30</v>
      </c>
      <c r="G179" s="57">
        <f>+'Purchased Power Model '!G179</f>
        <v>1</v>
      </c>
      <c r="H179" s="221"/>
      <c r="I179" s="222">
        <f t="shared" ca="1" si="6"/>
        <v>265448.02576202108</v>
      </c>
      <c r="J179" s="36"/>
      <c r="K179" s="5"/>
    </row>
    <row r="180" spans="1:11" x14ac:dyDescent="0.2">
      <c r="A180" s="3">
        <v>43009</v>
      </c>
      <c r="C180" s="217">
        <f>+'Purchased Power Model '!C180</f>
        <v>185.66888370569015</v>
      </c>
      <c r="D180" s="217">
        <f ca="1">+'Purchased Power Model '!D180</f>
        <v>0.72393294088209392</v>
      </c>
      <c r="E180" s="126">
        <f>+'Purchased Power Model '!E180</f>
        <v>7.3406150000000003E-2</v>
      </c>
      <c r="F180" s="57">
        <f>+'Purchased Power Model '!F180</f>
        <v>31</v>
      </c>
      <c r="G180" s="57">
        <f>+'Purchased Power Model '!G180</f>
        <v>1</v>
      </c>
      <c r="H180" s="221"/>
      <c r="I180" s="222">
        <f t="shared" ca="1" si="6"/>
        <v>265660.7492035774</v>
      </c>
      <c r="J180" s="36"/>
      <c r="K180" s="5"/>
    </row>
    <row r="181" spans="1:11" x14ac:dyDescent="0.2">
      <c r="A181" s="3">
        <v>43040</v>
      </c>
      <c r="C181" s="217">
        <f>+'Purchased Power Model '!C181</f>
        <v>349.62060255814896</v>
      </c>
      <c r="D181" s="217">
        <f ca="1">+'Purchased Power Model '!D181</f>
        <v>0</v>
      </c>
      <c r="E181" s="126">
        <f>+'Purchased Power Model '!E181</f>
        <v>7.3406150000000003E-2</v>
      </c>
      <c r="F181" s="57">
        <f>+'Purchased Power Model '!F181</f>
        <v>30</v>
      </c>
      <c r="G181" s="57">
        <f>+'Purchased Power Model '!G181</f>
        <v>1</v>
      </c>
      <c r="H181" s="221"/>
      <c r="I181" s="222">
        <f t="shared" ca="1" si="6"/>
        <v>264303.06120755221</v>
      </c>
      <c r="J181" s="36"/>
      <c r="K181" s="5"/>
    </row>
    <row r="182" spans="1:11" x14ac:dyDescent="0.2">
      <c r="A182" s="3">
        <v>43070</v>
      </c>
      <c r="C182" s="217">
        <f>+'Purchased Power Model '!C182</f>
        <v>473.65737415071578</v>
      </c>
      <c r="D182" s="217">
        <f ca="1">+'Purchased Power Model '!D182</f>
        <v>0</v>
      </c>
      <c r="E182" s="126">
        <f>+'Purchased Power Model '!E182</f>
        <v>7.3406150000000003E-2</v>
      </c>
      <c r="F182" s="57">
        <f>+'Purchased Power Model '!F182</f>
        <v>31</v>
      </c>
      <c r="G182" s="57">
        <f>+'Purchased Power Model '!G182</f>
        <v>0</v>
      </c>
      <c r="H182" s="221"/>
      <c r="I182" s="222">
        <f t="shared" ca="1" si="6"/>
        <v>265974.00580465293</v>
      </c>
      <c r="J182" s="36"/>
      <c r="K182" s="5"/>
    </row>
    <row r="183" spans="1:11" x14ac:dyDescent="0.2">
      <c r="A183" s="3">
        <v>43101</v>
      </c>
      <c r="C183" s="217">
        <f>+'Purchased Power Model '!C183</f>
        <v>660.46057305386228</v>
      </c>
      <c r="D183" s="217">
        <f ca="1">+'Purchased Power Model '!D183</f>
        <v>0</v>
      </c>
      <c r="E183" s="126">
        <f>+'Purchased Power Model '!E183</f>
        <v>7.3406150000000003E-2</v>
      </c>
      <c r="F183" s="57">
        <f>+'Purchased Power Model '!F183</f>
        <v>31</v>
      </c>
      <c r="G183" s="57">
        <f>+'Purchased Power Model '!G183</f>
        <v>0</v>
      </c>
      <c r="H183" s="221"/>
      <c r="I183" s="222">
        <f t="shared" ca="1" si="6"/>
        <v>263740.32435258315</v>
      </c>
      <c r="J183" s="36"/>
      <c r="K183" s="5"/>
    </row>
    <row r="184" spans="1:11" x14ac:dyDescent="0.2">
      <c r="A184" s="3">
        <v>43132</v>
      </c>
      <c r="C184" s="217">
        <f>+'Purchased Power Model '!C184</f>
        <v>591.57161531733539</v>
      </c>
      <c r="D184" s="217">
        <f ca="1">+'Purchased Power Model '!D184</f>
        <v>0</v>
      </c>
      <c r="E184" s="126">
        <f>+'Purchased Power Model '!E184</f>
        <v>7.3406150000000003E-2</v>
      </c>
      <c r="F184" s="57">
        <f>+'Purchased Power Model '!F184</f>
        <v>28</v>
      </c>
      <c r="G184" s="57">
        <f>+'Purchased Power Model '!G184</f>
        <v>0</v>
      </c>
      <c r="H184" s="221"/>
      <c r="I184" s="222">
        <f t="shared" ca="1" si="6"/>
        <v>266222.89457636967</v>
      </c>
      <c r="J184" s="36"/>
      <c r="K184" s="5"/>
    </row>
    <row r="185" spans="1:11" x14ac:dyDescent="0.2">
      <c r="A185" s="3">
        <v>43160</v>
      </c>
      <c r="C185" s="217">
        <f>+'Purchased Power Model '!C185</f>
        <v>580.52540581079472</v>
      </c>
      <c r="D185" s="217">
        <f ca="1">+'Purchased Power Model '!D185</f>
        <v>0</v>
      </c>
      <c r="E185" s="126">
        <f>+'Purchased Power Model '!E185</f>
        <v>7.3406150000000003E-2</v>
      </c>
      <c r="F185" s="57">
        <f>+'Purchased Power Model '!F185</f>
        <v>31</v>
      </c>
      <c r="G185" s="57">
        <f>+'Purchased Power Model '!G185</f>
        <v>1</v>
      </c>
      <c r="H185" s="221"/>
      <c r="I185" s="222">
        <f t="shared" ca="1" si="6"/>
        <v>260989.09333170016</v>
      </c>
      <c r="J185" s="36"/>
      <c r="K185" s="5"/>
    </row>
    <row r="186" spans="1:11" x14ac:dyDescent="0.2">
      <c r="A186" s="3">
        <v>43191</v>
      </c>
      <c r="C186" s="217">
        <f>+'Purchased Power Model '!C186</f>
        <v>317.94244882004284</v>
      </c>
      <c r="D186" s="217">
        <f ca="1">+'Purchased Power Model '!D186</f>
        <v>0</v>
      </c>
      <c r="E186" s="126">
        <f>+'Purchased Power Model '!E186</f>
        <v>7.3406150000000003E-2</v>
      </c>
      <c r="F186" s="57">
        <f>+'Purchased Power Model '!F186</f>
        <v>30</v>
      </c>
      <c r="G186" s="57">
        <f>+'Purchased Power Model '!G186</f>
        <v>1</v>
      </c>
      <c r="H186" s="221"/>
      <c r="I186" s="222">
        <f t="shared" ca="1" si="6"/>
        <v>264681.84971254622</v>
      </c>
      <c r="J186" s="36"/>
      <c r="K186" s="5"/>
    </row>
    <row r="187" spans="1:11" x14ac:dyDescent="0.2">
      <c r="A187" s="3">
        <v>43221</v>
      </c>
      <c r="C187" s="217">
        <f>+'Purchased Power Model '!C187</f>
        <v>137.43539734882</v>
      </c>
      <c r="D187" s="217">
        <f ca="1">+'Purchased Power Model '!D187</f>
        <v>1.9004408491696605</v>
      </c>
      <c r="E187" s="126">
        <f>+'Purchased Power Model '!E187</f>
        <v>7.3406150000000003E-2</v>
      </c>
      <c r="F187" s="57">
        <f>+'Purchased Power Model '!F187</f>
        <v>31</v>
      </c>
      <c r="G187" s="57">
        <f>+'Purchased Power Model '!G187</f>
        <v>1</v>
      </c>
      <c r="H187" s="221"/>
      <c r="I187" s="222">
        <f t="shared" ca="1" si="6"/>
        <v>266156.55800582096</v>
      </c>
      <c r="J187" s="36"/>
      <c r="K187" s="5"/>
    </row>
    <row r="188" spans="1:11" x14ac:dyDescent="0.2">
      <c r="A188" s="3">
        <v>43252</v>
      </c>
      <c r="C188" s="217">
        <f>+'Purchased Power Model '!C188</f>
        <v>23.034343854724352</v>
      </c>
      <c r="D188" s="217">
        <f ca="1">+'Purchased Power Model '!D188</f>
        <v>58.621290809002602</v>
      </c>
      <c r="E188" s="126">
        <f>+'Purchased Power Model '!E188</f>
        <v>7.3406150000000003E-2</v>
      </c>
      <c r="F188" s="57">
        <f>+'Purchased Power Model '!F188</f>
        <v>30</v>
      </c>
      <c r="G188" s="57">
        <f>+'Purchased Power Model '!G188</f>
        <v>0</v>
      </c>
      <c r="H188" s="221"/>
      <c r="I188" s="222">
        <f t="shared" ca="1" si="6"/>
        <v>267882.34917864454</v>
      </c>
      <c r="J188" s="36"/>
      <c r="K188" s="5"/>
    </row>
    <row r="189" spans="1:11" x14ac:dyDescent="0.2">
      <c r="A189" s="3">
        <v>43282</v>
      </c>
      <c r="C189" s="217">
        <f>+'Purchased Power Model '!C189</f>
        <v>8.2204349816116657</v>
      </c>
      <c r="D189" s="217">
        <f ca="1">+'Purchased Power Model '!D189</f>
        <v>79.81851566512573</v>
      </c>
      <c r="E189" s="126">
        <f>+'Purchased Power Model '!E189</f>
        <v>7.3406150000000003E-2</v>
      </c>
      <c r="F189" s="57">
        <f>+'Purchased Power Model '!F189</f>
        <v>31</v>
      </c>
      <c r="G189" s="57">
        <f>+'Purchased Power Model '!G189</f>
        <v>0</v>
      </c>
      <c r="H189" s="221"/>
      <c r="I189" s="222">
        <f t="shared" ca="1" si="6"/>
        <v>266048.26453114336</v>
      </c>
      <c r="J189" s="36"/>
      <c r="K189" s="5"/>
    </row>
    <row r="190" spans="1:11" x14ac:dyDescent="0.2">
      <c r="A190" s="3">
        <v>43313</v>
      </c>
      <c r="C190" s="217">
        <f>+'Purchased Power Model '!C190</f>
        <v>10.874950444423765</v>
      </c>
      <c r="D190" s="217">
        <f ca="1">+'Purchased Power Model '!D190</f>
        <v>84.788899424492527</v>
      </c>
      <c r="E190" s="126">
        <f>+'Purchased Power Model '!E190</f>
        <v>7.3406150000000003E-2</v>
      </c>
      <c r="F190" s="57">
        <f>+'Purchased Power Model '!F190</f>
        <v>31</v>
      </c>
      <c r="G190" s="57">
        <f>+'Purchased Power Model '!G190</f>
        <v>0</v>
      </c>
      <c r="H190" s="221"/>
      <c r="I190" s="222">
        <f t="shared" ca="1" si="6"/>
        <v>265674.58310352912</v>
      </c>
      <c r="J190" s="36"/>
      <c r="K190" s="5"/>
    </row>
    <row r="191" spans="1:11" x14ac:dyDescent="0.2">
      <c r="A191" s="3">
        <v>43344</v>
      </c>
      <c r="C191" s="217">
        <f>+'Purchased Power Model '!C191</f>
        <v>66.277257039244049</v>
      </c>
      <c r="D191" s="217">
        <f ca="1">+'Purchased Power Model '!D191</f>
        <v>32.892245466397974</v>
      </c>
      <c r="E191" s="126">
        <f>+'Purchased Power Model '!E191</f>
        <v>7.3406150000000003E-2</v>
      </c>
      <c r="F191" s="57">
        <f>+'Purchased Power Model '!F191</f>
        <v>30</v>
      </c>
      <c r="G191" s="57">
        <f>+'Purchased Power Model '!G191</f>
        <v>1</v>
      </c>
      <c r="H191" s="221"/>
      <c r="I191" s="222">
        <f t="shared" ca="1" si="6"/>
        <v>265428.27196503727</v>
      </c>
      <c r="J191" s="36"/>
      <c r="K191" s="5"/>
    </row>
    <row r="192" spans="1:11" x14ac:dyDescent="0.2">
      <c r="A192" s="3">
        <v>43374</v>
      </c>
      <c r="C192" s="217">
        <f>+'Purchased Power Model '!C192</f>
        <v>185.21667567943786</v>
      </c>
      <c r="D192" s="217">
        <f ca="1">+'Purchased Power Model '!D192</f>
        <v>0.73093878814217705</v>
      </c>
      <c r="E192" s="126">
        <f>+'Purchased Power Model '!E192</f>
        <v>7.3406150000000003E-2</v>
      </c>
      <c r="F192" s="57">
        <f>+'Purchased Power Model '!F192</f>
        <v>31</v>
      </c>
      <c r="G192" s="57">
        <f>+'Purchased Power Model '!G192</f>
        <v>1</v>
      </c>
      <c r="H192" s="221"/>
      <c r="I192" s="222">
        <f t="shared" ca="1" si="6"/>
        <v>265665.67446681025</v>
      </c>
      <c r="J192" s="36"/>
      <c r="K192" s="5"/>
    </row>
    <row r="193" spans="1:11" x14ac:dyDescent="0.2">
      <c r="A193" s="3">
        <v>43405</v>
      </c>
      <c r="C193" s="217">
        <f>+'Purchased Power Model '!C193</f>
        <v>348.76908000108671</v>
      </c>
      <c r="D193" s="217">
        <f ca="1">+'Purchased Power Model '!D193</f>
        <v>0</v>
      </c>
      <c r="E193" s="126">
        <f>+'Purchased Power Model '!E193</f>
        <v>7.3406150000000003E-2</v>
      </c>
      <c r="F193" s="57">
        <f>+'Purchased Power Model '!F193</f>
        <v>30</v>
      </c>
      <c r="G193" s="57">
        <f>+'Purchased Power Model '!G193</f>
        <v>1</v>
      </c>
      <c r="H193" s="221"/>
      <c r="I193" s="222">
        <f t="shared" ca="1" si="6"/>
        <v>264313.24320739426</v>
      </c>
      <c r="J193" s="36"/>
      <c r="K193" s="5"/>
    </row>
    <row r="194" spans="1:11" x14ac:dyDescent="0.2">
      <c r="A194" s="3">
        <v>43435</v>
      </c>
      <c r="C194" s="217">
        <f>+'Purchased Power Model '!C194</f>
        <v>472.50375238055386</v>
      </c>
      <c r="D194" s="217">
        <f ca="1">+'Purchased Power Model '!D194</f>
        <v>0</v>
      </c>
      <c r="E194" s="126">
        <f>+'Purchased Power Model '!E194</f>
        <v>7.3406150000000003E-2</v>
      </c>
      <c r="F194" s="57">
        <f>+'Purchased Power Model '!F194</f>
        <v>31</v>
      </c>
      <c r="G194" s="57">
        <f>+'Purchased Power Model '!G194</f>
        <v>0</v>
      </c>
      <c r="H194" s="221"/>
      <c r="I194" s="222">
        <f t="shared" ca="1" si="6"/>
        <v>265987.80012705131</v>
      </c>
      <c r="J194" s="36"/>
      <c r="K194" s="5"/>
    </row>
    <row r="195" spans="1:11" x14ac:dyDescent="0.2">
      <c r="A195" s="3">
        <v>43466</v>
      </c>
      <c r="C195" s="217">
        <f>+'Purchased Power Model '!C195</f>
        <v>658.84805317106725</v>
      </c>
      <c r="D195" s="217">
        <f ca="1">+'Purchased Power Model '!D195</f>
        <v>0</v>
      </c>
      <c r="E195" s="126">
        <f>+'Purchased Power Model '!E195</f>
        <v>7.3406150000000003E-2</v>
      </c>
      <c r="F195" s="57">
        <f>+'Purchased Power Model '!F195</f>
        <v>31</v>
      </c>
      <c r="G195" s="57">
        <f>+'Purchased Power Model '!G195</f>
        <v>0</v>
      </c>
      <c r="H195" s="221"/>
      <c r="I195" s="222">
        <f t="shared" ca="1" si="6"/>
        <v>263759.60590543901</v>
      </c>
      <c r="J195" s="36"/>
      <c r="K195" s="5"/>
    </row>
    <row r="196" spans="1:11" x14ac:dyDescent="0.2">
      <c r="A196" s="3">
        <v>43497</v>
      </c>
      <c r="C196" s="217">
        <f>+'Purchased Power Model '!C196</f>
        <v>590.12728838743919</v>
      </c>
      <c r="D196" s="217">
        <f ca="1">+'Purchased Power Model '!D196</f>
        <v>0</v>
      </c>
      <c r="E196" s="126">
        <f>+'Purchased Power Model '!E196</f>
        <v>7.3406150000000003E-2</v>
      </c>
      <c r="F196" s="57">
        <f>+'Purchased Power Model '!F196</f>
        <v>28</v>
      </c>
      <c r="G196" s="57">
        <f>+'Purchased Power Model '!G196</f>
        <v>0</v>
      </c>
      <c r="H196" s="221"/>
      <c r="I196" s="222">
        <f t="shared" ref="I196:I206" ca="1" si="11">$N$18+C196*$N$19+D196*$N$20+E196*$N$21+F196*$N$22+G196*$N$23</f>
        <v>266240.16497801687</v>
      </c>
      <c r="J196" s="36"/>
      <c r="K196" s="5"/>
    </row>
    <row r="197" spans="1:11" x14ac:dyDescent="0.2">
      <c r="A197" s="3">
        <v>43525</v>
      </c>
      <c r="C197" s="217">
        <f>+'Purchased Power Model '!C197</f>
        <v>579.10804829161816</v>
      </c>
      <c r="D197" s="217">
        <f ca="1">+'Purchased Power Model '!D197</f>
        <v>0</v>
      </c>
      <c r="E197" s="126">
        <f>+'Purchased Power Model '!E197</f>
        <v>7.3406150000000003E-2</v>
      </c>
      <c r="F197" s="57">
        <f>+'Purchased Power Model '!F197</f>
        <v>31</v>
      </c>
      <c r="G197" s="57">
        <f>+'Purchased Power Model '!G197</f>
        <v>1</v>
      </c>
      <c r="H197" s="221"/>
      <c r="I197" s="222">
        <f t="shared" ca="1" si="11"/>
        <v>261006.04124918833</v>
      </c>
      <c r="J197" s="36"/>
      <c r="K197" s="5"/>
    </row>
    <row r="198" spans="1:11" x14ac:dyDescent="0.2">
      <c r="A198" s="3">
        <v>43556</v>
      </c>
      <c r="C198" s="217">
        <f>+'Purchased Power Model '!C198</f>
        <v>317.1661897347559</v>
      </c>
      <c r="D198" s="217">
        <f ca="1">+'Purchased Power Model '!D198</f>
        <v>0</v>
      </c>
      <c r="E198" s="126">
        <f>+'Purchased Power Model '!E198</f>
        <v>7.3406150000000003E-2</v>
      </c>
      <c r="F198" s="57">
        <f>+'Purchased Power Model '!F198</f>
        <v>30</v>
      </c>
      <c r="G198" s="57">
        <f>+'Purchased Power Model '!G198</f>
        <v>1</v>
      </c>
      <c r="H198" s="221"/>
      <c r="I198" s="222">
        <f t="shared" ca="1" si="11"/>
        <v>264691.13175659574</v>
      </c>
      <c r="J198" s="36"/>
      <c r="K198" s="5"/>
    </row>
    <row r="199" spans="1:11" x14ac:dyDescent="0.2">
      <c r="A199" s="3">
        <v>43586</v>
      </c>
      <c r="C199" s="217">
        <f>+'Purchased Power Model '!C199</f>
        <v>137.09984770381988</v>
      </c>
      <c r="D199" s="217">
        <f ca="1">+'Purchased Power Model '!D199</f>
        <v>1.9186560520458842</v>
      </c>
      <c r="E199" s="126">
        <f>+'Purchased Power Model '!E199</f>
        <v>7.3406150000000003E-2</v>
      </c>
      <c r="F199" s="57">
        <f>+'Purchased Power Model '!F199</f>
        <v>31</v>
      </c>
      <c r="G199" s="57">
        <f>+'Purchased Power Model '!G199</f>
        <v>1</v>
      </c>
      <c r="H199" s="221"/>
      <c r="I199" s="222">
        <f t="shared" ca="1" si="11"/>
        <v>266159.31718372868</v>
      </c>
      <c r="J199" s="36"/>
      <c r="K199" s="5"/>
    </row>
    <row r="200" spans="1:11" x14ac:dyDescent="0.2">
      <c r="A200" s="3">
        <v>43617</v>
      </c>
      <c r="C200" s="217">
        <f>+'Purchased Power Model '!C200</f>
        <v>22.978105316091931</v>
      </c>
      <c r="D200" s="217">
        <f ca="1">+'Purchased Power Model '!D200</f>
        <v>59.1831597592615</v>
      </c>
      <c r="E200" s="126">
        <f>+'Purchased Power Model '!E200</f>
        <v>7.3406150000000003E-2</v>
      </c>
      <c r="F200" s="57">
        <f>+'Purchased Power Model '!F200</f>
        <v>30</v>
      </c>
      <c r="G200" s="57">
        <f>+'Purchased Power Model '!G200</f>
        <v>0</v>
      </c>
      <c r="H200" s="221"/>
      <c r="I200" s="222">
        <f t="shared" ca="1" si="11"/>
        <v>267844.36755904701</v>
      </c>
      <c r="J200" s="36"/>
      <c r="K200" s="5"/>
    </row>
    <row r="201" spans="1:11" x14ac:dyDescent="0.2">
      <c r="A201" s="3">
        <v>43647</v>
      </c>
      <c r="C201" s="217">
        <f>+'Purchased Power Model '!C201</f>
        <v>8.2003647224714715</v>
      </c>
      <c r="D201" s="217">
        <f ca="1">+'Purchased Power Model '!D201</f>
        <v>80.583554185927127</v>
      </c>
      <c r="E201" s="126">
        <f>+'Purchased Power Model '!E201</f>
        <v>7.3406150000000003E-2</v>
      </c>
      <c r="F201" s="57">
        <f>+'Purchased Power Model '!F201</f>
        <v>31</v>
      </c>
      <c r="G201" s="57">
        <f>+'Purchased Power Model '!G201</f>
        <v>0</v>
      </c>
      <c r="H201" s="221"/>
      <c r="I201" s="222">
        <f t="shared" ca="1" si="11"/>
        <v>265995.87326931901</v>
      </c>
      <c r="J201" s="36"/>
      <c r="K201" s="5"/>
    </row>
    <row r="202" spans="1:11" x14ac:dyDescent="0.2">
      <c r="A202" s="3">
        <v>43678</v>
      </c>
      <c r="C202" s="217">
        <f>+'Purchased Power Model '!C202</f>
        <v>10.848399164102883</v>
      </c>
      <c r="D202" s="217">
        <f ca="1">+'Purchased Power Model '!D202</f>
        <v>85.601577706662511</v>
      </c>
      <c r="E202" s="126">
        <f>+'Purchased Power Model '!E202</f>
        <v>7.3406150000000003E-2</v>
      </c>
      <c r="F202" s="57">
        <f>+'Purchased Power Model '!F202</f>
        <v>31</v>
      </c>
      <c r="G202" s="57">
        <f>+'Purchased Power Model '!G202</f>
        <v>0</v>
      </c>
      <c r="H202" s="221"/>
      <c r="I202" s="222">
        <f t="shared" ca="1" si="11"/>
        <v>265618.99193404958</v>
      </c>
      <c r="J202" s="36"/>
      <c r="K202" s="5"/>
    </row>
    <row r="203" spans="1:11" x14ac:dyDescent="0.2">
      <c r="A203" s="3">
        <v>43709</v>
      </c>
      <c r="C203" s="217">
        <f>+'Purchased Power Model '!C203</f>
        <v>66.115440574926225</v>
      </c>
      <c r="D203" s="217">
        <f ca="1">+'Purchased Power Model '!D203</f>
        <v>33.207508593101842</v>
      </c>
      <c r="E203" s="126">
        <f>+'Purchased Power Model '!E203</f>
        <v>7.3406150000000003E-2</v>
      </c>
      <c r="F203" s="57">
        <f>+'Purchased Power Model '!F203</f>
        <v>30</v>
      </c>
      <c r="G203" s="57">
        <f>+'Purchased Power Model '!G203</f>
        <v>1</v>
      </c>
      <c r="H203" s="221"/>
      <c r="I203" s="222">
        <f t="shared" ca="1" si="11"/>
        <v>265408.51816805353</v>
      </c>
      <c r="J203" s="36"/>
      <c r="K203" s="5"/>
    </row>
    <row r="204" spans="1:11" x14ac:dyDescent="0.2">
      <c r="A204" s="3">
        <v>43739</v>
      </c>
      <c r="C204" s="217">
        <f>+'Purchased Power Model '!C204</f>
        <v>184.76446765318536</v>
      </c>
      <c r="D204" s="217">
        <f ca="1">+'Purchased Power Model '!D204</f>
        <v>0.73794463540226296</v>
      </c>
      <c r="E204" s="126">
        <f>+'Purchased Power Model '!E204</f>
        <v>7.3406150000000003E-2</v>
      </c>
      <c r="F204" s="57">
        <f>+'Purchased Power Model '!F204</f>
        <v>31</v>
      </c>
      <c r="G204" s="57">
        <f>+'Purchased Power Model '!G204</f>
        <v>1</v>
      </c>
      <c r="H204" s="221"/>
      <c r="I204" s="222">
        <f t="shared" ca="1" si="11"/>
        <v>265670.59973004315</v>
      </c>
      <c r="J204" s="36"/>
      <c r="K204" s="5"/>
    </row>
    <row r="205" spans="1:11" x14ac:dyDescent="0.2">
      <c r="A205" s="3">
        <v>43770</v>
      </c>
      <c r="C205" s="217">
        <f>+'Purchased Power Model '!C205</f>
        <v>347.91755744402406</v>
      </c>
      <c r="D205" s="217">
        <f ca="1">+'Purchased Power Model '!D205</f>
        <v>0</v>
      </c>
      <c r="E205" s="126">
        <f>+'Purchased Power Model '!E205</f>
        <v>7.3406150000000003E-2</v>
      </c>
      <c r="F205" s="57">
        <f>+'Purchased Power Model '!F205</f>
        <v>30</v>
      </c>
      <c r="G205" s="57">
        <f>+'Purchased Power Model '!G205</f>
        <v>1</v>
      </c>
      <c r="H205" s="221"/>
      <c r="I205" s="222">
        <f t="shared" ca="1" si="11"/>
        <v>264323.42520723637</v>
      </c>
      <c r="J205" s="36"/>
      <c r="K205" s="5"/>
    </row>
    <row r="206" spans="1:11" x14ac:dyDescent="0.2">
      <c r="A206" s="3">
        <v>43800</v>
      </c>
      <c r="C206" s="217">
        <f>+'Purchased Power Model '!C206</f>
        <v>471.35013061039143</v>
      </c>
      <c r="D206" s="217">
        <f ca="1">+'Purchased Power Model '!D206</f>
        <v>0</v>
      </c>
      <c r="E206" s="126">
        <f>+'Purchased Power Model '!E206</f>
        <v>7.3406150000000003E-2</v>
      </c>
      <c r="F206" s="57">
        <f>+'Purchased Power Model '!F206</f>
        <v>31</v>
      </c>
      <c r="G206" s="57">
        <f>+'Purchased Power Model '!G206</f>
        <v>0</v>
      </c>
      <c r="H206" s="221"/>
      <c r="I206" s="222">
        <f t="shared" ca="1" si="11"/>
        <v>266001.59444944962</v>
      </c>
      <c r="J206" s="36"/>
      <c r="K206" s="5"/>
    </row>
    <row r="207" spans="1:11" x14ac:dyDescent="0.2">
      <c r="A207" s="3"/>
      <c r="E207" s="33"/>
      <c r="F207" s="10"/>
      <c r="G207" s="10"/>
      <c r="H207" s="17"/>
    </row>
    <row r="208" spans="1:11" x14ac:dyDescent="0.2">
      <c r="A208" s="3"/>
      <c r="C208" s="18"/>
      <c r="D208" s="63" t="s">
        <v>60</v>
      </c>
      <c r="I208" s="47">
        <f ca="1">SUM(I3:I206)</f>
        <v>54246003.962943614</v>
      </c>
    </row>
    <row r="209" spans="1:11" x14ac:dyDescent="0.2">
      <c r="A209" s="3"/>
      <c r="C209" s="23"/>
      <c r="D209" s="23"/>
      <c r="F209" s="209"/>
      <c r="G209" s="209"/>
      <c r="H209"/>
      <c r="I209" s="209"/>
      <c r="J209" s="36"/>
      <c r="K209" s="5" t="s">
        <v>201</v>
      </c>
    </row>
    <row r="210" spans="1:11" x14ac:dyDescent="0.2">
      <c r="A210" s="16">
        <v>2003</v>
      </c>
      <c r="B210" s="6">
        <f>SUM(B3:B14)</f>
        <v>3600000</v>
      </c>
      <c r="C210" s="131"/>
      <c r="D210" s="23" t="s">
        <v>200</v>
      </c>
      <c r="E210" s="132" t="s">
        <v>112</v>
      </c>
      <c r="F210" s="209"/>
      <c r="G210" s="209"/>
      <c r="H210"/>
      <c r="I210" s="6">
        <f>SUM(I3:I14)</f>
        <v>3662290.0767980879</v>
      </c>
      <c r="J210" s="36">
        <f>I210-B210</f>
        <v>62290.076798087917</v>
      </c>
      <c r="K210" s="5">
        <f>J210/B210</f>
        <v>1.7302799110579976E-2</v>
      </c>
    </row>
    <row r="211" spans="1:11" x14ac:dyDescent="0.2">
      <c r="A211">
        <v>2004</v>
      </c>
      <c r="B211" s="6">
        <f>SUM(B15:B26)</f>
        <v>3600000</v>
      </c>
      <c r="C211" s="131">
        <f>+B211-B210</f>
        <v>0</v>
      </c>
      <c r="D211" s="133">
        <f>+C211/B210</f>
        <v>0</v>
      </c>
      <c r="E211" s="133">
        <f>RATE(1,0,-B$210,B211)</f>
        <v>-7.7878937866484453E-17</v>
      </c>
      <c r="F211" s="209"/>
      <c r="G211" s="209"/>
      <c r="H211"/>
      <c r="I211" s="6">
        <f>SUM(I15:I26)</f>
        <v>3587481.6690634093</v>
      </c>
      <c r="J211" s="36">
        <f t="shared" ref="J211:J226" si="12">I211-B211</f>
        <v>-12518.330936590675</v>
      </c>
      <c r="K211" s="5">
        <f t="shared" ref="K211:K226" si="13">J211/B211</f>
        <v>-3.4773141490529653E-3</v>
      </c>
    </row>
    <row r="212" spans="1:11" x14ac:dyDescent="0.2">
      <c r="A212" s="16">
        <v>2005</v>
      </c>
      <c r="B212" s="6">
        <f>SUM(B27:B38)</f>
        <v>3600000</v>
      </c>
      <c r="C212" s="131">
        <f t="shared" ref="C212:C226" si="14">+B212-B211</f>
        <v>0</v>
      </c>
      <c r="D212" s="133">
        <f t="shared" ref="D212:D226" si="15">+C212/B211</f>
        <v>0</v>
      </c>
      <c r="E212" s="133">
        <f>RATE(2,0,-B$210,B212)</f>
        <v>-7.6316599293886114E-17</v>
      </c>
      <c r="F212" s="209"/>
      <c r="G212" s="209"/>
      <c r="H212"/>
      <c r="I212" s="6">
        <f>SUM(I27:I38)</f>
        <v>3341761.4522754089</v>
      </c>
      <c r="J212" s="36">
        <f t="shared" si="12"/>
        <v>-258238.5477245911</v>
      </c>
      <c r="K212" s="5">
        <f t="shared" si="13"/>
        <v>-7.1732929923497529E-2</v>
      </c>
    </row>
    <row r="213" spans="1:11" x14ac:dyDescent="0.2">
      <c r="A213">
        <v>2006</v>
      </c>
      <c r="B213" s="6">
        <f>SUM(B39:B50)</f>
        <v>3705188</v>
      </c>
      <c r="C213" s="131">
        <f t="shared" si="14"/>
        <v>105188</v>
      </c>
      <c r="D213" s="133">
        <f t="shared" si="15"/>
        <v>2.9218888888888888E-2</v>
      </c>
      <c r="E213" s="133">
        <f>RATE(3,0,-B$210,B213)</f>
        <v>9.6462797194698212E-3</v>
      </c>
      <c r="F213" s="209"/>
      <c r="G213" s="209"/>
      <c r="H213"/>
      <c r="I213" s="6">
        <f>SUM(I39:I50)</f>
        <v>3329388.0630803476</v>
      </c>
      <c r="J213" s="36">
        <f t="shared" si="12"/>
        <v>-375799.93691965239</v>
      </c>
      <c r="K213" s="5">
        <f t="shared" si="13"/>
        <v>-0.10142533575075068</v>
      </c>
    </row>
    <row r="214" spans="1:11" x14ac:dyDescent="0.2">
      <c r="A214" s="16">
        <v>2007</v>
      </c>
      <c r="B214" s="6">
        <f>SUM(B51:B62)</f>
        <v>3818865</v>
      </c>
      <c r="C214" s="131">
        <f t="shared" si="14"/>
        <v>113677</v>
      </c>
      <c r="D214" s="133">
        <f t="shared" si="15"/>
        <v>3.0680494485030178E-2</v>
      </c>
      <c r="E214" s="133">
        <f>RATE(1,0,-B$213,B214)</f>
        <v>3.0680494485030036E-2</v>
      </c>
      <c r="F214" s="209"/>
      <c r="G214" s="209"/>
      <c r="H214"/>
      <c r="I214" s="6">
        <f>SUM(I51:I62)</f>
        <v>3429701.1933513079</v>
      </c>
      <c r="J214" s="36">
        <f t="shared" si="12"/>
        <v>-389163.80664869212</v>
      </c>
      <c r="K214" s="5">
        <f t="shared" si="13"/>
        <v>-0.10190562029521655</v>
      </c>
    </row>
    <row r="215" spans="1:11" x14ac:dyDescent="0.2">
      <c r="A215">
        <v>2008</v>
      </c>
      <c r="B215" s="6">
        <f>SUM(B63:B74)</f>
        <v>3372873</v>
      </c>
      <c r="C215" s="131">
        <f t="shared" si="14"/>
        <v>-445992</v>
      </c>
      <c r="D215" s="133">
        <f t="shared" si="15"/>
        <v>-0.11678653212407351</v>
      </c>
      <c r="E215" s="133">
        <f>RATE(2,0,-B$213,B215)</f>
        <v>-4.5897859867088039E-2</v>
      </c>
      <c r="F215" s="209"/>
      <c r="G215" s="209"/>
      <c r="H215"/>
      <c r="I215" s="6">
        <f>SUM(I63:I74)</f>
        <v>3248457.8330510426</v>
      </c>
      <c r="J215" s="36">
        <f t="shared" si="12"/>
        <v>-124415.16694895737</v>
      </c>
      <c r="K215" s="5">
        <f t="shared" si="13"/>
        <v>-3.6887000177284281E-2</v>
      </c>
    </row>
    <row r="216" spans="1:11" x14ac:dyDescent="0.2">
      <c r="A216" s="16">
        <v>2009</v>
      </c>
      <c r="B216" s="6">
        <f>SUM(B75:B86)</f>
        <v>2825455</v>
      </c>
      <c r="C216" s="131">
        <f t="shared" si="14"/>
        <v>-547418</v>
      </c>
      <c r="D216" s="133">
        <f t="shared" si="15"/>
        <v>-0.16230021112564866</v>
      </c>
      <c r="E216" s="133">
        <f>RATE(3,0,-B$213,B216)</f>
        <v>-8.6393076677496503E-2</v>
      </c>
      <c r="F216" s="209"/>
      <c r="G216" s="209"/>
      <c r="H216"/>
      <c r="I216" s="6">
        <f>SUM(I75:I86)</f>
        <v>2822750.7568520862</v>
      </c>
      <c r="J216" s="36">
        <f t="shared" si="12"/>
        <v>-2704.2431479138322</v>
      </c>
      <c r="K216" s="5">
        <f t="shared" si="13"/>
        <v>-9.5710005925199026E-4</v>
      </c>
    </row>
    <row r="217" spans="1:11" x14ac:dyDescent="0.2">
      <c r="A217">
        <v>2010</v>
      </c>
      <c r="B217" s="6">
        <f>SUM(B87:B98)</f>
        <v>2831501</v>
      </c>
      <c r="C217" s="131">
        <f t="shared" si="14"/>
        <v>6046</v>
      </c>
      <c r="D217" s="133">
        <f t="shared" si="15"/>
        <v>2.1398323455868169E-3</v>
      </c>
      <c r="E217" s="133">
        <f>RATE(4,0,-B$213,B217)</f>
        <v>-6.5021514379645193E-2</v>
      </c>
      <c r="F217" s="209"/>
      <c r="G217" s="209"/>
      <c r="H217"/>
      <c r="I217" s="6">
        <f>SUM(I87:I98)</f>
        <v>2623295.969000265</v>
      </c>
      <c r="J217" s="36">
        <f t="shared" si="12"/>
        <v>-208205.030999735</v>
      </c>
      <c r="K217" s="5">
        <f t="shared" si="13"/>
        <v>-7.353168195940421E-2</v>
      </c>
    </row>
    <row r="218" spans="1:11" x14ac:dyDescent="0.2">
      <c r="A218">
        <v>2011</v>
      </c>
      <c r="B218" s="6">
        <f>SUM(B99:B110)</f>
        <v>2769028</v>
      </c>
      <c r="C218" s="131">
        <f t="shared" si="14"/>
        <v>-62473</v>
      </c>
      <c r="D218" s="133">
        <f t="shared" si="15"/>
        <v>-2.2063562753465389E-2</v>
      </c>
      <c r="E218" s="133">
        <f>RATE(5,0,-B$213,B218)</f>
        <v>-5.6583604122049977E-2</v>
      </c>
      <c r="F218" s="209"/>
      <c r="G218" s="209"/>
      <c r="H218"/>
      <c r="I218" s="6">
        <f>SUM(I99:I110)</f>
        <v>3017122.9192967075</v>
      </c>
      <c r="J218" s="36">
        <f t="shared" si="12"/>
        <v>248094.91929670749</v>
      </c>
      <c r="K218" s="5">
        <f t="shared" si="13"/>
        <v>8.9596392415211223E-2</v>
      </c>
    </row>
    <row r="219" spans="1:11" x14ac:dyDescent="0.2">
      <c r="A219">
        <v>2012</v>
      </c>
      <c r="B219" s="6">
        <f>SUM(B111:B122)</f>
        <v>2745701</v>
      </c>
      <c r="C219" s="131">
        <f t="shared" si="14"/>
        <v>-23327</v>
      </c>
      <c r="D219" s="133">
        <f t="shared" si="15"/>
        <v>-8.4242557316141255E-3</v>
      </c>
      <c r="E219" s="133">
        <f>RATE(6,0,-B$213,B219)</f>
        <v>-4.8722629781163249E-2</v>
      </c>
      <c r="F219" s="209"/>
      <c r="G219" s="209"/>
      <c r="H219"/>
      <c r="I219" s="6">
        <f>SUM(I111:I122)</f>
        <v>2874374.1592953992</v>
      </c>
      <c r="J219" s="36">
        <f t="shared" si="12"/>
        <v>128673.15929539921</v>
      </c>
      <c r="K219" s="5">
        <f t="shared" si="13"/>
        <v>4.6863500175510449E-2</v>
      </c>
    </row>
    <row r="220" spans="1:11" x14ac:dyDescent="0.2">
      <c r="A220">
        <v>2013</v>
      </c>
      <c r="B220" s="6">
        <f>SUM(B123:B134)</f>
        <v>2752416</v>
      </c>
      <c r="C220" s="131">
        <f t="shared" si="14"/>
        <v>6715</v>
      </c>
      <c r="D220" s="133">
        <f t="shared" si="15"/>
        <v>2.4456413862980709E-3</v>
      </c>
      <c r="E220" s="133">
        <f>RATE(7,0,-B$213,B220)</f>
        <v>-4.1575980403681982E-2</v>
      </c>
      <c r="F220" s="209"/>
      <c r="G220" s="209"/>
      <c r="H220"/>
      <c r="I220" s="6">
        <f ca="1">SUM(I123:I134)</f>
        <v>3212882.2593077021</v>
      </c>
      <c r="J220" s="36">
        <f t="shared" ca="1" si="12"/>
        <v>460466.25930770207</v>
      </c>
      <c r="K220" s="5">
        <f t="shared" ca="1" si="13"/>
        <v>0.16729529958687281</v>
      </c>
    </row>
    <row r="221" spans="1:11" x14ac:dyDescent="0.2">
      <c r="A221">
        <v>2014</v>
      </c>
      <c r="B221" s="6">
        <f>SUM(B135:B146)</f>
        <v>2711219</v>
      </c>
      <c r="C221" s="131">
        <f t="shared" ref="C221" si="16">+B221-B220</f>
        <v>-41197</v>
      </c>
      <c r="D221" s="133">
        <f t="shared" ref="D221" si="17">+C221/B220</f>
        <v>-1.4967577575482775E-2</v>
      </c>
      <c r="E221" s="133">
        <f>RATE(8,0,-B$213,B221)</f>
        <v>-3.8289641514172183E-2</v>
      </c>
      <c r="F221" s="126"/>
      <c r="G221" s="209"/>
      <c r="H221"/>
      <c r="I221" s="6">
        <f>SUM(I135:I146)</f>
        <v>3182739.6486282172</v>
      </c>
      <c r="J221" s="36">
        <f t="shared" si="12"/>
        <v>471520.64862821717</v>
      </c>
      <c r="K221" s="5">
        <f t="shared" si="13"/>
        <v>0.17391462977657546</v>
      </c>
    </row>
    <row r="222" spans="1:11" x14ac:dyDescent="0.2">
      <c r="A222">
        <v>2015</v>
      </c>
      <c r="B222" s="6">
        <f ca="1">+I222</f>
        <v>3183004.7320640208</v>
      </c>
      <c r="C222" s="131">
        <f t="shared" ca="1" si="14"/>
        <v>471785.73206402082</v>
      </c>
      <c r="D222" s="133">
        <f t="shared" ca="1" si="15"/>
        <v>0.17401240256284012</v>
      </c>
      <c r="E222" s="133">
        <f ca="1">RATE(9,0,-B$213,B222)</f>
        <v>-1.6737059875311652E-2</v>
      </c>
      <c r="F222" s="126"/>
      <c r="G222" s="209"/>
      <c r="H222"/>
      <c r="I222" s="6">
        <f ca="1">SUM(I147:I158)</f>
        <v>3183004.7320640208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ca="1">+I223</f>
        <v>3182380.5112037351</v>
      </c>
      <c r="C223" s="131">
        <f t="shared" ca="1" si="14"/>
        <v>-624.22086028568447</v>
      </c>
      <c r="D223" s="133">
        <f t="shared" ca="1" si="15"/>
        <v>-1.9611056621989632E-4</v>
      </c>
      <c r="E223" s="133">
        <f ca="1">RATE(10,0,-B$213,B223)</f>
        <v>-1.5095354852754582E-2</v>
      </c>
      <c r="F223" s="126"/>
      <c r="G223" s="209"/>
      <c r="H223"/>
      <c r="I223" s="6">
        <f ca="1">SUM(I159:I170)</f>
        <v>3182380.5112037351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ca="1">+I224</f>
        <v>3182862.1817270941</v>
      </c>
      <c r="C224" s="131">
        <f t="shared" ca="1" si="14"/>
        <v>481.67052335897461</v>
      </c>
      <c r="D224" s="133">
        <f t="shared" ca="1" si="15"/>
        <v>1.5135541512500741E-4</v>
      </c>
      <c r="E224" s="133">
        <f ca="1">RATE(11,0,-B$213,B224)</f>
        <v>-1.3718948373860878E-2</v>
      </c>
      <c r="F224" s="126"/>
      <c r="G224" s="209"/>
      <c r="H224"/>
      <c r="I224" s="6">
        <f ca="1">SUM(I171:I182)</f>
        <v>3182862.1817270941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ca="1">+I225</f>
        <v>3182790.9065586301</v>
      </c>
      <c r="C225" s="131">
        <f t="shared" ca="1" si="14"/>
        <v>-71.275168464053422</v>
      </c>
      <c r="D225" s="133">
        <f t="shared" ca="1" si="15"/>
        <v>-2.2393419631313686E-5</v>
      </c>
      <c r="E225" s="133">
        <f ca="1">RATE(12,0,-B$213,B225)</f>
        <v>-1.2584769760235853E-2</v>
      </c>
      <c r="F225" s="126"/>
      <c r="G225" s="209"/>
      <c r="H225"/>
      <c r="I225" s="6">
        <f ca="1">SUM(I183:I194)</f>
        <v>3182790.9065586301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ca="1">+I226</f>
        <v>3182719.6313901669</v>
      </c>
      <c r="C226" s="131">
        <f t="shared" ca="1" si="14"/>
        <v>-71.2751684631221</v>
      </c>
      <c r="D226" s="133">
        <f t="shared" ca="1" si="15"/>
        <v>-2.2393921107493631E-5</v>
      </c>
      <c r="E226" s="133">
        <f ca="1">RATE(13,0,-B$213,B226)</f>
        <v>-1.1624061554912387E-2</v>
      </c>
      <c r="F226" s="126"/>
      <c r="G226" s="209"/>
      <c r="H226"/>
      <c r="I226" s="6">
        <f ca="1">SUM(I195:I206)</f>
        <v>3182719.6313901669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24"/>
      <c r="D227" s="209"/>
      <c r="F227" s="209"/>
      <c r="G227" s="209"/>
      <c r="H227"/>
      <c r="J227" s="209"/>
      <c r="K227" s="209"/>
    </row>
    <row r="228" spans="1:11" x14ac:dyDescent="0.2">
      <c r="A228" t="s">
        <v>9</v>
      </c>
      <c r="B228" s="6">
        <f ca="1">SUM(B210:B226)</f>
        <v>54246003.962943658</v>
      </c>
      <c r="C228" s="124"/>
      <c r="D228" s="209"/>
      <c r="F228" s="209"/>
      <c r="G228" s="209"/>
      <c r="H228"/>
      <c r="I228" s="6">
        <f ca="1">SUM(I210:I226)</f>
        <v>54246003.962943643</v>
      </c>
      <c r="J228" s="213">
        <f ca="1">I228-B228</f>
        <v>0</v>
      </c>
      <c r="K228" s="209"/>
    </row>
    <row r="229" spans="1:11" x14ac:dyDescent="0.2">
      <c r="C229" s="209"/>
      <c r="D229" s="209"/>
      <c r="F229" s="209"/>
      <c r="G229" s="209"/>
      <c r="H229"/>
      <c r="I229" s="209"/>
      <c r="J229" s="62"/>
      <c r="K229" s="209"/>
    </row>
    <row r="230" spans="1:11" x14ac:dyDescent="0.2">
      <c r="C230" s="209"/>
      <c r="D230" s="209"/>
      <c r="F230" s="209"/>
      <c r="G230" s="209"/>
      <c r="H230"/>
      <c r="I230" s="6">
        <f ca="1">SUM(I210:I226)</f>
        <v>54246003.962943643</v>
      </c>
      <c r="J230" s="213">
        <f ca="1">I208-I230</f>
        <v>0</v>
      </c>
      <c r="K230" s="209"/>
    </row>
    <row r="231" spans="1:11" x14ac:dyDescent="0.2">
      <c r="C231" s="209"/>
      <c r="D231" s="209"/>
      <c r="F231" s="209"/>
      <c r="G231" s="209"/>
      <c r="H231"/>
      <c r="I231" s="23"/>
      <c r="J231" s="214" t="s">
        <v>69</v>
      </c>
      <c r="K231" s="18"/>
    </row>
    <row r="232" spans="1:11" x14ac:dyDescent="0.2">
      <c r="I232" s="11"/>
      <c r="J232" s="11"/>
      <c r="K232" s="11"/>
    </row>
    <row r="244" spans="9:11" x14ac:dyDescent="0.2">
      <c r="I244" s="11"/>
      <c r="J244" s="11"/>
      <c r="K244" s="1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U114"/>
  <sheetViews>
    <sheetView workbookViewId="0">
      <pane xSplit="1" ySplit="2" topLeftCell="G63" activePane="bottomRight" state="frozen"/>
      <selection pane="topRight"/>
      <selection pane="bottomLeft"/>
      <selection pane="bottomRight" activeCell="I98" sqref="I98"/>
    </sheetView>
  </sheetViews>
  <sheetFormatPr defaultRowHeight="12.75" x14ac:dyDescent="0.2"/>
  <cols>
    <col min="1" max="1" width="26.85546875" customWidth="1"/>
    <col min="2" max="2" width="22.85546875" style="1" customWidth="1"/>
    <col min="3" max="5" width="18" style="1" customWidth="1"/>
    <col min="6" max="6" width="15.7109375" style="1" customWidth="1"/>
    <col min="7" max="7" width="15.85546875" style="6" customWidth="1"/>
    <col min="8" max="8" width="15" style="6" customWidth="1"/>
    <col min="9" max="10" width="14.140625" style="6" bestFit="1" customWidth="1"/>
    <col min="11" max="12" width="14.140625" style="6" customWidth="1"/>
    <col min="13" max="14" width="14.7109375" style="6" customWidth="1"/>
    <col min="15" max="15" width="12.5703125" style="6" customWidth="1"/>
    <col min="16" max="16" width="12.7109375" style="6" bestFit="1" customWidth="1"/>
    <col min="17" max="17" width="11.140625" style="6" bestFit="1" customWidth="1"/>
    <col min="18" max="18" width="11.7109375" style="6" bestFit="1" customWidth="1"/>
    <col min="19" max="19" width="10.7109375" style="6" bestFit="1" customWidth="1"/>
    <col min="20" max="20" width="9.140625" style="6"/>
    <col min="21" max="21" width="11.140625" style="6" bestFit="1" customWidth="1"/>
  </cols>
  <sheetData>
    <row r="2" spans="1:21" ht="42" customHeight="1" x14ac:dyDescent="0.2">
      <c r="B2" s="2" t="s">
        <v>6</v>
      </c>
      <c r="C2" s="2" t="s">
        <v>7</v>
      </c>
      <c r="D2" s="2" t="s">
        <v>41</v>
      </c>
      <c r="E2" s="2" t="s">
        <v>8</v>
      </c>
      <c r="F2" s="2" t="s">
        <v>1</v>
      </c>
      <c r="G2" s="7" t="s">
        <v>2</v>
      </c>
      <c r="H2" s="45" t="s">
        <v>71</v>
      </c>
      <c r="I2" s="65" t="s">
        <v>72</v>
      </c>
      <c r="J2" s="65" t="s">
        <v>73</v>
      </c>
      <c r="K2" s="65" t="s">
        <v>74</v>
      </c>
      <c r="L2" s="65" t="s">
        <v>77</v>
      </c>
      <c r="M2" s="65" t="s">
        <v>75</v>
      </c>
      <c r="N2" s="65" t="s">
        <v>78</v>
      </c>
      <c r="O2" s="46" t="s">
        <v>76</v>
      </c>
    </row>
    <row r="4" spans="1:21" x14ac:dyDescent="0.2">
      <c r="A4" s="18"/>
      <c r="B4" s="64" t="s">
        <v>70</v>
      </c>
    </row>
    <row r="5" spans="1:21" x14ac:dyDescent="0.2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7" spans="1:21" x14ac:dyDescent="0.2">
      <c r="A7">
        <f>'Purchased Power Model '!A210</f>
        <v>2003</v>
      </c>
      <c r="B7" s="6">
        <f>'Purchased Power Model '!B210</f>
        <v>1232724170</v>
      </c>
      <c r="C7" s="6">
        <f>'Purchased Power Model '!H210</f>
        <v>1208483234.4312544</v>
      </c>
      <c r="D7" s="36">
        <f t="shared" ref="D7" si="0">C7-B7</f>
        <v>-24240935.568745613</v>
      </c>
      <c r="E7" s="5">
        <f t="shared" ref="E7" si="1">D7/B7</f>
        <v>-1.9664525251213021E-2</v>
      </c>
      <c r="F7" s="50">
        <f t="shared" ref="F7:F17" si="2">1 +(B7-G7)/G7</f>
        <v>1.0843424198345466</v>
      </c>
      <c r="G7" s="54">
        <f t="shared" ref="G7:G14" si="3">SUM(H7:O7)</f>
        <v>1136840307.5</v>
      </c>
      <c r="H7" s="38">
        <f>Residential!B210-N7</f>
        <v>457616904</v>
      </c>
      <c r="I7" s="38">
        <f>'GS &lt; 50 kW'!B210-O7</f>
        <v>121224653</v>
      </c>
      <c r="J7" s="38">
        <f>'GS &gt; 50 kW'!B210</f>
        <v>281244125.5</v>
      </c>
      <c r="K7" s="38">
        <f>'Large User'!B210</f>
        <v>169257212.5</v>
      </c>
      <c r="L7" s="38">
        <f>'I2'!B210</f>
        <v>96172091</v>
      </c>
      <c r="M7" s="38">
        <f>Streetlights!B210</f>
        <v>8359780.5</v>
      </c>
      <c r="N7" s="38">
        <v>45541</v>
      </c>
      <c r="O7" s="38">
        <v>2920000</v>
      </c>
      <c r="P7" s="6">
        <f t="shared" ref="P7:P17" si="4">SUM(H7:O7)</f>
        <v>1136840307.5</v>
      </c>
    </row>
    <row r="8" spans="1:21" x14ac:dyDescent="0.2">
      <c r="A8">
        <f>'Purchased Power Model '!A211</f>
        <v>2004</v>
      </c>
      <c r="B8" s="6">
        <f>'Purchased Power Model '!B211</f>
        <v>1178441190</v>
      </c>
      <c r="C8" s="6">
        <f>'Purchased Power Model '!H211</f>
        <v>1193278221.7053266</v>
      </c>
      <c r="D8" s="36">
        <f t="shared" ref="D8:D23" si="5">C8-B8</f>
        <v>14837031.705326557</v>
      </c>
      <c r="E8" s="5">
        <f t="shared" ref="E8:E17" si="6">D8/B8</f>
        <v>1.2590387904997242E-2</v>
      </c>
      <c r="F8" s="50">
        <f t="shared" si="2"/>
        <v>1.0444391156043955</v>
      </c>
      <c r="G8" s="54">
        <f t="shared" si="3"/>
        <v>1128300513.0634735</v>
      </c>
      <c r="H8" s="38">
        <f>Residential!B211-N8</f>
        <v>448138859</v>
      </c>
      <c r="I8" s="38">
        <f>'GS &lt; 50 kW'!B211-O8</f>
        <v>129998490</v>
      </c>
      <c r="J8" s="38">
        <f>'GS &gt; 50 kW'!B211</f>
        <v>360631980</v>
      </c>
      <c r="K8" s="38">
        <f>'Large User'!B211</f>
        <v>112144196</v>
      </c>
      <c r="L8" s="38">
        <f>'I2'!B211</f>
        <v>65676068</v>
      </c>
      <c r="M8" s="38">
        <f>Streetlights!B211</f>
        <v>8743099.0634733941</v>
      </c>
      <c r="N8" s="38">
        <v>27821</v>
      </c>
      <c r="O8" s="38">
        <v>2940000</v>
      </c>
      <c r="P8" s="6">
        <f t="shared" si="4"/>
        <v>1128300513.0634735</v>
      </c>
    </row>
    <row r="9" spans="1:21" x14ac:dyDescent="0.2">
      <c r="A9">
        <f>'Purchased Power Model '!A212</f>
        <v>2005</v>
      </c>
      <c r="B9" s="6">
        <f>'Purchased Power Model '!B212</f>
        <v>1174501350</v>
      </c>
      <c r="C9" s="6">
        <f>'Purchased Power Model '!H212</f>
        <v>1203281045.2314129</v>
      </c>
      <c r="D9" s="36">
        <f t="shared" si="5"/>
        <v>28779695.231412888</v>
      </c>
      <c r="E9" s="5">
        <f t="shared" si="6"/>
        <v>2.4503756620980373E-2</v>
      </c>
      <c r="F9" s="50">
        <f t="shared" si="2"/>
        <v>1.0431377878987043</v>
      </c>
      <c r="G9" s="54">
        <f t="shared" si="3"/>
        <v>1125931170</v>
      </c>
      <c r="H9" s="38">
        <f>Residential!B212-N9</f>
        <v>485961504</v>
      </c>
      <c r="I9" s="38">
        <f>'GS &lt; 50 kW'!B212-O9</f>
        <v>135909028</v>
      </c>
      <c r="J9" s="38">
        <f>'GS &gt; 50 kW'!B212</f>
        <v>361962669</v>
      </c>
      <c r="K9" s="38">
        <f>'Large User'!B212</f>
        <v>62904833</v>
      </c>
      <c r="L9" s="38">
        <f>'I2'!B212</f>
        <v>67016961</v>
      </c>
      <c r="M9" s="38">
        <f>Streetlights!B212</f>
        <v>9182978</v>
      </c>
      <c r="N9" s="38">
        <v>43197</v>
      </c>
      <c r="O9" s="38">
        <v>2950000</v>
      </c>
      <c r="P9" s="6">
        <f t="shared" si="4"/>
        <v>1125931170</v>
      </c>
    </row>
    <row r="10" spans="1:21" x14ac:dyDescent="0.2">
      <c r="A10">
        <f>'Purchased Power Model '!A213</f>
        <v>2006</v>
      </c>
      <c r="B10" s="6">
        <f>'Purchased Power Model '!B213</f>
        <v>1151360440</v>
      </c>
      <c r="C10" s="6">
        <f>'Purchased Power Model '!H213</f>
        <v>1166568192.2886453</v>
      </c>
      <c r="D10" s="36">
        <f t="shared" si="5"/>
        <v>15207752.288645267</v>
      </c>
      <c r="E10" s="5">
        <f t="shared" si="6"/>
        <v>1.3208506876131046E-2</v>
      </c>
      <c r="F10" s="50">
        <f t="shared" si="2"/>
        <v>1.0363623127129424</v>
      </c>
      <c r="G10" s="54">
        <f t="shared" si="3"/>
        <v>1110963247</v>
      </c>
      <c r="H10" s="38">
        <f>Residential!B213-N10</f>
        <v>466401366</v>
      </c>
      <c r="I10" s="38">
        <f>'GS &lt; 50 kW'!B213</f>
        <v>134155770</v>
      </c>
      <c r="J10" s="38">
        <f>'GS &gt; 50 kW'!B213</f>
        <v>357086593</v>
      </c>
      <c r="K10" s="38">
        <f>'Large User'!B213</f>
        <v>59654446</v>
      </c>
      <c r="L10" s="38">
        <f>'I2'!B213</f>
        <v>80518764</v>
      </c>
      <c r="M10" s="38">
        <f>Streetlights!B213</f>
        <v>9398525</v>
      </c>
      <c r="N10" s="38">
        <v>42595</v>
      </c>
      <c r="O10" s="38">
        <f>USL!B213</f>
        <v>3705188</v>
      </c>
      <c r="P10" s="6">
        <f t="shared" si="4"/>
        <v>1110963247</v>
      </c>
    </row>
    <row r="11" spans="1:21" x14ac:dyDescent="0.2">
      <c r="A11">
        <f>'Purchased Power Model '!A214</f>
        <v>2007</v>
      </c>
      <c r="B11" s="6">
        <f>'Purchased Power Model '!B214</f>
        <v>1191153590</v>
      </c>
      <c r="C11" s="6">
        <f>'Purchased Power Model '!H214</f>
        <v>1142506607.2224176</v>
      </c>
      <c r="D11" s="36">
        <f t="shared" si="5"/>
        <v>-48646982.777582407</v>
      </c>
      <c r="E11" s="5">
        <f t="shared" si="6"/>
        <v>-4.0840226807008495E-2</v>
      </c>
      <c r="F11" s="50">
        <f t="shared" si="2"/>
        <v>1.0414361864542629</v>
      </c>
      <c r="G11" s="54">
        <f t="shared" si="3"/>
        <v>1143760516</v>
      </c>
      <c r="H11" s="38">
        <f>Residential!B214-N11</f>
        <v>473023155</v>
      </c>
      <c r="I11" s="38">
        <f>'GS &lt; 50 kW'!B214</f>
        <v>132346004</v>
      </c>
      <c r="J11" s="38">
        <f>'GS &gt; 50 kW'!B214</f>
        <v>359144720</v>
      </c>
      <c r="K11" s="38">
        <f>'Large User'!B214</f>
        <v>61811846</v>
      </c>
      <c r="L11" s="38">
        <f>'I2'!B214</f>
        <v>103869997</v>
      </c>
      <c r="M11" s="38">
        <f>Streetlights!B214</f>
        <v>9704521</v>
      </c>
      <c r="N11" s="38">
        <v>41408</v>
      </c>
      <c r="O11" s="38">
        <f>USL!B214</f>
        <v>3818865</v>
      </c>
      <c r="P11" s="6">
        <f t="shared" si="4"/>
        <v>1143760516</v>
      </c>
    </row>
    <row r="12" spans="1:21" x14ac:dyDescent="0.2">
      <c r="A12">
        <f>'Purchased Power Model '!A215</f>
        <v>2008</v>
      </c>
      <c r="B12" s="6">
        <f>'Purchased Power Model '!B215</f>
        <v>1158881926</v>
      </c>
      <c r="C12" s="6">
        <f>'Purchased Power Model '!H215</f>
        <v>1105605337.8738799</v>
      </c>
      <c r="D12" s="36">
        <f t="shared" si="5"/>
        <v>-53276588.12612009</v>
      </c>
      <c r="E12" s="5">
        <f t="shared" si="6"/>
        <v>-4.5972404030848686E-2</v>
      </c>
      <c r="F12" s="50">
        <f t="shared" si="2"/>
        <v>1.0372616891134989</v>
      </c>
      <c r="G12" s="54">
        <f t="shared" si="3"/>
        <v>1117251257</v>
      </c>
      <c r="H12" s="38">
        <f>Residential!B215-N12</f>
        <v>470718851</v>
      </c>
      <c r="I12" s="38">
        <f>'GS &lt; 50 kW'!B215</f>
        <v>131868017</v>
      </c>
      <c r="J12" s="38">
        <f>'GS &gt; 50 kW'!B215</f>
        <v>352632150</v>
      </c>
      <c r="K12" s="38">
        <f>'Large User'!B215</f>
        <v>46461021</v>
      </c>
      <c r="L12" s="38">
        <f>'I2'!B215</f>
        <v>102433272</v>
      </c>
      <c r="M12" s="38">
        <f>Streetlights!B215</f>
        <v>9725840</v>
      </c>
      <c r="N12" s="38">
        <v>39233</v>
      </c>
      <c r="O12" s="38">
        <f>USL!B215</f>
        <v>3372873</v>
      </c>
      <c r="P12" s="6">
        <f t="shared" si="4"/>
        <v>1117251257</v>
      </c>
    </row>
    <row r="13" spans="1:21" x14ac:dyDescent="0.2">
      <c r="A13">
        <f>'Purchased Power Model '!A216</f>
        <v>2009</v>
      </c>
      <c r="B13" s="6">
        <f>'Purchased Power Model '!B216</f>
        <v>1128390784.5107694</v>
      </c>
      <c r="C13" s="6">
        <f>'Purchased Power Model '!H216</f>
        <v>1123816338.2115908</v>
      </c>
      <c r="D13" s="36">
        <f t="shared" si="5"/>
        <v>-4574446.2991786003</v>
      </c>
      <c r="E13" s="5">
        <f t="shared" si="6"/>
        <v>-4.0539557411946783E-3</v>
      </c>
      <c r="F13" s="50">
        <f t="shared" si="2"/>
        <v>1.0422349455190318</v>
      </c>
      <c r="G13" s="54">
        <f t="shared" si="3"/>
        <v>1082664508</v>
      </c>
      <c r="H13" s="38">
        <f>Residential!B216-N13</f>
        <v>467977819</v>
      </c>
      <c r="I13" s="38">
        <f>'GS &lt; 50 kW'!B216</f>
        <v>128019505</v>
      </c>
      <c r="J13" s="38">
        <f>'GS &gt; 50 kW'!B216</f>
        <v>349784301</v>
      </c>
      <c r="K13" s="38">
        <f>'Large User'!B216</f>
        <v>36580289</v>
      </c>
      <c r="L13" s="38">
        <f>'I2'!B216</f>
        <v>87237589</v>
      </c>
      <c r="M13" s="38">
        <f>Streetlights!B216</f>
        <v>10202758</v>
      </c>
      <c r="N13" s="38">
        <v>36792</v>
      </c>
      <c r="O13" s="38">
        <f>USL!B216</f>
        <v>2825455</v>
      </c>
      <c r="P13" s="6">
        <f t="shared" si="4"/>
        <v>1082664508</v>
      </c>
    </row>
    <row r="14" spans="1:21" x14ac:dyDescent="0.2">
      <c r="A14">
        <f>'Purchased Power Model '!A217</f>
        <v>2010</v>
      </c>
      <c r="B14" s="6">
        <f>'Purchased Power Model '!B217</f>
        <v>1148489331.8146157</v>
      </c>
      <c r="C14" s="6">
        <f>'Purchased Power Model '!H217</f>
        <v>1128203375.0065463</v>
      </c>
      <c r="D14" s="36">
        <f t="shared" si="5"/>
        <v>-20285956.808069468</v>
      </c>
      <c r="E14" s="5">
        <f t="shared" si="6"/>
        <v>-1.7663165208524498E-2</v>
      </c>
      <c r="F14" s="50">
        <f t="shared" si="2"/>
        <v>1.052753523421738</v>
      </c>
      <c r="G14" s="54">
        <f t="shared" si="3"/>
        <v>1090938483</v>
      </c>
      <c r="H14" s="38">
        <f>Residential!B217-N14</f>
        <v>476941035</v>
      </c>
      <c r="I14" s="38">
        <f>'GS &lt; 50 kW'!B217</f>
        <v>131282103</v>
      </c>
      <c r="J14" s="38">
        <f>'GS &gt; 50 kW'!B217</f>
        <v>355234224</v>
      </c>
      <c r="K14" s="38">
        <f>'Large User'!B217</f>
        <v>33402763</v>
      </c>
      <c r="L14" s="38">
        <f>'I2'!B217</f>
        <v>80783141</v>
      </c>
      <c r="M14" s="38">
        <f>Streetlights!B217</f>
        <v>10427904</v>
      </c>
      <c r="N14" s="38">
        <v>35812</v>
      </c>
      <c r="O14" s="38">
        <f>USL!B217</f>
        <v>2831501</v>
      </c>
      <c r="P14" s="6">
        <f t="shared" si="4"/>
        <v>1090938483</v>
      </c>
    </row>
    <row r="15" spans="1:21" x14ac:dyDescent="0.2">
      <c r="A15">
        <f>'Purchased Power Model '!A218</f>
        <v>2011</v>
      </c>
      <c r="B15" s="6">
        <f>'Purchased Power Model '!B218</f>
        <v>1148632387.3953846</v>
      </c>
      <c r="C15" s="6">
        <f>'Purchased Power Model '!H218</f>
        <v>1162405206.2491772</v>
      </c>
      <c r="D15" s="36">
        <f t="shared" si="5"/>
        <v>13772818.853792667</v>
      </c>
      <c r="E15" s="5">
        <f t="shared" si="6"/>
        <v>1.1990623810480942E-2</v>
      </c>
      <c r="F15" s="50">
        <f t="shared" si="2"/>
        <v>1.0343204804658166</v>
      </c>
      <c r="G15" s="54">
        <f t="shared" ref="G15:G17" si="7">SUM(H15:O15)</f>
        <v>1110518847</v>
      </c>
      <c r="H15" s="38">
        <f>Residential!B218-N15</f>
        <v>484582022</v>
      </c>
      <c r="I15" s="38">
        <f>'GS &lt; 50 kW'!B218</f>
        <v>135695878</v>
      </c>
      <c r="J15" s="38">
        <f>'GS &gt; 50 kW'!B218</f>
        <v>359534375</v>
      </c>
      <c r="K15" s="38">
        <f>'Large User'!B218</f>
        <v>37740699</v>
      </c>
      <c r="L15" s="38">
        <f>'I2'!B218</f>
        <v>79908016</v>
      </c>
      <c r="M15" s="38">
        <f>Streetlights!B218</f>
        <v>10253017</v>
      </c>
      <c r="N15" s="38">
        <v>35812</v>
      </c>
      <c r="O15" s="38">
        <f>USL!B218</f>
        <v>2769028</v>
      </c>
      <c r="P15" s="6">
        <f t="shared" si="4"/>
        <v>1110518847</v>
      </c>
    </row>
    <row r="16" spans="1:21" x14ac:dyDescent="0.2">
      <c r="A16">
        <f>'Purchased Power Model '!A219</f>
        <v>2012</v>
      </c>
      <c r="B16" s="6">
        <f>'Purchased Power Model '!B219</f>
        <v>1136211952.670979</v>
      </c>
      <c r="C16" s="6">
        <f>'Purchased Power Model '!H219</f>
        <v>1148412454.4669952</v>
      </c>
      <c r="D16" s="36">
        <f t="shared" si="5"/>
        <v>12200501.796016216</v>
      </c>
      <c r="E16" s="5">
        <f t="shared" si="6"/>
        <v>1.0737874889747092E-2</v>
      </c>
      <c r="F16" s="50">
        <f t="shared" si="2"/>
        <v>1.0581384050896951</v>
      </c>
      <c r="G16" s="54">
        <f t="shared" si="7"/>
        <v>1073783871</v>
      </c>
      <c r="H16" s="38">
        <f>Residential!B219-N16</f>
        <v>473288468</v>
      </c>
      <c r="I16" s="38">
        <f>'GS &lt; 50 kW'!B219</f>
        <v>131590801</v>
      </c>
      <c r="J16" s="38">
        <f>'GS &gt; 50 kW'!B219</f>
        <v>338342507</v>
      </c>
      <c r="K16" s="38">
        <f>'Large User'!B219</f>
        <v>40812737</v>
      </c>
      <c r="L16" s="38">
        <f>'I2'!B219</f>
        <v>76828137</v>
      </c>
      <c r="M16" s="38">
        <f>Streetlights!B219</f>
        <v>10139708</v>
      </c>
      <c r="N16" s="38">
        <v>35812</v>
      </c>
      <c r="O16" s="38">
        <f>USL!B219</f>
        <v>2745701</v>
      </c>
      <c r="P16" s="6">
        <f t="shared" si="4"/>
        <v>1073783871</v>
      </c>
    </row>
    <row r="17" spans="1:17" x14ac:dyDescent="0.2">
      <c r="A17">
        <f>'Purchased Power Model '!A220</f>
        <v>2013</v>
      </c>
      <c r="B17" s="6">
        <f>'Purchased Power Model '!B220</f>
        <v>1130407041.6666667</v>
      </c>
      <c r="C17" s="6">
        <f ca="1">'Purchased Power Model '!H220</f>
        <v>1162091422.8514135</v>
      </c>
      <c r="D17" s="36">
        <f t="shared" ca="1" si="5"/>
        <v>31684381.184746742</v>
      </c>
      <c r="E17" s="5">
        <f t="shared" ca="1" si="6"/>
        <v>2.8029178885891796E-2</v>
      </c>
      <c r="F17" s="50">
        <f t="shared" si="2"/>
        <v>1.0484582752843845</v>
      </c>
      <c r="G17" s="54">
        <f t="shared" si="7"/>
        <v>1078161209</v>
      </c>
      <c r="H17" s="38">
        <f>Residential!B220-N17</f>
        <v>475282449</v>
      </c>
      <c r="I17" s="38">
        <f>'GS &lt; 50 kW'!B220</f>
        <v>132382128</v>
      </c>
      <c r="J17" s="38">
        <f>'GS &gt; 50 kW'!B220</f>
        <v>337123668</v>
      </c>
      <c r="K17" s="38">
        <f>'Large User'!B220</f>
        <v>42326219</v>
      </c>
      <c r="L17" s="38">
        <f>'I2'!B220</f>
        <v>79176233</v>
      </c>
      <c r="M17" s="38">
        <f>Streetlights!B220</f>
        <v>9082284</v>
      </c>
      <c r="N17" s="38">
        <v>35812</v>
      </c>
      <c r="O17" s="38">
        <f>USL!B220</f>
        <v>2752416</v>
      </c>
      <c r="P17" s="6">
        <f t="shared" si="4"/>
        <v>1078161209</v>
      </c>
    </row>
    <row r="18" spans="1:17" x14ac:dyDescent="0.2">
      <c r="A18">
        <f>'Purchased Power Model '!A221</f>
        <v>2014</v>
      </c>
      <c r="B18" s="6">
        <f>'Purchased Power Model '!B221</f>
        <v>1134970142.7733078</v>
      </c>
      <c r="C18" s="27">
        <f>'Purchased Power Model '!H221</f>
        <v>1169512871.2930617</v>
      </c>
      <c r="D18" s="36">
        <f t="shared" si="5"/>
        <v>34542728.519753933</v>
      </c>
      <c r="E18" s="5">
        <f t="shared" ref="E18" si="8">D18/B18</f>
        <v>3.0434922662677739E-2</v>
      </c>
      <c r="F18" s="50">
        <f t="shared" ref="F18" si="9">1 +(B18-G18)/G18</f>
        <v>1.0396904271675524</v>
      </c>
      <c r="G18" s="54">
        <f t="shared" ref="G18" si="10">SUM(H18:O18)</f>
        <v>1091642390</v>
      </c>
      <c r="H18" s="38">
        <f>Residential!B221-N18</f>
        <v>485503507</v>
      </c>
      <c r="I18" s="38">
        <f>'GS &lt; 50 kW'!B221</f>
        <v>133729082</v>
      </c>
      <c r="J18" s="38">
        <f>'GS &gt; 50 kW'!B221</f>
        <v>336406114</v>
      </c>
      <c r="K18" s="38">
        <f>'Large User'!B221</f>
        <v>42700435</v>
      </c>
      <c r="L18" s="38">
        <f>'I2'!B221</f>
        <v>81400346</v>
      </c>
      <c r="M18" s="38">
        <f>Streetlights!B221</f>
        <v>9155875</v>
      </c>
      <c r="N18" s="38">
        <v>35812</v>
      </c>
      <c r="O18" s="38">
        <f>USL!B221</f>
        <v>2711219</v>
      </c>
      <c r="P18" s="6">
        <f t="shared" ref="P18" si="11">SUM(H18:O18)</f>
        <v>1091642390</v>
      </c>
      <c r="Q18" s="6">
        <f>+P18-G18</f>
        <v>0</v>
      </c>
    </row>
    <row r="19" spans="1:17" x14ac:dyDescent="0.2">
      <c r="A19">
        <f>'Purchased Power Model '!A222</f>
        <v>2015</v>
      </c>
      <c r="B19" s="6">
        <f ca="1">'Purchased Power Model '!B222</f>
        <v>1158200819.4638515</v>
      </c>
      <c r="C19" s="438">
        <f ca="1">'Purchased Power Model '!H222</f>
        <v>1158200819.4638515</v>
      </c>
      <c r="D19" s="36">
        <f t="shared" ca="1" si="5"/>
        <v>0</v>
      </c>
      <c r="E19" s="5"/>
      <c r="F19" s="212"/>
      <c r="G19" s="21">
        <f t="shared" ref="G19:G23" ca="1" si="12">C19/$F$25</f>
        <v>1104521094.2817581</v>
      </c>
      <c r="H19" s="6">
        <f t="shared" ref="H19:O23" ca="1" si="13">+H73</f>
        <v>493811363.35269445</v>
      </c>
      <c r="I19" s="6">
        <f t="shared" ca="1" si="13"/>
        <v>134975944.13716614</v>
      </c>
      <c r="J19" s="6">
        <f t="shared" ca="1" si="13"/>
        <v>338642781.29385531</v>
      </c>
      <c r="K19" s="6">
        <f t="shared" ca="1" si="13"/>
        <v>43077959.531164952</v>
      </c>
      <c r="L19" s="6">
        <f t="shared" ca="1" si="13"/>
        <v>82021503.677792132</v>
      </c>
      <c r="M19" s="6">
        <f t="shared" ca="1" si="13"/>
        <v>9242735.1577514503</v>
      </c>
      <c r="N19" s="6">
        <f t="shared" ca="1" si="13"/>
        <v>34649.788587785748</v>
      </c>
      <c r="O19" s="6">
        <f t="shared" ca="1" si="13"/>
        <v>2714157.3427455146</v>
      </c>
      <c r="P19" s="6">
        <f t="shared" ref="P19:P23" ca="1" si="14">SUM(H19:O19)</f>
        <v>1104521094.2817578</v>
      </c>
      <c r="Q19" s="6">
        <f t="shared" ref="Q19:Q23" ca="1" si="15">+P19-G19</f>
        <v>0</v>
      </c>
    </row>
    <row r="20" spans="1:17" x14ac:dyDescent="0.2">
      <c r="A20">
        <f>'Purchased Power Model '!A223</f>
        <v>2016</v>
      </c>
      <c r="B20" s="6">
        <f ca="1">'Purchased Power Model '!B223</f>
        <v>1161036306.6177204</v>
      </c>
      <c r="C20" s="438">
        <f ca="1">'Purchased Power Model '!H223</f>
        <v>1161036306.6177204</v>
      </c>
      <c r="D20" s="36">
        <f t="shared" ca="1" si="5"/>
        <v>0</v>
      </c>
      <c r="E20" s="5"/>
      <c r="F20" s="212"/>
      <c r="G20" s="21">
        <f t="shared" ca="1" si="12"/>
        <v>1107225163.6636662</v>
      </c>
      <c r="H20" s="6">
        <f t="shared" ca="1" si="13"/>
        <v>497214786.68407631</v>
      </c>
      <c r="I20" s="6">
        <f t="shared" ca="1" si="13"/>
        <v>134865582.54651555</v>
      </c>
      <c r="J20" s="6">
        <f t="shared" ca="1" si="13"/>
        <v>337676468.96843123</v>
      </c>
      <c r="K20" s="6">
        <f t="shared" ca="1" si="13"/>
        <v>43458821.844992571</v>
      </c>
      <c r="L20" s="6">
        <f t="shared" ca="1" si="13"/>
        <v>81928460.112723902</v>
      </c>
      <c r="M20" s="6">
        <f t="shared" ca="1" si="13"/>
        <v>9330419.3423713949</v>
      </c>
      <c r="N20" s="6">
        <f t="shared" ca="1" si="13"/>
        <v>33525.294571044557</v>
      </c>
      <c r="O20" s="6">
        <f t="shared" ca="1" si="13"/>
        <v>2717098.8699840889</v>
      </c>
      <c r="P20" s="6">
        <f t="shared" ca="1" si="14"/>
        <v>1107225163.6636662</v>
      </c>
      <c r="Q20" s="6">
        <f t="shared" ca="1" si="15"/>
        <v>0</v>
      </c>
    </row>
    <row r="21" spans="1:17" x14ac:dyDescent="0.2">
      <c r="A21">
        <f>'Purchased Power Model '!A224</f>
        <v>2017</v>
      </c>
      <c r="B21" s="6">
        <f ca="1">'Purchased Power Model '!B224</f>
        <v>1158249724.1825643</v>
      </c>
      <c r="C21" s="438">
        <f ca="1">'Purchased Power Model '!H224</f>
        <v>1158249724.1825643</v>
      </c>
      <c r="D21" s="36">
        <f t="shared" ca="1" si="5"/>
        <v>0</v>
      </c>
      <c r="E21" s="5"/>
      <c r="F21" s="212"/>
      <c r="G21" s="21">
        <f t="shared" ca="1" si="12"/>
        <v>1104567732.388484</v>
      </c>
      <c r="H21" s="6">
        <f t="shared" ca="1" si="13"/>
        <v>498001423.70709103</v>
      </c>
      <c r="I21" s="6">
        <f t="shared" ca="1" si="13"/>
        <v>134044649.61393027</v>
      </c>
      <c r="J21" s="6">
        <f t="shared" ca="1" si="13"/>
        <v>335045104.66871005</v>
      </c>
      <c r="K21" s="6">
        <f t="shared" ca="1" si="13"/>
        <v>43843051.451599903</v>
      </c>
      <c r="L21" s="6">
        <f t="shared" ca="1" si="13"/>
        <v>81462086.696827322</v>
      </c>
      <c r="M21" s="6">
        <f t="shared" ca="1" si="13"/>
        <v>9418935.3712561894</v>
      </c>
      <c r="N21" s="6">
        <f t="shared" ca="1" si="13"/>
        <v>32437.293902321435</v>
      </c>
      <c r="O21" s="6">
        <f t="shared" ca="1" si="13"/>
        <v>2720043.5851669875</v>
      </c>
      <c r="P21" s="6">
        <f t="shared" ca="1" si="14"/>
        <v>1104567732.388484</v>
      </c>
      <c r="Q21" s="6">
        <f t="shared" ca="1" si="15"/>
        <v>0</v>
      </c>
    </row>
    <row r="22" spans="1:17" x14ac:dyDescent="0.2">
      <c r="A22">
        <f>'Purchased Power Model '!A225</f>
        <v>2018</v>
      </c>
      <c r="B22" s="6">
        <f ca="1">'Purchased Power Model '!B225</f>
        <v>1158274176.5419207</v>
      </c>
      <c r="C22" s="438">
        <f ca="1">'Purchased Power Model '!H225</f>
        <v>1158274176.5419207</v>
      </c>
      <c r="D22" s="36">
        <f t="shared" ca="1" si="5"/>
        <v>0</v>
      </c>
      <c r="E22" s="5"/>
      <c r="F22" s="212"/>
      <c r="G22" s="21">
        <f t="shared" ca="1" si="12"/>
        <v>1104591051.4418468</v>
      </c>
      <c r="H22" s="6">
        <f t="shared" ca="1" si="13"/>
        <v>500090789.06470859</v>
      </c>
      <c r="I22" s="6">
        <f t="shared" ca="1" si="13"/>
        <v>133576345.51632629</v>
      </c>
      <c r="J22" s="6">
        <f t="shared" ca="1" si="13"/>
        <v>333249200.79146683</v>
      </c>
      <c r="K22" s="6">
        <f t="shared" ca="1" si="13"/>
        <v>44230678.122009844</v>
      </c>
      <c r="L22" s="6">
        <f t="shared" ca="1" si="13"/>
        <v>81181370.717363358</v>
      </c>
      <c r="M22" s="6">
        <f t="shared" ca="1" si="13"/>
        <v>9508291.1359644234</v>
      </c>
      <c r="N22" s="6">
        <f t="shared" ca="1" si="13"/>
        <v>31384.602258329876</v>
      </c>
      <c r="O22" s="6">
        <f t="shared" ca="1" si="13"/>
        <v>2722991.4917492145</v>
      </c>
      <c r="P22" s="6">
        <f t="shared" ca="1" si="14"/>
        <v>1104591051.4418471</v>
      </c>
      <c r="Q22" s="6">
        <f t="shared" ca="1" si="15"/>
        <v>0</v>
      </c>
    </row>
    <row r="23" spans="1:17" x14ac:dyDescent="0.2">
      <c r="A23">
        <f>'Purchased Power Model '!A226</f>
        <v>2019</v>
      </c>
      <c r="B23" s="6">
        <f ca="1">'Purchased Power Model '!B226</f>
        <v>1158298628.9012771</v>
      </c>
      <c r="C23" s="438">
        <f ca="1">'Purchased Power Model '!H226</f>
        <v>1158298628.9012771</v>
      </c>
      <c r="D23" s="36">
        <f t="shared" ca="1" si="5"/>
        <v>0</v>
      </c>
      <c r="E23" s="5"/>
      <c r="F23" s="212"/>
      <c r="G23" s="21">
        <f t="shared" ca="1" si="12"/>
        <v>1104614370.4952099</v>
      </c>
      <c r="H23" s="6">
        <f t="shared" ca="1" si="13"/>
        <v>502176189.19167811</v>
      </c>
      <c r="I23" s="6">
        <f t="shared" ca="1" si="13"/>
        <v>133106302.99649653</v>
      </c>
      <c r="J23" s="6">
        <f t="shared" ca="1" si="13"/>
        <v>331455341.26184797</v>
      </c>
      <c r="K23" s="6">
        <f t="shared" ca="1" si="13"/>
        <v>44621731.890457861</v>
      </c>
      <c r="L23" s="6">
        <f t="shared" ca="1" si="13"/>
        <v>80900001.884868801</v>
      </c>
      <c r="M23" s="6">
        <f t="shared" ca="1" si="13"/>
        <v>9598494.6029205136</v>
      </c>
      <c r="N23" s="6">
        <f t="shared" ca="1" si="13"/>
        <v>30366.073750778327</v>
      </c>
      <c r="O23" s="6">
        <f t="shared" ca="1" si="13"/>
        <v>2725942.5931895184</v>
      </c>
      <c r="P23" s="6">
        <f t="shared" ca="1" si="14"/>
        <v>1104614370.4952099</v>
      </c>
      <c r="Q23" s="6">
        <f t="shared" ca="1" si="15"/>
        <v>0</v>
      </c>
    </row>
    <row r="25" spans="1:17" x14ac:dyDescent="0.2">
      <c r="A25" s="19" t="s">
        <v>12</v>
      </c>
      <c r="E25" s="441" t="s">
        <v>308</v>
      </c>
      <c r="F25" s="226">
        <v>1.0486</v>
      </c>
      <c r="G25" s="214" t="s">
        <v>209</v>
      </c>
      <c r="H25" s="214"/>
      <c r="I25" s="214"/>
      <c r="J25" s="214"/>
    </row>
    <row r="26" spans="1:17" x14ac:dyDescent="0.2">
      <c r="E26" t="s">
        <v>74</v>
      </c>
      <c r="F26" s="226">
        <v>1.0449999999999999</v>
      </c>
      <c r="G26" s="214" t="s">
        <v>210</v>
      </c>
      <c r="H26" s="214"/>
      <c r="I26" s="214"/>
      <c r="J26" s="214"/>
    </row>
    <row r="27" spans="1:17" x14ac:dyDescent="0.2">
      <c r="E27"/>
      <c r="G27" s="225" t="s">
        <v>107</v>
      </c>
      <c r="H27" s="214"/>
      <c r="I27" s="214"/>
      <c r="J27" s="214"/>
    </row>
    <row r="28" spans="1:17" x14ac:dyDescent="0.2">
      <c r="A28" s="22" t="s">
        <v>14</v>
      </c>
      <c r="B28" s="13"/>
    </row>
    <row r="30" spans="1:17" x14ac:dyDescent="0.2">
      <c r="A30">
        <f t="shared" ref="A30:A39" si="16">A7</f>
        <v>2003</v>
      </c>
      <c r="G30" s="27">
        <f>G7/'Rate Class Customer Model'!J3</f>
        <v>19614.052803202179</v>
      </c>
      <c r="H30" s="27">
        <f>H7/'Rate Class Customer Model'!B3</f>
        <v>10563.762370295133</v>
      </c>
      <c r="I30" s="27">
        <f>I7/'Rate Class Customer Model'!C3</f>
        <v>32861.114936297097</v>
      </c>
      <c r="J30" s="27">
        <f>J7/'Rate Class Customer Model'!D3</f>
        <v>503120.08139534883</v>
      </c>
      <c r="K30" s="27">
        <f>K7/'Rate Class Customer Model'!E3</f>
        <v>67702885</v>
      </c>
      <c r="L30" s="27">
        <f>L7/'Rate Class Customer Model'!F3</f>
        <v>19234418.199999999</v>
      </c>
      <c r="M30" s="27">
        <f>M7/'Rate Class Customer Model'!G3</f>
        <v>831.07470921562776</v>
      </c>
      <c r="N30" s="27">
        <f>N7/'Rate Class Customer Model'!H3</f>
        <v>1320.0289855072465</v>
      </c>
      <c r="O30" s="27">
        <f>O7/'Rate Class Customer Model'!I3</f>
        <v>10000</v>
      </c>
      <c r="P30" s="27">
        <f>P7/'Rate Class Customer Model'!J3</f>
        <v>19614.052803202179</v>
      </c>
    </row>
    <row r="31" spans="1:17" x14ac:dyDescent="0.2">
      <c r="A31">
        <f t="shared" si="16"/>
        <v>2004</v>
      </c>
      <c r="G31" s="27">
        <f>G8/'Rate Class Customer Model'!J4</f>
        <v>19211.491696196583</v>
      </c>
      <c r="H31" s="27">
        <f>H8/'Rate Class Customer Model'!B4</f>
        <v>10189.721552086768</v>
      </c>
      <c r="I31" s="27">
        <f>I8/'Rate Class Customer Model'!C4</f>
        <v>35846.819247208055</v>
      </c>
      <c r="J31" s="27">
        <f>J8/'Rate Class Customer Model'!D4</f>
        <v>680437.69811320759</v>
      </c>
      <c r="K31" s="27">
        <f>K8/'Rate Class Customer Model'!E4</f>
        <v>44857678.399999999</v>
      </c>
      <c r="L31" s="27">
        <f>L8/'Rate Class Customer Model'!F4</f>
        <v>10946011.333333334</v>
      </c>
      <c r="M31" s="27">
        <f>M8/'Rate Class Customer Model'!G4</f>
        <v>851.98782532385439</v>
      </c>
      <c r="N31" s="27">
        <f>N8/'Rate Class Customer Model'!H4</f>
        <v>927.36666666666667</v>
      </c>
      <c r="O31" s="27">
        <f>O8/'Rate Class Customer Model'!I4</f>
        <v>10000</v>
      </c>
      <c r="P31" s="27">
        <f>P8/'Rate Class Customer Model'!J4</f>
        <v>19211.491696196583</v>
      </c>
    </row>
    <row r="32" spans="1:17" x14ac:dyDescent="0.2">
      <c r="A32">
        <f t="shared" si="16"/>
        <v>2005</v>
      </c>
      <c r="G32" s="27">
        <f>G9/'Rate Class Customer Model'!J5</f>
        <v>18886.867624487331</v>
      </c>
      <c r="H32" s="27">
        <f>H9/'Rate Class Customer Model'!B5</f>
        <v>10896.364317185555</v>
      </c>
      <c r="I32" s="27">
        <f>I9/'Rate Class Customer Model'!C5</f>
        <v>37113.333697433096</v>
      </c>
      <c r="J32" s="27">
        <f>J9/'Rate Class Customer Model'!D5</f>
        <v>694079.90220517735</v>
      </c>
      <c r="K32" s="27">
        <f>K9/'Rate Class Customer Model'!E5</f>
        <v>31452416.5</v>
      </c>
      <c r="L32" s="27">
        <f>L9/'Rate Class Customer Model'!F5</f>
        <v>8935594.8000000007</v>
      </c>
      <c r="M32" s="27">
        <f>M9/'Rate Class Customer Model'!G5</f>
        <v>874.69428966042767</v>
      </c>
      <c r="N32" s="27">
        <f>N9/'Rate Class Customer Model'!H5</f>
        <v>1464.3050847457628</v>
      </c>
      <c r="O32" s="27">
        <f>O9/'Rate Class Customer Model'!I5</f>
        <v>10000</v>
      </c>
      <c r="P32" s="27">
        <f>P9/'Rate Class Customer Model'!J5</f>
        <v>18886.867624487331</v>
      </c>
    </row>
    <row r="33" spans="1:16" x14ac:dyDescent="0.2">
      <c r="A33">
        <f t="shared" si="16"/>
        <v>2006</v>
      </c>
      <c r="G33" s="27">
        <f>G10/'Rate Class Customer Model'!J6</f>
        <v>18250.65911536408</v>
      </c>
      <c r="H33" s="27">
        <f>H10/'Rate Class Customer Model'!B6</f>
        <v>10264.340456436101</v>
      </c>
      <c r="I33" s="27">
        <f>I10/'Rate Class Customer Model'!C6</f>
        <v>35865.731854030208</v>
      </c>
      <c r="J33" s="27">
        <f>J10/'Rate Class Customer Model'!D6</f>
        <v>680164.939047619</v>
      </c>
      <c r="K33" s="27">
        <f>K10/'Rate Class Customer Model'!E6</f>
        <v>29827223</v>
      </c>
      <c r="L33" s="27">
        <f>L10/'Rate Class Customer Model'!F6</f>
        <v>9472795.7647058815</v>
      </c>
      <c r="M33" s="27">
        <f>M10/'Rate Class Customer Model'!G6</f>
        <v>867.7430523497369</v>
      </c>
      <c r="N33" s="27">
        <f>N10/'Rate Class Customer Model'!H6</f>
        <v>1494.5614035087719</v>
      </c>
      <c r="O33" s="27">
        <f>O10/'Rate Class Customer Model'!I6</f>
        <v>12433.51677852349</v>
      </c>
      <c r="P33" s="27">
        <f>P10/'Rate Class Customer Model'!J6</f>
        <v>18250.65911536408</v>
      </c>
    </row>
    <row r="34" spans="1:16" x14ac:dyDescent="0.2">
      <c r="A34">
        <f t="shared" si="16"/>
        <v>2007</v>
      </c>
      <c r="G34" s="27">
        <f>G11/'Rate Class Customer Model'!J7</f>
        <v>18385.181334490684</v>
      </c>
      <c r="H34" s="27">
        <f>H11/'Rate Class Customer Model'!B7</f>
        <v>10212.071567357512</v>
      </c>
      <c r="I34" s="27">
        <f>I11/'Rate Class Customer Model'!C7</f>
        <v>35301.681515070683</v>
      </c>
      <c r="J34" s="27">
        <f>J11/'Rate Class Customer Model'!D7</f>
        <v>686701.18546845124</v>
      </c>
      <c r="K34" s="27">
        <f>K11/'Rate Class Customer Model'!E7</f>
        <v>30905923</v>
      </c>
      <c r="L34" s="27">
        <f>L11/'Rate Class Customer Model'!F7</f>
        <v>11541110.777777778</v>
      </c>
      <c r="M34" s="27">
        <f>M11/'Rate Class Customer Model'!G7</f>
        <v>860.29174238730548</v>
      </c>
      <c r="N34" s="27">
        <f>N11/'Rate Class Customer Model'!H7</f>
        <v>1562.566037735849</v>
      </c>
      <c r="O34" s="27">
        <f>O11/'Rate Class Customer Model'!I7</f>
        <v>12687.259136212624</v>
      </c>
      <c r="P34" s="27">
        <f>P11/'Rate Class Customer Model'!J7</f>
        <v>18385.181334490684</v>
      </c>
    </row>
    <row r="35" spans="1:16" x14ac:dyDescent="0.2">
      <c r="A35">
        <f t="shared" si="16"/>
        <v>2008</v>
      </c>
      <c r="G35" s="27">
        <f>G12/'Rate Class Customer Model'!J8</f>
        <v>17637.699516137945</v>
      </c>
      <c r="H35" s="27">
        <f>H12/'Rate Class Customer Model'!B8</f>
        <v>10003.056919725866</v>
      </c>
      <c r="I35" s="27">
        <f>I12/'Rate Class Customer Model'!C8</f>
        <v>34761.570317648606</v>
      </c>
      <c r="J35" s="27">
        <f>J12/'Rate Class Customer Model'!D8</f>
        <v>660978.72539831302</v>
      </c>
      <c r="K35" s="27">
        <f>K12/'Rate Class Customer Model'!E8</f>
        <v>18584408.399999999</v>
      </c>
      <c r="L35" s="27">
        <f>L12/'Rate Class Customer Model'!F8</f>
        <v>11381474.666666666</v>
      </c>
      <c r="M35" s="27">
        <f>M12/'Rate Class Customer Model'!G8</f>
        <v>836.88336273286586</v>
      </c>
      <c r="N35" s="27">
        <f>N12/'Rate Class Customer Model'!H8</f>
        <v>1508.9615384615386</v>
      </c>
      <c r="O35" s="27">
        <f>O12/'Rate Class Customer Model'!I8</f>
        <v>11205.558139534884</v>
      </c>
      <c r="P35" s="27">
        <f>P12/'Rate Class Customer Model'!J8</f>
        <v>17637.699516137945</v>
      </c>
    </row>
    <row r="36" spans="1:16" x14ac:dyDescent="0.2">
      <c r="A36">
        <f t="shared" si="16"/>
        <v>2009</v>
      </c>
      <c r="G36" s="27">
        <f>G13/'Rate Class Customer Model'!J9</f>
        <v>16882.867203093814</v>
      </c>
      <c r="H36" s="27">
        <f>H13/'Rate Class Customer Model'!B9</f>
        <v>9830.9504542828636</v>
      </c>
      <c r="I36" s="27">
        <f>I13/'Rate Class Customer Model'!C9</f>
        <v>33169.97149889882</v>
      </c>
      <c r="J36" s="27">
        <f>J13/'Rate Class Customer Model'!D9</f>
        <v>666255.81142857147</v>
      </c>
      <c r="K36" s="27">
        <f>K13/'Rate Class Customer Model'!E9</f>
        <v>18290144.5</v>
      </c>
      <c r="L36" s="27">
        <f>L13/'Rate Class Customer Model'!F9</f>
        <v>9182904.1052631587</v>
      </c>
      <c r="M36" s="27">
        <f>M13/'Rate Class Customer Model'!G9</f>
        <v>864.56724006440129</v>
      </c>
      <c r="N36" s="27">
        <f>N13/'Rate Class Customer Model'!H9</f>
        <v>1415.0769230769231</v>
      </c>
      <c r="O36" s="27">
        <f>O13/'Rate Class Customer Model'!I9</f>
        <v>9340.3471074380159</v>
      </c>
      <c r="P36" s="27">
        <f>P13/'Rate Class Customer Model'!J9</f>
        <v>16882.867203093814</v>
      </c>
    </row>
    <row r="37" spans="1:16" x14ac:dyDescent="0.2">
      <c r="A37">
        <f t="shared" si="16"/>
        <v>2010</v>
      </c>
      <c r="G37" s="27">
        <f>G14/'Rate Class Customer Model'!J10</f>
        <v>16811.083967701175</v>
      </c>
      <c r="H37" s="27">
        <f>H14/'Rate Class Customer Model'!B10</f>
        <v>9912.6258196593535</v>
      </c>
      <c r="I37" s="27">
        <f>I14/'Rate Class Customer Model'!C10</f>
        <v>33413.617459913461</v>
      </c>
      <c r="J37" s="27">
        <f>J14/'Rate Class Customer Model'!D10</f>
        <v>693139.94926829264</v>
      </c>
      <c r="K37" s="27">
        <f>K14/'Rate Class Customer Model'!E10</f>
        <v>33402763</v>
      </c>
      <c r="L37" s="27">
        <f>L14/'Rate Class Customer Model'!F10</f>
        <v>8078314.0999999996</v>
      </c>
      <c r="M37" s="27">
        <f>M14/'Rate Class Customer Model'!G10</f>
        <v>869.31799424784299</v>
      </c>
      <c r="N37" s="27">
        <f>N14/'Rate Class Customer Model'!H10</f>
        <v>1432.48</v>
      </c>
      <c r="O37" s="27">
        <f>O14/'Rate Class Customer Model'!I10</f>
        <v>9238.1761827079936</v>
      </c>
      <c r="P37" s="27">
        <f>P14/'Rate Class Customer Model'!J10</f>
        <v>16811.083967701175</v>
      </c>
    </row>
    <row r="38" spans="1:16" x14ac:dyDescent="0.2">
      <c r="A38">
        <f t="shared" si="16"/>
        <v>2011</v>
      </c>
      <c r="G38" s="27">
        <f>G15/'Rate Class Customer Model'!J11</f>
        <v>16948.146830574824</v>
      </c>
      <c r="H38" s="27">
        <f>H15/'Rate Class Customer Model'!B11</f>
        <v>9960.4736230871222</v>
      </c>
      <c r="I38" s="27">
        <f>I15/'Rate Class Customer Model'!C11</f>
        <v>34896.715442972869</v>
      </c>
      <c r="J38" s="27">
        <f>J15/'Rate Class Customer Model'!D11</f>
        <v>690748.07877041306</v>
      </c>
      <c r="K38" s="27">
        <f>K15/'Rate Class Customer Model'!E11</f>
        <v>37740699</v>
      </c>
      <c r="L38" s="27">
        <f>L15/'Rate Class Customer Model'!F11</f>
        <v>7990801.5999999996</v>
      </c>
      <c r="M38" s="27">
        <f>M15/'Rate Class Customer Model'!G11</f>
        <v>845.43533292104723</v>
      </c>
      <c r="N38" s="27">
        <f>N15/'Rate Class Customer Model'!H11</f>
        <v>1492.1666666666667</v>
      </c>
      <c r="O38" s="27">
        <f>O15/'Rate Class Customer Model'!I11</f>
        <v>9153.8115702479336</v>
      </c>
      <c r="P38" s="27">
        <f>P15/'Rate Class Customer Model'!J11</f>
        <v>16948.146830574824</v>
      </c>
    </row>
    <row r="39" spans="1:16" x14ac:dyDescent="0.2">
      <c r="A39">
        <f t="shared" si="16"/>
        <v>2012</v>
      </c>
      <c r="G39" s="27">
        <f>G16/'Rate Class Customer Model'!J12</f>
        <v>16287.46751710225</v>
      </c>
      <c r="H39" s="27">
        <f>H16/'Rate Class Customer Model'!B12</f>
        <v>9654.8105505803633</v>
      </c>
      <c r="I39" s="27">
        <f>I16/'Rate Class Customer Model'!C12</f>
        <v>34174.990520711595</v>
      </c>
      <c r="J39" s="27">
        <f>J16/'Rate Class Customer Model'!D12</f>
        <v>661471.17693059624</v>
      </c>
      <c r="K39" s="27">
        <f>K16/'Rate Class Customer Model'!E12</f>
        <v>40812737</v>
      </c>
      <c r="L39" s="27">
        <f>L16/'Rate Class Customer Model'!F12</f>
        <v>7316965.4285714282</v>
      </c>
      <c r="M39" s="27">
        <f>M16/'Rate Class Customer Model'!G12</f>
        <v>830.23892573487262</v>
      </c>
      <c r="N39" s="27">
        <f>N16/'Rate Class Customer Model'!H12</f>
        <v>1492.1666666666667</v>
      </c>
      <c r="O39" s="27">
        <f>O16/'Rate Class Customer Model'!I12</f>
        <v>9291.7123519458546</v>
      </c>
      <c r="P39" s="27">
        <f>P16/'Rate Class Customer Model'!J12</f>
        <v>16287.46751710225</v>
      </c>
    </row>
    <row r="40" spans="1:16" x14ac:dyDescent="0.2">
      <c r="A40">
        <f t="shared" ref="A40:A46" si="17">A17</f>
        <v>2013</v>
      </c>
      <c r="B40" s="212"/>
      <c r="C40" s="212"/>
      <c r="D40" s="212"/>
      <c r="E40" s="212"/>
      <c r="F40" s="212"/>
      <c r="G40" s="27">
        <f>G17/'Rate Class Customer Model'!J13</f>
        <v>16192.496831070528</v>
      </c>
      <c r="H40" s="27">
        <f>H17/'Rate Class Customer Model'!B13</f>
        <v>9598.5630705226595</v>
      </c>
      <c r="I40" s="27">
        <f>I17/'Rate Class Customer Model'!C13</f>
        <v>33905.014214368035</v>
      </c>
      <c r="J40" s="27">
        <f>J17/'Rate Class Customer Model'!D13</f>
        <v>674247.33600000001</v>
      </c>
      <c r="K40" s="27">
        <f>K17/'Rate Class Customer Model'!E13</f>
        <v>42326219</v>
      </c>
      <c r="L40" s="27">
        <f>L17/'Rate Class Customer Model'!F13</f>
        <v>7197839.3636363633</v>
      </c>
      <c r="M40" s="27">
        <f>M17/'Rate Class Customer Model'!G13</f>
        <v>736.45116561929865</v>
      </c>
      <c r="N40" s="27">
        <f>N17/'Rate Class Customer Model'!H13</f>
        <v>1492.1666666666667</v>
      </c>
      <c r="O40" s="27">
        <f>O17/'Rate Class Customer Model'!I13</f>
        <v>9330.2237288135602</v>
      </c>
      <c r="P40" s="27">
        <f>P17/'Rate Class Customer Model'!J13</f>
        <v>16192.496831070528</v>
      </c>
    </row>
    <row r="41" spans="1:16" x14ac:dyDescent="0.2">
      <c r="A41">
        <f t="shared" si="17"/>
        <v>2014</v>
      </c>
      <c r="B41" s="212"/>
      <c r="C41" s="212"/>
      <c r="D41" s="212"/>
      <c r="E41" s="212"/>
      <c r="F41" s="212"/>
      <c r="G41" s="27">
        <f>G18/'Rate Class Customer Model'!J14</f>
        <v>16183.628573758218</v>
      </c>
      <c r="H41" s="27">
        <f>H18/'Rate Class Customer Model'!B14</f>
        <v>9670.9029829191768</v>
      </c>
      <c r="I41" s="27">
        <f>I18/'Rate Class Customer Model'!C14</f>
        <v>33834.049841872235</v>
      </c>
      <c r="J41" s="27">
        <f>J18/'Rate Class Customer Model'!D14</f>
        <v>669464.90348258708</v>
      </c>
      <c r="K41" s="27">
        <f>K18/'Rate Class Customer Model'!E14</f>
        <v>42700435</v>
      </c>
      <c r="L41" s="27">
        <f>L18/'Rate Class Customer Model'!F14</f>
        <v>7400031.4545454541</v>
      </c>
      <c r="M41" s="27">
        <f>M18/'Rate Class Customer Model'!G14</f>
        <v>734.55613943599826</v>
      </c>
      <c r="N41" s="27">
        <f>N18/'Rate Class Customer Model'!H14</f>
        <v>1492.1666666666667</v>
      </c>
      <c r="O41" s="27">
        <f>O18/'Rate Class Customer Model'!I14</f>
        <v>9175.0219966159057</v>
      </c>
      <c r="P41" s="27">
        <f>P18/'Rate Class Customer Model'!J14</f>
        <v>16183.628573758218</v>
      </c>
    </row>
    <row r="42" spans="1:16" x14ac:dyDescent="0.2">
      <c r="A42">
        <f t="shared" si="17"/>
        <v>2015</v>
      </c>
      <c r="B42" s="212"/>
      <c r="C42" s="212"/>
      <c r="D42" s="212"/>
      <c r="E42" s="212"/>
      <c r="F42" s="212"/>
      <c r="G42" s="21">
        <f ca="1">G19/'Rate Class Customer Model'!J15</f>
        <v>16147.784116596131</v>
      </c>
      <c r="H42" s="21">
        <f t="shared" ref="H42:O46" si="18">+H41*H$61</f>
        <v>9620.4967571258403</v>
      </c>
      <c r="I42" s="21">
        <f t="shared" si="18"/>
        <v>33639.096336679446</v>
      </c>
      <c r="J42" s="21">
        <f t="shared" si="18"/>
        <v>668377.40361670626</v>
      </c>
      <c r="K42" s="21">
        <f t="shared" si="18"/>
        <v>43077959.531164952</v>
      </c>
      <c r="L42" s="21">
        <f t="shared" si="18"/>
        <v>7400031.4545454541</v>
      </c>
      <c r="M42" s="21">
        <f t="shared" si="18"/>
        <v>727.21057804163831</v>
      </c>
      <c r="N42" s="21">
        <f t="shared" si="18"/>
        <v>1492.1666666666667</v>
      </c>
      <c r="O42" s="21">
        <f t="shared" si="18"/>
        <v>9175.0219966159057</v>
      </c>
      <c r="P42" s="27">
        <f>+G66/'Rate Class Customer Model'!J15</f>
        <v>16017.589891748818</v>
      </c>
    </row>
    <row r="43" spans="1:16" x14ac:dyDescent="0.2">
      <c r="A43">
        <f t="shared" si="17"/>
        <v>2016</v>
      </c>
      <c r="B43" s="212"/>
      <c r="C43" s="212"/>
      <c r="D43" s="212"/>
      <c r="E43" s="212"/>
      <c r="F43" s="212"/>
      <c r="G43" s="21">
        <f ca="1">G20/'Rate Class Customer Model'!J16</f>
        <v>15962.94221976786</v>
      </c>
      <c r="H43" s="21">
        <f t="shared" si="18"/>
        <v>9570.3532562924393</v>
      </c>
      <c r="I43" s="21">
        <f t="shared" si="18"/>
        <v>33445.26616343671</v>
      </c>
      <c r="J43" s="21">
        <f t="shared" si="18"/>
        <v>667291.6703198452</v>
      </c>
      <c r="K43" s="21">
        <f t="shared" si="18"/>
        <v>43458821.844992571</v>
      </c>
      <c r="L43" s="21">
        <f t="shared" si="18"/>
        <v>7400031.4545454541</v>
      </c>
      <c r="M43" s="21">
        <f t="shared" si="18"/>
        <v>719.93847226122193</v>
      </c>
      <c r="N43" s="21">
        <f t="shared" si="18"/>
        <v>1492.1666666666667</v>
      </c>
      <c r="O43" s="21">
        <f t="shared" si="18"/>
        <v>9175.0219966159057</v>
      </c>
      <c r="P43" s="27">
        <f>+G67/'Rate Class Customer Model'!J16</f>
        <v>15853.39751546548</v>
      </c>
    </row>
    <row r="44" spans="1:16" x14ac:dyDescent="0.2">
      <c r="A44">
        <f t="shared" si="17"/>
        <v>2017</v>
      </c>
      <c r="B44" s="212"/>
      <c r="C44" s="212"/>
      <c r="D44" s="212"/>
      <c r="E44" s="212"/>
      <c r="F44" s="212"/>
      <c r="G44" s="21">
        <f ca="1">G21/'Rate Class Customer Model'!J17</f>
        <v>15703.70437890175</v>
      </c>
      <c r="H44" s="21">
        <f t="shared" si="18"/>
        <v>9520.4711110562912</v>
      </c>
      <c r="I44" s="21">
        <f t="shared" si="18"/>
        <v>33252.552849448555</v>
      </c>
      <c r="J44" s="21">
        <f t="shared" si="18"/>
        <v>666207.70072233351</v>
      </c>
      <c r="K44" s="21">
        <f t="shared" si="18"/>
        <v>43843051.451599903</v>
      </c>
      <c r="L44" s="21">
        <f t="shared" si="18"/>
        <v>7400031.4545454541</v>
      </c>
      <c r="M44" s="21">
        <f t="shared" si="18"/>
        <v>712.73908753860974</v>
      </c>
      <c r="N44" s="21">
        <f t="shared" si="18"/>
        <v>1492.1666666666667</v>
      </c>
      <c r="O44" s="21">
        <f t="shared" si="18"/>
        <v>9175.0219966159057</v>
      </c>
      <c r="P44" s="27">
        <f>+G68/'Rate Class Customer Model'!J17</f>
        <v>15691.030409502644</v>
      </c>
    </row>
    <row r="45" spans="1:16" x14ac:dyDescent="0.2">
      <c r="A45">
        <f t="shared" si="17"/>
        <v>2018</v>
      </c>
      <c r="B45" s="212"/>
      <c r="C45" s="212"/>
      <c r="D45" s="212"/>
      <c r="E45" s="212"/>
      <c r="F45" s="212"/>
      <c r="G45" s="21">
        <f ca="1">G22/'Rate Class Customer Model'!J18</f>
        <v>15485.982332999862</v>
      </c>
      <c r="H45" s="21">
        <f t="shared" si="18"/>
        <v>9470.8489591920425</v>
      </c>
      <c r="I45" s="21">
        <f t="shared" si="18"/>
        <v>33060.949959315505</v>
      </c>
      <c r="J45" s="21">
        <f t="shared" si="18"/>
        <v>665125.49195916252</v>
      </c>
      <c r="K45" s="21">
        <f t="shared" si="18"/>
        <v>44230678.122009844</v>
      </c>
      <c r="L45" s="21">
        <f t="shared" si="18"/>
        <v>7400031.4545454541</v>
      </c>
      <c r="M45" s="21">
        <f t="shared" si="18"/>
        <v>705.6116966632236</v>
      </c>
      <c r="N45" s="21">
        <f t="shared" si="18"/>
        <v>1492.1666666666667</v>
      </c>
      <c r="O45" s="21">
        <f t="shared" si="18"/>
        <v>9175.0219966159057</v>
      </c>
      <c r="P45" s="27">
        <f>+G69/'Rate Class Customer Model'!J18</f>
        <v>15530.46773523545</v>
      </c>
    </row>
    <row r="46" spans="1:16" x14ac:dyDescent="0.2">
      <c r="A46">
        <f t="shared" si="17"/>
        <v>2019</v>
      </c>
      <c r="B46" s="212"/>
      <c r="C46" s="212"/>
      <c r="D46" s="212"/>
      <c r="E46" s="212"/>
      <c r="F46" s="212"/>
      <c r="G46" s="21">
        <f ca="1">G23/'Rate Class Customer Model'!J19</f>
        <v>15271.093866625313</v>
      </c>
      <c r="H46" s="21">
        <f t="shared" si="18"/>
        <v>9421.4854455744626</v>
      </c>
      <c r="I46" s="21">
        <f t="shared" si="18"/>
        <v>32870.451094719188</v>
      </c>
      <c r="J46" s="21">
        <f t="shared" si="18"/>
        <v>664045.0411699774</v>
      </c>
      <c r="K46" s="21">
        <f t="shared" si="18"/>
        <v>44621731.890457861</v>
      </c>
      <c r="L46" s="21">
        <f t="shared" si="18"/>
        <v>7400031.4545454541</v>
      </c>
      <c r="M46" s="21">
        <f t="shared" si="18"/>
        <v>698.55557969659139</v>
      </c>
      <c r="N46" s="21">
        <f t="shared" si="18"/>
        <v>1492.1666666666667</v>
      </c>
      <c r="O46" s="21">
        <f t="shared" si="18"/>
        <v>9175.0219966159057</v>
      </c>
      <c r="P46" s="27">
        <f>+G70/'Rate Class Customer Model'!J19</f>
        <v>15371.688851436555</v>
      </c>
    </row>
    <row r="48" spans="1:16" x14ac:dyDescent="0.2">
      <c r="A48" s="37">
        <v>2003</v>
      </c>
      <c r="D48" s="6"/>
      <c r="G48" s="232"/>
      <c r="H48" s="232"/>
      <c r="I48" s="232"/>
      <c r="J48" s="232"/>
      <c r="K48" s="232"/>
      <c r="L48" s="232"/>
      <c r="M48" s="232"/>
      <c r="N48" s="232"/>
      <c r="O48" s="232"/>
    </row>
    <row r="49" spans="1:15" x14ac:dyDescent="0.2">
      <c r="A49" s="37">
        <v>2004</v>
      </c>
      <c r="D49" s="6"/>
      <c r="G49" s="25">
        <f t="shared" ref="G49" si="19">G31/G30</f>
        <v>0.97947588338602443</v>
      </c>
      <c r="H49" s="25">
        <f t="shared" ref="H49:H59" si="20">H31/H30</f>
        <v>0.96459208328463042</v>
      </c>
      <c r="I49" s="25">
        <f t="shared" ref="I49:N53" si="21">I31/I30</f>
        <v>1.0908582778368565</v>
      </c>
      <c r="J49" s="25">
        <f t="shared" si="21"/>
        <v>1.3524359755748323</v>
      </c>
      <c r="K49" s="25">
        <f t="shared" si="21"/>
        <v>0.66256671927643851</v>
      </c>
      <c r="L49" s="25">
        <f t="shared" si="21"/>
        <v>0.56908460757775015</v>
      </c>
      <c r="M49" s="25">
        <f>M31/M30</f>
        <v>1.0251639423944985</v>
      </c>
      <c r="N49" s="25">
        <f t="shared" si="21"/>
        <v>0.70253507828110928</v>
      </c>
      <c r="O49" s="25">
        <f t="shared" ref="O49" si="22">O31/O30</f>
        <v>1</v>
      </c>
    </row>
    <row r="50" spans="1:15" x14ac:dyDescent="0.2">
      <c r="A50" s="37">
        <v>2005</v>
      </c>
      <c r="D50" s="6"/>
      <c r="G50" s="25">
        <f t="shared" ref="G50:G59" si="23">G32/G31</f>
        <v>0.98310260978987285</v>
      </c>
      <c r="H50" s="25">
        <f t="shared" si="20"/>
        <v>1.0693485844030812</v>
      </c>
      <c r="I50" s="25">
        <f t="shared" si="21"/>
        <v>1.0353312923384042</v>
      </c>
      <c r="J50" s="25">
        <f t="shared" si="21"/>
        <v>1.0200491597243926</v>
      </c>
      <c r="K50" s="25">
        <f t="shared" si="21"/>
        <v>0.70116014965232798</v>
      </c>
      <c r="L50" s="25">
        <f t="shared" si="21"/>
        <v>0.81633341387002645</v>
      </c>
      <c r="M50" s="25">
        <f>M32/M31</f>
        <v>1.0266511605702138</v>
      </c>
      <c r="N50" s="25">
        <f t="shared" si="21"/>
        <v>1.5789925790723871</v>
      </c>
      <c r="O50" s="25">
        <f t="shared" ref="O50" si="24">O32/O31</f>
        <v>1</v>
      </c>
    </row>
    <row r="51" spans="1:15" x14ac:dyDescent="0.2">
      <c r="A51" s="37">
        <v>2006</v>
      </c>
      <c r="D51" s="6"/>
      <c r="G51" s="25">
        <f t="shared" si="23"/>
        <v>0.96631476845327224</v>
      </c>
      <c r="H51" s="25">
        <f t="shared" si="20"/>
        <v>0.94199681266597912</v>
      </c>
      <c r="I51" s="25">
        <f t="shared" si="21"/>
        <v>0.96638399951958032</v>
      </c>
      <c r="J51" s="25">
        <f t="shared" si="21"/>
        <v>0.97995192900219585</v>
      </c>
      <c r="K51" s="25">
        <f t="shared" si="21"/>
        <v>0.94832850124568335</v>
      </c>
      <c r="L51" s="25">
        <f t="shared" si="21"/>
        <v>1.060119217212701</v>
      </c>
      <c r="M51" s="25">
        <f>M33/M32</f>
        <v>0.9920529522224395</v>
      </c>
      <c r="N51" s="25">
        <f t="shared" si="21"/>
        <v>1.0206625785010248</v>
      </c>
      <c r="O51" s="25">
        <f t="shared" ref="O51" si="25">O33/O32</f>
        <v>1.243351677852349</v>
      </c>
    </row>
    <row r="52" spans="1:15" x14ac:dyDescent="0.2">
      <c r="A52" s="37">
        <v>2007</v>
      </c>
      <c r="D52" s="6"/>
      <c r="G52" s="25">
        <f t="shared" si="23"/>
        <v>1.0073708142964195</v>
      </c>
      <c r="H52" s="25">
        <f t="shared" si="20"/>
        <v>0.9949077206372462</v>
      </c>
      <c r="I52" s="25">
        <f t="shared" si="21"/>
        <v>0.98427327954005928</v>
      </c>
      <c r="J52" s="25">
        <f t="shared" si="21"/>
        <v>1.0096097961620669</v>
      </c>
      <c r="K52" s="25">
        <f t="shared" si="21"/>
        <v>1.0361649490467149</v>
      </c>
      <c r="L52" s="25">
        <f t="shared" si="21"/>
        <v>1.2183426165249025</v>
      </c>
      <c r="M52" s="25">
        <f>M34/M33</f>
        <v>0.99141299957141205</v>
      </c>
      <c r="N52" s="25">
        <f t="shared" si="21"/>
        <v>1.0455013986494117</v>
      </c>
      <c r="O52" s="25">
        <f t="shared" ref="O52" si="26">O34/O33</f>
        <v>1.0204079314170731</v>
      </c>
    </row>
    <row r="53" spans="1:15" x14ac:dyDescent="0.2">
      <c r="A53" s="37">
        <v>2008</v>
      </c>
      <c r="D53" s="6"/>
      <c r="G53" s="25">
        <f t="shared" si="23"/>
        <v>0.95934324471684929</v>
      </c>
      <c r="H53" s="25">
        <f t="shared" si="20"/>
        <v>0.97953259079188659</v>
      </c>
      <c r="I53" s="25">
        <f t="shared" si="21"/>
        <v>0.98470012831565834</v>
      </c>
      <c r="J53" s="25">
        <f t="shared" si="21"/>
        <v>0.96254198971188476</v>
      </c>
      <c r="K53" s="25">
        <f t="shared" si="21"/>
        <v>0.60132190195387458</v>
      </c>
      <c r="L53" s="25">
        <f t="shared" si="21"/>
        <v>0.98616804619720932</v>
      </c>
      <c r="M53" s="25">
        <f>M35/M34</f>
        <v>0.97279018442106457</v>
      </c>
      <c r="N53" s="25">
        <f t="shared" si="21"/>
        <v>0.96569457035429807</v>
      </c>
      <c r="O53" s="25">
        <f t="shared" ref="O53" si="27">O35/O34</f>
        <v>0.88321346787592647</v>
      </c>
    </row>
    <row r="54" spans="1:15" x14ac:dyDescent="0.2">
      <c r="A54" s="37">
        <v>2009</v>
      </c>
      <c r="D54" s="6"/>
      <c r="G54" s="25">
        <f t="shared" si="23"/>
        <v>0.95720347132836214</v>
      </c>
      <c r="H54" s="25">
        <f t="shared" si="20"/>
        <v>0.98279461300438953</v>
      </c>
      <c r="I54" s="25">
        <f t="shared" ref="I54:O54" si="28">I36/I35</f>
        <v>0.95421384004790699</v>
      </c>
      <c r="J54" s="25">
        <f t="shared" si="28"/>
        <v>1.0079837456600111</v>
      </c>
      <c r="K54" s="25">
        <f t="shared" si="28"/>
        <v>0.98416608731004862</v>
      </c>
      <c r="L54" s="25">
        <f t="shared" si="28"/>
        <v>0.80682902472712614</v>
      </c>
      <c r="M54" s="25">
        <f t="shared" si="28"/>
        <v>1.0330797319726048</v>
      </c>
      <c r="N54" s="25">
        <f>N36/N35</f>
        <v>0.93778196926057145</v>
      </c>
      <c r="O54" s="25">
        <f t="shared" si="28"/>
        <v>0.83354590562373465</v>
      </c>
    </row>
    <row r="55" spans="1:15" x14ac:dyDescent="0.2">
      <c r="A55" s="37">
        <v>2010</v>
      </c>
      <c r="D55" s="6"/>
      <c r="G55" s="25">
        <f t="shared" si="23"/>
        <v>0.99574816087047791</v>
      </c>
      <c r="H55" s="25">
        <f t="shared" si="20"/>
        <v>1.0083079826061891</v>
      </c>
      <c r="I55" s="25">
        <f t="shared" ref="I55:O55" si="29">I37/I36</f>
        <v>1.0073453774605363</v>
      </c>
      <c r="J55" s="25">
        <f t="shared" si="29"/>
        <v>1.0403510744350233</v>
      </c>
      <c r="K55" s="25">
        <f>K37/K36</f>
        <v>1.8262711374423533</v>
      </c>
      <c r="L55" s="25">
        <f>L37/L36</f>
        <v>0.87971234452616509</v>
      </c>
      <c r="M55" s="25">
        <f t="shared" si="29"/>
        <v>1.0054949504946402</v>
      </c>
      <c r="N55" s="25">
        <f>N37/N36</f>
        <v>1.0122983257229832</v>
      </c>
      <c r="O55" s="25">
        <f t="shared" si="29"/>
        <v>0.98906133534923335</v>
      </c>
    </row>
    <row r="56" spans="1:15" x14ac:dyDescent="0.2">
      <c r="A56" s="37">
        <v>2011</v>
      </c>
      <c r="B56" s="212"/>
      <c r="C56" s="212"/>
      <c r="D56" s="6"/>
      <c r="E56" s="212"/>
      <c r="F56" s="212"/>
      <c r="G56" s="25">
        <f t="shared" si="23"/>
        <v>1.0081531246371136</v>
      </c>
      <c r="H56" s="25">
        <f t="shared" si="20"/>
        <v>1.0048269554705549</v>
      </c>
      <c r="I56" s="25">
        <f t="shared" ref="I56:O59" si="30">I38/I37</f>
        <v>1.0443860346710048</v>
      </c>
      <c r="J56" s="25">
        <f t="shared" si="30"/>
        <v>0.99654922429387527</v>
      </c>
      <c r="K56" s="25">
        <f t="shared" si="30"/>
        <v>1.129867580116052</v>
      </c>
      <c r="L56" s="25">
        <f t="shared" si="30"/>
        <v>0.98916698473014308</v>
      </c>
      <c r="M56" s="25">
        <f t="shared" si="30"/>
        <v>0.97252712875515746</v>
      </c>
      <c r="N56" s="25">
        <f>N38/N37</f>
        <v>1.0416666666666667</v>
      </c>
      <c r="O56" s="25">
        <f t="shared" si="30"/>
        <v>0.99086782815227392</v>
      </c>
    </row>
    <row r="57" spans="1:15" x14ac:dyDescent="0.2">
      <c r="A57" s="37">
        <v>2012</v>
      </c>
      <c r="B57" s="212"/>
      <c r="C57" s="212"/>
      <c r="D57" s="6"/>
      <c r="E57" s="212"/>
      <c r="F57" s="212"/>
      <c r="G57" s="25">
        <f t="shared" si="23"/>
        <v>0.96101760740704145</v>
      </c>
      <c r="H57" s="25">
        <f t="shared" si="20"/>
        <v>0.96931239576818207</v>
      </c>
      <c r="I57" s="25">
        <f t="shared" si="30"/>
        <v>0.97931825637170078</v>
      </c>
      <c r="J57" s="25">
        <f t="shared" si="30"/>
        <v>0.95761565939939775</v>
      </c>
      <c r="K57" s="25">
        <f t="shared" si="30"/>
        <v>1.0813985453740536</v>
      </c>
      <c r="L57" s="25">
        <f t="shared" si="30"/>
        <v>0.91567351998470703</v>
      </c>
      <c r="M57" s="25">
        <f t="shared" si="30"/>
        <v>0.98202534647603412</v>
      </c>
      <c r="N57" s="25">
        <f t="shared" si="30"/>
        <v>1</v>
      </c>
      <c r="O57" s="25">
        <f t="shared" si="30"/>
        <v>1.0150648481935254</v>
      </c>
    </row>
    <row r="58" spans="1:15" x14ac:dyDescent="0.2">
      <c r="A58" s="37">
        <v>2013</v>
      </c>
      <c r="B58" s="212"/>
      <c r="C58" s="212"/>
      <c r="D58" s="6"/>
      <c r="E58" s="212"/>
      <c r="F58" s="212"/>
      <c r="G58" s="25">
        <f t="shared" si="23"/>
        <v>0.99416909437074852</v>
      </c>
      <c r="H58" s="25">
        <f t="shared" si="20"/>
        <v>0.99417414979164742</v>
      </c>
      <c r="I58" s="25">
        <f t="shared" si="30"/>
        <v>0.99210017904233383</v>
      </c>
      <c r="J58" s="25">
        <f t="shared" si="30"/>
        <v>1.019314763084143</v>
      </c>
      <c r="K58" s="25">
        <f t="shared" si="30"/>
        <v>1.0370835702589611</v>
      </c>
      <c r="L58" s="25">
        <f t="shared" si="30"/>
        <v>0.98371919806127561</v>
      </c>
      <c r="M58" s="25">
        <f t="shared" si="30"/>
        <v>0.88703521696172072</v>
      </c>
      <c r="N58" s="25">
        <f t="shared" si="30"/>
        <v>1</v>
      </c>
      <c r="O58" s="25">
        <f t="shared" si="30"/>
        <v>1.0041447017954275</v>
      </c>
    </row>
    <row r="59" spans="1:15" x14ac:dyDescent="0.2">
      <c r="A59" s="37">
        <v>2014</v>
      </c>
      <c r="B59" s="212"/>
      <c r="C59" s="212"/>
      <c r="D59" s="6"/>
      <c r="E59" s="212"/>
      <c r="F59" s="212"/>
      <c r="G59" s="25">
        <f t="shared" si="23"/>
        <v>0.99945232304783949</v>
      </c>
      <c r="H59" s="25">
        <f t="shared" si="20"/>
        <v>1.0075365356111139</v>
      </c>
      <c r="I59" s="25">
        <f t="shared" si="30"/>
        <v>0.99790696526339373</v>
      </c>
      <c r="J59" s="25">
        <f t="shared" si="30"/>
        <v>0.99290700569054535</v>
      </c>
      <c r="K59" s="25">
        <f t="shared" si="30"/>
        <v>1.0088412338460944</v>
      </c>
      <c r="L59" s="25">
        <f t="shared" si="30"/>
        <v>1.0280906645306047</v>
      </c>
      <c r="M59" s="25">
        <f t="shared" si="30"/>
        <v>0.99742681351898355</v>
      </c>
      <c r="N59" s="25">
        <f t="shared" si="30"/>
        <v>1</v>
      </c>
      <c r="O59" s="25">
        <f t="shared" si="30"/>
        <v>0.98336570089757214</v>
      </c>
    </row>
    <row r="60" spans="1:15" x14ac:dyDescent="0.2">
      <c r="A60" s="3"/>
      <c r="D60" s="6"/>
      <c r="E60" s="6"/>
      <c r="F60" s="6"/>
    </row>
    <row r="61" spans="1:15" x14ac:dyDescent="0.2">
      <c r="A61" t="s">
        <v>16</v>
      </c>
      <c r="D61" s="6"/>
      <c r="G61" s="122">
        <f t="shared" ref="G61" si="31">G63</f>
        <v>0.98299539091126076</v>
      </c>
      <c r="H61" s="122">
        <f>H63</f>
        <v>0.9947878470208662</v>
      </c>
      <c r="I61" s="122">
        <f t="shared" ref="I61" si="32">I63</f>
        <v>0.99423794945908262</v>
      </c>
      <c r="J61" s="122">
        <f>J63</f>
        <v>0.99837556851714915</v>
      </c>
      <c r="K61" s="122">
        <f>+K59</f>
        <v>1.0088412338460944</v>
      </c>
      <c r="L61" s="122">
        <v>1</v>
      </c>
      <c r="M61" s="122">
        <v>0.99</v>
      </c>
      <c r="N61" s="122">
        <v>1</v>
      </c>
      <c r="O61" s="122">
        <v>1</v>
      </c>
    </row>
    <row r="62" spans="1:15" x14ac:dyDescent="0.2">
      <c r="A62" s="3"/>
      <c r="D62" s="6"/>
      <c r="G62" s="13"/>
      <c r="H62" s="13"/>
      <c r="I62" s="13"/>
      <c r="M62" s="11"/>
      <c r="N62" s="11"/>
      <c r="O62" s="11"/>
    </row>
    <row r="63" spans="1:15" x14ac:dyDescent="0.2">
      <c r="A63" s="66" t="s">
        <v>106</v>
      </c>
      <c r="D63" s="6"/>
      <c r="G63" s="25">
        <f t="shared" ref="G63:M63" si="33">GEOMEAN(G50:G59)</f>
        <v>0.98299539091126076</v>
      </c>
      <c r="H63" s="25">
        <f t="shared" si="33"/>
        <v>0.9947878470208662</v>
      </c>
      <c r="I63" s="25">
        <f t="shared" si="33"/>
        <v>0.99423794945908262</v>
      </c>
      <c r="J63" s="25">
        <f t="shared" si="33"/>
        <v>0.99837556851714915</v>
      </c>
      <c r="K63" s="25">
        <f t="shared" si="33"/>
        <v>0.99508355864696041</v>
      </c>
      <c r="L63" s="25">
        <f t="shared" si="33"/>
        <v>0.96160733460507208</v>
      </c>
      <c r="M63" s="25">
        <f t="shared" si="33"/>
        <v>0.98527885019188122</v>
      </c>
      <c r="N63" s="25">
        <f>GEOMEAN(N51:N59)</f>
        <v>1.0020964631094547</v>
      </c>
      <c r="O63" s="25">
        <f>GEOMEAN(O50:O59)</f>
        <v>0.99142692999709625</v>
      </c>
    </row>
    <row r="64" spans="1:15" x14ac:dyDescent="0.2">
      <c r="D64" s="6"/>
      <c r="H64" s="25"/>
      <c r="I64" s="25"/>
      <c r="J64" s="25"/>
      <c r="K64" s="25"/>
      <c r="L64" s="25"/>
      <c r="M64" s="25"/>
      <c r="N64" s="25"/>
      <c r="O64" s="25"/>
    </row>
    <row r="65" spans="1:16" x14ac:dyDescent="0.2">
      <c r="A65" s="19" t="s">
        <v>44</v>
      </c>
    </row>
    <row r="66" spans="1:16" x14ac:dyDescent="0.2">
      <c r="A66">
        <v>2015</v>
      </c>
      <c r="G66" s="36">
        <f>SUM(H66:O66)</f>
        <v>1095615707.2231259</v>
      </c>
      <c r="H66" s="36">
        <f>+H42*'Rate Class Customer Model'!B15</f>
        <v>489491138.68914074</v>
      </c>
      <c r="I66" s="36">
        <f>I42*'Rate Class Customer Model'!C15</f>
        <v>133795075.39634021</v>
      </c>
      <c r="J66" s="36">
        <f>J42*'Rate Class Customer Model'!D15</f>
        <v>335859645.31739491</v>
      </c>
      <c r="K66" s="36">
        <f>K42*'Rate Class Customer Model'!E15</f>
        <v>43077959.531164952</v>
      </c>
      <c r="L66" s="36">
        <f>L42*'Rate Class Customer Model'!F15</f>
        <v>81400346</v>
      </c>
      <c r="M66" s="36">
        <f>M42*'Rate Class Customer Model'!G15</f>
        <v>9242735.1577514503</v>
      </c>
      <c r="N66" s="36">
        <f>N42*'Rate Class Customer Model'!H15</f>
        <v>34649.788587785748</v>
      </c>
      <c r="O66" s="36">
        <f>O42*'Rate Class Customer Model'!I15</f>
        <v>2714157.3427455146</v>
      </c>
      <c r="P66" s="36"/>
    </row>
    <row r="67" spans="1:16" x14ac:dyDescent="0.2">
      <c r="A67">
        <v>2016</v>
      </c>
      <c r="B67" s="212"/>
      <c r="C67" s="212"/>
      <c r="D67" s="212"/>
      <c r="E67" s="212"/>
      <c r="F67" s="212"/>
      <c r="G67" s="36">
        <f t="shared" ref="G67:G70" si="34">SUM(H67:O67)</f>
        <v>1099626899.4163969</v>
      </c>
      <c r="H67" s="36">
        <f>+H43*'Rate Class Customer Model'!B16</f>
        <v>493511522.36927426</v>
      </c>
      <c r="I67" s="36">
        <f>I43*'Rate Class Customer Model'!C16</f>
        <v>133861101.35948111</v>
      </c>
      <c r="J67" s="36">
        <f>J43*'Rate Class Customer Model'!D16</f>
        <v>335314064.33572221</v>
      </c>
      <c r="K67" s="36">
        <f>K43*'Rate Class Customer Model'!E16</f>
        <v>43458821.844992571</v>
      </c>
      <c r="L67" s="36">
        <f>L43*'Rate Class Customer Model'!F16</f>
        <v>81400346</v>
      </c>
      <c r="M67" s="36">
        <f>M43*'Rate Class Customer Model'!G16</f>
        <v>9330419.3423713949</v>
      </c>
      <c r="N67" s="36">
        <f>N43*'Rate Class Customer Model'!H16</f>
        <v>33525.294571044557</v>
      </c>
      <c r="O67" s="36">
        <f>O43*'Rate Class Customer Model'!I16</f>
        <v>2717098.8699840889</v>
      </c>
      <c r="P67" s="36"/>
    </row>
    <row r="68" spans="1:16" x14ac:dyDescent="0.2">
      <c r="A68">
        <v>2017</v>
      </c>
      <c r="B68" s="212"/>
      <c r="C68" s="212"/>
      <c r="D68" s="212"/>
      <c r="E68" s="212"/>
      <c r="F68" s="212"/>
      <c r="G68" s="36">
        <f t="shared" si="34"/>
        <v>1103676270.2658055</v>
      </c>
      <c r="H68" s="36">
        <f>+H44*'Rate Class Customer Model'!B17</f>
        <v>497564927.04541355</v>
      </c>
      <c r="I68" s="36">
        <f>I44*'Rate Class Customer Model'!C17</f>
        <v>133927159.90549397</v>
      </c>
      <c r="J68" s="36">
        <f>J44*'Rate Class Customer Model'!D17</f>
        <v>334769369.61297262</v>
      </c>
      <c r="K68" s="36">
        <f>K44*'Rate Class Customer Model'!E17</f>
        <v>43843051.451599903</v>
      </c>
      <c r="L68" s="36">
        <f>L44*'Rate Class Customer Model'!F17</f>
        <v>81400346</v>
      </c>
      <c r="M68" s="36">
        <f>M44*'Rate Class Customer Model'!G17</f>
        <v>9418935.3712561894</v>
      </c>
      <c r="N68" s="36">
        <f>N44*'Rate Class Customer Model'!H17</f>
        <v>32437.293902321435</v>
      </c>
      <c r="O68" s="36">
        <f>O44*'Rate Class Customer Model'!I17</f>
        <v>2720043.5851669875</v>
      </c>
      <c r="P68" s="36"/>
    </row>
    <row r="69" spans="1:16" x14ac:dyDescent="0.2">
      <c r="A69">
        <v>2018</v>
      </c>
      <c r="B69" s="212"/>
      <c r="C69" s="212"/>
      <c r="D69" s="212"/>
      <c r="E69" s="212"/>
      <c r="F69" s="212"/>
      <c r="G69" s="36">
        <f t="shared" si="34"/>
        <v>1107764126.0439346</v>
      </c>
      <c r="H69" s="36">
        <f>+H45*'Rate Class Customer Model'!B18</f>
        <v>501651623.93201566</v>
      </c>
      <c r="I69" s="36">
        <f>I45*'Rate Class Customer Model'!C18</f>
        <v>133993251.05045794</v>
      </c>
      <c r="J69" s="36">
        <f>J45*'Rate Class Customer Model'!D18</f>
        <v>334225559.70947915</v>
      </c>
      <c r="K69" s="36">
        <f>K45*'Rate Class Customer Model'!E18</f>
        <v>44230678.122009844</v>
      </c>
      <c r="L69" s="36">
        <f>L45*'Rate Class Customer Model'!F18</f>
        <v>81400346</v>
      </c>
      <c r="M69" s="36">
        <f>M45*'Rate Class Customer Model'!G18</f>
        <v>9508291.1359644234</v>
      </c>
      <c r="N69" s="36">
        <f>N45*'Rate Class Customer Model'!H18</f>
        <v>31384.602258329876</v>
      </c>
      <c r="O69" s="36">
        <f>O45*'Rate Class Customer Model'!I18</f>
        <v>2722991.4917492145</v>
      </c>
      <c r="P69" s="36"/>
    </row>
    <row r="70" spans="1:16" x14ac:dyDescent="0.2">
      <c r="A70">
        <v>2019</v>
      </c>
      <c r="B70" s="212"/>
      <c r="C70" s="212"/>
      <c r="D70" s="212"/>
      <c r="E70" s="212"/>
      <c r="F70" s="212"/>
      <c r="G70" s="36">
        <f t="shared" si="34"/>
        <v>1111890775.6298213</v>
      </c>
      <c r="H70" s="36">
        <f>+H46*'Rate Class Customer Model'!B19</f>
        <v>505771886.47112894</v>
      </c>
      <c r="I70" s="36">
        <f>I46*'Rate Class Customer Model'!C19</f>
        <v>134059374.81046017</v>
      </c>
      <c r="J70" s="36">
        <f>J46*'Rate Class Customer Model'!D19</f>
        <v>333682633.18791366</v>
      </c>
      <c r="K70" s="36">
        <f>K46*'Rate Class Customer Model'!E19</f>
        <v>44621731.890457861</v>
      </c>
      <c r="L70" s="36">
        <f>L46*'Rate Class Customer Model'!F19</f>
        <v>81400346</v>
      </c>
      <c r="M70" s="36">
        <f>M46*'Rate Class Customer Model'!G19</f>
        <v>9598494.6029205136</v>
      </c>
      <c r="N70" s="36">
        <f>N46*'Rate Class Customer Model'!H19</f>
        <v>30366.073750778327</v>
      </c>
      <c r="O70" s="36">
        <f>O46*'Rate Class Customer Model'!I19</f>
        <v>2725942.5931895184</v>
      </c>
      <c r="P70" s="36"/>
    </row>
    <row r="71" spans="1:16" x14ac:dyDescent="0.2">
      <c r="G71" s="36"/>
      <c r="H71" s="36"/>
      <c r="I71" s="36"/>
      <c r="J71" s="36"/>
      <c r="K71" s="36"/>
      <c r="L71" s="36"/>
      <c r="M71" s="36"/>
      <c r="N71" s="36"/>
      <c r="O71" s="36"/>
      <c r="P71" s="36"/>
    </row>
    <row r="72" spans="1:16" x14ac:dyDescent="0.2">
      <c r="A72" s="19" t="s">
        <v>43</v>
      </c>
      <c r="G72" s="36"/>
      <c r="H72" s="36"/>
      <c r="I72" s="36"/>
      <c r="J72" s="36"/>
      <c r="K72" s="36"/>
      <c r="L72" s="36"/>
      <c r="M72" s="36"/>
      <c r="N72" s="36"/>
      <c r="O72" s="36"/>
      <c r="P72" s="36" t="s">
        <v>15</v>
      </c>
    </row>
    <row r="73" spans="1:16" x14ac:dyDescent="0.2">
      <c r="A73">
        <v>2015</v>
      </c>
      <c r="G73" s="55">
        <f ca="1">G19</f>
        <v>1104521094.2817581</v>
      </c>
      <c r="H73" s="36">
        <f t="shared" ref="H73:O77" ca="1" si="35">H66+H87</f>
        <v>493811363.35269445</v>
      </c>
      <c r="I73" s="36">
        <f t="shared" ca="1" si="35"/>
        <v>134975944.13716614</v>
      </c>
      <c r="J73" s="36">
        <f t="shared" ca="1" si="35"/>
        <v>338642781.29385531</v>
      </c>
      <c r="K73" s="36">
        <f t="shared" ca="1" si="35"/>
        <v>43077959.531164952</v>
      </c>
      <c r="L73" s="36">
        <f t="shared" ca="1" si="35"/>
        <v>82021503.677792132</v>
      </c>
      <c r="M73" s="36">
        <f t="shared" ca="1" si="35"/>
        <v>9242735.1577514503</v>
      </c>
      <c r="N73" s="36">
        <f t="shared" ca="1" si="35"/>
        <v>34649.788587785748</v>
      </c>
      <c r="O73" s="36">
        <f t="shared" ca="1" si="35"/>
        <v>2714157.3427455146</v>
      </c>
      <c r="P73" s="36">
        <f t="shared" ref="P73:P77" ca="1" si="36">SUM(H73:O73)</f>
        <v>1104521094.2817578</v>
      </c>
    </row>
    <row r="74" spans="1:16" x14ac:dyDescent="0.2">
      <c r="A74">
        <v>2016</v>
      </c>
      <c r="B74" s="212"/>
      <c r="C74" s="212"/>
      <c r="D74" s="212"/>
      <c r="E74" s="212"/>
      <c r="F74" s="212"/>
      <c r="G74" s="55">
        <f ca="1">G20</f>
        <v>1107225163.6636662</v>
      </c>
      <c r="H74" s="36">
        <f t="shared" ca="1" si="35"/>
        <v>497214786.68407631</v>
      </c>
      <c r="I74" s="36">
        <f t="shared" ca="1" si="35"/>
        <v>134865582.54651555</v>
      </c>
      <c r="J74" s="36">
        <f t="shared" ca="1" si="35"/>
        <v>337676468.96843123</v>
      </c>
      <c r="K74" s="36">
        <f t="shared" ca="1" si="35"/>
        <v>43458821.844992571</v>
      </c>
      <c r="L74" s="36">
        <f t="shared" ca="1" si="35"/>
        <v>81928460.112723902</v>
      </c>
      <c r="M74" s="36">
        <f t="shared" ca="1" si="35"/>
        <v>9330419.3423713949</v>
      </c>
      <c r="N74" s="36">
        <f t="shared" ca="1" si="35"/>
        <v>33525.294571044557</v>
      </c>
      <c r="O74" s="36">
        <f t="shared" ca="1" si="35"/>
        <v>2717098.8699840889</v>
      </c>
      <c r="P74" s="36">
        <f t="shared" ca="1" si="36"/>
        <v>1107225163.6636662</v>
      </c>
    </row>
    <row r="75" spans="1:16" x14ac:dyDescent="0.2">
      <c r="A75">
        <v>2017</v>
      </c>
      <c r="B75" s="212"/>
      <c r="C75" s="212"/>
      <c r="D75" s="212"/>
      <c r="E75" s="212"/>
      <c r="F75" s="212"/>
      <c r="G75" s="55">
        <f ca="1">G21</f>
        <v>1104567732.388484</v>
      </c>
      <c r="H75" s="36">
        <f t="shared" ca="1" si="35"/>
        <v>498001423.70709103</v>
      </c>
      <c r="I75" s="36">
        <f t="shared" ca="1" si="35"/>
        <v>134044649.61393027</v>
      </c>
      <c r="J75" s="36">
        <f t="shared" ca="1" si="35"/>
        <v>335045104.66871005</v>
      </c>
      <c r="K75" s="36">
        <f t="shared" ca="1" si="35"/>
        <v>43843051.451599903</v>
      </c>
      <c r="L75" s="36">
        <f t="shared" ca="1" si="35"/>
        <v>81462086.696827322</v>
      </c>
      <c r="M75" s="36">
        <f t="shared" ca="1" si="35"/>
        <v>9418935.3712561894</v>
      </c>
      <c r="N75" s="36">
        <f t="shared" ca="1" si="35"/>
        <v>32437.293902321435</v>
      </c>
      <c r="O75" s="36">
        <f t="shared" ca="1" si="35"/>
        <v>2720043.5851669875</v>
      </c>
      <c r="P75" s="36">
        <f t="shared" ca="1" si="36"/>
        <v>1104567732.388484</v>
      </c>
    </row>
    <row r="76" spans="1:16" x14ac:dyDescent="0.2">
      <c r="A76">
        <v>2018</v>
      </c>
      <c r="B76" s="212"/>
      <c r="C76" s="212"/>
      <c r="D76" s="212"/>
      <c r="E76" s="212"/>
      <c r="F76" s="212"/>
      <c r="G76" s="55">
        <f ca="1">G22</f>
        <v>1104591051.4418468</v>
      </c>
      <c r="H76" s="36">
        <f t="shared" ca="1" si="35"/>
        <v>500090789.06470859</v>
      </c>
      <c r="I76" s="36">
        <f t="shared" ca="1" si="35"/>
        <v>133576345.51632629</v>
      </c>
      <c r="J76" s="36">
        <f t="shared" ca="1" si="35"/>
        <v>333249200.79146683</v>
      </c>
      <c r="K76" s="36">
        <f t="shared" ca="1" si="35"/>
        <v>44230678.122009844</v>
      </c>
      <c r="L76" s="36">
        <f t="shared" ca="1" si="35"/>
        <v>81181370.717363358</v>
      </c>
      <c r="M76" s="36">
        <f t="shared" ca="1" si="35"/>
        <v>9508291.1359644234</v>
      </c>
      <c r="N76" s="36">
        <f t="shared" ca="1" si="35"/>
        <v>31384.602258329876</v>
      </c>
      <c r="O76" s="36">
        <f t="shared" ca="1" si="35"/>
        <v>2722991.4917492145</v>
      </c>
      <c r="P76" s="36">
        <f t="shared" ca="1" si="36"/>
        <v>1104591051.4418471</v>
      </c>
    </row>
    <row r="77" spans="1:16" x14ac:dyDescent="0.2">
      <c r="A77">
        <v>2019</v>
      </c>
      <c r="B77" s="212"/>
      <c r="C77" s="212"/>
      <c r="D77" s="212"/>
      <c r="E77" s="212"/>
      <c r="F77" s="212"/>
      <c r="G77" s="55">
        <f ca="1">G23</f>
        <v>1104614370.4952099</v>
      </c>
      <c r="H77" s="36">
        <f t="shared" ca="1" si="35"/>
        <v>502176189.19167811</v>
      </c>
      <c r="I77" s="36">
        <f t="shared" ca="1" si="35"/>
        <v>133106302.99649653</v>
      </c>
      <c r="J77" s="36">
        <f t="shared" ca="1" si="35"/>
        <v>331455341.26184797</v>
      </c>
      <c r="K77" s="36">
        <f t="shared" ca="1" si="35"/>
        <v>44621731.890457861</v>
      </c>
      <c r="L77" s="36">
        <f t="shared" ca="1" si="35"/>
        <v>80900001.884868801</v>
      </c>
      <c r="M77" s="36">
        <f t="shared" ca="1" si="35"/>
        <v>9598494.6029205136</v>
      </c>
      <c r="N77" s="36">
        <f t="shared" ca="1" si="35"/>
        <v>30366.073750778327</v>
      </c>
      <c r="O77" s="36">
        <f t="shared" ca="1" si="35"/>
        <v>2725942.5931895184</v>
      </c>
      <c r="P77" s="36">
        <f t="shared" ca="1" si="36"/>
        <v>1104614370.4952099</v>
      </c>
    </row>
    <row r="78" spans="1:16" x14ac:dyDescent="0.2">
      <c r="G78" s="36"/>
      <c r="H78" s="36"/>
      <c r="I78" s="36"/>
      <c r="J78" s="36"/>
      <c r="K78" s="36"/>
      <c r="L78" s="36"/>
      <c r="M78" s="36"/>
      <c r="N78" s="36"/>
      <c r="O78" s="36"/>
      <c r="P78" s="36"/>
    </row>
    <row r="79" spans="1:16" x14ac:dyDescent="0.2">
      <c r="A79" s="49" t="s">
        <v>45</v>
      </c>
      <c r="G79" s="36"/>
      <c r="H79" s="56">
        <f>(100%+J79)/2</f>
        <v>0.94241011075586667</v>
      </c>
      <c r="I79" s="56">
        <f>H79</f>
        <v>0.94241011075586667</v>
      </c>
      <c r="J79" s="56">
        <v>0.88482022151173345</v>
      </c>
      <c r="K79" s="56">
        <v>0</v>
      </c>
      <c r="L79" s="56">
        <v>0.81480567631147327</v>
      </c>
      <c r="M79" s="56">
        <v>0</v>
      </c>
      <c r="N79" s="56">
        <v>0</v>
      </c>
      <c r="O79" s="56">
        <v>0</v>
      </c>
      <c r="P79" s="36" t="s">
        <v>15</v>
      </c>
    </row>
    <row r="80" spans="1:16" x14ac:dyDescent="0.2">
      <c r="A80">
        <v>2015</v>
      </c>
      <c r="G80" s="36">
        <f ca="1">G73-G66</f>
        <v>8905387.0586321354</v>
      </c>
      <c r="H80" s="36">
        <f t="shared" ref="H80:O84" si="37">H66*H$79</f>
        <v>461301398.22604841</v>
      </c>
      <c r="I80" s="36">
        <f t="shared" si="37"/>
        <v>126089831.8228545</v>
      </c>
      <c r="J80" s="36">
        <f t="shared" si="37"/>
        <v>297175405.76658958</v>
      </c>
      <c r="K80" s="36">
        <f t="shared" si="37"/>
        <v>0</v>
      </c>
      <c r="L80" s="36">
        <f t="shared" si="37"/>
        <v>66325463.974517927</v>
      </c>
      <c r="M80" s="36">
        <f t="shared" si="37"/>
        <v>0</v>
      </c>
      <c r="N80" s="36">
        <f t="shared" si="37"/>
        <v>0</v>
      </c>
      <c r="O80" s="36">
        <f t="shared" si="37"/>
        <v>0</v>
      </c>
      <c r="P80" s="36">
        <f t="shared" ref="P80:P84" si="38">SUM(H80:O80)</f>
        <v>950892099.79001033</v>
      </c>
    </row>
    <row r="81" spans="1:16" x14ac:dyDescent="0.2">
      <c r="A81">
        <v>2016</v>
      </c>
      <c r="B81" s="212"/>
      <c r="C81" s="212"/>
      <c r="D81" s="212"/>
      <c r="E81" s="212"/>
      <c r="F81" s="212"/>
      <c r="G81" s="36">
        <f ca="1">G74-G67</f>
        <v>7598264.247269392</v>
      </c>
      <c r="H81" s="36">
        <f t="shared" si="37"/>
        <v>465090248.45532411</v>
      </c>
      <c r="I81" s="36">
        <f t="shared" si="37"/>
        <v>126152055.35809089</v>
      </c>
      <c r="J81" s="36">
        <f t="shared" si="37"/>
        <v>296692664.68153334</v>
      </c>
      <c r="K81" s="36">
        <f t="shared" si="37"/>
        <v>0</v>
      </c>
      <c r="L81" s="36">
        <f t="shared" si="37"/>
        <v>66325463.974517927</v>
      </c>
      <c r="M81" s="36">
        <f t="shared" si="37"/>
        <v>0</v>
      </c>
      <c r="N81" s="36">
        <f t="shared" si="37"/>
        <v>0</v>
      </c>
      <c r="O81" s="36">
        <f t="shared" si="37"/>
        <v>0</v>
      </c>
      <c r="P81" s="36">
        <f t="shared" si="38"/>
        <v>954260432.46946633</v>
      </c>
    </row>
    <row r="82" spans="1:16" x14ac:dyDescent="0.2">
      <c r="A82">
        <v>2017</v>
      </c>
      <c r="B82" s="212"/>
      <c r="C82" s="212"/>
      <c r="D82" s="212"/>
      <c r="E82" s="212"/>
      <c r="F82" s="212"/>
      <c r="G82" s="36">
        <f ca="1">G75-G68</f>
        <v>891462.1226785183</v>
      </c>
      <c r="H82" s="36">
        <f t="shared" si="37"/>
        <v>468910218.00510293</v>
      </c>
      <c r="I82" s="36">
        <f t="shared" si="37"/>
        <v>126214309.59975524</v>
      </c>
      <c r="J82" s="36">
        <f t="shared" si="37"/>
        <v>296210707.77629381</v>
      </c>
      <c r="K82" s="36">
        <f t="shared" si="37"/>
        <v>0</v>
      </c>
      <c r="L82" s="36">
        <f t="shared" si="37"/>
        <v>66325463.974517927</v>
      </c>
      <c r="M82" s="36">
        <f t="shared" si="37"/>
        <v>0</v>
      </c>
      <c r="N82" s="36">
        <f t="shared" si="37"/>
        <v>0</v>
      </c>
      <c r="O82" s="36">
        <f t="shared" si="37"/>
        <v>0</v>
      </c>
      <c r="P82" s="36">
        <f t="shared" si="38"/>
        <v>957660699.35566986</v>
      </c>
    </row>
    <row r="83" spans="1:16" x14ac:dyDescent="0.2">
      <c r="A83">
        <v>2018</v>
      </c>
      <c r="B83" s="212"/>
      <c r="C83" s="212"/>
      <c r="D83" s="212"/>
      <c r="E83" s="212"/>
      <c r="F83" s="212"/>
      <c r="G83" s="36">
        <f ca="1">G76-G69</f>
        <v>-3173074.6020877361</v>
      </c>
      <c r="H83" s="36">
        <f t="shared" si="37"/>
        <v>472761562.47063124</v>
      </c>
      <c r="I83" s="36">
        <f t="shared" si="37"/>
        <v>126276594.56300071</v>
      </c>
      <c r="J83" s="36">
        <f t="shared" si="37"/>
        <v>295729533.77702445</v>
      </c>
      <c r="K83" s="36">
        <f t="shared" si="37"/>
        <v>0</v>
      </c>
      <c r="L83" s="36">
        <f t="shared" si="37"/>
        <v>66325463.974517927</v>
      </c>
      <c r="M83" s="36">
        <f t="shared" si="37"/>
        <v>0</v>
      </c>
      <c r="N83" s="36">
        <f t="shared" si="37"/>
        <v>0</v>
      </c>
      <c r="O83" s="36">
        <f t="shared" si="37"/>
        <v>0</v>
      </c>
      <c r="P83" s="36">
        <f t="shared" si="38"/>
        <v>961093154.78517425</v>
      </c>
    </row>
    <row r="84" spans="1:16" x14ac:dyDescent="0.2">
      <c r="A84">
        <v>2019</v>
      </c>
      <c r="B84" s="212"/>
      <c r="C84" s="212"/>
      <c r="D84" s="212"/>
      <c r="E84" s="212"/>
      <c r="F84" s="212"/>
      <c r="G84" s="36">
        <f ca="1">G77-G70</f>
        <v>-7276405.1346113682</v>
      </c>
      <c r="H84" s="36">
        <f t="shared" si="37"/>
        <v>476644539.54646027</v>
      </c>
      <c r="I84" s="36">
        <f t="shared" si="37"/>
        <v>126338910.262988</v>
      </c>
      <c r="J84" s="36">
        <f t="shared" si="37"/>
        <v>295249141.41194826</v>
      </c>
      <c r="K84" s="36">
        <f t="shared" si="37"/>
        <v>0</v>
      </c>
      <c r="L84" s="36">
        <f t="shared" si="37"/>
        <v>66325463.974517927</v>
      </c>
      <c r="M84" s="36">
        <f t="shared" si="37"/>
        <v>0</v>
      </c>
      <c r="N84" s="36">
        <f t="shared" si="37"/>
        <v>0</v>
      </c>
      <c r="O84" s="36">
        <f t="shared" si="37"/>
        <v>0</v>
      </c>
      <c r="P84" s="36">
        <f t="shared" si="38"/>
        <v>964558055.19591439</v>
      </c>
    </row>
    <row r="85" spans="1:16" ht="12" customHeight="1" x14ac:dyDescent="0.2">
      <c r="G85" s="36"/>
      <c r="H85" s="36"/>
      <c r="I85" s="36"/>
      <c r="J85" s="36"/>
      <c r="K85" s="36"/>
      <c r="L85" s="36"/>
      <c r="M85" s="36"/>
      <c r="N85" s="36"/>
      <c r="O85" s="36"/>
      <c r="P85" s="36"/>
    </row>
    <row r="86" spans="1:16" x14ac:dyDescent="0.2">
      <c r="A86" t="s">
        <v>46</v>
      </c>
      <c r="G86" s="36"/>
      <c r="H86" s="36"/>
      <c r="I86" s="36"/>
      <c r="J86" s="36"/>
      <c r="K86" s="36"/>
      <c r="L86" s="36"/>
      <c r="M86" s="36"/>
      <c r="N86" s="36"/>
      <c r="O86" s="36"/>
      <c r="P86" s="36"/>
    </row>
    <row r="87" spans="1:16" x14ac:dyDescent="0.2">
      <c r="A87">
        <v>2015</v>
      </c>
      <c r="G87" s="36"/>
      <c r="H87" s="36">
        <f t="shared" ref="H87:O91" ca="1" si="39">H80/$P80*$G80</f>
        <v>4320224.6635536915</v>
      </c>
      <c r="I87" s="36">
        <f t="shared" ca="1" si="39"/>
        <v>1180868.7408259267</v>
      </c>
      <c r="J87" s="36">
        <f t="shared" ca="1" si="39"/>
        <v>2783135.9764603898</v>
      </c>
      <c r="K87" s="36">
        <f t="shared" ca="1" si="39"/>
        <v>0</v>
      </c>
      <c r="L87" s="36">
        <f t="shared" ca="1" si="39"/>
        <v>621157.67779212864</v>
      </c>
      <c r="M87" s="36">
        <f t="shared" ca="1" si="39"/>
        <v>0</v>
      </c>
      <c r="N87" s="36">
        <f t="shared" ca="1" si="39"/>
        <v>0</v>
      </c>
      <c r="O87" s="36">
        <f t="shared" ca="1" si="39"/>
        <v>0</v>
      </c>
      <c r="P87" s="36">
        <f ca="1">SUM(H87:O87)</f>
        <v>8905387.0586321373</v>
      </c>
    </row>
    <row r="88" spans="1:16" x14ac:dyDescent="0.2">
      <c r="A88">
        <v>2016</v>
      </c>
      <c r="B88" s="212"/>
      <c r="C88" s="212"/>
      <c r="D88" s="212"/>
      <c r="E88" s="212"/>
      <c r="F88" s="212"/>
      <c r="G88" s="36"/>
      <c r="H88" s="36">
        <f t="shared" ca="1" si="39"/>
        <v>3703264.314802031</v>
      </c>
      <c r="I88" s="36">
        <f t="shared" ca="1" si="39"/>
        <v>1004481.1870344437</v>
      </c>
      <c r="J88" s="36">
        <f t="shared" ca="1" si="39"/>
        <v>2362404.6327090207</v>
      </c>
      <c r="K88" s="36">
        <f t="shared" ca="1" si="39"/>
        <v>0</v>
      </c>
      <c r="L88" s="36">
        <f t="shared" ca="1" si="39"/>
        <v>528114.11272389616</v>
      </c>
      <c r="M88" s="36">
        <f t="shared" ca="1" si="39"/>
        <v>0</v>
      </c>
      <c r="N88" s="36">
        <f t="shared" ca="1" si="39"/>
        <v>0</v>
      </c>
      <c r="O88" s="36">
        <f t="shared" ca="1" si="39"/>
        <v>0</v>
      </c>
      <c r="P88" s="36">
        <f t="shared" ref="P88:P91" ca="1" si="40">SUM(H88:O88)</f>
        <v>7598264.247269392</v>
      </c>
    </row>
    <row r="89" spans="1:16" x14ac:dyDescent="0.2">
      <c r="A89">
        <v>2017</v>
      </c>
      <c r="B89" s="212"/>
      <c r="C89" s="212"/>
      <c r="D89" s="212"/>
      <c r="E89" s="212"/>
      <c r="F89" s="212"/>
      <c r="G89" s="36"/>
      <c r="H89" s="36">
        <f t="shared" ca="1" si="39"/>
        <v>436496.66167748533</v>
      </c>
      <c r="I89" s="36">
        <f t="shared" ca="1" si="39"/>
        <v>117489.70843630072</v>
      </c>
      <c r="J89" s="36">
        <f t="shared" ca="1" si="39"/>
        <v>275735.0557374084</v>
      </c>
      <c r="K89" s="36">
        <f t="shared" ca="1" si="39"/>
        <v>0</v>
      </c>
      <c r="L89" s="36">
        <f t="shared" ca="1" si="39"/>
        <v>61740.696827323853</v>
      </c>
      <c r="M89" s="36">
        <f t="shared" ca="1" si="39"/>
        <v>0</v>
      </c>
      <c r="N89" s="36">
        <f t="shared" ca="1" si="39"/>
        <v>0</v>
      </c>
      <c r="O89" s="36">
        <f t="shared" ca="1" si="39"/>
        <v>0</v>
      </c>
      <c r="P89" s="36">
        <f t="shared" ca="1" si="40"/>
        <v>891462.1226785183</v>
      </c>
    </row>
    <row r="90" spans="1:16" x14ac:dyDescent="0.2">
      <c r="A90">
        <v>2018</v>
      </c>
      <c r="B90" s="212"/>
      <c r="C90" s="212"/>
      <c r="D90" s="212"/>
      <c r="E90" s="212"/>
      <c r="F90" s="212"/>
      <c r="G90" s="36"/>
      <c r="H90" s="36">
        <f t="shared" ca="1" si="39"/>
        <v>-1560834.8673070949</v>
      </c>
      <c r="I90" s="36">
        <f t="shared" ca="1" si="39"/>
        <v>-416905.53413165233</v>
      </c>
      <c r="J90" s="36">
        <f t="shared" ca="1" si="39"/>
        <v>-976358.91801234463</v>
      </c>
      <c r="K90" s="36">
        <f t="shared" ca="1" si="39"/>
        <v>0</v>
      </c>
      <c r="L90" s="36">
        <f t="shared" ca="1" si="39"/>
        <v>-218975.28263664458</v>
      </c>
      <c r="M90" s="36">
        <f t="shared" ca="1" si="39"/>
        <v>0</v>
      </c>
      <c r="N90" s="36">
        <f t="shared" ca="1" si="39"/>
        <v>0</v>
      </c>
      <c r="O90" s="36">
        <f t="shared" ca="1" si="39"/>
        <v>0</v>
      </c>
      <c r="P90" s="36">
        <f t="shared" ca="1" si="40"/>
        <v>-3173074.6020877366</v>
      </c>
    </row>
    <row r="91" spans="1:16" x14ac:dyDescent="0.2">
      <c r="A91">
        <v>2019</v>
      </c>
      <c r="B91" s="212"/>
      <c r="C91" s="212"/>
      <c r="D91" s="212"/>
      <c r="E91" s="212"/>
      <c r="F91" s="212"/>
      <c r="G91" s="36"/>
      <c r="H91" s="36">
        <f t="shared" ca="1" si="39"/>
        <v>-3595697.2794508319</v>
      </c>
      <c r="I91" s="36">
        <f t="shared" ca="1" si="39"/>
        <v>-953071.8139636399</v>
      </c>
      <c r="J91" s="36">
        <f t="shared" ca="1" si="39"/>
        <v>-2227291.9260657043</v>
      </c>
      <c r="K91" s="36">
        <f t="shared" ca="1" si="39"/>
        <v>0</v>
      </c>
      <c r="L91" s="36">
        <f t="shared" ca="1" si="39"/>
        <v>-500344.11513119232</v>
      </c>
      <c r="M91" s="36">
        <f t="shared" ca="1" si="39"/>
        <v>0</v>
      </c>
      <c r="N91" s="36">
        <f t="shared" ca="1" si="39"/>
        <v>0</v>
      </c>
      <c r="O91" s="36">
        <f t="shared" ca="1" si="39"/>
        <v>0</v>
      </c>
      <c r="P91" s="36">
        <f t="shared" ca="1" si="40"/>
        <v>-7276405.1346113682</v>
      </c>
    </row>
    <row r="93" spans="1:16" x14ac:dyDescent="0.2">
      <c r="F93" s="440" t="s">
        <v>307</v>
      </c>
    </row>
    <row r="94" spans="1:16" x14ac:dyDescent="0.2">
      <c r="A94" s="439">
        <v>2015</v>
      </c>
      <c r="B94" s="440"/>
      <c r="C94" s="440"/>
      <c r="D94" s="440"/>
      <c r="E94" s="440"/>
      <c r="F94" s="440"/>
      <c r="G94" s="438">
        <f>' CDM Summary'!K$17</f>
        <v>11722370.830387479</v>
      </c>
      <c r="H94" s="438">
        <f ca="1">($G$94-$M$94)*H66/($G$66-$M$66)</f>
        <v>4241630.0258561634</v>
      </c>
      <c r="I94" s="438">
        <f ca="1">($G$94-$M$94)*I66/($G$66-$M$66)</f>
        <v>1159386.0731219728</v>
      </c>
      <c r="J94" s="438">
        <f ca="1">($G$94-$M$94)*J66/($G$66-$M$66)</f>
        <v>2910353.7193068047</v>
      </c>
      <c r="K94" s="438">
        <f ca="1">($G$94-$M$94)*K66/($G$66-$M$66)</f>
        <v>373287.17959906883</v>
      </c>
      <c r="L94" s="438">
        <f ca="1">($G$94-$M$94)*L66/($G$66-$M$66)</f>
        <v>705365.47941054776</v>
      </c>
      <c r="M94" s="438">
        <f ca="1">' CDM Summary'!K18</f>
        <v>2308528.8762076488</v>
      </c>
      <c r="N94" s="438">
        <f ca="1">($G$94-$M$94)*N66/($G$66-$M$66)</f>
        <v>300.25381880683432</v>
      </c>
      <c r="O94" s="438">
        <f ca="1">($G$94-$M$94)*O66/($G$66-$M$66)</f>
        <v>23519.223066463972</v>
      </c>
      <c r="P94" s="438">
        <f t="shared" ref="P94:P98" ca="1" si="41">SUM(H94:O94)</f>
        <v>11722370.830387477</v>
      </c>
    </row>
    <row r="95" spans="1:16" x14ac:dyDescent="0.2">
      <c r="A95" s="439">
        <v>2016</v>
      </c>
      <c r="B95" s="440"/>
      <c r="C95" s="440"/>
      <c r="D95" s="440"/>
      <c r="E95" s="440"/>
      <c r="F95" s="440"/>
      <c r="G95" s="438">
        <f>' CDM Summary'!L$17</f>
        <v>24125692.640815124</v>
      </c>
      <c r="H95" s="438">
        <f ca="1">($G$95-$M$95)*H67/($G$67-$M$67)</f>
        <v>8790608.5431439783</v>
      </c>
      <c r="I95" s="438">
        <f ca="1">($G$95-$M$95)*I67/($G$67-$M$67)</f>
        <v>2384383.1154256728</v>
      </c>
      <c r="J95" s="438">
        <f ca="1">($G$95-$M$95)*J67/($G$67-$M$67)</f>
        <v>5972737.3019273728</v>
      </c>
      <c r="K95" s="438">
        <f ca="1">($G$95-$M$95)*K67/($G$67-$M$67)</f>
        <v>774104.50064366893</v>
      </c>
      <c r="L95" s="438">
        <f ca="1">($G$95-$M$95)*L67/($G$67-$M$67)</f>
        <v>1449932.8678835852</v>
      </c>
      <c r="M95" s="438">
        <f ca="1">' CDM Summary'!L18</f>
        <v>4704931.1836450314</v>
      </c>
      <c r="N95" s="438">
        <f ca="1">($G$95-$M$95)*N67/($G$67-$M$67)</f>
        <v>597.16486345201304</v>
      </c>
      <c r="O95" s="438">
        <f ca="1">($G$95-$M$95)*O67/($G$67-$M$67)</f>
        <v>48397.963282358505</v>
      </c>
      <c r="P95" s="438">
        <f t="shared" ca="1" si="41"/>
        <v>24125692.64081512</v>
      </c>
    </row>
    <row r="96" spans="1:16" x14ac:dyDescent="0.2">
      <c r="A96" s="439">
        <v>2017</v>
      </c>
      <c r="B96" s="440"/>
      <c r="C96" s="440"/>
      <c r="D96" s="440"/>
      <c r="E96" s="440"/>
      <c r="F96" s="440"/>
      <c r="G96" s="438">
        <f>' CDM Summary'!M$17</f>
        <v>31796619.076815814</v>
      </c>
      <c r="H96" s="438">
        <f ca="1">($G$96-$M$96)*H68/($G$68-$M$68)</f>
        <v>12259328.288919678</v>
      </c>
      <c r="I96" s="438">
        <f ca="1">($G$96-$M$96)*I68/($G$68-$M$68)</f>
        <v>3299784.4720157227</v>
      </c>
      <c r="J96" s="438">
        <f ca="1">($G$96-$M$96)*J68/($G$68-$M$68)</f>
        <v>8248265.4626208004</v>
      </c>
      <c r="K96" s="438">
        <f ca="1">($G$96-$M$96)*K68/($G$68-$M$68)</f>
        <v>1080233.6171980675</v>
      </c>
      <c r="L96" s="438">
        <f ca="1">($G$96-$M$96)*L68/($G$68-$M$68)</f>
        <v>2005594.6675569608</v>
      </c>
      <c r="M96" s="438">
        <f ca="1">' CDM Summary'!M18</f>
        <v>4835595.1543917023</v>
      </c>
      <c r="N96" s="438">
        <f ca="1">($G$96-$M$96)*N68/($G$68-$M$68)</f>
        <v>799.21114439088251</v>
      </c>
      <c r="O96" s="438">
        <f ca="1">($G$96-$M$96)*O68/($G$68-$M$68)</f>
        <v>67018.202968491416</v>
      </c>
      <c r="P96" s="438">
        <f t="shared" ca="1" si="41"/>
        <v>31796619.076815814</v>
      </c>
    </row>
    <row r="97" spans="1:16" x14ac:dyDescent="0.2">
      <c r="A97" s="439">
        <v>2018</v>
      </c>
      <c r="B97" s="440"/>
      <c r="C97" s="440"/>
      <c r="D97" s="440"/>
      <c r="E97" s="440"/>
      <c r="F97" s="440"/>
      <c r="G97" s="438">
        <f>' CDM Summary'!N$17</f>
        <v>42113260.593303367</v>
      </c>
      <c r="H97" s="438">
        <f ca="1">($G$97-$M$97)*H69/($G$69-$M$69)</f>
        <v>16967534.200831756</v>
      </c>
      <c r="I97" s="438">
        <f ca="1">($G$97-$M$97)*I69/($G$69-$M$69)</f>
        <v>4532099.4917927198</v>
      </c>
      <c r="J97" s="438">
        <f ca="1">($G$97-$M$97)*J69/($G$69-$M$69)</f>
        <v>11304625.25111104</v>
      </c>
      <c r="K97" s="438">
        <f ca="1">($G$97-$M$97)*K69/($G$69-$M$69)</f>
        <v>1496029.3318274785</v>
      </c>
      <c r="L97" s="438">
        <f ca="1">($G$97-$M$97)*L69/($G$69-$M$69)</f>
        <v>2753231.7026879899</v>
      </c>
      <c r="M97" s="438">
        <f ca="1">' CDM Summary'!N18</f>
        <v>4966578.4117474053</v>
      </c>
      <c r="N97" s="438">
        <f ca="1">($G$97-$M$97)*N69/($G$69-$M$69)</f>
        <v>1061.5321206851736</v>
      </c>
      <c r="O97" s="438">
        <f ca="1">($G$97-$M$97)*O69/($G$69-$M$69)</f>
        <v>92100.671184292005</v>
      </c>
      <c r="P97" s="438">
        <f t="shared" ca="1" si="41"/>
        <v>42113260.59330336</v>
      </c>
    </row>
    <row r="98" spans="1:16" x14ac:dyDescent="0.2">
      <c r="A98" s="439">
        <v>2019</v>
      </c>
      <c r="B98" s="439"/>
      <c r="C98" s="439"/>
      <c r="D98" s="439"/>
      <c r="E98" s="439"/>
      <c r="F98" s="439"/>
      <c r="G98" s="438">
        <f>' CDM Summary'!O$17</f>
        <v>59910152.258125916</v>
      </c>
      <c r="H98" s="438">
        <f ca="1">($G$98-$M$98)*H70/($G$70-$M$70)</f>
        <v>25149845.587052982</v>
      </c>
      <c r="I98" s="438">
        <f ca="1">($G$98-$M$98)*I70/($G$70-$M$70)</f>
        <v>6666192.1434662296</v>
      </c>
      <c r="J98" s="438">
        <f ca="1">($G$98-$M$98)*J70/($G$70-$M$70)</f>
        <v>16592592.281691236</v>
      </c>
      <c r="K98" s="438">
        <f ca="1">($G$98-$M$98)*K70/($G$70-$M$70)</f>
        <v>2218845.4852678995</v>
      </c>
      <c r="L98" s="438">
        <f ca="1">($G$98-$M$98)*L70/($G$70-$M$70)</f>
        <v>4047686.6891840319</v>
      </c>
      <c r="M98" s="438">
        <f ca="1">' CDM Summary'!O18</f>
        <v>5097930.7780981716</v>
      </c>
      <c r="N98" s="438">
        <f ca="1">($G$98-$M$98)*N70/($G$70-$M$70)</f>
        <v>1509.9733424205108</v>
      </c>
      <c r="O98" s="438">
        <f ca="1">($G$98-$M$98)*O70/($G$70-$M$70)</f>
        <v>135549.32002295196</v>
      </c>
      <c r="P98" s="438">
        <f t="shared" ca="1" si="41"/>
        <v>59910152.258125931</v>
      </c>
    </row>
    <row r="99" spans="1:16" x14ac:dyDescent="0.2"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6" x14ac:dyDescent="0.2"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6" x14ac:dyDescent="0.2"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6" x14ac:dyDescent="0.2"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6" x14ac:dyDescent="0.2"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6" x14ac:dyDescent="0.2"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6" x14ac:dyDescent="0.2"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6" x14ac:dyDescent="0.2"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6" x14ac:dyDescent="0.2"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6" x14ac:dyDescent="0.2"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6" x14ac:dyDescent="0.2"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6" x14ac:dyDescent="0.2"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6" x14ac:dyDescent="0.2"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6" x14ac:dyDescent="0.2"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2:14" x14ac:dyDescent="0.2"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2:14" x14ac:dyDescent="0.2">
      <c r="B114"/>
      <c r="C114"/>
      <c r="D114"/>
      <c r="E114"/>
      <c r="F114"/>
      <c r="G114"/>
      <c r="H114"/>
      <c r="I114"/>
      <c r="J114"/>
      <c r="K114"/>
      <c r="L114"/>
      <c r="M114"/>
      <c r="N114"/>
    </row>
  </sheetData>
  <phoneticPr fontId="0" type="noConversion"/>
  <pageMargins left="0.38" right="0.75" top="0.73" bottom="0.74" header="0.5" footer="0.5"/>
  <pageSetup scale="58" orientation="portrait" verticalDpi="300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4"/>
  <sheetViews>
    <sheetView zoomScale="89" zoomScaleNormal="89" workbookViewId="0">
      <pane xSplit="1" ySplit="2" topLeftCell="B4" activePane="bottomRight" state="frozen"/>
      <selection pane="topRight"/>
      <selection pane="bottomLeft"/>
      <selection pane="bottomRight" activeCell="G17" sqref="G17"/>
    </sheetView>
  </sheetViews>
  <sheetFormatPr defaultRowHeight="12.75" x14ac:dyDescent="0.2"/>
  <cols>
    <col min="1" max="1" width="11" customWidth="1"/>
    <col min="2" max="2" width="15" style="6" customWidth="1"/>
    <col min="3" max="4" width="14.140625" style="6" bestFit="1" customWidth="1"/>
    <col min="5" max="6" width="14.140625" style="6" customWidth="1"/>
    <col min="7" max="8" width="17.5703125" style="6" customWidth="1"/>
    <col min="9" max="9" width="12.5703125" style="6" customWidth="1"/>
    <col min="10" max="11" width="12.7109375" style="6" bestFit="1" customWidth="1"/>
  </cols>
  <sheetData>
    <row r="2" spans="1:11" ht="42" customHeight="1" x14ac:dyDescent="0.2">
      <c r="B2" s="9" t="str">
        <f>'Rate Class Energy Model'!H2</f>
        <v>Residential</v>
      </c>
      <c r="C2" s="9" t="str">
        <f>'Rate Class Energy Model'!I2</f>
        <v>GS&lt;50</v>
      </c>
      <c r="D2" s="9" t="str">
        <f>'Rate Class Energy Model'!J2</f>
        <v>GS&gt;50</v>
      </c>
      <c r="E2" s="9" t="str">
        <f>'Rate Class Energy Model'!K2</f>
        <v>Large User</v>
      </c>
      <c r="F2" s="9" t="str">
        <f>'Rate Class Energy Model'!L2</f>
        <v>I2</v>
      </c>
      <c r="G2" s="9" t="str">
        <f>'Rate Class Energy Model'!M2</f>
        <v>Streetlights</v>
      </c>
      <c r="H2" s="9" t="s">
        <v>78</v>
      </c>
      <c r="I2" s="9" t="str">
        <f>'Rate Class Energy Model'!O2</f>
        <v>USL</v>
      </c>
      <c r="J2" s="6" t="s">
        <v>9</v>
      </c>
    </row>
    <row r="3" spans="1:11" x14ac:dyDescent="0.2">
      <c r="A3" s="4">
        <v>2003</v>
      </c>
      <c r="B3" s="39">
        <f>AVERAGE('Year End Customer'!B6:B7)</f>
        <v>43319.5</v>
      </c>
      <c r="C3" s="39">
        <f>AVERAGE('Year End Customer'!C6:C7)</f>
        <v>3689</v>
      </c>
      <c r="D3" s="39">
        <f>AVERAGE('Year End Customer'!D6:D7)</f>
        <v>559</v>
      </c>
      <c r="E3" s="38">
        <f>AVERAGE('Year End Customer'!E6:E7)</f>
        <v>2.5</v>
      </c>
      <c r="F3" s="38">
        <f>AVERAGE('Year End Customer'!F6:F7)</f>
        <v>5</v>
      </c>
      <c r="G3" s="38">
        <f>AVERAGE('Year End Customer'!G6:G7)</f>
        <v>10059</v>
      </c>
      <c r="H3" s="39">
        <f>AVERAGE('Year End Customer'!H6:H7)</f>
        <v>34.5</v>
      </c>
      <c r="I3" s="39">
        <f>AVERAGE('Year End Customer'!I6:I7)</f>
        <v>292</v>
      </c>
      <c r="J3" s="38">
        <f>SUM(B3:I3)</f>
        <v>57960.5</v>
      </c>
    </row>
    <row r="4" spans="1:11" x14ac:dyDescent="0.2">
      <c r="A4" s="4">
        <v>2004</v>
      </c>
      <c r="B4" s="39">
        <f>AVERAGE('Year End Customer'!B7:B8)</f>
        <v>43979.5</v>
      </c>
      <c r="C4" s="39">
        <f>AVERAGE('Year End Customer'!C7:C8)</f>
        <v>3626.5</v>
      </c>
      <c r="D4" s="39">
        <f>AVERAGE('Year End Customer'!D7:D8)</f>
        <v>530</v>
      </c>
      <c r="E4" s="38">
        <f>AVERAGE('Year End Customer'!E7:E8)</f>
        <v>2.5</v>
      </c>
      <c r="F4" s="38">
        <f>AVERAGE('Year End Customer'!F7:F8)</f>
        <v>6</v>
      </c>
      <c r="G4" s="38">
        <f>AVERAGE('Year End Customer'!G7:G8)</f>
        <v>10262</v>
      </c>
      <c r="H4" s="39">
        <f>AVERAGE('Year End Customer'!H7:H8)</f>
        <v>30</v>
      </c>
      <c r="I4" s="39">
        <f>AVERAGE('Year End Customer'!I7:I8)</f>
        <v>294</v>
      </c>
      <c r="J4" s="38">
        <f t="shared" ref="J4:J13" si="0">SUM(B4:I4)</f>
        <v>58730.5</v>
      </c>
    </row>
    <row r="5" spans="1:11" x14ac:dyDescent="0.2">
      <c r="A5" s="4">
        <v>2005</v>
      </c>
      <c r="B5" s="39">
        <f>AVERAGE('Year End Customer'!B8:B9)</f>
        <v>44598.5</v>
      </c>
      <c r="C5" s="39">
        <f>AVERAGE('Year End Customer'!C8:C9)</f>
        <v>3662</v>
      </c>
      <c r="D5" s="39">
        <f>AVERAGE('Year End Customer'!D8:D9)</f>
        <v>521.5</v>
      </c>
      <c r="E5" s="38">
        <f>AVERAGE('Year End Customer'!E8:E9)</f>
        <v>2</v>
      </c>
      <c r="F5" s="38">
        <f>AVERAGE('Year End Customer'!F8:F9)</f>
        <v>7.5</v>
      </c>
      <c r="G5" s="38">
        <f>AVERAGE('Year End Customer'!G8:G9)</f>
        <v>10498.5</v>
      </c>
      <c r="H5" s="39">
        <f>AVERAGE('Year End Customer'!H8:H9)</f>
        <v>29.5</v>
      </c>
      <c r="I5" s="39">
        <f>AVERAGE('Year End Customer'!I8:I9)</f>
        <v>295</v>
      </c>
      <c r="J5" s="38">
        <f t="shared" si="0"/>
        <v>59614.5</v>
      </c>
      <c r="K5" s="206">
        <f t="shared" ref="K5:K19" si="1">+J5/J4</f>
        <v>1.015051804428704</v>
      </c>
    </row>
    <row r="6" spans="1:11" x14ac:dyDescent="0.2">
      <c r="A6" s="4">
        <v>2006</v>
      </c>
      <c r="B6" s="39">
        <f>AVERAGE('Year End Customer'!B9:B10)</f>
        <v>45439</v>
      </c>
      <c r="C6" s="39">
        <f>AVERAGE('Year End Customer'!C9:C10)</f>
        <v>3740.5</v>
      </c>
      <c r="D6" s="39">
        <f>AVERAGE('Year End Customer'!D9:D10)</f>
        <v>525</v>
      </c>
      <c r="E6" s="38">
        <f>AVERAGE('Year End Customer'!E9:E10)</f>
        <v>2</v>
      </c>
      <c r="F6" s="38">
        <f>AVERAGE('Year End Customer'!F9:F10)</f>
        <v>8.5</v>
      </c>
      <c r="G6" s="38">
        <f>AVERAGE('Year End Customer'!G9:G10)</f>
        <v>10831</v>
      </c>
      <c r="H6" s="39">
        <f>AVERAGE('Year End Customer'!H9:H10)</f>
        <v>28.5</v>
      </c>
      <c r="I6" s="39">
        <f>AVERAGE('Year End Customer'!I9:I10)</f>
        <v>298</v>
      </c>
      <c r="J6" s="38">
        <f t="shared" si="0"/>
        <v>60872.5</v>
      </c>
      <c r="K6" s="206">
        <f t="shared" si="1"/>
        <v>1.0211022486140118</v>
      </c>
    </row>
    <row r="7" spans="1:11" x14ac:dyDescent="0.2">
      <c r="A7" s="4">
        <v>2007</v>
      </c>
      <c r="B7" s="39">
        <f>AVERAGE('Year End Customer'!B10:B11)</f>
        <v>46320</v>
      </c>
      <c r="C7" s="39">
        <f>AVERAGE('Year End Customer'!C10:C11)</f>
        <v>3749</v>
      </c>
      <c r="D7" s="39">
        <f>AVERAGE('Year End Customer'!D10:D11)</f>
        <v>523</v>
      </c>
      <c r="E7" s="38">
        <f>AVERAGE('Year End Customer'!E10:E11)</f>
        <v>2</v>
      </c>
      <c r="F7" s="38">
        <f>AVERAGE('Year End Customer'!F10:F11)</f>
        <v>9</v>
      </c>
      <c r="G7" s="38">
        <f>AVERAGE('Year End Customer'!G10:G11)</f>
        <v>11280.5</v>
      </c>
      <c r="H7" s="39">
        <f>AVERAGE('Year End Customer'!H10:H11)</f>
        <v>26.5</v>
      </c>
      <c r="I7" s="39">
        <f>AVERAGE('Year End Customer'!I10:I11)</f>
        <v>301</v>
      </c>
      <c r="J7" s="38">
        <f t="shared" si="0"/>
        <v>62211</v>
      </c>
      <c r="K7" s="206">
        <f t="shared" si="1"/>
        <v>1.0219885826933344</v>
      </c>
    </row>
    <row r="8" spans="1:11" x14ac:dyDescent="0.2">
      <c r="A8" s="4">
        <v>2008</v>
      </c>
      <c r="B8" s="39">
        <f>AVERAGE('Year End Customer'!B11:B12)</f>
        <v>47057.5</v>
      </c>
      <c r="C8" s="39">
        <f>AVERAGE('Year End Customer'!C11:C12)</f>
        <v>3793.5</v>
      </c>
      <c r="D8" s="39">
        <f>AVERAGE('Year End Customer'!D11:D12)</f>
        <v>533.5</v>
      </c>
      <c r="E8" s="38">
        <f>AVERAGE('Year End Customer'!E11:E12)</f>
        <v>2.5</v>
      </c>
      <c r="F8" s="38">
        <f>AVERAGE('Year End Customer'!F11:F12)</f>
        <v>9</v>
      </c>
      <c r="G8" s="38">
        <f>AVERAGE('Year End Customer'!G11:G12)</f>
        <v>11621.5</v>
      </c>
      <c r="H8" s="39">
        <f>AVERAGE('Year End Customer'!H11:H12)</f>
        <v>26</v>
      </c>
      <c r="I8" s="39">
        <f>AVERAGE('Year End Customer'!I11:I12)</f>
        <v>301</v>
      </c>
      <c r="J8" s="38">
        <f t="shared" si="0"/>
        <v>63344.5</v>
      </c>
      <c r="K8" s="206">
        <f t="shared" si="1"/>
        <v>1.0182202504380253</v>
      </c>
    </row>
    <row r="9" spans="1:11" x14ac:dyDescent="0.2">
      <c r="A9" s="4">
        <v>2009</v>
      </c>
      <c r="B9" s="39">
        <f>AVERAGE('Year End Customer'!B12:B13)</f>
        <v>47602.5</v>
      </c>
      <c r="C9" s="38">
        <f>AVERAGE('Year End Customer'!C12:C13)</f>
        <v>3859.5</v>
      </c>
      <c r="D9" s="39">
        <f>AVERAGE('Year End Customer'!D12:D13)</f>
        <v>525</v>
      </c>
      <c r="E9" s="38">
        <f>AVERAGE('Year End Customer'!E12:E13)</f>
        <v>2</v>
      </c>
      <c r="F9" s="38">
        <f>AVERAGE('Year End Customer'!F12:F13)</f>
        <v>9.5</v>
      </c>
      <c r="G9" s="38">
        <f>AVERAGE('Year End Customer'!G12:G13)</f>
        <v>11801</v>
      </c>
      <c r="H9" s="39">
        <f>AVERAGE('Year End Customer'!H12:H13)</f>
        <v>26</v>
      </c>
      <c r="I9" s="39">
        <f>AVERAGE('Year End Customer'!I12:I13)</f>
        <v>302.5</v>
      </c>
      <c r="J9" s="38">
        <f t="shared" si="0"/>
        <v>64128</v>
      </c>
      <c r="K9" s="206">
        <f t="shared" si="1"/>
        <v>1.0123688718041819</v>
      </c>
    </row>
    <row r="10" spans="1:11" x14ac:dyDescent="0.2">
      <c r="A10" s="4">
        <v>2010</v>
      </c>
      <c r="B10" s="39">
        <f>AVERAGE('Year End Customer'!B13:B14)</f>
        <v>48114.5</v>
      </c>
      <c r="C10" s="39">
        <f>AVERAGE('Year End Customer'!C13:C14)</f>
        <v>3929</v>
      </c>
      <c r="D10" s="39">
        <f>AVERAGE('Year End Customer'!D13:D14)</f>
        <v>512.5</v>
      </c>
      <c r="E10" s="38">
        <f>AVERAGE('Year End Customer'!E13:E14)</f>
        <v>1</v>
      </c>
      <c r="F10" s="38">
        <f>AVERAGE('Year End Customer'!F13:F14)</f>
        <v>10</v>
      </c>
      <c r="G10" s="38">
        <f>AVERAGE('Year End Customer'!G13:G14)</f>
        <v>11995.5</v>
      </c>
      <c r="H10" s="39">
        <f>AVERAGE('Year End Customer'!H13:H14)</f>
        <v>25</v>
      </c>
      <c r="I10" s="39">
        <f>AVERAGE('Year End Customer'!I13:I14)</f>
        <v>306.5</v>
      </c>
      <c r="J10" s="38">
        <f t="shared" si="0"/>
        <v>64894</v>
      </c>
      <c r="K10" s="206">
        <f t="shared" si="1"/>
        <v>1.0119448602794412</v>
      </c>
    </row>
    <row r="11" spans="1:11" x14ac:dyDescent="0.2">
      <c r="A11" s="4">
        <v>2011</v>
      </c>
      <c r="B11" s="39">
        <f>AVERAGE('Year End Customer'!B14:B15)</f>
        <v>48650.5</v>
      </c>
      <c r="C11" s="39">
        <f>AVERAGE('Year End Customer'!C14:C15)</f>
        <v>3888.5</v>
      </c>
      <c r="D11" s="39">
        <f>AVERAGE('Year End Customer'!D14:D15)</f>
        <v>520.5</v>
      </c>
      <c r="E11" s="38">
        <f>AVERAGE('Year End Customer'!E14:E15)</f>
        <v>1</v>
      </c>
      <c r="F11" s="38">
        <f>AVERAGE('Year End Customer'!F14:F15)</f>
        <v>10</v>
      </c>
      <c r="G11" s="38">
        <f>AVERAGE('Year End Customer'!G14:G15)</f>
        <v>12127.5</v>
      </c>
      <c r="H11" s="39">
        <f>AVERAGE('Year End Customer'!H14:H15)</f>
        <v>24</v>
      </c>
      <c r="I11" s="39">
        <f>AVERAGE('Year End Customer'!I14:I15)</f>
        <v>302.5</v>
      </c>
      <c r="J11" s="38">
        <f t="shared" si="0"/>
        <v>65524.5</v>
      </c>
      <c r="K11" s="206">
        <f t="shared" si="1"/>
        <v>1.0097158442999352</v>
      </c>
    </row>
    <row r="12" spans="1:11" x14ac:dyDescent="0.2">
      <c r="A12" s="4">
        <v>2012</v>
      </c>
      <c r="B12" s="39">
        <f>AVERAGE('Year End Customer'!B15:B16)</f>
        <v>49021</v>
      </c>
      <c r="C12" s="39">
        <f>AVERAGE('Year End Customer'!C15:C16)</f>
        <v>3850.5</v>
      </c>
      <c r="D12" s="39">
        <f>AVERAGE('Year End Customer'!D15:D16)</f>
        <v>511.5</v>
      </c>
      <c r="E12" s="38">
        <f>AVERAGE('Year End Customer'!E15:E16)</f>
        <v>1</v>
      </c>
      <c r="F12" s="38">
        <f>AVERAGE('Year End Customer'!F15:F16)</f>
        <v>10.5</v>
      </c>
      <c r="G12" s="38">
        <f>AVERAGE('Year End Customer'!G15:G16)</f>
        <v>12213</v>
      </c>
      <c r="H12" s="39">
        <f>AVERAGE('Year End Customer'!H15:H16)</f>
        <v>24</v>
      </c>
      <c r="I12" s="39">
        <f>AVERAGE('Year End Customer'!I15:I16)</f>
        <v>295.5</v>
      </c>
      <c r="J12" s="38">
        <f t="shared" si="0"/>
        <v>65927</v>
      </c>
      <c r="K12" s="206">
        <f t="shared" si="1"/>
        <v>1.0061427405016443</v>
      </c>
    </row>
    <row r="13" spans="1:11" x14ac:dyDescent="0.2">
      <c r="A13" s="4">
        <v>2013</v>
      </c>
      <c r="B13" s="466">
        <f>AVERAGE('Year End Customer'!B16:B17)</f>
        <v>49516</v>
      </c>
      <c r="C13" s="466">
        <f>AVERAGE('Year End Customer'!C16:C17)</f>
        <v>3904.5</v>
      </c>
      <c r="D13" s="466">
        <f>AVERAGE('Year End Customer'!D16:D17)</f>
        <v>500</v>
      </c>
      <c r="E13" s="129">
        <f>AVERAGE('Year End Customer'!E16:E17)</f>
        <v>1</v>
      </c>
      <c r="F13" s="129">
        <f>AVERAGE('Year End Customer'!F16:F17)</f>
        <v>11</v>
      </c>
      <c r="G13" s="129">
        <f>AVERAGE('Year End Customer'!G16:G17)</f>
        <v>12332.5</v>
      </c>
      <c r="H13" s="466">
        <f>AVERAGE('Year End Customer'!H16:H17)</f>
        <v>24</v>
      </c>
      <c r="I13" s="466">
        <f>AVERAGE('Year End Customer'!I16:I17)</f>
        <v>295</v>
      </c>
      <c r="J13" s="129">
        <f t="shared" si="0"/>
        <v>66584</v>
      </c>
      <c r="K13" s="206">
        <f t="shared" si="1"/>
        <v>1.0099655679767015</v>
      </c>
    </row>
    <row r="14" spans="1:11" x14ac:dyDescent="0.2">
      <c r="A14" s="4">
        <v>2014</v>
      </c>
      <c r="B14" s="228">
        <f>AVERAGE('Year End Customer'!B17:B18)</f>
        <v>50202.5</v>
      </c>
      <c r="C14" s="228">
        <f>AVERAGE('Year End Customer'!C17:C18)</f>
        <v>3952.5</v>
      </c>
      <c r="D14" s="228">
        <f>AVERAGE('Year End Customer'!D17:D18)</f>
        <v>502.5</v>
      </c>
      <c r="E14" s="227">
        <f>AVERAGE('Year End Customer'!E17:E18)</f>
        <v>1</v>
      </c>
      <c r="F14" s="227">
        <f>AVERAGE('Year End Customer'!F17:F18)</f>
        <v>11</v>
      </c>
      <c r="G14" s="227">
        <f>AVERAGE('Year End Customer'!G17:G18)</f>
        <v>12464.5</v>
      </c>
      <c r="H14" s="228">
        <f>AVERAGE('Year End Customer'!H17:H18)</f>
        <v>24</v>
      </c>
      <c r="I14" s="228">
        <f>AVERAGE('Year End Customer'!I17:I18)</f>
        <v>295.5</v>
      </c>
      <c r="J14" s="227">
        <f t="shared" ref="J14" si="2">SUM(B14:I14)</f>
        <v>67453.5</v>
      </c>
      <c r="K14" s="206">
        <f t="shared" si="1"/>
        <v>1.0130586927790459</v>
      </c>
    </row>
    <row r="15" spans="1:11" x14ac:dyDescent="0.2">
      <c r="A15" s="4">
        <v>2015</v>
      </c>
      <c r="B15" s="21">
        <f>+B14*B$40</f>
        <v>50880.027408831855</v>
      </c>
      <c r="C15" s="21">
        <f t="shared" ref="C15:C19" si="3">+C14*C$40</f>
        <v>3977.3682995893246</v>
      </c>
      <c r="D15" s="21">
        <f t="shared" ref="D15:D19" si="4">+D14*D$40</f>
        <v>502.5</v>
      </c>
      <c r="E15" s="21">
        <f t="shared" ref="E15:E19" si="5">+E14*E$40</f>
        <v>1</v>
      </c>
      <c r="F15" s="21">
        <f t="shared" ref="F15:F19" si="6">+F14*F$40</f>
        <v>11</v>
      </c>
      <c r="G15" s="21">
        <f t="shared" ref="G15:G19" si="7">+G14*G$40</f>
        <v>12709.846964330369</v>
      </c>
      <c r="H15" s="21">
        <f t="shared" ref="H15:H19" si="8">+H14*H$40</f>
        <v>23.221124933174856</v>
      </c>
      <c r="I15" s="21">
        <f t="shared" ref="I15:I19" si="9">+I14*I$40</f>
        <v>295.82025457231583</v>
      </c>
      <c r="J15" s="21">
        <f t="shared" ref="J15:J19" si="10">SUM(B15:I15)</f>
        <v>68400.784052257033</v>
      </c>
      <c r="K15" s="206">
        <f t="shared" si="1"/>
        <v>1.0140435122307521</v>
      </c>
    </row>
    <row r="16" spans="1:11" x14ac:dyDescent="0.2">
      <c r="A16" s="4">
        <v>2016</v>
      </c>
      <c r="B16" s="21">
        <f t="shared" ref="B16:B19" si="11">+B15*B$40</f>
        <v>51566.698652925268</v>
      </c>
      <c r="C16" s="21">
        <f t="shared" si="3"/>
        <v>4002.3930652948957</v>
      </c>
      <c r="D16" s="21">
        <f t="shared" si="4"/>
        <v>502.5</v>
      </c>
      <c r="E16" s="21">
        <f t="shared" si="5"/>
        <v>1</v>
      </c>
      <c r="F16" s="21">
        <f t="shared" si="6"/>
        <v>11</v>
      </c>
      <c r="G16" s="21">
        <f t="shared" si="7"/>
        <v>12960.023254578835</v>
      </c>
      <c r="H16" s="21">
        <f t="shared" si="8"/>
        <v>22.46752679842146</v>
      </c>
      <c r="I16" s="21">
        <f t="shared" si="9"/>
        <v>296.14085622751179</v>
      </c>
      <c r="J16" s="21">
        <f t="shared" si="10"/>
        <v>69362.223355824943</v>
      </c>
      <c r="K16" s="206">
        <f t="shared" si="1"/>
        <v>1.0140559690490301</v>
      </c>
    </row>
    <row r="17" spans="1:11" x14ac:dyDescent="0.2">
      <c r="A17" s="4">
        <v>2017</v>
      </c>
      <c r="B17" s="21">
        <f t="shared" si="11"/>
        <v>52262.637136473488</v>
      </c>
      <c r="C17" s="21">
        <f t="shared" si="3"/>
        <v>4027.5752815686437</v>
      </c>
      <c r="D17" s="21">
        <f t="shared" si="4"/>
        <v>502.5</v>
      </c>
      <c r="E17" s="21">
        <f t="shared" si="5"/>
        <v>1</v>
      </c>
      <c r="F17" s="21">
        <f t="shared" si="6"/>
        <v>11</v>
      </c>
      <c r="G17" s="21">
        <f t="shared" si="7"/>
        <v>13215.123929548703</v>
      </c>
      <c r="H17" s="21">
        <f t="shared" si="8"/>
        <v>21.738385280233285</v>
      </c>
      <c r="I17" s="21">
        <f t="shared" si="9"/>
        <v>296.46180534174658</v>
      </c>
      <c r="J17" s="21">
        <f t="shared" si="10"/>
        <v>70338.036538212822</v>
      </c>
      <c r="K17" s="206">
        <f t="shared" si="1"/>
        <v>1.0140683665427217</v>
      </c>
    </row>
    <row r="18" spans="1:11" x14ac:dyDescent="0.2">
      <c r="A18" s="4">
        <v>2018</v>
      </c>
      <c r="B18" s="21">
        <f t="shared" si="11"/>
        <v>52967.967929119157</v>
      </c>
      <c r="C18" s="21">
        <f t="shared" si="3"/>
        <v>4052.9159390564632</v>
      </c>
      <c r="D18" s="21">
        <f t="shared" si="4"/>
        <v>502.5</v>
      </c>
      <c r="E18" s="21">
        <f t="shared" si="5"/>
        <v>1</v>
      </c>
      <c r="F18" s="21">
        <f t="shared" si="6"/>
        <v>11</v>
      </c>
      <c r="G18" s="21">
        <f t="shared" si="7"/>
        <v>13475.245919148318</v>
      </c>
      <c r="H18" s="21">
        <f t="shared" si="8"/>
        <v>21.032906684907768</v>
      </c>
      <c r="I18" s="21">
        <f t="shared" si="9"/>
        <v>296.78310229158649</v>
      </c>
      <c r="J18" s="21">
        <f t="shared" si="10"/>
        <v>71328.445796300439</v>
      </c>
      <c r="K18" s="206">
        <f t="shared" si="1"/>
        <v>1.0140807066394233</v>
      </c>
    </row>
    <row r="19" spans="1:11" x14ac:dyDescent="0.2">
      <c r="A19" s="4">
        <v>2019</v>
      </c>
      <c r="B19" s="21">
        <f t="shared" si="11"/>
        <v>53682.817788431043</v>
      </c>
      <c r="C19" s="21">
        <f t="shared" si="3"/>
        <v>4078.4160346371855</v>
      </c>
      <c r="D19" s="21">
        <f t="shared" si="4"/>
        <v>502.5</v>
      </c>
      <c r="E19" s="21">
        <f t="shared" si="5"/>
        <v>1</v>
      </c>
      <c r="F19" s="21">
        <f t="shared" si="6"/>
        <v>11</v>
      </c>
      <c r="G19" s="21">
        <f t="shared" si="7"/>
        <v>13740.488061221264</v>
      </c>
      <c r="H19" s="21">
        <f t="shared" si="8"/>
        <v>20.350323076585497</v>
      </c>
      <c r="I19" s="21">
        <f t="shared" si="9"/>
        <v>297.10474745400597</v>
      </c>
      <c r="J19" s="21">
        <f t="shared" si="10"/>
        <v>72333.676954820097</v>
      </c>
      <c r="K19" s="206">
        <f t="shared" si="1"/>
        <v>1.0140929911944303</v>
      </c>
    </row>
    <row r="20" spans="1:11" x14ac:dyDescent="0.2">
      <c r="A20" s="20"/>
    </row>
    <row r="21" spans="1:11" x14ac:dyDescent="0.2">
      <c r="A21" s="19" t="s">
        <v>42</v>
      </c>
      <c r="B21" s="5"/>
      <c r="C21" s="5"/>
      <c r="D21" s="5"/>
      <c r="E21" s="5"/>
      <c r="F21" s="5"/>
      <c r="G21" s="5"/>
      <c r="H21" s="5"/>
      <c r="I21" s="5"/>
    </row>
    <row r="22" spans="1:11" x14ac:dyDescent="0.2">
      <c r="A22" s="4">
        <v>2003</v>
      </c>
      <c r="B22" s="24"/>
      <c r="C22" s="24"/>
      <c r="D22" s="24"/>
      <c r="E22" s="24"/>
      <c r="F22" s="24"/>
      <c r="G22" s="24"/>
      <c r="H22" s="24"/>
      <c r="I22" s="24"/>
    </row>
    <row r="23" spans="1:11" x14ac:dyDescent="0.2">
      <c r="A23" s="4">
        <v>2004</v>
      </c>
      <c r="B23" s="24">
        <f>B4/B3</f>
        <v>1.0152356329135839</v>
      </c>
      <c r="C23" s="24">
        <f>C4/C3</f>
        <v>0.98305773922472217</v>
      </c>
      <c r="D23" s="24">
        <f t="shared" ref="B23:H29" si="12">D4/D3</f>
        <v>0.94812164579606439</v>
      </c>
      <c r="E23" s="24">
        <f t="shared" si="12"/>
        <v>1</v>
      </c>
      <c r="F23" s="24">
        <f t="shared" si="12"/>
        <v>1.2</v>
      </c>
      <c r="G23" s="24">
        <f t="shared" si="12"/>
        <v>1.0201809324982603</v>
      </c>
      <c r="H23" s="24">
        <f t="shared" si="12"/>
        <v>0.86956521739130432</v>
      </c>
      <c r="I23" s="24">
        <f t="shared" ref="I23" si="13">I4/I3</f>
        <v>1.0068493150684932</v>
      </c>
      <c r="J23" s="24">
        <f>J4/J3</f>
        <v>1.0132849095504697</v>
      </c>
    </row>
    <row r="24" spans="1:11" x14ac:dyDescent="0.2">
      <c r="A24" s="4">
        <v>2005</v>
      </c>
      <c r="B24" s="24">
        <f>B5/B4</f>
        <v>1.0140747393672052</v>
      </c>
      <c r="C24" s="24">
        <f>C5/C4</f>
        <v>1.0097890528057356</v>
      </c>
      <c r="D24" s="24">
        <f t="shared" si="12"/>
        <v>0.98396226415094334</v>
      </c>
      <c r="E24" s="24">
        <f t="shared" si="12"/>
        <v>0.8</v>
      </c>
      <c r="F24" s="24">
        <f t="shared" si="12"/>
        <v>1.25</v>
      </c>
      <c r="G24" s="24">
        <f t="shared" si="12"/>
        <v>1.0230461898265446</v>
      </c>
      <c r="H24" s="24">
        <f t="shared" si="12"/>
        <v>0.98333333333333328</v>
      </c>
      <c r="I24" s="24">
        <f t="shared" ref="I24" si="14">I5/I4</f>
        <v>1.0034013605442176</v>
      </c>
      <c r="J24" s="24">
        <f t="shared" ref="J24:J31" si="15">J5/J4</f>
        <v>1.015051804428704</v>
      </c>
    </row>
    <row r="25" spans="1:11" x14ac:dyDescent="0.2">
      <c r="A25" s="4">
        <v>2006</v>
      </c>
      <c r="B25" s="24">
        <f t="shared" si="12"/>
        <v>1.0188459253113893</v>
      </c>
      <c r="C25" s="24">
        <f t="shared" ref="C25:C32" si="16">C6/C5</f>
        <v>1.0214363735663572</v>
      </c>
      <c r="D25" s="24">
        <f t="shared" si="12"/>
        <v>1.0067114093959733</v>
      </c>
      <c r="E25" s="24">
        <f t="shared" si="12"/>
        <v>1</v>
      </c>
      <c r="F25" s="24">
        <f t="shared" si="12"/>
        <v>1.1333333333333333</v>
      </c>
      <c r="G25" s="24">
        <f t="shared" si="12"/>
        <v>1.0316711911225414</v>
      </c>
      <c r="H25" s="24">
        <f t="shared" si="12"/>
        <v>0.96610169491525422</v>
      </c>
      <c r="I25" s="24">
        <f t="shared" ref="I25" si="17">I6/I5</f>
        <v>1.0101694915254238</v>
      </c>
      <c r="J25" s="24">
        <f t="shared" si="15"/>
        <v>1.0211022486140118</v>
      </c>
    </row>
    <row r="26" spans="1:11" x14ac:dyDescent="0.2">
      <c r="A26" s="4">
        <v>2007</v>
      </c>
      <c r="B26" s="24">
        <f t="shared" si="12"/>
        <v>1.0193886309117719</v>
      </c>
      <c r="C26" s="24">
        <f t="shared" si="16"/>
        <v>1.0022724234727978</v>
      </c>
      <c r="D26" s="24">
        <f t="shared" si="12"/>
        <v>0.99619047619047618</v>
      </c>
      <c r="E26" s="24">
        <f t="shared" si="12"/>
        <v>1</v>
      </c>
      <c r="F26" s="24">
        <f t="shared" si="12"/>
        <v>1.0588235294117647</v>
      </c>
      <c r="G26" s="24">
        <f t="shared" si="12"/>
        <v>1.0415012464223063</v>
      </c>
      <c r="H26" s="24">
        <f t="shared" si="12"/>
        <v>0.92982456140350878</v>
      </c>
      <c r="I26" s="24">
        <f t="shared" ref="I26" si="18">I7/I6</f>
        <v>1.0100671140939597</v>
      </c>
      <c r="J26" s="24">
        <f t="shared" si="15"/>
        <v>1.0219885826933344</v>
      </c>
    </row>
    <row r="27" spans="1:11" x14ac:dyDescent="0.2">
      <c r="A27" s="4">
        <v>2008</v>
      </c>
      <c r="B27" s="24">
        <f t="shared" si="12"/>
        <v>1.015921848013817</v>
      </c>
      <c r="C27" s="24">
        <f t="shared" si="16"/>
        <v>1.011869831955188</v>
      </c>
      <c r="D27" s="24">
        <f t="shared" si="12"/>
        <v>1.0200764818355641</v>
      </c>
      <c r="E27" s="24">
        <f t="shared" si="12"/>
        <v>1.25</v>
      </c>
      <c r="F27" s="24">
        <f t="shared" si="12"/>
        <v>1</v>
      </c>
      <c r="G27" s="24">
        <f t="shared" si="12"/>
        <v>1.03022915650902</v>
      </c>
      <c r="H27" s="24">
        <f t="shared" si="12"/>
        <v>0.98113207547169812</v>
      </c>
      <c r="I27" s="24">
        <f t="shared" ref="I27" si="19">I8/I7</f>
        <v>1</v>
      </c>
      <c r="J27" s="24">
        <f t="shared" si="15"/>
        <v>1.0182202504380253</v>
      </c>
    </row>
    <row r="28" spans="1:11" x14ac:dyDescent="0.2">
      <c r="A28" s="4">
        <v>2009</v>
      </c>
      <c r="B28" s="24">
        <f t="shared" si="12"/>
        <v>1.0115815757318174</v>
      </c>
      <c r="C28" s="24">
        <f t="shared" si="16"/>
        <v>1.0173981810992487</v>
      </c>
      <c r="D28" s="24">
        <f t="shared" si="12"/>
        <v>0.98406747891283974</v>
      </c>
      <c r="E28" s="24">
        <f t="shared" si="12"/>
        <v>0.8</v>
      </c>
      <c r="F28" s="24">
        <f t="shared" si="12"/>
        <v>1.0555555555555556</v>
      </c>
      <c r="G28" s="24">
        <f t="shared" si="12"/>
        <v>1.0154455104762725</v>
      </c>
      <c r="H28" s="24">
        <f t="shared" si="12"/>
        <v>1</v>
      </c>
      <c r="I28" s="24">
        <f t="shared" ref="I28" si="20">I9/I8</f>
        <v>1.0049833887043189</v>
      </c>
      <c r="J28" s="24">
        <f t="shared" si="15"/>
        <v>1.0123688718041819</v>
      </c>
    </row>
    <row r="29" spans="1:11" x14ac:dyDescent="0.2">
      <c r="A29" s="4">
        <v>2010</v>
      </c>
      <c r="B29" s="24">
        <f t="shared" si="12"/>
        <v>1.0107557376188225</v>
      </c>
      <c r="C29" s="24">
        <f t="shared" si="16"/>
        <v>1.0180075139266744</v>
      </c>
      <c r="D29" s="24">
        <f t="shared" si="12"/>
        <v>0.97619047619047616</v>
      </c>
      <c r="E29" s="24">
        <f t="shared" si="12"/>
        <v>0.5</v>
      </c>
      <c r="F29" s="24">
        <f t="shared" si="12"/>
        <v>1.0526315789473684</v>
      </c>
      <c r="G29" s="24">
        <f t="shared" si="12"/>
        <v>1.0164816540971104</v>
      </c>
      <c r="H29" s="24">
        <f t="shared" si="12"/>
        <v>0.96153846153846156</v>
      </c>
      <c r="I29" s="24">
        <f t="shared" ref="I29" si="21">I10/I9</f>
        <v>1.0132231404958678</v>
      </c>
      <c r="J29" s="24">
        <f t="shared" si="15"/>
        <v>1.0119448602794412</v>
      </c>
    </row>
    <row r="30" spans="1:11" x14ac:dyDescent="0.2">
      <c r="A30" s="4">
        <v>2011</v>
      </c>
      <c r="B30" s="24">
        <f t="shared" ref="B30:H30" si="22">B11/B10</f>
        <v>1.0111400929033867</v>
      </c>
      <c r="C30" s="24">
        <f t="shared" si="16"/>
        <v>0.98969203359633495</v>
      </c>
      <c r="D30" s="24">
        <f t="shared" si="22"/>
        <v>1.015609756097561</v>
      </c>
      <c r="E30" s="24">
        <f t="shared" si="22"/>
        <v>1</v>
      </c>
      <c r="F30" s="24">
        <f t="shared" si="22"/>
        <v>1</v>
      </c>
      <c r="G30" s="24">
        <f t="shared" si="22"/>
        <v>1.0110041265474552</v>
      </c>
      <c r="H30" s="24">
        <f t="shared" si="22"/>
        <v>0.96</v>
      </c>
      <c r="I30" s="24">
        <f t="shared" ref="I30" si="23">I11/I10</f>
        <v>0.98694942903752036</v>
      </c>
      <c r="J30" s="24">
        <f t="shared" si="15"/>
        <v>1.0097158442999352</v>
      </c>
    </row>
    <row r="31" spans="1:11" x14ac:dyDescent="0.2">
      <c r="A31" s="4">
        <v>2012</v>
      </c>
      <c r="B31" s="24">
        <f t="shared" ref="B31:H31" si="24">B12/B11</f>
        <v>1.0076155435195939</v>
      </c>
      <c r="C31" s="24">
        <f t="shared" si="16"/>
        <v>0.99022759418799022</v>
      </c>
      <c r="D31" s="24">
        <f t="shared" si="24"/>
        <v>0.98270893371757928</v>
      </c>
      <c r="E31" s="24">
        <f t="shared" si="24"/>
        <v>1</v>
      </c>
      <c r="F31" s="24">
        <f t="shared" si="24"/>
        <v>1.05</v>
      </c>
      <c r="G31" s="24">
        <f t="shared" si="24"/>
        <v>1.0070500927643784</v>
      </c>
      <c r="H31" s="24">
        <f t="shared" si="24"/>
        <v>1</v>
      </c>
      <c r="I31" s="24">
        <f t="shared" ref="I31" si="25">I12/I11</f>
        <v>0.97685950413223144</v>
      </c>
      <c r="J31" s="24">
        <f t="shared" si="15"/>
        <v>1.0061427405016443</v>
      </c>
    </row>
    <row r="32" spans="1:11" x14ac:dyDescent="0.2">
      <c r="A32" s="4">
        <v>2013</v>
      </c>
      <c r="B32" s="50">
        <f t="shared" ref="B32:B37" si="26">B13/B12</f>
        <v>1.0100977132249445</v>
      </c>
      <c r="C32" s="50">
        <f t="shared" si="16"/>
        <v>1.0140241527074405</v>
      </c>
      <c r="D32" s="50">
        <f t="shared" ref="D32:H32" si="27">D13/D12</f>
        <v>0.97751710654936463</v>
      </c>
      <c r="E32" s="50">
        <f t="shared" si="27"/>
        <v>1</v>
      </c>
      <c r="F32" s="50">
        <f t="shared" si="27"/>
        <v>1.0476190476190477</v>
      </c>
      <c r="G32" s="50">
        <f t="shared" si="27"/>
        <v>1.0097846556947514</v>
      </c>
      <c r="H32" s="50">
        <f t="shared" si="27"/>
        <v>1</v>
      </c>
      <c r="I32" s="50">
        <f t="shared" ref="I32:J32" si="28">I13/I12</f>
        <v>0.99830795262267347</v>
      </c>
      <c r="J32" s="50">
        <f t="shared" si="28"/>
        <v>1.0099655679767015</v>
      </c>
    </row>
    <row r="33" spans="1:10" x14ac:dyDescent="0.2">
      <c r="A33" s="4">
        <v>2014</v>
      </c>
      <c r="B33" s="50">
        <f t="shared" si="26"/>
        <v>1.0138642055093303</v>
      </c>
      <c r="C33" s="50">
        <f t="shared" ref="C33:J33" si="29">C14/C13</f>
        <v>1.0122935074913562</v>
      </c>
      <c r="D33" s="50">
        <f t="shared" si="29"/>
        <v>1.0049999999999999</v>
      </c>
      <c r="E33" s="50">
        <f t="shared" si="29"/>
        <v>1</v>
      </c>
      <c r="F33" s="50">
        <f t="shared" si="29"/>
        <v>1</v>
      </c>
      <c r="G33" s="50">
        <f t="shared" si="29"/>
        <v>1.0107034259071559</v>
      </c>
      <c r="H33" s="50">
        <f t="shared" si="29"/>
        <v>1</v>
      </c>
      <c r="I33" s="50">
        <f t="shared" si="29"/>
        <v>1.0016949152542374</v>
      </c>
      <c r="J33" s="50">
        <f t="shared" si="29"/>
        <v>1.0130586927790459</v>
      </c>
    </row>
    <row r="34" spans="1:10" x14ac:dyDescent="0.2">
      <c r="A34" s="4">
        <v>2015</v>
      </c>
      <c r="B34" s="229">
        <f t="shared" si="26"/>
        <v>1.0134958898228545</v>
      </c>
      <c r="C34" s="229">
        <f t="shared" ref="C34:J34" si="30">C15/C14</f>
        <v>1.0062917899024224</v>
      </c>
      <c r="D34" s="229">
        <f t="shared" si="30"/>
        <v>1</v>
      </c>
      <c r="E34" s="229">
        <f t="shared" si="30"/>
        <v>1</v>
      </c>
      <c r="F34" s="229">
        <f t="shared" si="30"/>
        <v>1</v>
      </c>
      <c r="G34" s="229">
        <f t="shared" si="30"/>
        <v>1.0196836587372433</v>
      </c>
      <c r="H34" s="229">
        <f t="shared" si="30"/>
        <v>0.96754687221561897</v>
      </c>
      <c r="I34" s="229">
        <f t="shared" si="30"/>
        <v>1.0010837718183276</v>
      </c>
      <c r="J34" s="229">
        <f t="shared" si="30"/>
        <v>1.0140435122307521</v>
      </c>
    </row>
    <row r="35" spans="1:10" x14ac:dyDescent="0.2">
      <c r="A35" s="4">
        <v>2016</v>
      </c>
      <c r="B35" s="229">
        <f t="shared" si="26"/>
        <v>1.0134958898228545</v>
      </c>
      <c r="C35" s="229">
        <f t="shared" ref="C35:J35" si="31">C16/C15</f>
        <v>1.0062917899024224</v>
      </c>
      <c r="D35" s="229">
        <f t="shared" si="31"/>
        <v>1</v>
      </c>
      <c r="E35" s="229">
        <f t="shared" si="31"/>
        <v>1</v>
      </c>
      <c r="F35" s="229">
        <f t="shared" si="31"/>
        <v>1</v>
      </c>
      <c r="G35" s="229">
        <f t="shared" si="31"/>
        <v>1.0196836587372433</v>
      </c>
      <c r="H35" s="229">
        <f t="shared" si="31"/>
        <v>0.96754687221561908</v>
      </c>
      <c r="I35" s="229">
        <f t="shared" si="31"/>
        <v>1.0010837718183276</v>
      </c>
      <c r="J35" s="229">
        <f t="shared" si="31"/>
        <v>1.0140559690490301</v>
      </c>
    </row>
    <row r="36" spans="1:10" x14ac:dyDescent="0.2">
      <c r="A36" s="4">
        <v>2017</v>
      </c>
      <c r="B36" s="229">
        <f t="shared" si="26"/>
        <v>1.0134958898228545</v>
      </c>
      <c r="C36" s="229">
        <f t="shared" ref="C36:J36" si="32">C17/C16</f>
        <v>1.0062917899024224</v>
      </c>
      <c r="D36" s="229">
        <f t="shared" si="32"/>
        <v>1</v>
      </c>
      <c r="E36" s="229">
        <f t="shared" si="32"/>
        <v>1</v>
      </c>
      <c r="F36" s="229">
        <f t="shared" si="32"/>
        <v>1</v>
      </c>
      <c r="G36" s="229">
        <f t="shared" si="32"/>
        <v>1.0196836587372433</v>
      </c>
      <c r="H36" s="229">
        <f t="shared" si="32"/>
        <v>0.96754687221561908</v>
      </c>
      <c r="I36" s="229">
        <f t="shared" si="32"/>
        <v>1.0010837718183276</v>
      </c>
      <c r="J36" s="229">
        <f t="shared" si="32"/>
        <v>1.0140683665427217</v>
      </c>
    </row>
    <row r="37" spans="1:10" x14ac:dyDescent="0.2">
      <c r="A37" s="4">
        <v>2018</v>
      </c>
      <c r="B37" s="229">
        <f t="shared" si="26"/>
        <v>1.0134958898228545</v>
      </c>
      <c r="C37" s="229">
        <f t="shared" ref="C37:J37" si="33">C18/C17</f>
        <v>1.0062917899024224</v>
      </c>
      <c r="D37" s="229">
        <f t="shared" si="33"/>
        <v>1</v>
      </c>
      <c r="E37" s="229">
        <f t="shared" si="33"/>
        <v>1</v>
      </c>
      <c r="F37" s="229">
        <f t="shared" si="33"/>
        <v>1</v>
      </c>
      <c r="G37" s="229">
        <f t="shared" si="33"/>
        <v>1.0196836587372433</v>
      </c>
      <c r="H37" s="229">
        <f t="shared" si="33"/>
        <v>0.96754687221561908</v>
      </c>
      <c r="I37" s="229">
        <f t="shared" si="33"/>
        <v>1.0010837718183276</v>
      </c>
      <c r="J37" s="229">
        <f t="shared" si="33"/>
        <v>1.0140807066394233</v>
      </c>
    </row>
    <row r="38" spans="1:10" x14ac:dyDescent="0.2">
      <c r="A38" s="4">
        <v>2019</v>
      </c>
      <c r="B38" s="230"/>
      <c r="C38" s="230"/>
      <c r="D38" s="230"/>
      <c r="E38" s="230"/>
      <c r="F38" s="230"/>
      <c r="G38" s="230"/>
      <c r="H38" s="230"/>
      <c r="I38" s="230"/>
      <c r="J38" s="231"/>
    </row>
    <row r="40" spans="1:10" x14ac:dyDescent="0.2">
      <c r="A40" t="s">
        <v>56</v>
      </c>
      <c r="B40" s="122">
        <f>+B42</f>
        <v>1.0134958898228545</v>
      </c>
      <c r="C40" s="125">
        <f>+C42</f>
        <v>1.0062917899024224</v>
      </c>
      <c r="D40" s="125">
        <v>1</v>
      </c>
      <c r="E40" s="122">
        <f>+D40</f>
        <v>1</v>
      </c>
      <c r="F40" s="122">
        <f>+D40</f>
        <v>1</v>
      </c>
      <c r="G40" s="122">
        <f>+G42</f>
        <v>1.0196836587372433</v>
      </c>
      <c r="H40" s="122">
        <f>+H42</f>
        <v>0.96754687221561908</v>
      </c>
      <c r="I40" s="122">
        <f>+I42</f>
        <v>1.0010837718183276</v>
      </c>
      <c r="J40" s="122">
        <f>+J42</f>
        <v>1.013884297281004</v>
      </c>
    </row>
    <row r="41" spans="1:10" x14ac:dyDescent="0.2">
      <c r="B41" s="25"/>
      <c r="C41" s="25"/>
      <c r="D41" s="25"/>
      <c r="E41" s="25"/>
      <c r="F41" s="25"/>
      <c r="G41" s="25"/>
      <c r="H41" s="25"/>
      <c r="I41" s="25"/>
    </row>
    <row r="42" spans="1:10" x14ac:dyDescent="0.2">
      <c r="A42" t="s">
        <v>13</v>
      </c>
      <c r="B42" s="25">
        <f t="shared" ref="B42:J42" si="34">GEOMEAN(B23:B33)</f>
        <v>1.0134958898228545</v>
      </c>
      <c r="C42" s="25">
        <f t="shared" si="34"/>
        <v>1.0062917899024224</v>
      </c>
      <c r="D42" s="25">
        <f t="shared" si="34"/>
        <v>0.99036005296293395</v>
      </c>
      <c r="E42" s="25">
        <f t="shared" si="34"/>
        <v>0.920075858503551</v>
      </c>
      <c r="F42" s="25">
        <f t="shared" si="34"/>
        <v>1.0743092982796343</v>
      </c>
      <c r="G42" s="25">
        <f t="shared" si="34"/>
        <v>1.0196836587372433</v>
      </c>
      <c r="H42" s="25">
        <f t="shared" si="34"/>
        <v>0.96754687221561908</v>
      </c>
      <c r="I42" s="25">
        <f t="shared" si="34"/>
        <v>1.0010837718183276</v>
      </c>
      <c r="J42" s="25">
        <f t="shared" si="34"/>
        <v>1.013884297281004</v>
      </c>
    </row>
    <row r="43" spans="1:10" x14ac:dyDescent="0.2">
      <c r="A43" s="4"/>
      <c r="B43" s="25"/>
      <c r="C43" s="25"/>
      <c r="D43" s="25"/>
      <c r="E43" s="25"/>
      <c r="F43" s="25"/>
      <c r="G43" s="25"/>
      <c r="H43" s="25"/>
      <c r="I43" s="25"/>
    </row>
    <row r="44" spans="1:10" x14ac:dyDescent="0.2">
      <c r="A44" s="4"/>
      <c r="B44" s="25"/>
      <c r="C44" s="25"/>
      <c r="D44" s="25"/>
      <c r="E44" s="25"/>
      <c r="F44" s="25"/>
      <c r="G44" s="25"/>
      <c r="H44" s="25"/>
      <c r="I44" s="25"/>
    </row>
  </sheetData>
  <phoneticPr fontId="0" type="noConversion"/>
  <pageMargins left="0.38" right="0.75" top="0.73" bottom="0.74" header="0.5" footer="0.5"/>
  <pageSetup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4"/>
  <sheetViews>
    <sheetView workbookViewId="0">
      <pane xSplit="1" ySplit="1" topLeftCell="B5" activePane="bottomRight" state="frozen"/>
      <selection pane="topRight"/>
      <selection pane="bottomLeft"/>
      <selection pane="bottomRight" activeCell="E43" sqref="E43"/>
    </sheetView>
  </sheetViews>
  <sheetFormatPr defaultRowHeight="12.75" x14ac:dyDescent="0.2"/>
  <cols>
    <col min="1" max="1" width="11" customWidth="1"/>
    <col min="2" max="2" width="14.140625" style="6" bestFit="1" customWidth="1"/>
    <col min="3" max="4" width="14.140625" style="6" customWidth="1"/>
    <col min="5" max="6" width="17.7109375" style="6" customWidth="1"/>
    <col min="7" max="8" width="12.7109375" style="6" bestFit="1" customWidth="1"/>
    <col min="9" max="9" width="11.7109375" style="6" bestFit="1" customWidth="1"/>
    <col min="10" max="10" width="10.7109375" style="6" bestFit="1" customWidth="1"/>
    <col min="11" max="12" width="9.140625" style="6"/>
  </cols>
  <sheetData>
    <row r="1" spans="1:7" ht="42" customHeight="1" x14ac:dyDescent="0.2">
      <c r="B1" s="8" t="str">
        <f>'Rate Class Customer Model'!D2</f>
        <v>GS&gt;50</v>
      </c>
      <c r="C1" s="8" t="str">
        <f>'Rate Class Customer Model'!E2</f>
        <v>Large User</v>
      </c>
      <c r="D1" s="8" t="str">
        <f>'Rate Class Customer Model'!F2</f>
        <v>I2</v>
      </c>
      <c r="E1" s="8" t="str">
        <f>'Rate Class Customer Model'!G2</f>
        <v>Streetlights</v>
      </c>
      <c r="F1" s="70" t="s">
        <v>78</v>
      </c>
      <c r="G1" s="6" t="s">
        <v>9</v>
      </c>
    </row>
    <row r="2" spans="1:7" x14ac:dyDescent="0.2">
      <c r="A2" s="29">
        <v>2003</v>
      </c>
      <c r="B2" s="44">
        <v>806199.49000000011</v>
      </c>
      <c r="C2" s="43">
        <v>349045.15</v>
      </c>
      <c r="D2" s="43">
        <v>197712.36</v>
      </c>
      <c r="E2" s="44">
        <v>23226.94</v>
      </c>
      <c r="F2" s="44">
        <v>126.50277777777779</v>
      </c>
      <c r="G2" s="6">
        <f>SUM(B2:F2)</f>
        <v>1376310.4427777778</v>
      </c>
    </row>
    <row r="3" spans="1:7" x14ac:dyDescent="0.2">
      <c r="A3" s="29">
        <v>2004</v>
      </c>
      <c r="B3" s="44">
        <v>957450.82</v>
      </c>
      <c r="C3" s="43">
        <v>243130.85</v>
      </c>
      <c r="D3" s="43">
        <v>135213.89000000001</v>
      </c>
      <c r="E3" s="44">
        <v>23584.5</v>
      </c>
      <c r="F3" s="44">
        <v>123.24722222222222</v>
      </c>
      <c r="G3" s="6">
        <f t="shared" ref="G3:G11" si="0">SUM(B3:F3)</f>
        <v>1359503.3072222222</v>
      </c>
    </row>
    <row r="4" spans="1:7" x14ac:dyDescent="0.2">
      <c r="A4" s="29">
        <v>2005</v>
      </c>
      <c r="B4" s="44">
        <v>913899.12999999989</v>
      </c>
      <c r="C4" s="43">
        <v>154705.01</v>
      </c>
      <c r="D4" s="43">
        <v>142187.47</v>
      </c>
      <c r="E4" s="44">
        <v>24114.33</v>
      </c>
      <c r="F4" s="44">
        <v>119.99166666666666</v>
      </c>
      <c r="G4" s="6">
        <f t="shared" si="0"/>
        <v>1235025.9316666666</v>
      </c>
    </row>
    <row r="5" spans="1:7" x14ac:dyDescent="0.2">
      <c r="A5" s="29">
        <v>2006</v>
      </c>
      <c r="B5" s="44">
        <v>893943</v>
      </c>
      <c r="C5" s="43">
        <v>134252</v>
      </c>
      <c r="D5" s="43">
        <v>178422</v>
      </c>
      <c r="E5" s="44">
        <v>24802</v>
      </c>
      <c r="F5" s="44">
        <v>118.31944444444447</v>
      </c>
      <c r="G5" s="6">
        <f t="shared" si="0"/>
        <v>1231537.3194444445</v>
      </c>
    </row>
    <row r="6" spans="1:7" x14ac:dyDescent="0.2">
      <c r="A6" s="29">
        <v>2007</v>
      </c>
      <c r="B6" s="44">
        <v>887017</v>
      </c>
      <c r="C6" s="43">
        <v>135954</v>
      </c>
      <c r="D6" s="43">
        <v>214029</v>
      </c>
      <c r="E6" s="44">
        <v>25740</v>
      </c>
      <c r="F6" s="44">
        <v>115.0222222222222</v>
      </c>
      <c r="G6" s="6">
        <f t="shared" si="0"/>
        <v>1262855.0222222223</v>
      </c>
    </row>
    <row r="7" spans="1:7" x14ac:dyDescent="0.2">
      <c r="A7" s="29">
        <v>2008</v>
      </c>
      <c r="B7" s="44">
        <v>876464</v>
      </c>
      <c r="C7" s="43">
        <v>124131</v>
      </c>
      <c r="D7" s="43">
        <v>204487</v>
      </c>
      <c r="E7" s="44">
        <v>26489</v>
      </c>
      <c r="F7" s="44">
        <v>108.9805555555556</v>
      </c>
      <c r="G7" s="6">
        <f t="shared" si="0"/>
        <v>1231679.9805555556</v>
      </c>
    </row>
    <row r="8" spans="1:7" x14ac:dyDescent="0.2">
      <c r="A8" s="29">
        <v>2009</v>
      </c>
      <c r="B8" s="44">
        <v>861503</v>
      </c>
      <c r="C8" s="43">
        <v>89007</v>
      </c>
      <c r="D8" s="43">
        <v>190299</v>
      </c>
      <c r="E8" s="44">
        <v>27041</v>
      </c>
      <c r="F8" s="44">
        <v>102.2</v>
      </c>
      <c r="G8" s="6">
        <f t="shared" si="0"/>
        <v>1167952.2</v>
      </c>
    </row>
    <row r="9" spans="1:7" x14ac:dyDescent="0.2">
      <c r="A9" s="29">
        <v>2010</v>
      </c>
      <c r="B9" s="44">
        <v>871715</v>
      </c>
      <c r="C9" s="43">
        <v>70585</v>
      </c>
      <c r="D9" s="43">
        <v>195141</v>
      </c>
      <c r="E9" s="44">
        <v>27634</v>
      </c>
      <c r="F9" s="44">
        <v>99.477777777777803</v>
      </c>
      <c r="G9" s="6">
        <f t="shared" si="0"/>
        <v>1165174.4777777777</v>
      </c>
    </row>
    <row r="10" spans="1:7" x14ac:dyDescent="0.2">
      <c r="A10" s="29">
        <v>2011</v>
      </c>
      <c r="B10" s="233">
        <v>867070</v>
      </c>
      <c r="C10" s="233">
        <v>83704</v>
      </c>
      <c r="D10" s="233">
        <v>192700</v>
      </c>
      <c r="E10" s="233">
        <v>27830</v>
      </c>
      <c r="F10" s="233">
        <v>100</v>
      </c>
      <c r="G10" s="6">
        <f t="shared" si="0"/>
        <v>1171404</v>
      </c>
    </row>
    <row r="11" spans="1:7" x14ac:dyDescent="0.2">
      <c r="A11" s="29">
        <v>2012</v>
      </c>
      <c r="B11" s="233">
        <v>846459</v>
      </c>
      <c r="C11" s="233">
        <v>89554</v>
      </c>
      <c r="D11" s="233">
        <v>182189</v>
      </c>
      <c r="E11" s="233">
        <v>27720</v>
      </c>
      <c r="F11" s="233">
        <v>100</v>
      </c>
      <c r="G11" s="6">
        <f t="shared" si="0"/>
        <v>1146022</v>
      </c>
    </row>
    <row r="12" spans="1:7" x14ac:dyDescent="0.2">
      <c r="A12" s="29">
        <v>2013</v>
      </c>
      <c r="B12" s="233">
        <v>843160</v>
      </c>
      <c r="C12" s="233">
        <v>92753</v>
      </c>
      <c r="D12" s="233">
        <v>184241</v>
      </c>
      <c r="E12" s="233">
        <f>25376-F12</f>
        <v>25276</v>
      </c>
      <c r="F12" s="233">
        <v>100</v>
      </c>
      <c r="G12" s="6">
        <f t="shared" ref="G12:G18" si="1">SUM(B12:F12)</f>
        <v>1145530</v>
      </c>
    </row>
    <row r="13" spans="1:7" x14ac:dyDescent="0.2">
      <c r="A13" s="29">
        <v>2014</v>
      </c>
      <c r="B13" s="227">
        <v>831789</v>
      </c>
      <c r="C13" s="227">
        <v>93203</v>
      </c>
      <c r="D13" s="227">
        <v>186714</v>
      </c>
      <c r="E13" s="227">
        <f>25620-F13</f>
        <v>25520</v>
      </c>
      <c r="F13" s="227">
        <v>100</v>
      </c>
      <c r="G13" s="6">
        <f t="shared" si="1"/>
        <v>1137326</v>
      </c>
    </row>
    <row r="14" spans="1:7" x14ac:dyDescent="0.2">
      <c r="A14" s="29">
        <v>2015</v>
      </c>
      <c r="B14" s="30">
        <f ca="1">'Rate Class Energy Model'!J73*'Rate Class Load Model'!B$43</f>
        <v>855325.85299059737</v>
      </c>
      <c r="C14" s="30">
        <f ca="1">'Rate Class Energy Model'!K73*'Rate Class Load Model'!C$43</f>
        <v>97441.876065947086</v>
      </c>
      <c r="D14" s="30">
        <f ca="1">'Rate Class Energy Model'!L73*'Rate Class Load Model'!D$43</f>
        <v>181197.03326362721</v>
      </c>
      <c r="E14" s="30">
        <f ca="1">'Rate Class Energy Model'!M73*'Rate Class Load Model'!E$43</f>
        <v>24982.758735691295</v>
      </c>
      <c r="F14" s="30">
        <f ca="1">'Rate Class Energy Model'!N73*'Rate Class Load Model'!F$43</f>
        <v>101.18862007842566</v>
      </c>
      <c r="G14" s="6">
        <f t="shared" ca="1" si="1"/>
        <v>1159048.7096759412</v>
      </c>
    </row>
    <row r="15" spans="1:7" x14ac:dyDescent="0.2">
      <c r="A15" s="29">
        <v>2016</v>
      </c>
      <c r="B15" s="30">
        <f ca="1">'Rate Class Energy Model'!J74*'Rate Class Load Model'!B$43</f>
        <v>852885.19292148028</v>
      </c>
      <c r="C15" s="30">
        <f ca="1">'Rate Class Energy Model'!K74*'Rate Class Load Model'!C$43</f>
        <v>98303.382478648273</v>
      </c>
      <c r="D15" s="30">
        <f ca="1">'Rate Class Energy Model'!L74*'Rate Class Load Model'!D$43</f>
        <v>180991.48694712875</v>
      </c>
      <c r="E15" s="30">
        <f ca="1">'Rate Class Energy Model'!M74*'Rate Class Load Model'!E$43</f>
        <v>25219.765724629928</v>
      </c>
      <c r="F15" s="30">
        <f ca="1">'Rate Class Energy Model'!N74*'Rate Class Load Model'!F$43</f>
        <v>97.904732860695347</v>
      </c>
      <c r="G15" s="6">
        <f t="shared" ca="1" si="1"/>
        <v>1157497.7328047478</v>
      </c>
    </row>
    <row r="16" spans="1:7" x14ac:dyDescent="0.2">
      <c r="A16" s="29">
        <v>2017</v>
      </c>
      <c r="B16" s="30">
        <f ca="1">'Rate Class Energy Model'!J75*'Rate Class Load Model'!B$43</f>
        <v>846239.0334918038</v>
      </c>
      <c r="C16" s="30">
        <f ca="1">'Rate Class Energy Model'!K75*'Rate Class Load Model'!C$43</f>
        <v>99172.505671004052</v>
      </c>
      <c r="D16" s="30">
        <f ca="1">'Rate Class Energy Model'!L75*'Rate Class Load Model'!D$43</f>
        <v>179961.20250263176</v>
      </c>
      <c r="E16" s="30">
        <f ca="1">'Rate Class Energy Model'!M75*'Rate Class Load Model'!E$43</f>
        <v>25459.021156720908</v>
      </c>
      <c r="F16" s="30">
        <f ca="1">'Rate Class Energy Model'!N75*'Rate Class Load Model'!F$43</f>
        <v>94.727418054471514</v>
      </c>
      <c r="G16" s="6">
        <f t="shared" ca="1" si="1"/>
        <v>1150926.4902402149</v>
      </c>
    </row>
    <row r="17" spans="1:8" x14ac:dyDescent="0.2">
      <c r="A17" s="29">
        <v>2018</v>
      </c>
      <c r="B17" s="30">
        <f ca="1">'Rate Class Energy Model'!J76*'Rate Class Load Model'!B$43</f>
        <v>841703.03538245894</v>
      </c>
      <c r="C17" s="30">
        <f ca="1">'Rate Class Energy Model'!K76*'Rate Class Load Model'!C$43</f>
        <v>100049.31298474451</v>
      </c>
      <c r="D17" s="30">
        <f ca="1">'Rate Class Energy Model'!L76*'Rate Class Load Model'!D$43</f>
        <v>179341.06143732797</v>
      </c>
      <c r="E17" s="30">
        <f ca="1">'Rate Class Energy Model'!M76*'Rate Class Load Model'!E$43</f>
        <v>25700.546362544512</v>
      </c>
      <c r="F17" s="30">
        <f ca="1">'Rate Class Energy Model'!N76*'Rate Class Load Model'!F$43</f>
        <v>91.65321705166528</v>
      </c>
      <c r="G17" s="6">
        <f t="shared" ca="1" si="1"/>
        <v>1146885.6093841274</v>
      </c>
    </row>
    <row r="18" spans="1:8" x14ac:dyDescent="0.2">
      <c r="A18" s="29">
        <v>2019</v>
      </c>
      <c r="B18" s="30">
        <f ca="1">'Rate Class Energy Model'!J77*'Rate Class Load Model'!B$43</f>
        <v>837172.20077717281</v>
      </c>
      <c r="C18" s="30">
        <f ca="1">'Rate Class Energy Model'!K77*'Rate Class Load Model'!C$43</f>
        <v>100933.87235698372</v>
      </c>
      <c r="D18" s="30">
        <f ca="1">'Rate Class Energy Model'!L77*'Rate Class Load Model'!D$43</f>
        <v>178719.47812789312</v>
      </c>
      <c r="E18" s="30">
        <f ca="1">'Rate Class Energy Model'!M77*'Rate Class Load Model'!E$43</f>
        <v>25944.36287504049</v>
      </c>
      <c r="F18" s="30">
        <f ca="1">'Rate Class Energy Model'!N77*'Rate Class Load Model'!F$43</f>
        <v>88.678783486837986</v>
      </c>
      <c r="G18" s="6">
        <f t="shared" ca="1" si="1"/>
        <v>1142858.5929205769</v>
      </c>
    </row>
    <row r="19" spans="1:8" x14ac:dyDescent="0.2">
      <c r="A19" s="20"/>
    </row>
    <row r="20" spans="1:8" x14ac:dyDescent="0.2">
      <c r="A20" s="19" t="s">
        <v>57</v>
      </c>
      <c r="B20" s="5"/>
      <c r="C20" s="5"/>
      <c r="D20" s="5"/>
      <c r="E20" s="5"/>
      <c r="F20" s="5"/>
    </row>
    <row r="21" spans="1:8" x14ac:dyDescent="0.2">
      <c r="A21" s="4">
        <v>1999</v>
      </c>
      <c r="B21" s="234"/>
      <c r="C21" s="234"/>
      <c r="D21" s="234"/>
      <c r="E21" s="234"/>
      <c r="F21" s="234"/>
      <c r="G21" s="231"/>
      <c r="H21" s="231"/>
    </row>
    <row r="22" spans="1:8" x14ac:dyDescent="0.2">
      <c r="A22" s="4">
        <v>2000</v>
      </c>
      <c r="B22" s="234"/>
      <c r="C22" s="234"/>
      <c r="D22" s="234"/>
      <c r="E22" s="234"/>
      <c r="F22" s="234"/>
      <c r="G22" s="231"/>
      <c r="H22" s="231"/>
    </row>
    <row r="23" spans="1:8" x14ac:dyDescent="0.2">
      <c r="A23" s="4">
        <v>2001</v>
      </c>
      <c r="B23" s="234"/>
      <c r="C23" s="234"/>
      <c r="D23" s="234"/>
      <c r="E23" s="234"/>
      <c r="F23" s="234"/>
      <c r="G23" s="231"/>
      <c r="H23" s="231"/>
    </row>
    <row r="24" spans="1:8" x14ac:dyDescent="0.2">
      <c r="A24" s="4">
        <v>2002</v>
      </c>
      <c r="B24" s="234"/>
      <c r="C24" s="234"/>
      <c r="D24" s="234"/>
      <c r="E24" s="234"/>
      <c r="F24" s="234"/>
      <c r="G24" s="231"/>
      <c r="H24" s="231"/>
    </row>
    <row r="25" spans="1:8" x14ac:dyDescent="0.2">
      <c r="A25" s="4">
        <v>2003</v>
      </c>
      <c r="B25" s="28">
        <f>B2/'Rate Class Energy Model'!J7</f>
        <v>2.8665469494401942E-3</v>
      </c>
      <c r="C25" s="28">
        <f>C2/'Rate Class Energy Model'!K7</f>
        <v>2.0622172895586356E-3</v>
      </c>
      <c r="D25" s="28">
        <f>D2/'Rate Class Energy Model'!L7</f>
        <v>2.05581845984819E-3</v>
      </c>
      <c r="E25" s="28">
        <f>E2/'Rate Class Energy Model'!M7</f>
        <v>2.7784150552756736E-3</v>
      </c>
      <c r="F25" s="28">
        <f>F2/'Rate Class Energy Model'!N7</f>
        <v>2.7777777777777783E-3</v>
      </c>
      <c r="G25" s="28">
        <f t="shared" ref="G25:G32" si="2">G2/H25</f>
        <v>2.479486814326858E-3</v>
      </c>
      <c r="H25" s="6">
        <f>SUM('Rate Class Energy Model'!J7:N7)</f>
        <v>555078750.5</v>
      </c>
    </row>
    <row r="26" spans="1:8" x14ac:dyDescent="0.2">
      <c r="A26" s="4">
        <v>2004</v>
      </c>
      <c r="B26" s="28">
        <f>B3/'Rate Class Energy Model'!J8</f>
        <v>2.654924890465898E-3</v>
      </c>
      <c r="C26" s="28">
        <f>C3/'Rate Class Energy Model'!K8</f>
        <v>2.1680199125062166E-3</v>
      </c>
      <c r="D26" s="28">
        <f>D3/'Rate Class Energy Model'!L8</f>
        <v>2.0588000182958578E-3</v>
      </c>
      <c r="E26" s="28">
        <f>E3/'Rate Class Energy Model'!M8</f>
        <v>2.6974988878406374E-3</v>
      </c>
      <c r="F26" s="28">
        <f>F3/'Rate Class Energy Model'!N8</f>
        <v>4.4300069092492083E-3</v>
      </c>
      <c r="G26" s="28">
        <f t="shared" si="2"/>
        <v>2.484367249966288E-3</v>
      </c>
      <c r="H26" s="6">
        <f>SUM('Rate Class Energy Model'!J8:N8)</f>
        <v>547223164.06347334</v>
      </c>
    </row>
    <row r="27" spans="1:8" x14ac:dyDescent="0.2">
      <c r="A27" s="4">
        <v>2005</v>
      </c>
      <c r="B27" s="28">
        <f>B4/'Rate Class Energy Model'!J9</f>
        <v>2.5248436047972667E-3</v>
      </c>
      <c r="C27" s="28">
        <f>C4/'Rate Class Energy Model'!K9</f>
        <v>2.459350142460437E-3</v>
      </c>
      <c r="D27" s="28">
        <f>D4/'Rate Class Energy Model'!L9</f>
        <v>2.1216639471312343E-3</v>
      </c>
      <c r="E27" s="28">
        <f>E4/'Rate Class Energy Model'!M9</f>
        <v>2.6259814626584102E-3</v>
      </c>
      <c r="F27" s="28">
        <f>F4/'Rate Class Energy Model'!N9</f>
        <v>2.7777777777777775E-3</v>
      </c>
      <c r="G27" s="28">
        <f t="shared" si="2"/>
        <v>2.4645773568005287E-3</v>
      </c>
      <c r="H27" s="6">
        <f>SUM('Rate Class Energy Model'!J9:N9)</f>
        <v>501110638</v>
      </c>
    </row>
    <row r="28" spans="1:8" x14ac:dyDescent="0.2">
      <c r="A28" s="4">
        <v>2006</v>
      </c>
      <c r="B28" s="28">
        <f>B5/'Rate Class Energy Model'!J10</f>
        <v>2.503434790115461E-3</v>
      </c>
      <c r="C28" s="28">
        <f>C5/'Rate Class Energy Model'!K10</f>
        <v>2.2504944560209311E-3</v>
      </c>
      <c r="D28" s="28">
        <f>D5/'Rate Class Energy Model'!L10</f>
        <v>2.2159058477350694E-3</v>
      </c>
      <c r="E28" s="28">
        <f>E5/'Rate Class Energy Model'!M10</f>
        <v>2.6389247248903417E-3</v>
      </c>
      <c r="F28" s="28">
        <f>F5/'Rate Class Energy Model'!N10</f>
        <v>2.7777777777777783E-3</v>
      </c>
      <c r="G28" s="28">
        <f t="shared" si="2"/>
        <v>2.4305014329812943E-3</v>
      </c>
      <c r="H28" s="6">
        <f>SUM('Rate Class Energy Model'!J10:N10)</f>
        <v>506700923</v>
      </c>
    </row>
    <row r="29" spans="1:8" x14ac:dyDescent="0.2">
      <c r="A29" s="4">
        <v>2007</v>
      </c>
      <c r="B29" s="28">
        <f>B6/'Rate Class Energy Model'!J11</f>
        <v>2.4698038161329507E-3</v>
      </c>
      <c r="C29" s="28">
        <f>C6/'Rate Class Energy Model'!K11</f>
        <v>2.1994813097800056E-3</v>
      </c>
      <c r="D29" s="28">
        <f>D6/'Rate Class Energy Model'!L11</f>
        <v>2.0605468969061391E-3</v>
      </c>
      <c r="E29" s="28">
        <f>E6/'Rate Class Energy Model'!M11</f>
        <v>2.6523720233074875E-3</v>
      </c>
      <c r="F29" s="28">
        <f>F6/'Rate Class Energy Model'!N11</f>
        <v>2.777777777777777E-3</v>
      </c>
      <c r="G29" s="28">
        <f t="shared" si="2"/>
        <v>2.3623643960756259E-3</v>
      </c>
      <c r="H29" s="6">
        <f>SUM('Rate Class Energy Model'!J11:N11)</f>
        <v>534572492</v>
      </c>
    </row>
    <row r="30" spans="1:8" x14ac:dyDescent="0.2">
      <c r="A30" s="4">
        <v>2008</v>
      </c>
      <c r="B30" s="28">
        <f>B7/'Rate Class Energy Model'!J12</f>
        <v>2.4854909003617508E-3</v>
      </c>
      <c r="C30" s="28">
        <f>C7/'Rate Class Energy Model'!K12</f>
        <v>2.6717234647081907E-3</v>
      </c>
      <c r="D30" s="28">
        <f>D7/'Rate Class Energy Model'!L12</f>
        <v>1.9962947195516709E-3</v>
      </c>
      <c r="E30" s="28">
        <f>E7/'Rate Class Energy Model'!M12</f>
        <v>2.7235693780691436E-3</v>
      </c>
      <c r="F30" s="28">
        <f>F7/'Rate Class Energy Model'!N12</f>
        <v>2.7777777777777788E-3</v>
      </c>
      <c r="G30" s="28">
        <f t="shared" si="2"/>
        <v>2.408958376996726E-3</v>
      </c>
      <c r="H30" s="6">
        <f>SUM('Rate Class Energy Model'!J12:N12)</f>
        <v>511291516</v>
      </c>
    </row>
    <row r="31" spans="1:8" x14ac:dyDescent="0.2">
      <c r="A31" s="4">
        <v>2009</v>
      </c>
      <c r="B31" s="28">
        <f>B8/'Rate Class Energy Model'!J13</f>
        <v>2.462955019813768E-3</v>
      </c>
      <c r="C31" s="28">
        <f>C8/'Rate Class Energy Model'!K13</f>
        <v>2.4331956480715612E-3</v>
      </c>
      <c r="D31" s="28">
        <f>D8/'Rate Class Energy Model'!L13</f>
        <v>2.1813876584782736E-3</v>
      </c>
      <c r="E31" s="28">
        <f>E8/'Rate Class Energy Model'!M13</f>
        <v>2.6503617943305132E-3</v>
      </c>
      <c r="F31" s="28">
        <f>F8/'Rate Class Energy Model'!N13</f>
        <v>2.7777777777777779E-3</v>
      </c>
      <c r="G31" s="28">
        <f t="shared" si="2"/>
        <v>2.4139137449221541E-3</v>
      </c>
      <c r="H31" s="6">
        <f>SUM('Rate Class Energy Model'!J13:N13)</f>
        <v>483841729</v>
      </c>
    </row>
    <row r="32" spans="1:8" x14ac:dyDescent="0.2">
      <c r="A32" s="4">
        <v>2010</v>
      </c>
      <c r="B32" s="28">
        <f>B9/'Rate Class Energy Model'!J14</f>
        <v>2.4539161519527464E-3</v>
      </c>
      <c r="C32" s="28">
        <f>C9/'Rate Class Energy Model'!K14</f>
        <v>2.1131485440291273E-3</v>
      </c>
      <c r="D32" s="28">
        <f>D9/'Rate Class Energy Model'!L14</f>
        <v>2.4156154066849169E-3</v>
      </c>
      <c r="E32" s="28">
        <f>E9/'Rate Class Energy Model'!M14</f>
        <v>2.6500052167722295E-3</v>
      </c>
      <c r="F32" s="28">
        <f>F9/'Rate Class Energy Model'!N14</f>
        <v>2.7777777777777783E-3</v>
      </c>
      <c r="G32" s="28">
        <f t="shared" si="2"/>
        <v>2.4280343927931395E-3</v>
      </c>
      <c r="H32" s="6">
        <f>SUM('Rate Class Energy Model'!J14:N14)</f>
        <v>479883844</v>
      </c>
    </row>
    <row r="33" spans="1:8" x14ac:dyDescent="0.2">
      <c r="A33" s="4">
        <v>2011</v>
      </c>
      <c r="B33" s="28">
        <f>B10/'Rate Class Energy Model'!J15</f>
        <v>2.411647008717873E-3</v>
      </c>
      <c r="C33" s="28">
        <f>C10/'Rate Class Energy Model'!K15</f>
        <v>2.2178709514627695E-3</v>
      </c>
      <c r="D33" s="28">
        <f>D10/'Rate Class Energy Model'!L15</f>
        <v>2.411522768879658E-3</v>
      </c>
      <c r="E33" s="28">
        <f>E10/'Rate Class Energy Model'!M15</f>
        <v>2.7143230134115647E-3</v>
      </c>
      <c r="F33" s="28">
        <f>F10/'Rate Class Energy Model'!N15</f>
        <v>2.7923601027588516E-3</v>
      </c>
      <c r="G33" s="28">
        <f t="shared" ref="G33:G35" si="3">G10/H33</f>
        <v>2.4030184187901907E-3</v>
      </c>
      <c r="H33" s="6">
        <f>SUM('Rate Class Energy Model'!J15:N15)</f>
        <v>487471919</v>
      </c>
    </row>
    <row r="34" spans="1:8" x14ac:dyDescent="0.2">
      <c r="A34" s="4">
        <v>2012</v>
      </c>
      <c r="B34" s="28">
        <f>B11/'Rate Class Energy Model'!J16</f>
        <v>2.5017814270673357E-3</v>
      </c>
      <c r="C34" s="28">
        <f>C11/'Rate Class Energy Model'!K16</f>
        <v>2.1942659714294585E-3</v>
      </c>
      <c r="D34" s="28">
        <f>D11/'Rate Class Energy Model'!L16</f>
        <v>2.3713838069508312E-3</v>
      </c>
      <c r="E34" s="28">
        <f>E11/'Rate Class Energy Model'!M16</f>
        <v>2.7338065356517171E-3</v>
      </c>
      <c r="F34" s="28">
        <f>F11/'Rate Class Energy Model'!N16</f>
        <v>2.7923601027588516E-3</v>
      </c>
      <c r="G34" s="28">
        <f t="shared" si="3"/>
        <v>2.45843637768487E-3</v>
      </c>
      <c r="H34" s="6">
        <f>SUM('Rate Class Energy Model'!J16:N16)</f>
        <v>466158901</v>
      </c>
    </row>
    <row r="35" spans="1:8" x14ac:dyDescent="0.2">
      <c r="A35" s="4">
        <v>2013</v>
      </c>
      <c r="B35" s="28">
        <f>B12/'Rate Class Energy Model'!J17</f>
        <v>2.5010406566886309E-3</v>
      </c>
      <c r="C35" s="28">
        <f>C12/'Rate Class Energy Model'!K17</f>
        <v>2.1913840213320258E-3</v>
      </c>
      <c r="D35" s="28">
        <f>D12/'Rate Class Energy Model'!L17</f>
        <v>2.326973550257184E-3</v>
      </c>
      <c r="E35" s="28">
        <f>E12/'Rate Class Energy Model'!M17</f>
        <v>2.7830003994589905E-3</v>
      </c>
      <c r="F35" s="28">
        <f>F12/'Rate Class Energy Model'!N17</f>
        <v>2.7923601027588516E-3</v>
      </c>
      <c r="G35" s="28">
        <f t="shared" si="3"/>
        <v>2.4490521973659211E-3</v>
      </c>
      <c r="H35" s="6">
        <f>SUM('Rate Class Energy Model'!J17:N17)</f>
        <v>467744216</v>
      </c>
    </row>
    <row r="36" spans="1:8" x14ac:dyDescent="0.2">
      <c r="A36" s="4">
        <v>2014</v>
      </c>
      <c r="B36" s="28">
        <f>B13/'Rate Class Energy Model'!J18</f>
        <v>2.472573967546856E-3</v>
      </c>
      <c r="C36" s="28">
        <f>C13/'Rate Class Energy Model'!K18</f>
        <v>2.1827178107201952E-3</v>
      </c>
      <c r="D36" s="28">
        <f>D13/'Rate Class Energy Model'!L18</f>
        <v>2.2937740338351878E-3</v>
      </c>
      <c r="E36" s="28">
        <f>E13/'Rate Class Energy Model'!M18</f>
        <v>2.7872813903641104E-3</v>
      </c>
      <c r="F36" s="28">
        <f>F13/'Rate Class Energy Model'!N18</f>
        <v>2.7923601027588516E-3</v>
      </c>
      <c r="G36" s="28">
        <f t="shared" ref="G36" si="4">G13/H36</f>
        <v>2.421395430144177E-3</v>
      </c>
      <c r="H36" s="6">
        <f>SUM('Rate Class Energy Model'!J18:N18)</f>
        <v>469698582</v>
      </c>
    </row>
    <row r="37" spans="1:8" x14ac:dyDescent="0.2">
      <c r="A37" s="4">
        <v>2015</v>
      </c>
      <c r="B37" s="234"/>
      <c r="C37" s="234"/>
      <c r="D37" s="234"/>
      <c r="E37" s="234"/>
      <c r="F37" s="234"/>
      <c r="G37" s="234"/>
      <c r="H37" s="231"/>
    </row>
    <row r="38" spans="1:8" x14ac:dyDescent="0.2">
      <c r="A38" s="4">
        <v>2016</v>
      </c>
      <c r="B38" s="234"/>
      <c r="C38" s="234"/>
      <c r="D38" s="234"/>
      <c r="E38" s="234"/>
      <c r="F38" s="234"/>
      <c r="G38" s="234"/>
      <c r="H38" s="231"/>
    </row>
    <row r="39" spans="1:8" x14ac:dyDescent="0.2">
      <c r="A39" s="4">
        <v>2017</v>
      </c>
      <c r="B39" s="234"/>
      <c r="C39" s="234"/>
      <c r="D39" s="234"/>
      <c r="E39" s="234"/>
      <c r="F39" s="234"/>
      <c r="G39" s="234"/>
      <c r="H39" s="231"/>
    </row>
    <row r="40" spans="1:8" x14ac:dyDescent="0.2">
      <c r="A40" s="4">
        <v>2018</v>
      </c>
      <c r="B40" s="234"/>
      <c r="C40" s="234"/>
      <c r="D40" s="234"/>
      <c r="E40" s="234"/>
      <c r="F40" s="234"/>
      <c r="G40" s="234"/>
      <c r="H40" s="231"/>
    </row>
    <row r="41" spans="1:8" x14ac:dyDescent="0.2">
      <c r="A41" s="4">
        <v>2019</v>
      </c>
      <c r="B41" s="234"/>
      <c r="C41" s="234"/>
      <c r="D41" s="234"/>
      <c r="E41" s="234"/>
      <c r="F41" s="234"/>
      <c r="G41" s="234"/>
      <c r="H41" s="231"/>
    </row>
    <row r="43" spans="1:8" x14ac:dyDescent="0.2">
      <c r="A43" s="66" t="s">
        <v>56</v>
      </c>
      <c r="B43" s="123">
        <f t="shared" ref="B43:G43" si="5">+B45</f>
        <v>2.5257465985917276E-3</v>
      </c>
      <c r="C43" s="123">
        <f t="shared" si="5"/>
        <v>2.2619891268399633E-3</v>
      </c>
      <c r="D43" s="123">
        <f t="shared" si="5"/>
        <v>2.2091405928795172E-3</v>
      </c>
      <c r="E43" s="123">
        <f t="shared" si="5"/>
        <v>2.7029616568359015E-3</v>
      </c>
      <c r="F43" s="123">
        <f t="shared" si="5"/>
        <v>2.9203243137274214E-3</v>
      </c>
      <c r="G43" s="123">
        <f t="shared" si="5"/>
        <v>2.433675515737315E-3</v>
      </c>
    </row>
    <row r="45" spans="1:8" x14ac:dyDescent="0.2">
      <c r="A45" t="s">
        <v>12</v>
      </c>
      <c r="B45" s="423">
        <f t="shared" ref="B45:G45" si="6">AVERAGE(B25:B36)</f>
        <v>2.5257465985917276E-3</v>
      </c>
      <c r="C45" s="423">
        <f t="shared" si="6"/>
        <v>2.2619891268399633E-3</v>
      </c>
      <c r="D45" s="423">
        <f t="shared" si="6"/>
        <v>2.2091405928795172E-3</v>
      </c>
      <c r="E45" s="423">
        <f t="shared" si="6"/>
        <v>2.7029616568359015E-3</v>
      </c>
      <c r="F45" s="423">
        <f t="shared" si="6"/>
        <v>2.9203243137274214E-3</v>
      </c>
      <c r="G45" s="423">
        <f t="shared" si="6"/>
        <v>2.433675515737315E-3</v>
      </c>
    </row>
    <row r="48" spans="1:8" x14ac:dyDescent="0.2">
      <c r="A48" s="4">
        <v>2015</v>
      </c>
      <c r="B48" s="28">
        <f ca="1">B14/'Rate Class Energy Model'!J73</f>
        <v>2.5257465985917276E-3</v>
      </c>
      <c r="C48" s="28">
        <f ca="1">C14/'Rate Class Energy Model'!K73</f>
        <v>2.2619891268399633E-3</v>
      </c>
      <c r="D48" s="28">
        <f ca="1">D14/'Rate Class Energy Model'!L73</f>
        <v>2.2091405928795172E-3</v>
      </c>
      <c r="E48" s="28">
        <f ca="1">E14/'Rate Class Energy Model'!M73</f>
        <v>2.7029616568359015E-3</v>
      </c>
      <c r="F48" s="28">
        <f ca="1">F14/'Rate Class Energy Model'!N73</f>
        <v>2.9203243137274214E-3</v>
      </c>
      <c r="G48" s="28">
        <f ca="1">G14/H48</f>
        <v>2.4503184170722365E-3</v>
      </c>
      <c r="H48" s="6">
        <f ca="1">SUM('Rate Class Energy Model'!J73:N73)</f>
        <v>473019629.44915164</v>
      </c>
    </row>
    <row r="49" spans="1:8" x14ac:dyDescent="0.2">
      <c r="A49" s="4">
        <v>2016</v>
      </c>
      <c r="B49" s="28">
        <f ca="1">B15/'Rate Class Energy Model'!J74</f>
        <v>2.5257465985917276E-3</v>
      </c>
      <c r="C49" s="28">
        <f ca="1">C15/'Rate Class Energy Model'!K74</f>
        <v>2.2619891268399633E-3</v>
      </c>
      <c r="D49" s="28">
        <f ca="1">D15/'Rate Class Energy Model'!L74</f>
        <v>2.2091405928795172E-3</v>
      </c>
      <c r="E49" s="28">
        <f ca="1">E15/'Rate Class Energy Model'!M74</f>
        <v>2.7029616568359015E-3</v>
      </c>
      <c r="F49" s="28">
        <f ca="1">F15/'Rate Class Energy Model'!N74</f>
        <v>2.9203243137274214E-3</v>
      </c>
      <c r="G49" s="28">
        <f ca="1">G15/H49</f>
        <v>2.4501055794900369E-3</v>
      </c>
      <c r="H49" s="6">
        <f ca="1">SUM('Rate Class Energy Model'!J74:N74)</f>
        <v>472427695.56309015</v>
      </c>
    </row>
    <row r="50" spans="1:8" x14ac:dyDescent="0.2">
      <c r="A50" s="4">
        <v>2017</v>
      </c>
      <c r="B50" s="28">
        <f ca="1">B16/'Rate Class Energy Model'!J75</f>
        <v>2.5257465985917276E-3</v>
      </c>
      <c r="C50" s="28">
        <f ca="1">C16/'Rate Class Energy Model'!K75</f>
        <v>2.2619891268399633E-3</v>
      </c>
      <c r="D50" s="28">
        <f ca="1">D16/'Rate Class Energy Model'!L75</f>
        <v>2.2091405928795172E-3</v>
      </c>
      <c r="E50" s="28">
        <f ca="1">E16/'Rate Class Energy Model'!M75</f>
        <v>2.7029616568359015E-3</v>
      </c>
      <c r="F50" s="28">
        <f ca="1">F16/'Rate Class Energy Model'!N75</f>
        <v>2.9203243137274214E-3</v>
      </c>
      <c r="G50" s="28">
        <f ca="1">G16/H50</f>
        <v>2.4498138199432968E-3</v>
      </c>
      <c r="H50" s="6">
        <f ca="1">SUM('Rate Class Energy Model'!J75:N75)</f>
        <v>469801615.48229575</v>
      </c>
    </row>
    <row r="51" spans="1:8" x14ac:dyDescent="0.2">
      <c r="A51" s="4">
        <v>2018</v>
      </c>
      <c r="B51" s="28">
        <f ca="1">B17/'Rate Class Energy Model'!J76</f>
        <v>2.5257465985917276E-3</v>
      </c>
      <c r="C51" s="28">
        <f ca="1">C17/'Rate Class Energy Model'!K76</f>
        <v>2.2619891268399633E-3</v>
      </c>
      <c r="D51" s="28">
        <f ca="1">D17/'Rate Class Energy Model'!L76</f>
        <v>2.2091405928795172E-3</v>
      </c>
      <c r="E51" s="28">
        <f ca="1">E17/'Rate Class Energy Model'!M76</f>
        <v>2.7029616568359015E-3</v>
      </c>
      <c r="F51" s="28">
        <f ca="1">F17/'Rate Class Energy Model'!N76</f>
        <v>2.9203243137274214E-3</v>
      </c>
      <c r="G51" s="28">
        <f ca="1">G17/H51</f>
        <v>2.4495586130678544E-3</v>
      </c>
      <c r="H51" s="6">
        <f ca="1">SUM('Rate Class Energy Model'!J76:N76)</f>
        <v>468200925.36906278</v>
      </c>
    </row>
    <row r="52" spans="1:8" x14ac:dyDescent="0.2">
      <c r="A52" s="4">
        <v>2019</v>
      </c>
      <c r="B52" s="28">
        <f ca="1">B18/'Rate Class Energy Model'!J77</f>
        <v>2.5257465985917276E-3</v>
      </c>
      <c r="C52" s="28">
        <f ca="1">C18/'Rate Class Energy Model'!K77</f>
        <v>2.2619891268399633E-3</v>
      </c>
      <c r="D52" s="28">
        <f ca="1">D18/'Rate Class Energy Model'!L77</f>
        <v>2.2091405928795172E-3</v>
      </c>
      <c r="E52" s="28">
        <f ca="1">E18/'Rate Class Energy Model'!M77</f>
        <v>2.7029616568359015E-3</v>
      </c>
      <c r="F52" s="28">
        <f ca="1">F18/'Rate Class Energy Model'!N77</f>
        <v>2.9203243137274214E-3</v>
      </c>
      <c r="G52" s="28">
        <f ca="1">G18/H52</f>
        <v>2.4493014457095427E-3</v>
      </c>
      <c r="H52" s="6">
        <f ca="1">SUM('Rate Class Energy Model'!J77:N77)</f>
        <v>466605935.71384597</v>
      </c>
    </row>
    <row r="53" spans="1:8" x14ac:dyDescent="0.2">
      <c r="B53" s="26"/>
      <c r="C53" s="26"/>
      <c r="D53" s="26"/>
      <c r="E53" s="26"/>
      <c r="F53" s="26"/>
    </row>
    <row r="54" spans="1:8" x14ac:dyDescent="0.2">
      <c r="B54" s="26"/>
      <c r="C54" s="26"/>
      <c r="D54" s="26"/>
      <c r="E54" s="26"/>
      <c r="F54" s="26"/>
    </row>
    <row r="73" spans="2:6" x14ac:dyDescent="0.2">
      <c r="B73" s="15"/>
      <c r="C73" s="15"/>
      <c r="D73" s="15"/>
      <c r="E73" s="15"/>
      <c r="F73" s="15"/>
    </row>
    <row r="74" spans="2:6" x14ac:dyDescent="0.2">
      <c r="B74" s="15"/>
      <c r="C74" s="15"/>
      <c r="D74" s="15"/>
      <c r="E74" s="15"/>
      <c r="F74" s="15"/>
    </row>
  </sheetData>
  <phoneticPr fontId="0" type="noConversion"/>
  <pageMargins left="0.38" right="0.75" top="0.73" bottom="0.74" header="0.5" footer="0.5"/>
  <pageSetup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151"/>
  <sheetViews>
    <sheetView topLeftCell="B4" workbookViewId="0"/>
  </sheetViews>
  <sheetFormatPr defaultRowHeight="12.75" x14ac:dyDescent="0.2"/>
  <cols>
    <col min="1" max="1" width="5.85546875" customWidth="1"/>
    <col min="2" max="2" width="13.7109375" customWidth="1"/>
    <col min="3" max="3" width="10.42578125" customWidth="1"/>
    <col min="4" max="4" width="1.7109375" customWidth="1"/>
    <col min="5" max="5" width="12" customWidth="1"/>
    <col min="6" max="6" width="13.28515625" customWidth="1"/>
    <col min="7" max="7" width="12.7109375" customWidth="1"/>
    <col min="8" max="8" width="13.28515625" customWidth="1"/>
    <col min="9" max="9" width="12.7109375" customWidth="1"/>
    <col min="10" max="11" width="13.28515625" customWidth="1"/>
    <col min="12" max="14" width="12.7109375" customWidth="1"/>
    <col min="15" max="15" width="12.28515625" customWidth="1"/>
    <col min="16" max="18" width="13.28515625" customWidth="1"/>
    <col min="19" max="19" width="13.85546875" bestFit="1" customWidth="1"/>
    <col min="20" max="20" width="13.28515625" customWidth="1"/>
    <col min="21" max="22" width="12.7109375" customWidth="1"/>
    <col min="23" max="26" width="12" customWidth="1"/>
    <col min="27" max="27" width="10.85546875" customWidth="1"/>
    <col min="28" max="34" width="10.42578125" customWidth="1"/>
  </cols>
  <sheetData>
    <row r="1" spans="1:49" x14ac:dyDescent="0.2">
      <c r="A1" t="s">
        <v>82</v>
      </c>
    </row>
    <row r="2" spans="1:49" x14ac:dyDescent="0.2">
      <c r="A2" t="s">
        <v>83</v>
      </c>
    </row>
    <row r="3" spans="1:49" x14ac:dyDescent="0.2">
      <c r="A3" s="66" t="s">
        <v>96</v>
      </c>
    </row>
    <row r="6" spans="1:49" ht="15.75" x14ac:dyDescent="0.2">
      <c r="A6" s="74" t="s">
        <v>84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</row>
    <row r="7" spans="1:49" ht="25.5" x14ac:dyDescent="0.2">
      <c r="A7" s="76" t="s">
        <v>85</v>
      </c>
      <c r="B7" s="76" t="s">
        <v>86</v>
      </c>
      <c r="C7" s="76" t="s">
        <v>87</v>
      </c>
      <c r="D7" s="77"/>
      <c r="E7" s="78">
        <v>2006</v>
      </c>
      <c r="F7" s="78">
        <f>E7+1</f>
        <v>2007</v>
      </c>
      <c r="G7" s="78">
        <f t="shared" ref="G7:AW7" si="0">F7+1</f>
        <v>2008</v>
      </c>
      <c r="H7" s="78">
        <f t="shared" si="0"/>
        <v>2009</v>
      </c>
      <c r="I7" s="78">
        <f t="shared" si="0"/>
        <v>2010</v>
      </c>
      <c r="J7" s="78">
        <f t="shared" si="0"/>
        <v>2011</v>
      </c>
      <c r="K7" s="78">
        <f t="shared" si="0"/>
        <v>2012</v>
      </c>
      <c r="L7" s="78">
        <f t="shared" si="0"/>
        <v>2013</v>
      </c>
      <c r="M7" s="78">
        <f t="shared" si="0"/>
        <v>2014</v>
      </c>
      <c r="N7" s="78">
        <f t="shared" si="0"/>
        <v>2015</v>
      </c>
      <c r="O7" s="78">
        <f t="shared" si="0"/>
        <v>2016</v>
      </c>
      <c r="P7" s="78">
        <f t="shared" si="0"/>
        <v>2017</v>
      </c>
      <c r="Q7" s="78">
        <f t="shared" si="0"/>
        <v>2018</v>
      </c>
      <c r="R7" s="78">
        <f t="shared" si="0"/>
        <v>2019</v>
      </c>
      <c r="S7" s="78">
        <f t="shared" si="0"/>
        <v>2020</v>
      </c>
      <c r="T7" s="78">
        <f t="shared" si="0"/>
        <v>2021</v>
      </c>
      <c r="U7" s="78">
        <f t="shared" si="0"/>
        <v>2022</v>
      </c>
      <c r="V7" s="78">
        <f t="shared" si="0"/>
        <v>2023</v>
      </c>
      <c r="W7" s="78">
        <f t="shared" si="0"/>
        <v>2024</v>
      </c>
      <c r="X7" s="78">
        <f t="shared" si="0"/>
        <v>2025</v>
      </c>
      <c r="Y7" s="78">
        <f t="shared" si="0"/>
        <v>2026</v>
      </c>
      <c r="Z7" s="78">
        <f t="shared" si="0"/>
        <v>2027</v>
      </c>
      <c r="AA7" s="78">
        <f t="shared" si="0"/>
        <v>2028</v>
      </c>
      <c r="AB7" s="78">
        <f t="shared" si="0"/>
        <v>2029</v>
      </c>
      <c r="AC7" s="78">
        <f t="shared" si="0"/>
        <v>2030</v>
      </c>
      <c r="AD7" s="78">
        <f t="shared" si="0"/>
        <v>2031</v>
      </c>
      <c r="AE7" s="78">
        <f t="shared" si="0"/>
        <v>2032</v>
      </c>
      <c r="AF7" s="78">
        <f t="shared" si="0"/>
        <v>2033</v>
      </c>
      <c r="AG7" s="78">
        <f t="shared" si="0"/>
        <v>2034</v>
      </c>
      <c r="AH7" s="78">
        <f t="shared" si="0"/>
        <v>2035</v>
      </c>
      <c r="AI7" s="78">
        <f t="shared" si="0"/>
        <v>2036</v>
      </c>
      <c r="AJ7" s="78">
        <f t="shared" si="0"/>
        <v>2037</v>
      </c>
      <c r="AK7" s="78">
        <f t="shared" si="0"/>
        <v>2038</v>
      </c>
      <c r="AL7" s="78">
        <f t="shared" si="0"/>
        <v>2039</v>
      </c>
      <c r="AM7" s="78">
        <f t="shared" si="0"/>
        <v>2040</v>
      </c>
      <c r="AN7" s="78">
        <f t="shared" si="0"/>
        <v>2041</v>
      </c>
      <c r="AO7" s="78">
        <f t="shared" si="0"/>
        <v>2042</v>
      </c>
      <c r="AP7" s="78">
        <f t="shared" si="0"/>
        <v>2043</v>
      </c>
      <c r="AQ7" s="78">
        <f t="shared" si="0"/>
        <v>2044</v>
      </c>
      <c r="AR7" s="78">
        <f t="shared" si="0"/>
        <v>2045</v>
      </c>
      <c r="AS7" s="78">
        <f t="shared" si="0"/>
        <v>2046</v>
      </c>
      <c r="AT7" s="78">
        <f t="shared" si="0"/>
        <v>2047</v>
      </c>
      <c r="AU7" s="78">
        <f t="shared" si="0"/>
        <v>2048</v>
      </c>
      <c r="AV7" s="78">
        <f t="shared" si="0"/>
        <v>2049</v>
      </c>
      <c r="AW7" s="78">
        <f t="shared" si="0"/>
        <v>2050</v>
      </c>
    </row>
    <row r="8" spans="1:49" x14ac:dyDescent="0.2">
      <c r="A8" s="79"/>
      <c r="B8" s="79"/>
      <c r="C8" s="79"/>
      <c r="D8" s="79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</row>
    <row r="9" spans="1:49" x14ac:dyDescent="0.2">
      <c r="A9" s="80">
        <v>1</v>
      </c>
      <c r="B9" s="81" t="s">
        <v>88</v>
      </c>
      <c r="C9" s="82" t="s">
        <v>89</v>
      </c>
      <c r="D9" s="79"/>
      <c r="E9" s="83">
        <v>4361.6262111155238</v>
      </c>
      <c r="F9" s="84">
        <v>4361.6262111155238</v>
      </c>
      <c r="G9" s="84">
        <v>4361.6262111155238</v>
      </c>
      <c r="H9" s="84">
        <v>4361.6262111155238</v>
      </c>
      <c r="I9" s="84">
        <v>757.51789534210593</v>
      </c>
      <c r="J9" s="84">
        <v>757.51789534210593</v>
      </c>
      <c r="K9" s="84">
        <v>692.92263556019986</v>
      </c>
      <c r="L9" s="84">
        <v>692.92263556019986</v>
      </c>
      <c r="M9" s="84">
        <v>651.10757751410972</v>
      </c>
      <c r="N9" s="84">
        <v>651.10757751410972</v>
      </c>
      <c r="O9" s="84">
        <v>615.15304069904016</v>
      </c>
      <c r="P9" s="84">
        <v>615.15304069904016</v>
      </c>
      <c r="Q9" s="84">
        <v>615.15304069904016</v>
      </c>
      <c r="R9" s="84">
        <v>615.15304069904016</v>
      </c>
      <c r="S9" s="84">
        <v>556.82900059720487</v>
      </c>
      <c r="T9" s="84">
        <v>484.00425723934239</v>
      </c>
      <c r="U9" s="84">
        <v>484.00425723934239</v>
      </c>
      <c r="V9" s="84">
        <v>484.00425723934239</v>
      </c>
      <c r="W9" s="84">
        <v>261.52175751630296</v>
      </c>
      <c r="X9" s="84">
        <v>261.52175751630296</v>
      </c>
      <c r="Y9" s="84">
        <v>152.59739417714439</v>
      </c>
      <c r="Z9" s="84">
        <v>152.59739417714439</v>
      </c>
      <c r="AA9" s="84">
        <v>152.59739417714439</v>
      </c>
      <c r="AB9" s="84">
        <v>152.59739417714439</v>
      </c>
      <c r="AC9" s="84">
        <v>152.59739417714439</v>
      </c>
      <c r="AD9" s="84">
        <v>152.59739417714439</v>
      </c>
      <c r="AE9" s="84">
        <v>152.59739417714439</v>
      </c>
      <c r="AF9" s="84">
        <v>152.59739417714439</v>
      </c>
      <c r="AG9" s="84">
        <v>152.59739417714439</v>
      </c>
      <c r="AH9" s="85">
        <v>152.59739417714439</v>
      </c>
      <c r="AI9" s="84">
        <v>0</v>
      </c>
      <c r="AJ9" s="84">
        <v>0</v>
      </c>
      <c r="AK9" s="84">
        <v>0</v>
      </c>
      <c r="AL9" s="84">
        <v>0</v>
      </c>
      <c r="AM9" s="84">
        <v>0</v>
      </c>
      <c r="AN9" s="84">
        <v>0</v>
      </c>
      <c r="AO9" s="84">
        <v>0</v>
      </c>
      <c r="AP9" s="84">
        <v>0</v>
      </c>
      <c r="AQ9" s="84">
        <v>0</v>
      </c>
      <c r="AR9" s="84">
        <v>0</v>
      </c>
      <c r="AS9" s="84">
        <v>0</v>
      </c>
      <c r="AT9" s="84">
        <v>0</v>
      </c>
      <c r="AU9" s="84">
        <v>0</v>
      </c>
      <c r="AV9" s="84">
        <v>0</v>
      </c>
      <c r="AW9" s="86">
        <v>0</v>
      </c>
    </row>
    <row r="10" spans="1:49" x14ac:dyDescent="0.2">
      <c r="A10" s="87">
        <f>A9+1</f>
        <v>2</v>
      </c>
      <c r="B10" s="88" t="s">
        <v>90</v>
      </c>
      <c r="C10" s="89" t="s">
        <v>89</v>
      </c>
      <c r="D10" s="79"/>
      <c r="E10" s="90">
        <v>0</v>
      </c>
      <c r="F10" s="91">
        <v>2127.1429349556674</v>
      </c>
      <c r="G10" s="91">
        <v>2107.866777260087</v>
      </c>
      <c r="H10" s="91">
        <v>2107.866777260087</v>
      </c>
      <c r="I10" s="91">
        <v>2107.866777260087</v>
      </c>
      <c r="J10" s="91">
        <v>2107.7115059523994</v>
      </c>
      <c r="K10" s="91">
        <v>2041.9241361636698</v>
      </c>
      <c r="L10" s="91">
        <v>2041.9241361636698</v>
      </c>
      <c r="M10" s="91">
        <v>2041.9241361636698</v>
      </c>
      <c r="N10" s="91">
        <v>623.74141071566078</v>
      </c>
      <c r="O10" s="91">
        <v>515.84576550932638</v>
      </c>
      <c r="P10" s="91">
        <v>273.48108927619552</v>
      </c>
      <c r="Q10" s="91">
        <v>273.48108927619552</v>
      </c>
      <c r="R10" s="91">
        <v>273.48108927619552</v>
      </c>
      <c r="S10" s="91">
        <v>273.48108927619552</v>
      </c>
      <c r="T10" s="91">
        <v>273.48108927619552</v>
      </c>
      <c r="U10" s="91">
        <v>41.212861508429086</v>
      </c>
      <c r="V10" s="91">
        <v>33.703169799591706</v>
      </c>
      <c r="W10" s="91">
        <v>33.703169799591706</v>
      </c>
      <c r="X10" s="91">
        <v>0</v>
      </c>
      <c r="Y10" s="91">
        <v>0</v>
      </c>
      <c r="Z10" s="91">
        <v>0</v>
      </c>
      <c r="AA10" s="91">
        <v>0</v>
      </c>
      <c r="AB10" s="91">
        <v>0</v>
      </c>
      <c r="AC10" s="91">
        <v>0</v>
      </c>
      <c r="AD10" s="91">
        <v>0</v>
      </c>
      <c r="AE10" s="91">
        <v>0</v>
      </c>
      <c r="AF10" s="91">
        <v>0</v>
      </c>
      <c r="AG10" s="91">
        <v>0</v>
      </c>
      <c r="AH10" s="92">
        <v>0</v>
      </c>
      <c r="AI10" s="91">
        <v>0</v>
      </c>
      <c r="AJ10" s="91">
        <v>0</v>
      </c>
      <c r="AK10" s="91">
        <v>0</v>
      </c>
      <c r="AL10" s="91">
        <v>0</v>
      </c>
      <c r="AM10" s="91">
        <v>0</v>
      </c>
      <c r="AN10" s="91">
        <v>0</v>
      </c>
      <c r="AO10" s="91">
        <v>0</v>
      </c>
      <c r="AP10" s="91">
        <v>0</v>
      </c>
      <c r="AQ10" s="91">
        <v>0</v>
      </c>
      <c r="AR10" s="91">
        <v>0</v>
      </c>
      <c r="AS10" s="91">
        <v>0</v>
      </c>
      <c r="AT10" s="91">
        <v>0</v>
      </c>
      <c r="AU10" s="91">
        <v>0</v>
      </c>
      <c r="AV10" s="91">
        <v>0</v>
      </c>
      <c r="AW10" s="93">
        <v>0</v>
      </c>
    </row>
    <row r="11" spans="1:49" x14ac:dyDescent="0.2">
      <c r="A11" s="94">
        <f>A10+1</f>
        <v>3</v>
      </c>
      <c r="B11" s="95" t="s">
        <v>91</v>
      </c>
      <c r="C11" s="96" t="s">
        <v>89</v>
      </c>
      <c r="D11" s="79"/>
      <c r="E11" s="97">
        <v>0</v>
      </c>
      <c r="F11" s="98">
        <v>0</v>
      </c>
      <c r="G11" s="98">
        <v>12530.058480092956</v>
      </c>
      <c r="H11" s="98">
        <v>11855.51168622548</v>
      </c>
      <c r="I11" s="98">
        <v>11843.974199225479</v>
      </c>
      <c r="J11" s="98">
        <v>11843.974199225479</v>
      </c>
      <c r="K11" s="98">
        <v>11626.537302265524</v>
      </c>
      <c r="L11" s="98">
        <v>11626.076322265524</v>
      </c>
      <c r="M11" s="98">
        <v>11400.133673868217</v>
      </c>
      <c r="N11" s="98">
        <v>11231.335382708021</v>
      </c>
      <c r="O11" s="98">
        <v>10617.989690133236</v>
      </c>
      <c r="P11" s="98">
        <v>10371.387888842775</v>
      </c>
      <c r="Q11" s="98">
        <v>10228.972576730534</v>
      </c>
      <c r="R11" s="98">
        <v>10228.972576730534</v>
      </c>
      <c r="S11" s="98">
        <v>10207.341549654349</v>
      </c>
      <c r="T11" s="98">
        <v>10186.812614035698</v>
      </c>
      <c r="U11" s="98">
        <v>10178.032757551458</v>
      </c>
      <c r="V11" s="98">
        <v>10056.048022169049</v>
      </c>
      <c r="W11" s="98">
        <v>9015.6247036292134</v>
      </c>
      <c r="X11" s="98">
        <v>9015.6247036292134</v>
      </c>
      <c r="Y11" s="98">
        <v>8789.2604372687238</v>
      </c>
      <c r="Z11" s="98">
        <v>8789.2604372687238</v>
      </c>
      <c r="AA11" s="98">
        <v>0</v>
      </c>
      <c r="AB11" s="98">
        <v>0</v>
      </c>
      <c r="AC11" s="98">
        <v>0</v>
      </c>
      <c r="AD11" s="98">
        <v>0</v>
      </c>
      <c r="AE11" s="98">
        <v>0</v>
      </c>
      <c r="AF11" s="98">
        <v>0</v>
      </c>
      <c r="AG11" s="98">
        <v>0</v>
      </c>
      <c r="AH11" s="99">
        <v>0</v>
      </c>
      <c r="AI11" s="98">
        <v>0</v>
      </c>
      <c r="AJ11" s="98">
        <v>0</v>
      </c>
      <c r="AK11" s="98">
        <v>0</v>
      </c>
      <c r="AL11" s="98">
        <v>0</v>
      </c>
      <c r="AM11" s="98">
        <v>0</v>
      </c>
      <c r="AN11" s="98">
        <v>0</v>
      </c>
      <c r="AO11" s="98">
        <v>0</v>
      </c>
      <c r="AP11" s="98">
        <v>0</v>
      </c>
      <c r="AQ11" s="98">
        <v>0</v>
      </c>
      <c r="AR11" s="98">
        <v>0</v>
      </c>
      <c r="AS11" s="98">
        <v>0</v>
      </c>
      <c r="AT11" s="98">
        <v>0</v>
      </c>
      <c r="AU11" s="98">
        <v>0</v>
      </c>
      <c r="AV11" s="98">
        <v>0</v>
      </c>
      <c r="AW11" s="100">
        <v>0</v>
      </c>
    </row>
    <row r="12" spans="1:49" x14ac:dyDescent="0.2">
      <c r="A12" s="101">
        <f>A11+1</f>
        <v>4</v>
      </c>
      <c r="B12" s="102" t="s">
        <v>92</v>
      </c>
      <c r="C12" s="103" t="s">
        <v>89</v>
      </c>
      <c r="D12" s="79"/>
      <c r="E12" s="104">
        <v>0</v>
      </c>
      <c r="F12" s="105">
        <v>0</v>
      </c>
      <c r="G12" s="105">
        <v>0</v>
      </c>
      <c r="H12" s="105">
        <v>6169.1855876229893</v>
      </c>
      <c r="I12" s="105">
        <v>5473.3517879807496</v>
      </c>
      <c r="J12" s="105">
        <v>5473.3517879807496</v>
      </c>
      <c r="K12" s="105">
        <v>5470.4215471606612</v>
      </c>
      <c r="L12" s="105">
        <v>5399.6062799003594</v>
      </c>
      <c r="M12" s="105">
        <v>5174.7152525331849</v>
      </c>
      <c r="N12" s="105">
        <v>5058.830027611778</v>
      </c>
      <c r="O12" s="105">
        <v>5056.3014951693413</v>
      </c>
      <c r="P12" s="105">
        <v>3659.9294549050305</v>
      </c>
      <c r="Q12" s="105">
        <v>2068.522701753719</v>
      </c>
      <c r="R12" s="105">
        <v>1723.728895764556</v>
      </c>
      <c r="S12" s="105">
        <v>625.4707410176112</v>
      </c>
      <c r="T12" s="105">
        <v>563.13381735360963</v>
      </c>
      <c r="U12" s="105">
        <v>562.38142775525591</v>
      </c>
      <c r="V12" s="105">
        <v>553.49830090838589</v>
      </c>
      <c r="W12" s="105">
        <v>479.85650858013423</v>
      </c>
      <c r="X12" s="105">
        <v>434.15901824217212</v>
      </c>
      <c r="Y12" s="105">
        <v>425.0784789067676</v>
      </c>
      <c r="Z12" s="105">
        <v>370.14543023895942</v>
      </c>
      <c r="AA12" s="105">
        <v>87.570448262313036</v>
      </c>
      <c r="AB12" s="105">
        <v>0</v>
      </c>
      <c r="AC12" s="105">
        <v>0</v>
      </c>
      <c r="AD12" s="105">
        <v>0</v>
      </c>
      <c r="AE12" s="105">
        <v>0</v>
      </c>
      <c r="AF12" s="105">
        <v>0</v>
      </c>
      <c r="AG12" s="105">
        <v>0</v>
      </c>
      <c r="AH12" s="106">
        <v>0</v>
      </c>
      <c r="AI12" s="105">
        <v>0</v>
      </c>
      <c r="AJ12" s="105">
        <v>0</v>
      </c>
      <c r="AK12" s="105">
        <v>0</v>
      </c>
      <c r="AL12" s="105">
        <v>0</v>
      </c>
      <c r="AM12" s="105">
        <v>0</v>
      </c>
      <c r="AN12" s="105">
        <v>0</v>
      </c>
      <c r="AO12" s="105">
        <v>0</v>
      </c>
      <c r="AP12" s="105">
        <v>0</v>
      </c>
      <c r="AQ12" s="105">
        <v>0</v>
      </c>
      <c r="AR12" s="105">
        <v>0</v>
      </c>
      <c r="AS12" s="105">
        <v>0</v>
      </c>
      <c r="AT12" s="105">
        <v>0</v>
      </c>
      <c r="AU12" s="105">
        <v>0</v>
      </c>
      <c r="AV12" s="105">
        <v>0</v>
      </c>
      <c r="AW12" s="107">
        <v>0</v>
      </c>
    </row>
    <row r="13" spans="1:49" x14ac:dyDescent="0.2">
      <c r="A13" s="108" t="s">
        <v>9</v>
      </c>
      <c r="B13" s="109"/>
      <c r="C13" s="110"/>
      <c r="D13" s="77"/>
      <c r="E13" s="111">
        <f t="shared" ref="E13:AG13" si="1">SUM(E9:E12)</f>
        <v>4361.6262111155238</v>
      </c>
      <c r="F13" s="111">
        <f t="shared" si="1"/>
        <v>6488.7691460711912</v>
      </c>
      <c r="G13" s="111">
        <f t="shared" si="1"/>
        <v>18999.551468468566</v>
      </c>
      <c r="H13" s="111">
        <f t="shared" si="1"/>
        <v>24494.190262224081</v>
      </c>
      <c r="I13" s="111">
        <f t="shared" si="1"/>
        <v>20182.710659808421</v>
      </c>
      <c r="J13" s="111">
        <f t="shared" si="1"/>
        <v>20182.555388500732</v>
      </c>
      <c r="K13" s="111">
        <f t="shared" si="1"/>
        <v>19831.805621150055</v>
      </c>
      <c r="L13" s="111">
        <f t="shared" si="1"/>
        <v>19760.529373889753</v>
      </c>
      <c r="M13" s="111">
        <f t="shared" si="1"/>
        <v>19267.88064007918</v>
      </c>
      <c r="N13" s="111">
        <f t="shared" si="1"/>
        <v>17565.014398549571</v>
      </c>
      <c r="O13" s="111">
        <f t="shared" si="1"/>
        <v>16805.289991510945</v>
      </c>
      <c r="P13" s="111">
        <f t="shared" si="1"/>
        <v>14919.95147372304</v>
      </c>
      <c r="Q13" s="111">
        <f t="shared" si="1"/>
        <v>13186.129408459488</v>
      </c>
      <c r="R13" s="111">
        <f t="shared" si="1"/>
        <v>12841.335602470326</v>
      </c>
      <c r="S13" s="111">
        <f t="shared" si="1"/>
        <v>11663.122380545361</v>
      </c>
      <c r="T13" s="111">
        <f t="shared" si="1"/>
        <v>11507.431777904845</v>
      </c>
      <c r="U13" s="111">
        <f t="shared" si="1"/>
        <v>11265.631304054485</v>
      </c>
      <c r="V13" s="111">
        <f t="shared" si="1"/>
        <v>11127.25375011637</v>
      </c>
      <c r="W13" s="111">
        <f t="shared" si="1"/>
        <v>9790.7061395252422</v>
      </c>
      <c r="X13" s="111">
        <f t="shared" si="1"/>
        <v>9711.3054793876872</v>
      </c>
      <c r="Y13" s="111">
        <f t="shared" si="1"/>
        <v>9366.9363103526357</v>
      </c>
      <c r="Z13" s="111">
        <f t="shared" si="1"/>
        <v>9312.0032616848275</v>
      </c>
      <c r="AA13" s="111">
        <f t="shared" si="1"/>
        <v>240.16784243945744</v>
      </c>
      <c r="AB13" s="111">
        <f t="shared" si="1"/>
        <v>152.59739417714439</v>
      </c>
      <c r="AC13" s="111">
        <f t="shared" si="1"/>
        <v>152.59739417714439</v>
      </c>
      <c r="AD13" s="111">
        <f t="shared" si="1"/>
        <v>152.59739417714439</v>
      </c>
      <c r="AE13" s="111">
        <f t="shared" si="1"/>
        <v>152.59739417714439</v>
      </c>
      <c r="AF13" s="111">
        <f t="shared" si="1"/>
        <v>152.59739417714439</v>
      </c>
      <c r="AG13" s="111">
        <f t="shared" si="1"/>
        <v>152.59739417714439</v>
      </c>
      <c r="AH13" s="111">
        <f>SUM(AH9:AH12)</f>
        <v>152.59739417714439</v>
      </c>
      <c r="AI13" s="111">
        <f t="shared" ref="AI13:AW13" si="2">SUM(AI9:AI12)</f>
        <v>0</v>
      </c>
      <c r="AJ13" s="111">
        <f t="shared" si="2"/>
        <v>0</v>
      </c>
      <c r="AK13" s="111">
        <f t="shared" si="2"/>
        <v>0</v>
      </c>
      <c r="AL13" s="111">
        <f t="shared" si="2"/>
        <v>0</v>
      </c>
      <c r="AM13" s="111">
        <f t="shared" si="2"/>
        <v>0</v>
      </c>
      <c r="AN13" s="111">
        <f t="shared" si="2"/>
        <v>0</v>
      </c>
      <c r="AO13" s="111">
        <f t="shared" si="2"/>
        <v>0</v>
      </c>
      <c r="AP13" s="111">
        <f t="shared" si="2"/>
        <v>0</v>
      </c>
      <c r="AQ13" s="111">
        <f t="shared" si="2"/>
        <v>0</v>
      </c>
      <c r="AR13" s="111">
        <f t="shared" si="2"/>
        <v>0</v>
      </c>
      <c r="AS13" s="111">
        <f t="shared" si="2"/>
        <v>0</v>
      </c>
      <c r="AT13" s="111">
        <f t="shared" si="2"/>
        <v>0</v>
      </c>
      <c r="AU13" s="111">
        <f t="shared" si="2"/>
        <v>0</v>
      </c>
      <c r="AV13" s="111">
        <f t="shared" si="2"/>
        <v>0</v>
      </c>
      <c r="AW13" s="111">
        <f t="shared" si="2"/>
        <v>0</v>
      </c>
    </row>
    <row r="16" spans="1:49" ht="15.75" x14ac:dyDescent="0.2">
      <c r="A16" s="74" t="s">
        <v>93</v>
      </c>
    </row>
    <row r="17" spans="1:49" ht="25.5" x14ac:dyDescent="0.2">
      <c r="A17" s="76" t="s">
        <v>85</v>
      </c>
      <c r="B17" s="76" t="s">
        <v>86</v>
      </c>
      <c r="C17" s="76" t="s">
        <v>87</v>
      </c>
      <c r="D17" s="77"/>
      <c r="E17" s="78">
        <v>2006</v>
      </c>
      <c r="F17" s="78">
        <f>E17+1</f>
        <v>2007</v>
      </c>
      <c r="G17" s="78">
        <f t="shared" ref="G17:N17" si="3">F17+1</f>
        <v>2008</v>
      </c>
      <c r="H17" s="78">
        <f t="shared" si="3"/>
        <v>2009</v>
      </c>
      <c r="I17" s="78">
        <f t="shared" si="3"/>
        <v>2010</v>
      </c>
      <c r="J17" s="78">
        <f t="shared" si="3"/>
        <v>2011</v>
      </c>
      <c r="K17" s="78">
        <f t="shared" si="3"/>
        <v>2012</v>
      </c>
      <c r="L17" s="78">
        <f t="shared" si="3"/>
        <v>2013</v>
      </c>
      <c r="M17" s="78">
        <f t="shared" si="3"/>
        <v>2014</v>
      </c>
      <c r="N17" s="78">
        <f t="shared" si="3"/>
        <v>2015</v>
      </c>
      <c r="O17" s="78">
        <f t="shared" ref="O17" si="4">N17+1</f>
        <v>2016</v>
      </c>
      <c r="P17" s="78">
        <f t="shared" ref="P17" si="5">O17+1</f>
        <v>2017</v>
      </c>
      <c r="Q17" s="78">
        <f t="shared" ref="Q17" si="6">P17+1</f>
        <v>2018</v>
      </c>
      <c r="R17" s="78">
        <f t="shared" ref="R17" si="7">Q17+1</f>
        <v>2019</v>
      </c>
      <c r="S17" s="78">
        <f t="shared" ref="S17" si="8">R17+1</f>
        <v>2020</v>
      </c>
      <c r="T17" s="78">
        <f t="shared" ref="T17" si="9">S17+1</f>
        <v>2021</v>
      </c>
      <c r="U17" s="78">
        <f t="shared" ref="U17" si="10">T17+1</f>
        <v>2022</v>
      </c>
      <c r="V17" s="78">
        <f t="shared" ref="V17" si="11">U17+1</f>
        <v>2023</v>
      </c>
      <c r="W17" s="78">
        <f t="shared" ref="W17" si="12">V17+1</f>
        <v>2024</v>
      </c>
      <c r="X17" s="78">
        <f t="shared" ref="X17" si="13">W17+1</f>
        <v>2025</v>
      </c>
      <c r="Y17" s="78">
        <f t="shared" ref="Y17" si="14">X17+1</f>
        <v>2026</v>
      </c>
      <c r="Z17" s="78">
        <f t="shared" ref="Z17" si="15">Y17+1</f>
        <v>2027</v>
      </c>
      <c r="AA17" s="78">
        <f t="shared" ref="AA17" si="16">Z17+1</f>
        <v>2028</v>
      </c>
      <c r="AB17" s="78">
        <f t="shared" ref="AB17" si="17">AA17+1</f>
        <v>2029</v>
      </c>
      <c r="AC17" s="78">
        <f t="shared" ref="AC17" si="18">AB17+1</f>
        <v>2030</v>
      </c>
      <c r="AD17" s="78">
        <f t="shared" ref="AD17" si="19">AC17+1</f>
        <v>2031</v>
      </c>
      <c r="AE17" s="78">
        <f t="shared" ref="AE17" si="20">AD17+1</f>
        <v>2032</v>
      </c>
      <c r="AF17" s="78">
        <f t="shared" ref="AF17" si="21">AE17+1</f>
        <v>2033</v>
      </c>
      <c r="AG17" s="78">
        <f t="shared" ref="AG17" si="22">AF17+1</f>
        <v>2034</v>
      </c>
      <c r="AH17" s="78">
        <f t="shared" ref="AH17" si="23">AG17+1</f>
        <v>2035</v>
      </c>
      <c r="AI17" s="78">
        <f t="shared" ref="AI17" si="24">AH17+1</f>
        <v>2036</v>
      </c>
      <c r="AJ17" s="78">
        <f t="shared" ref="AJ17" si="25">AI17+1</f>
        <v>2037</v>
      </c>
      <c r="AK17" s="78">
        <f t="shared" ref="AK17" si="26">AJ17+1</f>
        <v>2038</v>
      </c>
      <c r="AL17" s="78">
        <f t="shared" ref="AL17" si="27">AK17+1</f>
        <v>2039</v>
      </c>
      <c r="AM17" s="78">
        <f t="shared" ref="AM17" si="28">AL17+1</f>
        <v>2040</v>
      </c>
      <c r="AN17" s="78">
        <f t="shared" ref="AN17" si="29">AM17+1</f>
        <v>2041</v>
      </c>
      <c r="AO17" s="78">
        <f t="shared" ref="AO17" si="30">AN17+1</f>
        <v>2042</v>
      </c>
      <c r="AP17" s="78">
        <f t="shared" ref="AP17" si="31">AO17+1</f>
        <v>2043</v>
      </c>
      <c r="AQ17" s="78">
        <f t="shared" ref="AQ17" si="32">AP17+1</f>
        <v>2044</v>
      </c>
      <c r="AR17" s="78">
        <f t="shared" ref="AR17" si="33">AQ17+1</f>
        <v>2045</v>
      </c>
      <c r="AS17" s="78">
        <f t="shared" ref="AS17" si="34">AR17+1</f>
        <v>2046</v>
      </c>
      <c r="AT17" s="78">
        <f t="shared" ref="AT17" si="35">AS17+1</f>
        <v>2047</v>
      </c>
      <c r="AU17" s="78">
        <f t="shared" ref="AU17" si="36">AT17+1</f>
        <v>2048</v>
      </c>
      <c r="AV17" s="78">
        <f t="shared" ref="AV17" si="37">AU17+1</f>
        <v>2049</v>
      </c>
      <c r="AW17" s="78">
        <f t="shared" ref="AW17" si="38">AV17+1</f>
        <v>2050</v>
      </c>
    </row>
    <row r="18" spans="1:49" x14ac:dyDescent="0.2">
      <c r="A18" s="80">
        <v>1</v>
      </c>
      <c r="B18" s="81" t="s">
        <v>88</v>
      </c>
      <c r="C18" s="82" t="s">
        <v>89</v>
      </c>
      <c r="E18" s="83">
        <f>+E9*1000</f>
        <v>4361626.2111155242</v>
      </c>
      <c r="F18" s="83">
        <f t="shared" ref="F18:N21" si="39">+F9*1000</f>
        <v>4361626.2111155242</v>
      </c>
      <c r="G18" s="83">
        <f t="shared" si="39"/>
        <v>4361626.2111155242</v>
      </c>
      <c r="H18" s="83">
        <f t="shared" si="39"/>
        <v>4361626.2111155242</v>
      </c>
      <c r="I18" s="83">
        <f t="shared" si="39"/>
        <v>757517.89534210588</v>
      </c>
      <c r="J18" s="83">
        <f t="shared" si="39"/>
        <v>757517.89534210588</v>
      </c>
      <c r="K18" s="83">
        <f t="shared" si="39"/>
        <v>692922.63556019985</v>
      </c>
      <c r="L18" s="83">
        <f t="shared" si="39"/>
        <v>692922.63556019985</v>
      </c>
      <c r="M18" s="83">
        <f t="shared" si="39"/>
        <v>651107.57751410967</v>
      </c>
      <c r="N18" s="83">
        <f t="shared" si="39"/>
        <v>651107.57751410967</v>
      </c>
      <c r="O18" s="83">
        <f t="shared" ref="O18:AW18" si="40">+O9*1000</f>
        <v>615153.04069904017</v>
      </c>
      <c r="P18" s="83">
        <f t="shared" si="40"/>
        <v>615153.04069904017</v>
      </c>
      <c r="Q18" s="83">
        <f t="shared" si="40"/>
        <v>615153.04069904017</v>
      </c>
      <c r="R18" s="83">
        <f t="shared" si="40"/>
        <v>615153.04069904017</v>
      </c>
      <c r="S18" s="83">
        <f t="shared" si="40"/>
        <v>556829.0005972049</v>
      </c>
      <c r="T18" s="83">
        <f t="shared" si="40"/>
        <v>484004.25723934238</v>
      </c>
      <c r="U18" s="83">
        <f t="shared" si="40"/>
        <v>484004.25723934238</v>
      </c>
      <c r="V18" s="83">
        <f t="shared" si="40"/>
        <v>484004.25723934238</v>
      </c>
      <c r="W18" s="83">
        <f t="shared" si="40"/>
        <v>261521.75751630295</v>
      </c>
      <c r="X18" s="83">
        <f t="shared" si="40"/>
        <v>261521.75751630295</v>
      </c>
      <c r="Y18" s="83">
        <f t="shared" si="40"/>
        <v>152597.39417714439</v>
      </c>
      <c r="Z18" s="83">
        <f t="shared" si="40"/>
        <v>152597.39417714439</v>
      </c>
      <c r="AA18" s="83">
        <f t="shared" si="40"/>
        <v>152597.39417714439</v>
      </c>
      <c r="AB18" s="83">
        <f t="shared" si="40"/>
        <v>152597.39417714439</v>
      </c>
      <c r="AC18" s="83">
        <f t="shared" si="40"/>
        <v>152597.39417714439</v>
      </c>
      <c r="AD18" s="83">
        <f t="shared" si="40"/>
        <v>152597.39417714439</v>
      </c>
      <c r="AE18" s="83">
        <f t="shared" si="40"/>
        <v>152597.39417714439</v>
      </c>
      <c r="AF18" s="83">
        <f t="shared" si="40"/>
        <v>152597.39417714439</v>
      </c>
      <c r="AG18" s="83">
        <f t="shared" si="40"/>
        <v>152597.39417714439</v>
      </c>
      <c r="AH18" s="83">
        <f t="shared" si="40"/>
        <v>152597.39417714439</v>
      </c>
      <c r="AI18" s="83">
        <f t="shared" si="40"/>
        <v>0</v>
      </c>
      <c r="AJ18" s="83">
        <f t="shared" si="40"/>
        <v>0</v>
      </c>
      <c r="AK18" s="83">
        <f t="shared" si="40"/>
        <v>0</v>
      </c>
      <c r="AL18" s="83">
        <f t="shared" si="40"/>
        <v>0</v>
      </c>
      <c r="AM18" s="83">
        <f t="shared" si="40"/>
        <v>0</v>
      </c>
      <c r="AN18" s="83">
        <f t="shared" si="40"/>
        <v>0</v>
      </c>
      <c r="AO18" s="83">
        <f t="shared" si="40"/>
        <v>0</v>
      </c>
      <c r="AP18" s="83">
        <f t="shared" si="40"/>
        <v>0</v>
      </c>
      <c r="AQ18" s="83">
        <f t="shared" si="40"/>
        <v>0</v>
      </c>
      <c r="AR18" s="83">
        <f t="shared" si="40"/>
        <v>0</v>
      </c>
      <c r="AS18" s="83">
        <f t="shared" si="40"/>
        <v>0</v>
      </c>
      <c r="AT18" s="83">
        <f t="shared" si="40"/>
        <v>0</v>
      </c>
      <c r="AU18" s="83">
        <f t="shared" si="40"/>
        <v>0</v>
      </c>
      <c r="AV18" s="83">
        <f t="shared" si="40"/>
        <v>0</v>
      </c>
      <c r="AW18" s="83">
        <f t="shared" si="40"/>
        <v>0</v>
      </c>
    </row>
    <row r="19" spans="1:49" x14ac:dyDescent="0.2">
      <c r="A19" s="87">
        <f>A18+1</f>
        <v>2</v>
      </c>
      <c r="B19" s="88" t="s">
        <v>90</v>
      </c>
      <c r="C19" s="89" t="s">
        <v>89</v>
      </c>
      <c r="E19" s="90">
        <f>+E10*1000</f>
        <v>0</v>
      </c>
      <c r="F19" s="90">
        <f t="shared" si="39"/>
        <v>2127142.9349556672</v>
      </c>
      <c r="G19" s="90">
        <f t="shared" si="39"/>
        <v>2107866.777260087</v>
      </c>
      <c r="H19" s="90">
        <f t="shared" si="39"/>
        <v>2107866.777260087</v>
      </c>
      <c r="I19" s="90">
        <f t="shared" si="39"/>
        <v>2107866.777260087</v>
      </c>
      <c r="J19" s="90">
        <f t="shared" si="39"/>
        <v>2107711.5059523992</v>
      </c>
      <c r="K19" s="90">
        <f t="shared" si="39"/>
        <v>2041924.1361636699</v>
      </c>
      <c r="L19" s="90">
        <f t="shared" si="39"/>
        <v>2041924.1361636699</v>
      </c>
      <c r="M19" s="90">
        <f t="shared" si="39"/>
        <v>2041924.1361636699</v>
      </c>
      <c r="N19" s="90">
        <f t="shared" si="39"/>
        <v>623741.41071566078</v>
      </c>
      <c r="O19" s="90">
        <f t="shared" ref="O19:AW19" si="41">+O10*1000</f>
        <v>515845.76550932636</v>
      </c>
      <c r="P19" s="90">
        <f t="shared" si="41"/>
        <v>273481.0892761955</v>
      </c>
      <c r="Q19" s="90">
        <f t="shared" si="41"/>
        <v>273481.0892761955</v>
      </c>
      <c r="R19" s="90">
        <f t="shared" si="41"/>
        <v>273481.0892761955</v>
      </c>
      <c r="S19" s="90">
        <f t="shared" si="41"/>
        <v>273481.0892761955</v>
      </c>
      <c r="T19" s="90">
        <f t="shared" si="41"/>
        <v>273481.0892761955</v>
      </c>
      <c r="U19" s="90">
        <f t="shared" si="41"/>
        <v>41212.861508429087</v>
      </c>
      <c r="V19" s="90">
        <f t="shared" si="41"/>
        <v>33703.169799591706</v>
      </c>
      <c r="W19" s="90">
        <f t="shared" si="41"/>
        <v>33703.169799591706</v>
      </c>
      <c r="X19" s="90">
        <f t="shared" si="41"/>
        <v>0</v>
      </c>
      <c r="Y19" s="90">
        <f t="shared" si="41"/>
        <v>0</v>
      </c>
      <c r="Z19" s="90">
        <f t="shared" si="41"/>
        <v>0</v>
      </c>
      <c r="AA19" s="90">
        <f t="shared" si="41"/>
        <v>0</v>
      </c>
      <c r="AB19" s="90">
        <f t="shared" si="41"/>
        <v>0</v>
      </c>
      <c r="AC19" s="90">
        <f t="shared" si="41"/>
        <v>0</v>
      </c>
      <c r="AD19" s="90">
        <f t="shared" si="41"/>
        <v>0</v>
      </c>
      <c r="AE19" s="90">
        <f t="shared" si="41"/>
        <v>0</v>
      </c>
      <c r="AF19" s="90">
        <f t="shared" si="41"/>
        <v>0</v>
      </c>
      <c r="AG19" s="90">
        <f t="shared" si="41"/>
        <v>0</v>
      </c>
      <c r="AH19" s="90">
        <f t="shared" si="41"/>
        <v>0</v>
      </c>
      <c r="AI19" s="90">
        <f t="shared" si="41"/>
        <v>0</v>
      </c>
      <c r="AJ19" s="90">
        <f t="shared" si="41"/>
        <v>0</v>
      </c>
      <c r="AK19" s="90">
        <f t="shared" si="41"/>
        <v>0</v>
      </c>
      <c r="AL19" s="90">
        <f t="shared" si="41"/>
        <v>0</v>
      </c>
      <c r="AM19" s="90">
        <f t="shared" si="41"/>
        <v>0</v>
      </c>
      <c r="AN19" s="90">
        <f t="shared" si="41"/>
        <v>0</v>
      </c>
      <c r="AO19" s="90">
        <f t="shared" si="41"/>
        <v>0</v>
      </c>
      <c r="AP19" s="90">
        <f t="shared" si="41"/>
        <v>0</v>
      </c>
      <c r="AQ19" s="90">
        <f t="shared" si="41"/>
        <v>0</v>
      </c>
      <c r="AR19" s="90">
        <f t="shared" si="41"/>
        <v>0</v>
      </c>
      <c r="AS19" s="90">
        <f t="shared" si="41"/>
        <v>0</v>
      </c>
      <c r="AT19" s="90">
        <f t="shared" si="41"/>
        <v>0</v>
      </c>
      <c r="AU19" s="90">
        <f t="shared" si="41"/>
        <v>0</v>
      </c>
      <c r="AV19" s="90">
        <f t="shared" si="41"/>
        <v>0</v>
      </c>
      <c r="AW19" s="90">
        <f t="shared" si="41"/>
        <v>0</v>
      </c>
    </row>
    <row r="20" spans="1:49" x14ac:dyDescent="0.2">
      <c r="A20" s="94">
        <f>A19+1</f>
        <v>3</v>
      </c>
      <c r="B20" s="95" t="s">
        <v>91</v>
      </c>
      <c r="C20" s="96" t="s">
        <v>89</v>
      </c>
      <c r="E20" s="97">
        <f>+E11*1000</f>
        <v>0</v>
      </c>
      <c r="F20" s="97">
        <f t="shared" si="39"/>
        <v>0</v>
      </c>
      <c r="G20" s="97">
        <f t="shared" si="39"/>
        <v>12530058.480092956</v>
      </c>
      <c r="H20" s="97">
        <f t="shared" si="39"/>
        <v>11855511.686225479</v>
      </c>
      <c r="I20" s="97">
        <f t="shared" si="39"/>
        <v>11843974.199225478</v>
      </c>
      <c r="J20" s="97">
        <f t="shared" si="39"/>
        <v>11843974.199225478</v>
      </c>
      <c r="K20" s="97">
        <f t="shared" si="39"/>
        <v>11626537.302265525</v>
      </c>
      <c r="L20" s="97">
        <f t="shared" si="39"/>
        <v>11626076.322265524</v>
      </c>
      <c r="M20" s="97">
        <f t="shared" si="39"/>
        <v>11400133.673868217</v>
      </c>
      <c r="N20" s="97">
        <f t="shared" si="39"/>
        <v>11231335.382708021</v>
      </c>
      <c r="O20" s="97">
        <f t="shared" ref="O20:AW20" si="42">+O11*1000</f>
        <v>10617989.690133236</v>
      </c>
      <c r="P20" s="97">
        <f t="shared" si="42"/>
        <v>10371387.888842775</v>
      </c>
      <c r="Q20" s="97">
        <f t="shared" si="42"/>
        <v>10228972.576730534</v>
      </c>
      <c r="R20" s="97">
        <f t="shared" si="42"/>
        <v>10228972.576730534</v>
      </c>
      <c r="S20" s="97">
        <f t="shared" si="42"/>
        <v>10207341.54965435</v>
      </c>
      <c r="T20" s="97">
        <f t="shared" si="42"/>
        <v>10186812.614035698</v>
      </c>
      <c r="U20" s="97">
        <f t="shared" si="42"/>
        <v>10178032.757551458</v>
      </c>
      <c r="V20" s="97">
        <f t="shared" si="42"/>
        <v>10056048.022169048</v>
      </c>
      <c r="W20" s="97">
        <f t="shared" si="42"/>
        <v>9015624.7036292143</v>
      </c>
      <c r="X20" s="97">
        <f t="shared" si="42"/>
        <v>9015624.7036292143</v>
      </c>
      <c r="Y20" s="97">
        <f t="shared" si="42"/>
        <v>8789260.4372687247</v>
      </c>
      <c r="Z20" s="97">
        <f t="shared" si="42"/>
        <v>8789260.4372687247</v>
      </c>
      <c r="AA20" s="97">
        <f t="shared" si="42"/>
        <v>0</v>
      </c>
      <c r="AB20" s="97">
        <f t="shared" si="42"/>
        <v>0</v>
      </c>
      <c r="AC20" s="97">
        <f t="shared" si="42"/>
        <v>0</v>
      </c>
      <c r="AD20" s="97">
        <f t="shared" si="42"/>
        <v>0</v>
      </c>
      <c r="AE20" s="97">
        <f t="shared" si="42"/>
        <v>0</v>
      </c>
      <c r="AF20" s="97">
        <f t="shared" si="42"/>
        <v>0</v>
      </c>
      <c r="AG20" s="97">
        <f t="shared" si="42"/>
        <v>0</v>
      </c>
      <c r="AH20" s="97">
        <f t="shared" si="42"/>
        <v>0</v>
      </c>
      <c r="AI20" s="97">
        <f t="shared" si="42"/>
        <v>0</v>
      </c>
      <c r="AJ20" s="97">
        <f t="shared" si="42"/>
        <v>0</v>
      </c>
      <c r="AK20" s="97">
        <f t="shared" si="42"/>
        <v>0</v>
      </c>
      <c r="AL20" s="97">
        <f t="shared" si="42"/>
        <v>0</v>
      </c>
      <c r="AM20" s="97">
        <f t="shared" si="42"/>
        <v>0</v>
      </c>
      <c r="AN20" s="97">
        <f t="shared" si="42"/>
        <v>0</v>
      </c>
      <c r="AO20" s="97">
        <f t="shared" si="42"/>
        <v>0</v>
      </c>
      <c r="AP20" s="97">
        <f t="shared" si="42"/>
        <v>0</v>
      </c>
      <c r="AQ20" s="97">
        <f t="shared" si="42"/>
        <v>0</v>
      </c>
      <c r="AR20" s="97">
        <f t="shared" si="42"/>
        <v>0</v>
      </c>
      <c r="AS20" s="97">
        <f t="shared" si="42"/>
        <v>0</v>
      </c>
      <c r="AT20" s="97">
        <f t="shared" si="42"/>
        <v>0</v>
      </c>
      <c r="AU20" s="97">
        <f t="shared" si="42"/>
        <v>0</v>
      </c>
      <c r="AV20" s="97">
        <f t="shared" si="42"/>
        <v>0</v>
      </c>
      <c r="AW20" s="97">
        <f t="shared" si="42"/>
        <v>0</v>
      </c>
    </row>
    <row r="21" spans="1:49" x14ac:dyDescent="0.2">
      <c r="A21" s="101">
        <f>A20+1</f>
        <v>4</v>
      </c>
      <c r="B21" s="102" t="s">
        <v>92</v>
      </c>
      <c r="C21" s="103" t="s">
        <v>89</v>
      </c>
      <c r="E21" s="104">
        <f>+E12*1000</f>
        <v>0</v>
      </c>
      <c r="F21" s="104">
        <f t="shared" si="39"/>
        <v>0</v>
      </c>
      <c r="G21" s="104">
        <f t="shared" si="39"/>
        <v>0</v>
      </c>
      <c r="H21" s="104">
        <f t="shared" si="39"/>
        <v>6169185.587622989</v>
      </c>
      <c r="I21" s="104">
        <f t="shared" si="39"/>
        <v>5473351.7879807493</v>
      </c>
      <c r="J21" s="104">
        <f t="shared" si="39"/>
        <v>5473351.7879807493</v>
      </c>
      <c r="K21" s="104">
        <f t="shared" si="39"/>
        <v>5470421.5471606608</v>
      </c>
      <c r="L21" s="104">
        <f t="shared" si="39"/>
        <v>5399606.279900359</v>
      </c>
      <c r="M21" s="104">
        <f t="shared" si="39"/>
        <v>5174715.2525331853</v>
      </c>
      <c r="N21" s="104">
        <f t="shared" si="39"/>
        <v>5058830.0276117781</v>
      </c>
      <c r="O21" s="104">
        <f t="shared" ref="O21:AW21" si="43">+O12*1000</f>
        <v>5056301.4951693416</v>
      </c>
      <c r="P21" s="104">
        <f t="shared" si="43"/>
        <v>3659929.4549050303</v>
      </c>
      <c r="Q21" s="104">
        <f t="shared" si="43"/>
        <v>2068522.701753719</v>
      </c>
      <c r="R21" s="104">
        <f t="shared" si="43"/>
        <v>1723728.895764556</v>
      </c>
      <c r="S21" s="104">
        <f t="shared" si="43"/>
        <v>625470.74101761123</v>
      </c>
      <c r="T21" s="104">
        <f t="shared" si="43"/>
        <v>563133.8173536096</v>
      </c>
      <c r="U21" s="104">
        <f t="shared" si="43"/>
        <v>562381.42775525595</v>
      </c>
      <c r="V21" s="104">
        <f t="shared" si="43"/>
        <v>553498.30090838589</v>
      </c>
      <c r="W21" s="104">
        <f t="shared" si="43"/>
        <v>479856.50858013425</v>
      </c>
      <c r="X21" s="104">
        <f t="shared" si="43"/>
        <v>434159.01824217214</v>
      </c>
      <c r="Y21" s="104">
        <f t="shared" si="43"/>
        <v>425078.47890676762</v>
      </c>
      <c r="Z21" s="104">
        <f t="shared" si="43"/>
        <v>370145.43023895944</v>
      </c>
      <c r="AA21" s="104">
        <f t="shared" si="43"/>
        <v>87570.448262313032</v>
      </c>
      <c r="AB21" s="104">
        <f t="shared" si="43"/>
        <v>0</v>
      </c>
      <c r="AC21" s="104">
        <f t="shared" si="43"/>
        <v>0</v>
      </c>
      <c r="AD21" s="104">
        <f t="shared" si="43"/>
        <v>0</v>
      </c>
      <c r="AE21" s="104">
        <f t="shared" si="43"/>
        <v>0</v>
      </c>
      <c r="AF21" s="104">
        <f t="shared" si="43"/>
        <v>0</v>
      </c>
      <c r="AG21" s="104">
        <f t="shared" si="43"/>
        <v>0</v>
      </c>
      <c r="AH21" s="104">
        <f t="shared" si="43"/>
        <v>0</v>
      </c>
      <c r="AI21" s="104">
        <f t="shared" si="43"/>
        <v>0</v>
      </c>
      <c r="AJ21" s="104">
        <f t="shared" si="43"/>
        <v>0</v>
      </c>
      <c r="AK21" s="104">
        <f t="shared" si="43"/>
        <v>0</v>
      </c>
      <c r="AL21" s="104">
        <f t="shared" si="43"/>
        <v>0</v>
      </c>
      <c r="AM21" s="104">
        <f t="shared" si="43"/>
        <v>0</v>
      </c>
      <c r="AN21" s="104">
        <f t="shared" si="43"/>
        <v>0</v>
      </c>
      <c r="AO21" s="104">
        <f t="shared" si="43"/>
        <v>0</v>
      </c>
      <c r="AP21" s="104">
        <f t="shared" si="43"/>
        <v>0</v>
      </c>
      <c r="AQ21" s="104">
        <f t="shared" si="43"/>
        <v>0</v>
      </c>
      <c r="AR21" s="104">
        <f t="shared" si="43"/>
        <v>0</v>
      </c>
      <c r="AS21" s="104">
        <f t="shared" si="43"/>
        <v>0</v>
      </c>
      <c r="AT21" s="104">
        <f t="shared" si="43"/>
        <v>0</v>
      </c>
      <c r="AU21" s="104">
        <f t="shared" si="43"/>
        <v>0</v>
      </c>
      <c r="AV21" s="104">
        <f t="shared" si="43"/>
        <v>0</v>
      </c>
      <c r="AW21" s="104">
        <f t="shared" si="43"/>
        <v>0</v>
      </c>
    </row>
    <row r="22" spans="1:49" x14ac:dyDescent="0.2">
      <c r="A22" s="101">
        <f>A21+1</f>
        <v>5</v>
      </c>
      <c r="B22" s="102" t="s">
        <v>94</v>
      </c>
      <c r="C22" s="103" t="s">
        <v>95</v>
      </c>
      <c r="E22" s="104">
        <v>0</v>
      </c>
      <c r="F22" s="104">
        <v>0</v>
      </c>
      <c r="G22" s="104">
        <v>0</v>
      </c>
      <c r="H22" s="104">
        <v>0</v>
      </c>
      <c r="I22" s="104">
        <v>5000000</v>
      </c>
      <c r="J22" s="104">
        <f>+I22</f>
        <v>5000000</v>
      </c>
      <c r="K22" s="104">
        <f t="shared" ref="K22:N22" si="44">+J22</f>
        <v>5000000</v>
      </c>
      <c r="L22" s="104">
        <f t="shared" si="44"/>
        <v>5000000</v>
      </c>
      <c r="M22" s="104">
        <f t="shared" si="44"/>
        <v>5000000</v>
      </c>
      <c r="N22" s="104">
        <f t="shared" si="44"/>
        <v>5000000</v>
      </c>
      <c r="O22" s="104">
        <f t="shared" ref="O22" si="45">+N22</f>
        <v>5000000</v>
      </c>
      <c r="P22" s="104">
        <f t="shared" ref="P22" si="46">+O22</f>
        <v>5000000</v>
      </c>
      <c r="Q22" s="104">
        <f t="shared" ref="Q22" si="47">+P22</f>
        <v>5000000</v>
      </c>
      <c r="R22" s="104">
        <f t="shared" ref="R22" si="48">+Q22</f>
        <v>5000000</v>
      </c>
      <c r="S22" s="104">
        <f t="shared" ref="S22" si="49">+R22</f>
        <v>5000000</v>
      </c>
      <c r="T22" s="104">
        <f t="shared" ref="T22" si="50">+S22</f>
        <v>5000000</v>
      </c>
      <c r="U22" s="104">
        <f t="shared" ref="U22" si="51">+T22</f>
        <v>5000000</v>
      </c>
      <c r="V22" s="104">
        <f t="shared" ref="V22" si="52">+U22</f>
        <v>5000000</v>
      </c>
      <c r="W22" s="104">
        <f t="shared" ref="W22" si="53">+V22</f>
        <v>5000000</v>
      </c>
      <c r="X22" s="104">
        <f t="shared" ref="X22" si="54">+W22</f>
        <v>5000000</v>
      </c>
      <c r="Y22" s="104">
        <f t="shared" ref="Y22" si="55">+X22</f>
        <v>5000000</v>
      </c>
      <c r="Z22" s="104">
        <f t="shared" ref="Z22" si="56">+Y22</f>
        <v>5000000</v>
      </c>
      <c r="AA22" s="104">
        <f t="shared" ref="AA22" si="57">+Z22</f>
        <v>5000000</v>
      </c>
      <c r="AB22" s="104">
        <f t="shared" ref="AB22" si="58">+AA22</f>
        <v>5000000</v>
      </c>
      <c r="AC22" s="104">
        <f t="shared" ref="AC22" si="59">+AB22</f>
        <v>5000000</v>
      </c>
      <c r="AD22" s="104">
        <f t="shared" ref="AD22" si="60">+AC22</f>
        <v>5000000</v>
      </c>
      <c r="AE22" s="104">
        <f t="shared" ref="AE22" si="61">+AD22</f>
        <v>5000000</v>
      </c>
      <c r="AF22" s="104">
        <f t="shared" ref="AF22" si="62">+AE22</f>
        <v>5000000</v>
      </c>
      <c r="AG22" s="104">
        <f t="shared" ref="AG22" si="63">+AF22</f>
        <v>5000000</v>
      </c>
      <c r="AH22" s="104">
        <f t="shared" ref="AH22" si="64">+AG22</f>
        <v>5000000</v>
      </c>
      <c r="AI22" s="104">
        <f t="shared" ref="AI22" si="65">+AH22</f>
        <v>5000000</v>
      </c>
      <c r="AJ22" s="104">
        <f t="shared" ref="AJ22" si="66">+AI22</f>
        <v>5000000</v>
      </c>
      <c r="AK22" s="104">
        <f t="shared" ref="AK22" si="67">+AJ22</f>
        <v>5000000</v>
      </c>
      <c r="AL22" s="104">
        <f t="shared" ref="AL22" si="68">+AK22</f>
        <v>5000000</v>
      </c>
      <c r="AM22" s="104">
        <f t="shared" ref="AM22" si="69">+AL22</f>
        <v>5000000</v>
      </c>
      <c r="AN22" s="104">
        <f t="shared" ref="AN22" si="70">+AM22</f>
        <v>5000000</v>
      </c>
      <c r="AO22" s="104">
        <f t="shared" ref="AO22" si="71">+AN22</f>
        <v>5000000</v>
      </c>
      <c r="AP22" s="104">
        <f t="shared" ref="AP22" si="72">+AO22</f>
        <v>5000000</v>
      </c>
      <c r="AQ22" s="104">
        <f t="shared" ref="AQ22" si="73">+AP22</f>
        <v>5000000</v>
      </c>
      <c r="AR22" s="104">
        <f t="shared" ref="AR22" si="74">+AQ22</f>
        <v>5000000</v>
      </c>
      <c r="AS22" s="104">
        <f t="shared" ref="AS22" si="75">+AR22</f>
        <v>5000000</v>
      </c>
      <c r="AT22" s="104">
        <f t="shared" ref="AT22" si="76">+AS22</f>
        <v>5000000</v>
      </c>
      <c r="AU22" s="104">
        <f t="shared" ref="AU22" si="77">+AT22</f>
        <v>5000000</v>
      </c>
      <c r="AV22" s="104">
        <f t="shared" ref="AV22" si="78">+AU22</f>
        <v>5000000</v>
      </c>
      <c r="AW22" s="104">
        <f t="shared" ref="AW22" si="79">+AV22</f>
        <v>5000000</v>
      </c>
    </row>
    <row r="23" spans="1:49" x14ac:dyDescent="0.2">
      <c r="A23" s="108" t="s">
        <v>9</v>
      </c>
      <c r="B23" s="109"/>
      <c r="C23" s="110"/>
      <c r="D23" s="77"/>
      <c r="E23" s="111">
        <f>SUM(E18:E22)</f>
        <v>4361626.2111155242</v>
      </c>
      <c r="F23" s="111">
        <f t="shared" ref="F23:N23" si="80">SUM(F18:F22)</f>
        <v>6488769.1460711919</v>
      </c>
      <c r="G23" s="111">
        <f t="shared" si="80"/>
        <v>18999551.468468569</v>
      </c>
      <c r="H23" s="111">
        <f t="shared" si="80"/>
        <v>24494190.262224082</v>
      </c>
      <c r="I23" s="111">
        <f t="shared" si="80"/>
        <v>25182710.65980842</v>
      </c>
      <c r="J23" s="111">
        <f t="shared" si="80"/>
        <v>25182555.388500731</v>
      </c>
      <c r="K23" s="111">
        <f t="shared" si="80"/>
        <v>24831805.621150054</v>
      </c>
      <c r="L23" s="111">
        <f t="shared" si="80"/>
        <v>24760529.373889752</v>
      </c>
      <c r="M23" s="111">
        <f t="shared" si="80"/>
        <v>24267880.640079182</v>
      </c>
      <c r="N23" s="111">
        <f t="shared" si="80"/>
        <v>22565014.398549568</v>
      </c>
      <c r="O23" s="111">
        <f t="shared" ref="O23:AW23" si="81">SUM(O18:O22)</f>
        <v>21805289.991510943</v>
      </c>
      <c r="P23" s="111">
        <f t="shared" si="81"/>
        <v>19919951.473723039</v>
      </c>
      <c r="Q23" s="111">
        <f t="shared" si="81"/>
        <v>18186129.408459488</v>
      </c>
      <c r="R23" s="111">
        <f t="shared" si="81"/>
        <v>17841335.602470323</v>
      </c>
      <c r="S23" s="111">
        <f t="shared" si="81"/>
        <v>16663122.380545361</v>
      </c>
      <c r="T23" s="111">
        <f t="shared" si="81"/>
        <v>16507431.777904846</v>
      </c>
      <c r="U23" s="111">
        <f t="shared" si="81"/>
        <v>16265631.304054484</v>
      </c>
      <c r="V23" s="111">
        <f t="shared" si="81"/>
        <v>16127253.750116369</v>
      </c>
      <c r="W23" s="111">
        <f t="shared" si="81"/>
        <v>14790706.139525242</v>
      </c>
      <c r="X23" s="111">
        <f t="shared" si="81"/>
        <v>14711305.479387689</v>
      </c>
      <c r="Y23" s="111">
        <f t="shared" si="81"/>
        <v>14366936.310352637</v>
      </c>
      <c r="Z23" s="111">
        <f t="shared" si="81"/>
        <v>14312003.261684829</v>
      </c>
      <c r="AA23" s="111">
        <f t="shared" si="81"/>
        <v>5240167.8424394578</v>
      </c>
      <c r="AB23" s="111">
        <f t="shared" si="81"/>
        <v>5152597.3941771444</v>
      </c>
      <c r="AC23" s="111">
        <f t="shared" si="81"/>
        <v>5152597.3941771444</v>
      </c>
      <c r="AD23" s="111">
        <f t="shared" si="81"/>
        <v>5152597.3941771444</v>
      </c>
      <c r="AE23" s="111">
        <f t="shared" si="81"/>
        <v>5152597.3941771444</v>
      </c>
      <c r="AF23" s="111">
        <f t="shared" si="81"/>
        <v>5152597.3941771444</v>
      </c>
      <c r="AG23" s="111">
        <f t="shared" si="81"/>
        <v>5152597.3941771444</v>
      </c>
      <c r="AH23" s="111">
        <f t="shared" si="81"/>
        <v>5152597.3941771444</v>
      </c>
      <c r="AI23" s="111">
        <f t="shared" si="81"/>
        <v>5000000</v>
      </c>
      <c r="AJ23" s="111">
        <f t="shared" si="81"/>
        <v>5000000</v>
      </c>
      <c r="AK23" s="111">
        <f t="shared" si="81"/>
        <v>5000000</v>
      </c>
      <c r="AL23" s="111">
        <f t="shared" si="81"/>
        <v>5000000</v>
      </c>
      <c r="AM23" s="111">
        <f t="shared" si="81"/>
        <v>5000000</v>
      </c>
      <c r="AN23" s="111">
        <f t="shared" si="81"/>
        <v>5000000</v>
      </c>
      <c r="AO23" s="111">
        <f t="shared" si="81"/>
        <v>5000000</v>
      </c>
      <c r="AP23" s="111">
        <f t="shared" si="81"/>
        <v>5000000</v>
      </c>
      <c r="AQ23" s="111">
        <f t="shared" si="81"/>
        <v>5000000</v>
      </c>
      <c r="AR23" s="111">
        <f t="shared" si="81"/>
        <v>5000000</v>
      </c>
      <c r="AS23" s="111">
        <f t="shared" si="81"/>
        <v>5000000</v>
      </c>
      <c r="AT23" s="111">
        <f t="shared" si="81"/>
        <v>5000000</v>
      </c>
      <c r="AU23" s="111">
        <f t="shared" si="81"/>
        <v>5000000</v>
      </c>
      <c r="AV23" s="111">
        <f t="shared" si="81"/>
        <v>5000000</v>
      </c>
      <c r="AW23" s="111">
        <f t="shared" si="81"/>
        <v>5000000</v>
      </c>
    </row>
    <row r="25" spans="1:49" ht="13.5" thickBot="1" x14ac:dyDescent="0.25"/>
    <row r="26" spans="1:49" ht="15.75" x14ac:dyDescent="0.25">
      <c r="A26" s="188" t="s">
        <v>97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90"/>
    </row>
    <row r="27" spans="1:49" ht="25.5" x14ac:dyDescent="0.2">
      <c r="A27" s="191" t="s">
        <v>85</v>
      </c>
      <c r="B27" s="76" t="s">
        <v>86</v>
      </c>
      <c r="C27" s="76" t="s">
        <v>87</v>
      </c>
      <c r="D27" s="77"/>
      <c r="E27" s="78">
        <v>2006</v>
      </c>
      <c r="F27" s="78">
        <f>E27+1</f>
        <v>2007</v>
      </c>
      <c r="G27" s="78">
        <f t="shared" ref="G27" si="82">F27+1</f>
        <v>2008</v>
      </c>
      <c r="H27" s="78">
        <f t="shared" ref="H27" si="83">G27+1</f>
        <v>2009</v>
      </c>
      <c r="I27" s="78">
        <f t="shared" ref="I27" si="84">H27+1</f>
        <v>2010</v>
      </c>
      <c r="J27" s="186">
        <f t="shared" ref="J27" si="85">I27+1</f>
        <v>2011</v>
      </c>
      <c r="K27" s="186">
        <f t="shared" ref="K27" si="86">J27+1</f>
        <v>2012</v>
      </c>
      <c r="L27" s="186">
        <f t="shared" ref="L27" si="87">K27+1</f>
        <v>2013</v>
      </c>
      <c r="M27" s="186">
        <f t="shared" ref="M27" si="88">L27+1</f>
        <v>2014</v>
      </c>
      <c r="N27" s="186">
        <f t="shared" ref="N27" si="89">M27+1</f>
        <v>2015</v>
      </c>
      <c r="O27" s="186"/>
      <c r="P27" s="186"/>
      <c r="Q27" s="186"/>
      <c r="R27" s="186"/>
      <c r="S27" s="186"/>
      <c r="T27" s="192" t="s">
        <v>9</v>
      </c>
    </row>
    <row r="28" spans="1:49" x14ac:dyDescent="0.2">
      <c r="A28" s="193">
        <v>1</v>
      </c>
      <c r="B28" s="112" t="s">
        <v>99</v>
      </c>
      <c r="C28" s="113" t="s">
        <v>225</v>
      </c>
      <c r="D28" s="194"/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2584000</v>
      </c>
      <c r="K28" s="114">
        <f>+J28</f>
        <v>2584000</v>
      </c>
      <c r="L28" s="114">
        <f>+K28</f>
        <v>2584000</v>
      </c>
      <c r="M28" s="114">
        <f>+L28</f>
        <v>2584000</v>
      </c>
      <c r="N28" s="114">
        <f>+M28</f>
        <v>2584000</v>
      </c>
      <c r="O28" s="114"/>
      <c r="P28" s="114"/>
      <c r="Q28" s="114"/>
      <c r="R28" s="114"/>
      <c r="S28" s="114"/>
      <c r="T28" s="195">
        <f>SUM(E28:N28)</f>
        <v>12920000</v>
      </c>
    </row>
    <row r="29" spans="1:49" x14ac:dyDescent="0.2">
      <c r="A29" s="193">
        <f t="shared" ref="A29:A32" si="90">A28+1</f>
        <v>2</v>
      </c>
      <c r="B29" s="112" t="s">
        <v>100</v>
      </c>
      <c r="C29" s="113" t="s">
        <v>225</v>
      </c>
      <c r="D29" s="194"/>
      <c r="E29" s="114">
        <v>0</v>
      </c>
      <c r="F29" s="114">
        <v>0</v>
      </c>
      <c r="G29" s="114">
        <v>0</v>
      </c>
      <c r="H29" s="114">
        <v>0</v>
      </c>
      <c r="I29" s="114">
        <v>0</v>
      </c>
      <c r="J29" s="114">
        <v>0</v>
      </c>
      <c r="K29" s="114">
        <v>3995000</v>
      </c>
      <c r="L29" s="114">
        <f>+K29</f>
        <v>3995000</v>
      </c>
      <c r="M29" s="114">
        <f t="shared" ref="M29:N29" si="91">+L29</f>
        <v>3995000</v>
      </c>
      <c r="N29" s="114">
        <f t="shared" si="91"/>
        <v>3995000</v>
      </c>
      <c r="O29" s="114"/>
      <c r="P29" s="114"/>
      <c r="Q29" s="114"/>
      <c r="R29" s="114"/>
      <c r="S29" s="114"/>
      <c r="T29" s="195">
        <f t="shared" ref="T29:T32" si="92">SUM(E29:N29)</f>
        <v>15980000</v>
      </c>
    </row>
    <row r="30" spans="1:49" x14ac:dyDescent="0.2">
      <c r="A30" s="193">
        <f t="shared" si="90"/>
        <v>3</v>
      </c>
      <c r="B30" s="112" t="s">
        <v>101</v>
      </c>
      <c r="C30" s="113" t="s">
        <v>98</v>
      </c>
      <c r="D30" s="194"/>
      <c r="E30" s="114">
        <v>0</v>
      </c>
      <c r="F30" s="114">
        <v>0</v>
      </c>
      <c r="G30" s="114">
        <v>0</v>
      </c>
      <c r="H30" s="114">
        <v>0</v>
      </c>
      <c r="I30" s="114">
        <v>0</v>
      </c>
      <c r="J30" s="114">
        <v>0</v>
      </c>
      <c r="K30" s="114">
        <v>0</v>
      </c>
      <c r="L30" s="114">
        <v>5248000</v>
      </c>
      <c r="M30" s="114">
        <f>+L30</f>
        <v>5248000</v>
      </c>
      <c r="N30" s="114">
        <f>+M30</f>
        <v>5248000</v>
      </c>
      <c r="O30" s="114"/>
      <c r="P30" s="114"/>
      <c r="Q30" s="114"/>
      <c r="R30" s="114"/>
      <c r="S30" s="114"/>
      <c r="T30" s="195">
        <f t="shared" si="92"/>
        <v>15744000</v>
      </c>
    </row>
    <row r="31" spans="1:49" x14ac:dyDescent="0.2">
      <c r="A31" s="193">
        <f t="shared" si="90"/>
        <v>4</v>
      </c>
      <c r="B31" s="112" t="s">
        <v>102</v>
      </c>
      <c r="C31" s="113" t="s">
        <v>98</v>
      </c>
      <c r="D31" s="194"/>
      <c r="E31" s="114">
        <v>0</v>
      </c>
      <c r="F31" s="114">
        <v>0</v>
      </c>
      <c r="G31" s="114">
        <v>0</v>
      </c>
      <c r="H31" s="114">
        <v>0</v>
      </c>
      <c r="I31" s="114">
        <v>0</v>
      </c>
      <c r="J31" s="114">
        <v>0</v>
      </c>
      <c r="K31" s="114">
        <v>0</v>
      </c>
      <c r="L31" s="114">
        <v>0</v>
      </c>
      <c r="M31" s="114">
        <v>7426000</v>
      </c>
      <c r="N31" s="114">
        <f>+M31</f>
        <v>7426000</v>
      </c>
      <c r="O31" s="114"/>
      <c r="P31" s="114"/>
      <c r="Q31" s="114"/>
      <c r="R31" s="114"/>
      <c r="S31" s="114"/>
      <c r="T31" s="195">
        <f t="shared" si="92"/>
        <v>14852000</v>
      </c>
    </row>
    <row r="32" spans="1:49" x14ac:dyDescent="0.2">
      <c r="A32" s="193">
        <f t="shared" si="90"/>
        <v>5</v>
      </c>
      <c r="B32" s="112" t="s">
        <v>103</v>
      </c>
      <c r="C32" s="113" t="s">
        <v>98</v>
      </c>
      <c r="D32" s="194"/>
      <c r="E32" s="114">
        <v>0</v>
      </c>
      <c r="F32" s="114">
        <v>0</v>
      </c>
      <c r="G32" s="114">
        <v>0</v>
      </c>
      <c r="H32" s="114">
        <v>0</v>
      </c>
      <c r="I32" s="114">
        <v>0</v>
      </c>
      <c r="J32" s="114">
        <v>0</v>
      </c>
      <c r="K32" s="114">
        <v>0</v>
      </c>
      <c r="L32" s="114">
        <v>0</v>
      </c>
      <c r="M32" s="114">
        <v>0</v>
      </c>
      <c r="N32" s="114">
        <v>10256000</v>
      </c>
      <c r="O32" s="114"/>
      <c r="P32" s="114"/>
      <c r="Q32" s="114"/>
      <c r="R32" s="114"/>
      <c r="S32" s="114"/>
      <c r="T32" s="195">
        <f t="shared" si="92"/>
        <v>10256000</v>
      </c>
    </row>
    <row r="33" spans="1:22" ht="13.5" thickBot="1" x14ac:dyDescent="0.25">
      <c r="A33" s="196" t="s">
        <v>9</v>
      </c>
      <c r="B33" s="197"/>
      <c r="C33" s="198"/>
      <c r="D33" s="199"/>
      <c r="E33" s="200">
        <f t="shared" ref="E33:T33" si="93">SUM(E28:E32)</f>
        <v>0</v>
      </c>
      <c r="F33" s="200">
        <f t="shared" si="93"/>
        <v>0</v>
      </c>
      <c r="G33" s="200">
        <f t="shared" si="93"/>
        <v>0</v>
      </c>
      <c r="H33" s="200">
        <f t="shared" si="93"/>
        <v>0</v>
      </c>
      <c r="I33" s="200">
        <f t="shared" si="93"/>
        <v>0</v>
      </c>
      <c r="J33" s="200">
        <f t="shared" si="93"/>
        <v>2584000</v>
      </c>
      <c r="K33" s="200">
        <f t="shared" si="93"/>
        <v>6579000</v>
      </c>
      <c r="L33" s="200">
        <f t="shared" si="93"/>
        <v>11827000</v>
      </c>
      <c r="M33" s="200">
        <f t="shared" si="93"/>
        <v>19253000</v>
      </c>
      <c r="N33" s="200">
        <f t="shared" si="93"/>
        <v>29509000</v>
      </c>
      <c r="O33" s="200">
        <f t="shared" si="93"/>
        <v>0</v>
      </c>
      <c r="P33" s="200">
        <f t="shared" si="93"/>
        <v>0</v>
      </c>
      <c r="Q33" s="200">
        <f t="shared" si="93"/>
        <v>0</v>
      </c>
      <c r="R33" s="200">
        <f t="shared" si="93"/>
        <v>0</v>
      </c>
      <c r="S33" s="200">
        <f t="shared" si="93"/>
        <v>0</v>
      </c>
      <c r="T33" s="201">
        <f t="shared" si="93"/>
        <v>69752000</v>
      </c>
      <c r="V33" s="67">
        <v>52240000</v>
      </c>
    </row>
    <row r="34" spans="1:22" x14ac:dyDescent="0.2">
      <c r="V34" s="202">
        <f>+V33-T33</f>
        <v>-17512000</v>
      </c>
    </row>
    <row r="35" spans="1:22" ht="13.5" thickBot="1" x14ac:dyDescent="0.25">
      <c r="V35">
        <f>+V34/2</f>
        <v>-8756000</v>
      </c>
    </row>
    <row r="36" spans="1:22" ht="15.75" x14ac:dyDescent="0.25">
      <c r="A36" s="188" t="s">
        <v>97</v>
      </c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90"/>
    </row>
    <row r="37" spans="1:22" ht="25.5" x14ac:dyDescent="0.2">
      <c r="A37" s="191" t="s">
        <v>85</v>
      </c>
      <c r="B37" s="76" t="s">
        <v>86</v>
      </c>
      <c r="C37" s="76" t="s">
        <v>87</v>
      </c>
      <c r="D37" s="77"/>
      <c r="E37" s="78">
        <v>2006</v>
      </c>
      <c r="F37" s="78">
        <f>E37+1</f>
        <v>2007</v>
      </c>
      <c r="G37" s="78">
        <f t="shared" ref="G37" si="94">F37+1</f>
        <v>2008</v>
      </c>
      <c r="H37" s="78">
        <f t="shared" ref="H37" si="95">G37+1</f>
        <v>2009</v>
      </c>
      <c r="I37" s="78">
        <f t="shared" ref="I37" si="96">H37+1</f>
        <v>2010</v>
      </c>
      <c r="J37" s="186">
        <f t="shared" ref="J37" si="97">I37+1</f>
        <v>2011</v>
      </c>
      <c r="K37" s="186">
        <f t="shared" ref="K37" si="98">J37+1</f>
        <v>2012</v>
      </c>
      <c r="L37" s="186">
        <f t="shared" ref="L37" si="99">K37+1</f>
        <v>2013</v>
      </c>
      <c r="M37" s="186">
        <f t="shared" ref="M37" si="100">L37+1</f>
        <v>2014</v>
      </c>
      <c r="N37" s="186">
        <f t="shared" ref="N37" si="101">M37+1</f>
        <v>2015</v>
      </c>
      <c r="O37" s="186">
        <f t="shared" ref="O37" si="102">N37+1</f>
        <v>2016</v>
      </c>
      <c r="P37" s="186">
        <f t="shared" ref="P37" si="103">O37+1</f>
        <v>2017</v>
      </c>
      <c r="Q37" s="186">
        <f t="shared" ref="Q37" si="104">P37+1</f>
        <v>2018</v>
      </c>
      <c r="R37" s="186">
        <f t="shared" ref="R37" si="105">Q37+1</f>
        <v>2019</v>
      </c>
      <c r="S37" s="192" t="s">
        <v>9</v>
      </c>
    </row>
    <row r="38" spans="1:22" x14ac:dyDescent="0.2">
      <c r="A38" s="193">
        <v>1</v>
      </c>
      <c r="B38" s="112" t="s">
        <v>102</v>
      </c>
      <c r="C38" s="113" t="s">
        <v>98</v>
      </c>
      <c r="D38" s="194"/>
      <c r="E38" s="114">
        <v>0</v>
      </c>
      <c r="F38" s="114">
        <v>0</v>
      </c>
      <c r="G38" s="114">
        <v>0</v>
      </c>
      <c r="H38" s="114">
        <v>0</v>
      </c>
      <c r="I38" s="114">
        <v>0</v>
      </c>
      <c r="J38" s="114">
        <v>0</v>
      </c>
      <c r="K38" s="114">
        <v>0</v>
      </c>
      <c r="L38" s="114">
        <v>0</v>
      </c>
      <c r="M38" s="114">
        <f>+M31</f>
        <v>7426000</v>
      </c>
      <c r="N38" s="114">
        <f>+M38</f>
        <v>7426000</v>
      </c>
      <c r="O38" s="114">
        <f t="shared" ref="O38:R38" si="106">+N38</f>
        <v>7426000</v>
      </c>
      <c r="P38" s="114">
        <f t="shared" si="106"/>
        <v>7426000</v>
      </c>
      <c r="Q38" s="114">
        <f t="shared" si="106"/>
        <v>7426000</v>
      </c>
      <c r="R38" s="114">
        <f t="shared" si="106"/>
        <v>7426000</v>
      </c>
      <c r="S38" s="195">
        <f>SUM(E38:R38)</f>
        <v>44556000</v>
      </c>
    </row>
    <row r="39" spans="1:22" x14ac:dyDescent="0.2">
      <c r="A39" s="193">
        <f t="shared" ref="A39:A43" si="107">A38+1</f>
        <v>2</v>
      </c>
      <c r="B39" s="112" t="s">
        <v>103</v>
      </c>
      <c r="C39" s="113" t="s">
        <v>98</v>
      </c>
      <c r="D39" s="194"/>
      <c r="E39" s="114">
        <v>0</v>
      </c>
      <c r="F39" s="114">
        <v>0</v>
      </c>
      <c r="G39" s="114">
        <v>0</v>
      </c>
      <c r="H39" s="114">
        <v>0</v>
      </c>
      <c r="I39" s="114">
        <v>0</v>
      </c>
      <c r="J39" s="114">
        <v>0</v>
      </c>
      <c r="K39" s="114">
        <v>0</v>
      </c>
      <c r="L39" s="114">
        <v>0</v>
      </c>
      <c r="M39" s="114">
        <v>0</v>
      </c>
      <c r="N39" s="114">
        <f>+N32</f>
        <v>10256000</v>
      </c>
      <c r="O39" s="114">
        <f>+N39</f>
        <v>10256000</v>
      </c>
      <c r="P39" s="114">
        <f t="shared" ref="P39:R40" si="108">+O39</f>
        <v>10256000</v>
      </c>
      <c r="Q39" s="114">
        <f t="shared" si="108"/>
        <v>10256000</v>
      </c>
      <c r="R39" s="114">
        <f t="shared" si="108"/>
        <v>10256000</v>
      </c>
      <c r="S39" s="195">
        <f t="shared" ref="S39:S43" si="109">SUM(E39:R39)</f>
        <v>51280000</v>
      </c>
    </row>
    <row r="40" spans="1:22" x14ac:dyDescent="0.2">
      <c r="A40" s="193">
        <f>A39+1</f>
        <v>3</v>
      </c>
      <c r="B40" s="112" t="s">
        <v>224</v>
      </c>
      <c r="C40" s="113" t="s">
        <v>98</v>
      </c>
      <c r="D40" s="194"/>
      <c r="E40" s="114">
        <v>0</v>
      </c>
      <c r="F40" s="114">
        <v>0</v>
      </c>
      <c r="G40" s="114">
        <v>0</v>
      </c>
      <c r="H40" s="114">
        <v>0</v>
      </c>
      <c r="I40" s="114">
        <v>0</v>
      </c>
      <c r="J40" s="114">
        <v>0</v>
      </c>
      <c r="K40" s="114">
        <v>0</v>
      </c>
      <c r="L40" s="114">
        <v>0</v>
      </c>
      <c r="M40" s="114">
        <v>0</v>
      </c>
      <c r="N40" s="114">
        <v>0</v>
      </c>
      <c r="O40" s="114">
        <v>9572000</v>
      </c>
      <c r="P40" s="114">
        <f>+O40</f>
        <v>9572000</v>
      </c>
      <c r="Q40" s="114">
        <f t="shared" si="108"/>
        <v>9572000</v>
      </c>
      <c r="R40" s="114">
        <f t="shared" si="108"/>
        <v>9572000</v>
      </c>
      <c r="S40" s="195">
        <f t="shared" si="109"/>
        <v>38288000</v>
      </c>
    </row>
    <row r="41" spans="1:22" x14ac:dyDescent="0.2">
      <c r="A41" s="193">
        <f t="shared" si="107"/>
        <v>4</v>
      </c>
      <c r="B41" s="112" t="s">
        <v>226</v>
      </c>
      <c r="C41" s="113" t="s">
        <v>98</v>
      </c>
      <c r="D41" s="194"/>
      <c r="E41" s="114">
        <v>0</v>
      </c>
      <c r="F41" s="114">
        <v>0</v>
      </c>
      <c r="G41" s="114">
        <v>0</v>
      </c>
      <c r="H41" s="114">
        <v>0</v>
      </c>
      <c r="I41" s="114">
        <v>0</v>
      </c>
      <c r="J41" s="114">
        <v>0</v>
      </c>
      <c r="K41" s="114">
        <v>0</v>
      </c>
      <c r="L41" s="114">
        <v>0</v>
      </c>
      <c r="M41" s="114">
        <v>0</v>
      </c>
      <c r="N41" s="114">
        <v>0</v>
      </c>
      <c r="O41" s="114">
        <v>0</v>
      </c>
      <c r="P41" s="114">
        <v>10940000</v>
      </c>
      <c r="Q41" s="114">
        <f>+P41</f>
        <v>10940000</v>
      </c>
      <c r="R41" s="114">
        <f>+Q41</f>
        <v>10940000</v>
      </c>
      <c r="S41" s="195">
        <f t="shared" si="109"/>
        <v>32820000</v>
      </c>
    </row>
    <row r="42" spans="1:22" x14ac:dyDescent="0.2">
      <c r="A42" s="193">
        <f t="shared" si="107"/>
        <v>5</v>
      </c>
      <c r="B42" s="112" t="s">
        <v>227</v>
      </c>
      <c r="C42" s="113" t="s">
        <v>98</v>
      </c>
      <c r="D42" s="194"/>
      <c r="E42" s="114">
        <v>0</v>
      </c>
      <c r="F42" s="114">
        <v>0</v>
      </c>
      <c r="G42" s="114">
        <v>0</v>
      </c>
      <c r="H42" s="114">
        <v>0</v>
      </c>
      <c r="I42" s="114">
        <v>0</v>
      </c>
      <c r="J42" s="114">
        <v>0</v>
      </c>
      <c r="K42" s="114">
        <v>0</v>
      </c>
      <c r="L42" s="114">
        <v>0</v>
      </c>
      <c r="M42" s="114">
        <v>0</v>
      </c>
      <c r="N42" s="114">
        <v>0</v>
      </c>
      <c r="O42" s="114">
        <v>0</v>
      </c>
      <c r="P42" s="114">
        <v>0</v>
      </c>
      <c r="Q42" s="114">
        <v>11623000</v>
      </c>
      <c r="R42" s="114">
        <f>+Q42</f>
        <v>11623000</v>
      </c>
      <c r="S42" s="195">
        <f t="shared" si="109"/>
        <v>23246000</v>
      </c>
    </row>
    <row r="43" spans="1:22" x14ac:dyDescent="0.2">
      <c r="A43" s="193">
        <f t="shared" si="107"/>
        <v>6</v>
      </c>
      <c r="B43" s="112" t="s">
        <v>228</v>
      </c>
      <c r="C43" s="113" t="s">
        <v>98</v>
      </c>
      <c r="D43" s="194"/>
      <c r="E43" s="114">
        <v>0</v>
      </c>
      <c r="F43" s="114">
        <v>0</v>
      </c>
      <c r="G43" s="114">
        <v>0</v>
      </c>
      <c r="H43" s="114">
        <v>0</v>
      </c>
      <c r="I43" s="114">
        <v>0</v>
      </c>
      <c r="J43" s="114">
        <v>0</v>
      </c>
      <c r="K43" s="114">
        <v>0</v>
      </c>
      <c r="L43" s="114">
        <v>0</v>
      </c>
      <c r="M43" s="114">
        <v>0</v>
      </c>
      <c r="N43" s="114">
        <v>0</v>
      </c>
      <c r="O43" s="114">
        <v>0</v>
      </c>
      <c r="P43" s="114">
        <v>0</v>
      </c>
      <c r="Q43" s="114">
        <v>0</v>
      </c>
      <c r="R43" s="114">
        <v>12307000</v>
      </c>
      <c r="S43" s="195">
        <f t="shared" si="109"/>
        <v>12307000</v>
      </c>
    </row>
    <row r="44" spans="1:22" ht="13.5" thickBot="1" x14ac:dyDescent="0.25">
      <c r="A44" s="196" t="s">
        <v>9</v>
      </c>
      <c r="B44" s="197"/>
      <c r="C44" s="198"/>
      <c r="D44" s="199"/>
      <c r="E44" s="200">
        <f t="shared" ref="E44:L44" si="110">SUM(E38:E39)</f>
        <v>0</v>
      </c>
      <c r="F44" s="200">
        <f t="shared" si="110"/>
        <v>0</v>
      </c>
      <c r="G44" s="200">
        <f t="shared" si="110"/>
        <v>0</v>
      </c>
      <c r="H44" s="200">
        <f t="shared" si="110"/>
        <v>0</v>
      </c>
      <c r="I44" s="200">
        <f t="shared" si="110"/>
        <v>0</v>
      </c>
      <c r="J44" s="200">
        <f t="shared" si="110"/>
        <v>0</v>
      </c>
      <c r="K44" s="200">
        <f t="shared" si="110"/>
        <v>0</v>
      </c>
      <c r="L44" s="200">
        <f t="shared" si="110"/>
        <v>0</v>
      </c>
      <c r="M44" s="200">
        <f>SUM(M38:M43)</f>
        <v>7426000</v>
      </c>
      <c r="N44" s="200">
        <f t="shared" ref="N44:R44" si="111">SUM(N38:N43)</f>
        <v>17682000</v>
      </c>
      <c r="O44" s="200">
        <f t="shared" si="111"/>
        <v>27254000</v>
      </c>
      <c r="P44" s="200">
        <f t="shared" si="111"/>
        <v>38194000</v>
      </c>
      <c r="Q44" s="200">
        <f t="shared" si="111"/>
        <v>49817000</v>
      </c>
      <c r="R44" s="200">
        <f t="shared" si="111"/>
        <v>62124000</v>
      </c>
      <c r="S44" s="201">
        <f>SUM(S38:S43)</f>
        <v>202497000</v>
      </c>
    </row>
    <row r="47" spans="1:22" ht="15.75" x14ac:dyDescent="0.25">
      <c r="A47" s="40" t="s">
        <v>97</v>
      </c>
    </row>
    <row r="48" spans="1:22" ht="25.5" x14ac:dyDescent="0.2">
      <c r="A48" s="76" t="s">
        <v>85</v>
      </c>
      <c r="B48" s="76" t="s">
        <v>86</v>
      </c>
      <c r="C48" s="76" t="s">
        <v>87</v>
      </c>
      <c r="D48" s="77"/>
      <c r="E48" s="78">
        <v>2006</v>
      </c>
      <c r="F48" s="78">
        <f>E48+1</f>
        <v>2007</v>
      </c>
      <c r="G48" s="78">
        <f t="shared" ref="G48" si="112">F48+1</f>
        <v>2008</v>
      </c>
      <c r="H48" s="78">
        <f t="shared" ref="H48" si="113">G48+1</f>
        <v>2009</v>
      </c>
      <c r="I48" s="78">
        <f t="shared" ref="I48" si="114">H48+1</f>
        <v>2010</v>
      </c>
      <c r="J48" s="78">
        <f t="shared" ref="J48" si="115">I48+1</f>
        <v>2011</v>
      </c>
      <c r="K48" s="78">
        <f t="shared" ref="K48" si="116">J48+1</f>
        <v>2012</v>
      </c>
      <c r="L48" s="78">
        <f t="shared" ref="L48" si="117">K48+1</f>
        <v>2013</v>
      </c>
      <c r="M48" s="78">
        <f t="shared" ref="M48" si="118">L48+1</f>
        <v>2014</v>
      </c>
      <c r="N48" s="78">
        <f t="shared" ref="N48" si="119">M48+1</f>
        <v>2015</v>
      </c>
      <c r="O48" s="78">
        <f t="shared" ref="O48" si="120">N48+1</f>
        <v>2016</v>
      </c>
      <c r="P48" s="78">
        <f t="shared" ref="P48" si="121">O48+1</f>
        <v>2017</v>
      </c>
      <c r="Q48" s="78">
        <f t="shared" ref="Q48" si="122">P48+1</f>
        <v>2018</v>
      </c>
      <c r="R48" s="78">
        <f t="shared" ref="R48" si="123">Q48+1</f>
        <v>2019</v>
      </c>
      <c r="S48" s="78">
        <f t="shared" ref="S48" si="124">R48+1</f>
        <v>2020</v>
      </c>
    </row>
    <row r="49" spans="1:19" x14ac:dyDescent="0.2">
      <c r="A49" s="80">
        <v>1</v>
      </c>
      <c r="B49" s="81" t="s">
        <v>88</v>
      </c>
      <c r="C49" s="82" t="s">
        <v>89</v>
      </c>
      <c r="E49" s="83">
        <f t="shared" ref="E49:S49" si="125">+E18</f>
        <v>4361626.2111155242</v>
      </c>
      <c r="F49" s="83">
        <f t="shared" si="125"/>
        <v>4361626.2111155242</v>
      </c>
      <c r="G49" s="83">
        <f t="shared" si="125"/>
        <v>4361626.2111155242</v>
      </c>
      <c r="H49" s="83">
        <f t="shared" si="125"/>
        <v>4361626.2111155242</v>
      </c>
      <c r="I49" s="83">
        <f t="shared" si="125"/>
        <v>757517.89534210588</v>
      </c>
      <c r="J49" s="83">
        <f t="shared" si="125"/>
        <v>757517.89534210588</v>
      </c>
      <c r="K49" s="83">
        <f t="shared" si="125"/>
        <v>692922.63556019985</v>
      </c>
      <c r="L49" s="83">
        <f t="shared" si="125"/>
        <v>692922.63556019985</v>
      </c>
      <c r="M49" s="83">
        <f t="shared" si="125"/>
        <v>651107.57751410967</v>
      </c>
      <c r="N49" s="83">
        <f t="shared" si="125"/>
        <v>651107.57751410967</v>
      </c>
      <c r="O49" s="83">
        <f t="shared" si="125"/>
        <v>615153.04069904017</v>
      </c>
      <c r="P49" s="83">
        <f t="shared" si="125"/>
        <v>615153.04069904017</v>
      </c>
      <c r="Q49" s="83">
        <f t="shared" si="125"/>
        <v>615153.04069904017</v>
      </c>
      <c r="R49" s="83">
        <f t="shared" si="125"/>
        <v>615153.04069904017</v>
      </c>
      <c r="S49" s="83">
        <f t="shared" si="125"/>
        <v>556829.0005972049</v>
      </c>
    </row>
    <row r="50" spans="1:19" x14ac:dyDescent="0.2">
      <c r="A50" s="87">
        <f>A49+1</f>
        <v>2</v>
      </c>
      <c r="B50" s="88" t="s">
        <v>90</v>
      </c>
      <c r="C50" s="89" t="s">
        <v>89</v>
      </c>
      <c r="E50" s="90">
        <f>+E19</f>
        <v>0</v>
      </c>
      <c r="F50" s="90">
        <f t="shared" ref="F50:N50" si="126">+F19</f>
        <v>2127142.9349556672</v>
      </c>
      <c r="G50" s="90">
        <f t="shared" si="126"/>
        <v>2107866.777260087</v>
      </c>
      <c r="H50" s="90">
        <f t="shared" si="126"/>
        <v>2107866.777260087</v>
      </c>
      <c r="I50" s="90">
        <f t="shared" si="126"/>
        <v>2107866.777260087</v>
      </c>
      <c r="J50" s="90">
        <f t="shared" si="126"/>
        <v>2107711.5059523992</v>
      </c>
      <c r="K50" s="90">
        <f t="shared" si="126"/>
        <v>2041924.1361636699</v>
      </c>
      <c r="L50" s="90">
        <f t="shared" si="126"/>
        <v>2041924.1361636699</v>
      </c>
      <c r="M50" s="90">
        <f t="shared" si="126"/>
        <v>2041924.1361636699</v>
      </c>
      <c r="N50" s="90">
        <f t="shared" si="126"/>
        <v>623741.41071566078</v>
      </c>
      <c r="O50" s="90">
        <f t="shared" ref="O50:S53" si="127">+O19</f>
        <v>515845.76550932636</v>
      </c>
      <c r="P50" s="90">
        <f t="shared" si="127"/>
        <v>273481.0892761955</v>
      </c>
      <c r="Q50" s="90">
        <f t="shared" si="127"/>
        <v>273481.0892761955</v>
      </c>
      <c r="R50" s="90">
        <f t="shared" si="127"/>
        <v>273481.0892761955</v>
      </c>
      <c r="S50" s="90">
        <f t="shared" si="127"/>
        <v>273481.0892761955</v>
      </c>
    </row>
    <row r="51" spans="1:19" x14ac:dyDescent="0.2">
      <c r="A51" s="94">
        <f>A50+1</f>
        <v>3</v>
      </c>
      <c r="B51" s="95" t="s">
        <v>91</v>
      </c>
      <c r="C51" s="96" t="s">
        <v>89</v>
      </c>
      <c r="E51" s="97">
        <f>+E20</f>
        <v>0</v>
      </c>
      <c r="F51" s="97">
        <f t="shared" ref="F51:N51" si="128">+F20</f>
        <v>0</v>
      </c>
      <c r="G51" s="97">
        <f t="shared" si="128"/>
        <v>12530058.480092956</v>
      </c>
      <c r="H51" s="97">
        <f t="shared" si="128"/>
        <v>11855511.686225479</v>
      </c>
      <c r="I51" s="97">
        <f t="shared" si="128"/>
        <v>11843974.199225478</v>
      </c>
      <c r="J51" s="97">
        <f t="shared" si="128"/>
        <v>11843974.199225478</v>
      </c>
      <c r="K51" s="97">
        <f t="shared" si="128"/>
        <v>11626537.302265525</v>
      </c>
      <c r="L51" s="97">
        <f t="shared" si="128"/>
        <v>11626076.322265524</v>
      </c>
      <c r="M51" s="97">
        <f t="shared" si="128"/>
        <v>11400133.673868217</v>
      </c>
      <c r="N51" s="97">
        <f t="shared" si="128"/>
        <v>11231335.382708021</v>
      </c>
      <c r="O51" s="97">
        <f t="shared" si="127"/>
        <v>10617989.690133236</v>
      </c>
      <c r="P51" s="97">
        <f t="shared" si="127"/>
        <v>10371387.888842775</v>
      </c>
      <c r="Q51" s="97">
        <f t="shared" si="127"/>
        <v>10228972.576730534</v>
      </c>
      <c r="R51" s="97">
        <f t="shared" si="127"/>
        <v>10228972.576730534</v>
      </c>
      <c r="S51" s="97">
        <f t="shared" si="127"/>
        <v>10207341.54965435</v>
      </c>
    </row>
    <row r="52" spans="1:19" x14ac:dyDescent="0.2">
      <c r="A52" s="101">
        <f>A51+1</f>
        <v>4</v>
      </c>
      <c r="B52" s="102" t="s">
        <v>92</v>
      </c>
      <c r="C52" s="103" t="s">
        <v>89</v>
      </c>
      <c r="E52" s="104">
        <f>+E21</f>
        <v>0</v>
      </c>
      <c r="F52" s="104">
        <f t="shared" ref="F52:N52" si="129">+F21</f>
        <v>0</v>
      </c>
      <c r="G52" s="104">
        <f t="shared" si="129"/>
        <v>0</v>
      </c>
      <c r="H52" s="104">
        <f t="shared" si="129"/>
        <v>6169185.587622989</v>
      </c>
      <c r="I52" s="104">
        <f t="shared" si="129"/>
        <v>5473351.7879807493</v>
      </c>
      <c r="J52" s="104">
        <f t="shared" si="129"/>
        <v>5473351.7879807493</v>
      </c>
      <c r="K52" s="104">
        <f t="shared" si="129"/>
        <v>5470421.5471606608</v>
      </c>
      <c r="L52" s="104">
        <f t="shared" si="129"/>
        <v>5399606.279900359</v>
      </c>
      <c r="M52" s="104">
        <f t="shared" si="129"/>
        <v>5174715.2525331853</v>
      </c>
      <c r="N52" s="104">
        <f t="shared" si="129"/>
        <v>5058830.0276117781</v>
      </c>
      <c r="O52" s="104">
        <f t="shared" si="127"/>
        <v>5056301.4951693416</v>
      </c>
      <c r="P52" s="104">
        <f t="shared" si="127"/>
        <v>3659929.4549050303</v>
      </c>
      <c r="Q52" s="104">
        <f t="shared" si="127"/>
        <v>2068522.701753719</v>
      </c>
      <c r="R52" s="104">
        <f t="shared" si="127"/>
        <v>1723728.895764556</v>
      </c>
      <c r="S52" s="104">
        <f t="shared" si="127"/>
        <v>625470.74101761123</v>
      </c>
    </row>
    <row r="53" spans="1:19" x14ac:dyDescent="0.2">
      <c r="A53" s="101">
        <f>A52+1</f>
        <v>5</v>
      </c>
      <c r="B53" s="102" t="s">
        <v>94</v>
      </c>
      <c r="C53" s="103" t="s">
        <v>95</v>
      </c>
      <c r="E53" s="104">
        <f>+E22</f>
        <v>0</v>
      </c>
      <c r="F53" s="104">
        <f t="shared" ref="F53:N53" si="130">+F22</f>
        <v>0</v>
      </c>
      <c r="G53" s="104">
        <f t="shared" si="130"/>
        <v>0</v>
      </c>
      <c r="H53" s="104">
        <f t="shared" si="130"/>
        <v>0</v>
      </c>
      <c r="I53" s="104">
        <f t="shared" si="130"/>
        <v>5000000</v>
      </c>
      <c r="J53" s="104">
        <f t="shared" si="130"/>
        <v>5000000</v>
      </c>
      <c r="K53" s="104">
        <f t="shared" si="130"/>
        <v>5000000</v>
      </c>
      <c r="L53" s="104">
        <f t="shared" si="130"/>
        <v>5000000</v>
      </c>
      <c r="M53" s="104">
        <f t="shared" si="130"/>
        <v>5000000</v>
      </c>
      <c r="N53" s="104">
        <f t="shared" si="130"/>
        <v>5000000</v>
      </c>
      <c r="O53" s="104">
        <f t="shared" si="127"/>
        <v>5000000</v>
      </c>
      <c r="P53" s="104">
        <f t="shared" si="127"/>
        <v>5000000</v>
      </c>
      <c r="Q53" s="104">
        <f t="shared" si="127"/>
        <v>5000000</v>
      </c>
      <c r="R53" s="104">
        <f t="shared" si="127"/>
        <v>5000000</v>
      </c>
      <c r="S53" s="104">
        <f t="shared" si="127"/>
        <v>5000000</v>
      </c>
    </row>
    <row r="54" spans="1:19" x14ac:dyDescent="0.2">
      <c r="A54" s="101">
        <f t="shared" ref="A54:A63" si="131">A53+1</f>
        <v>6</v>
      </c>
      <c r="B54" s="112" t="s">
        <v>99</v>
      </c>
      <c r="C54" s="113" t="s">
        <v>89</v>
      </c>
      <c r="E54" s="114">
        <v>0</v>
      </c>
      <c r="F54" s="114">
        <v>0</v>
      </c>
      <c r="G54" s="114">
        <v>0</v>
      </c>
      <c r="H54" s="114">
        <v>0</v>
      </c>
      <c r="I54" s="114">
        <v>0</v>
      </c>
      <c r="J54" s="114">
        <v>0</v>
      </c>
      <c r="K54" s="114">
        <f>+J54</f>
        <v>0</v>
      </c>
      <c r="L54" s="114">
        <f>+K54</f>
        <v>0</v>
      </c>
      <c r="M54" s="114">
        <f>+L54</f>
        <v>0</v>
      </c>
      <c r="N54" s="114">
        <f>+M54</f>
        <v>0</v>
      </c>
      <c r="O54" s="114">
        <f t="shared" ref="O54:S54" si="132">+N54</f>
        <v>0</v>
      </c>
      <c r="P54" s="114">
        <f t="shared" si="132"/>
        <v>0</v>
      </c>
      <c r="Q54" s="114">
        <f t="shared" si="132"/>
        <v>0</v>
      </c>
      <c r="R54" s="114">
        <f t="shared" si="132"/>
        <v>0</v>
      </c>
      <c r="S54" s="114">
        <f t="shared" si="132"/>
        <v>0</v>
      </c>
    </row>
    <row r="55" spans="1:19" x14ac:dyDescent="0.2">
      <c r="A55" s="101">
        <f t="shared" si="131"/>
        <v>7</v>
      </c>
      <c r="B55" s="112" t="s">
        <v>100</v>
      </c>
      <c r="C55" s="113" t="s">
        <v>89</v>
      </c>
      <c r="E55" s="114">
        <v>0</v>
      </c>
      <c r="F55" s="114">
        <v>0</v>
      </c>
      <c r="G55" s="114">
        <v>0</v>
      </c>
      <c r="H55" s="114">
        <v>0</v>
      </c>
      <c r="I55" s="114">
        <v>0</v>
      </c>
      <c r="J55" s="114">
        <v>0</v>
      </c>
      <c r="K55" s="114">
        <v>0</v>
      </c>
      <c r="L55" s="114">
        <f>+K55</f>
        <v>0</v>
      </c>
      <c r="M55" s="114">
        <f>+L55</f>
        <v>0</v>
      </c>
      <c r="N55" s="114">
        <f>+M55</f>
        <v>0</v>
      </c>
      <c r="O55" s="114">
        <f t="shared" ref="O55:S55" si="133">+N55</f>
        <v>0</v>
      </c>
      <c r="P55" s="114">
        <f t="shared" si="133"/>
        <v>0</v>
      </c>
      <c r="Q55" s="114">
        <f t="shared" si="133"/>
        <v>0</v>
      </c>
      <c r="R55" s="114">
        <f t="shared" si="133"/>
        <v>0</v>
      </c>
      <c r="S55" s="114">
        <f t="shared" si="133"/>
        <v>0</v>
      </c>
    </row>
    <row r="56" spans="1:19" x14ac:dyDescent="0.2">
      <c r="A56" s="101">
        <f t="shared" si="131"/>
        <v>8</v>
      </c>
      <c r="B56" s="112" t="s">
        <v>101</v>
      </c>
      <c r="C56" s="113" t="s">
        <v>98</v>
      </c>
      <c r="E56" s="114">
        <v>0</v>
      </c>
      <c r="F56" s="114">
        <v>0</v>
      </c>
      <c r="G56" s="114">
        <v>0</v>
      </c>
      <c r="H56" s="114">
        <v>0</v>
      </c>
      <c r="I56" s="114">
        <v>0</v>
      </c>
      <c r="J56" s="114">
        <v>0</v>
      </c>
      <c r="K56" s="114">
        <v>0</v>
      </c>
      <c r="L56" s="114">
        <v>0</v>
      </c>
      <c r="M56" s="114">
        <f>+L56</f>
        <v>0</v>
      </c>
      <c r="N56" s="114">
        <f>+M56</f>
        <v>0</v>
      </c>
      <c r="O56" s="114">
        <f t="shared" ref="O56:S56" si="134">+N56</f>
        <v>0</v>
      </c>
      <c r="P56" s="114">
        <f t="shared" si="134"/>
        <v>0</v>
      </c>
      <c r="Q56" s="114">
        <f t="shared" si="134"/>
        <v>0</v>
      </c>
      <c r="R56" s="114">
        <f t="shared" si="134"/>
        <v>0</v>
      </c>
      <c r="S56" s="114">
        <f t="shared" si="134"/>
        <v>0</v>
      </c>
    </row>
    <row r="57" spans="1:19" x14ac:dyDescent="0.2">
      <c r="A57" s="101">
        <f t="shared" si="131"/>
        <v>9</v>
      </c>
      <c r="B57" s="112" t="s">
        <v>102</v>
      </c>
      <c r="C57" s="113" t="s">
        <v>98</v>
      </c>
      <c r="E57" s="114">
        <v>0</v>
      </c>
      <c r="F57" s="114">
        <v>0</v>
      </c>
      <c r="G57" s="114">
        <v>0</v>
      </c>
      <c r="H57" s="114">
        <v>0</v>
      </c>
      <c r="I57" s="114">
        <v>0</v>
      </c>
      <c r="J57" s="114">
        <v>0</v>
      </c>
      <c r="K57" s="114">
        <v>0</v>
      </c>
      <c r="L57" s="114">
        <v>0</v>
      </c>
      <c r="M57" s="114">
        <v>0</v>
      </c>
      <c r="N57" s="114">
        <f>+M57</f>
        <v>0</v>
      </c>
      <c r="O57" s="114">
        <f t="shared" ref="O57:S57" si="135">+N57</f>
        <v>0</v>
      </c>
      <c r="P57" s="114">
        <f t="shared" si="135"/>
        <v>0</v>
      </c>
      <c r="Q57" s="114">
        <f t="shared" si="135"/>
        <v>0</v>
      </c>
      <c r="R57" s="114">
        <f t="shared" si="135"/>
        <v>0</v>
      </c>
      <c r="S57" s="114">
        <f t="shared" si="135"/>
        <v>0</v>
      </c>
    </row>
    <row r="58" spans="1:19" x14ac:dyDescent="0.2">
      <c r="A58" s="101">
        <f t="shared" si="131"/>
        <v>10</v>
      </c>
      <c r="B58" s="112" t="s">
        <v>103</v>
      </c>
      <c r="C58" s="113" t="s">
        <v>98</v>
      </c>
      <c r="E58" s="114">
        <v>0</v>
      </c>
      <c r="F58" s="114">
        <v>0</v>
      </c>
      <c r="G58" s="114">
        <v>0</v>
      </c>
      <c r="H58" s="114">
        <v>0</v>
      </c>
      <c r="I58" s="114">
        <v>0</v>
      </c>
      <c r="J58" s="114">
        <v>0</v>
      </c>
      <c r="K58" s="114">
        <v>0</v>
      </c>
      <c r="L58" s="114">
        <v>0</v>
      </c>
      <c r="M58" s="114">
        <v>0</v>
      </c>
      <c r="N58" s="114">
        <v>0</v>
      </c>
      <c r="O58" s="114">
        <v>0</v>
      </c>
      <c r="P58" s="114">
        <v>0</v>
      </c>
      <c r="Q58" s="114">
        <v>0</v>
      </c>
      <c r="R58" s="114">
        <v>0</v>
      </c>
      <c r="S58" s="114">
        <v>0</v>
      </c>
    </row>
    <row r="59" spans="1:19" x14ac:dyDescent="0.2">
      <c r="A59" s="193">
        <f t="shared" si="131"/>
        <v>11</v>
      </c>
      <c r="B59" s="112" t="s">
        <v>224</v>
      </c>
      <c r="C59" s="113" t="s">
        <v>98</v>
      </c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</row>
    <row r="60" spans="1:19" x14ac:dyDescent="0.2">
      <c r="A60" s="193">
        <f t="shared" si="131"/>
        <v>12</v>
      </c>
      <c r="B60" s="112" t="s">
        <v>226</v>
      </c>
      <c r="C60" s="113" t="s">
        <v>98</v>
      </c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</row>
    <row r="61" spans="1:19" x14ac:dyDescent="0.2">
      <c r="A61" s="193">
        <f t="shared" si="131"/>
        <v>13</v>
      </c>
      <c r="B61" s="112" t="s">
        <v>227</v>
      </c>
      <c r="C61" s="113" t="s">
        <v>98</v>
      </c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</row>
    <row r="62" spans="1:19" x14ac:dyDescent="0.2">
      <c r="A62" s="193">
        <f t="shared" si="131"/>
        <v>14</v>
      </c>
      <c r="B62" s="112" t="s">
        <v>228</v>
      </c>
      <c r="C62" s="113" t="s">
        <v>98</v>
      </c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</row>
    <row r="63" spans="1:19" x14ac:dyDescent="0.2">
      <c r="A63" s="193">
        <f t="shared" si="131"/>
        <v>15</v>
      </c>
      <c r="B63" s="112" t="s">
        <v>229</v>
      </c>
      <c r="C63" s="113" t="s">
        <v>98</v>
      </c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</row>
    <row r="64" spans="1:19" x14ac:dyDescent="0.2">
      <c r="A64" s="108" t="s">
        <v>9</v>
      </c>
      <c r="B64" s="109"/>
      <c r="C64" s="110"/>
      <c r="D64" s="77"/>
      <c r="E64" s="111">
        <f>SUM(E49:E58)</f>
        <v>4361626.2111155242</v>
      </c>
      <c r="F64" s="111">
        <f t="shared" ref="F64:N64" si="136">SUM(F49:F58)</f>
        <v>6488769.1460711919</v>
      </c>
      <c r="G64" s="111">
        <f t="shared" si="136"/>
        <v>18999551.468468569</v>
      </c>
      <c r="H64" s="111">
        <f t="shared" si="136"/>
        <v>24494190.262224082</v>
      </c>
      <c r="I64" s="111">
        <f t="shared" si="136"/>
        <v>25182710.65980842</v>
      </c>
      <c r="J64" s="111">
        <f t="shared" si="136"/>
        <v>25182555.388500731</v>
      </c>
      <c r="K64" s="111">
        <f t="shared" si="136"/>
        <v>24831805.621150054</v>
      </c>
      <c r="L64" s="111">
        <f t="shared" si="136"/>
        <v>24760529.373889752</v>
      </c>
      <c r="M64" s="111">
        <f t="shared" si="136"/>
        <v>24267880.640079182</v>
      </c>
      <c r="N64" s="111">
        <f t="shared" si="136"/>
        <v>22565014.398549568</v>
      </c>
      <c r="O64" s="111">
        <f t="shared" ref="O64:S64" si="137">SUM(O49:O58)</f>
        <v>21805289.991510943</v>
      </c>
      <c r="P64" s="111">
        <f t="shared" si="137"/>
        <v>19919951.473723039</v>
      </c>
      <c r="Q64" s="111">
        <f t="shared" si="137"/>
        <v>18186129.408459488</v>
      </c>
      <c r="R64" s="111">
        <f t="shared" si="137"/>
        <v>17841335.602470323</v>
      </c>
      <c r="S64" s="111">
        <f t="shared" si="137"/>
        <v>16663122.380545361</v>
      </c>
    </row>
    <row r="66" spans="1:5" x14ac:dyDescent="0.2">
      <c r="A66" s="115" t="s">
        <v>104</v>
      </c>
      <c r="B66" s="116">
        <v>52240000</v>
      </c>
      <c r="C66" s="117" t="s">
        <v>105</v>
      </c>
    </row>
    <row r="67" spans="1:5" x14ac:dyDescent="0.2">
      <c r="C67" s="127" t="s">
        <v>108</v>
      </c>
      <c r="E67" s="66" t="s">
        <v>109</v>
      </c>
    </row>
    <row r="68" spans="1:5" x14ac:dyDescent="0.2">
      <c r="B68" s="3">
        <v>38718</v>
      </c>
      <c r="C68" s="67">
        <f>+E$23*(+'Purchased Power Model '!B39/SUM('Purchased Power Model '!B$39:B$50))</f>
        <v>411351.35836092627</v>
      </c>
      <c r="E68" s="67"/>
    </row>
    <row r="69" spans="1:5" x14ac:dyDescent="0.2">
      <c r="B69" s="3">
        <v>38749</v>
      </c>
      <c r="C69" s="67">
        <f>+E$23*(+'Purchased Power Model '!B40/SUM('Purchased Power Model '!B$39:B$50))</f>
        <v>385528.8408979596</v>
      </c>
      <c r="E69" s="67"/>
    </row>
    <row r="70" spans="1:5" x14ac:dyDescent="0.2">
      <c r="B70" s="3">
        <v>38777</v>
      </c>
      <c r="C70" s="67">
        <f>+E$23*(+'Purchased Power Model '!B41/SUM('Purchased Power Model '!B$39:B$50))</f>
        <v>389162.93452774012</v>
      </c>
      <c r="E70" s="67"/>
    </row>
    <row r="71" spans="1:5" x14ac:dyDescent="0.2">
      <c r="B71" s="3">
        <v>38808</v>
      </c>
      <c r="C71" s="67">
        <f>+E$23*(+'Purchased Power Model '!B42/SUM('Purchased Power Model '!B$39:B$50))</f>
        <v>322929.323176921</v>
      </c>
      <c r="E71" s="67"/>
    </row>
    <row r="72" spans="1:5" x14ac:dyDescent="0.2">
      <c r="B72" s="3">
        <v>38838</v>
      </c>
      <c r="C72" s="67">
        <f>+E$23*(+'Purchased Power Model '!B43/SUM('Purchased Power Model '!B$39:B$50))</f>
        <v>322723.69767293951</v>
      </c>
      <c r="E72" s="67"/>
    </row>
    <row r="73" spans="1:5" x14ac:dyDescent="0.2">
      <c r="B73" s="3">
        <v>38869</v>
      </c>
      <c r="C73" s="67">
        <f>+E$23*(+'Purchased Power Model '!B44/SUM('Purchased Power Model '!B$39:B$50))</f>
        <v>347791.63620926515</v>
      </c>
      <c r="E73" s="67"/>
    </row>
    <row r="74" spans="1:5" x14ac:dyDescent="0.2">
      <c r="B74" s="3">
        <v>38899</v>
      </c>
      <c r="C74" s="67">
        <f>+E$23*(+'Purchased Power Model '!B45/SUM('Purchased Power Model '!B$39:B$50))</f>
        <v>392502.79579027218</v>
      </c>
      <c r="E74" s="67"/>
    </row>
    <row r="75" spans="1:5" x14ac:dyDescent="0.2">
      <c r="B75" s="3">
        <v>38930</v>
      </c>
      <c r="C75" s="67">
        <f>+E$23*(+'Purchased Power Model '!B46/SUM('Purchased Power Model '!B$39:B$50))</f>
        <v>372205.00527556572</v>
      </c>
      <c r="E75" s="67"/>
    </row>
    <row r="76" spans="1:5" x14ac:dyDescent="0.2">
      <c r="B76" s="3">
        <v>38961</v>
      </c>
      <c r="C76" s="67">
        <f>+E$23*(+'Purchased Power Model '!B47/SUM('Purchased Power Model '!B$39:B$50))</f>
        <v>314766.39222197712</v>
      </c>
      <c r="E76" s="67"/>
    </row>
    <row r="77" spans="1:5" x14ac:dyDescent="0.2">
      <c r="B77" s="3">
        <v>38991</v>
      </c>
      <c r="C77" s="67">
        <f>+E$23*(+'Purchased Power Model '!B48/SUM('Purchased Power Model '!B$39:B$50))</f>
        <v>344196.97812658211</v>
      </c>
      <c r="E77" s="67"/>
    </row>
    <row r="78" spans="1:5" x14ac:dyDescent="0.2">
      <c r="B78" s="3">
        <v>39022</v>
      </c>
      <c r="C78" s="67">
        <f>+E$23*(+'Purchased Power Model '!B49/SUM('Purchased Power Model '!B$39:B$50))</f>
        <v>360327.4806547396</v>
      </c>
      <c r="E78" s="67"/>
    </row>
    <row r="79" spans="1:5" x14ac:dyDescent="0.2">
      <c r="B79" s="3">
        <v>39052</v>
      </c>
      <c r="C79" s="67">
        <f>+E$23*(+'Purchased Power Model '!B50/SUM('Purchased Power Model '!B$39:B$50))</f>
        <v>398139.76820063579</v>
      </c>
      <c r="E79" s="67"/>
    </row>
    <row r="80" spans="1:5" x14ac:dyDescent="0.2">
      <c r="B80" s="3">
        <v>39083</v>
      </c>
      <c r="C80" s="67">
        <f>+F$23*(+'Purchased Power Model '!B51/SUM('Purchased Power Model '!B$51:B$62))</f>
        <v>610627.15347916086</v>
      </c>
      <c r="E80" s="67"/>
    </row>
    <row r="81" spans="2:5" x14ac:dyDescent="0.2">
      <c r="B81" s="3">
        <v>39114</v>
      </c>
      <c r="C81" s="67">
        <f>+F$23*(+'Purchased Power Model '!B52/SUM('Purchased Power Model '!B$51:B$62))</f>
        <v>595423.16583717463</v>
      </c>
      <c r="E81" s="67"/>
    </row>
    <row r="82" spans="2:5" x14ac:dyDescent="0.2">
      <c r="B82" s="3">
        <v>39142</v>
      </c>
      <c r="C82" s="67">
        <f>+F$23*(+'Purchased Power Model '!B53/SUM('Purchased Power Model '!B$51:B$62))</f>
        <v>581690.75676560565</v>
      </c>
      <c r="E82" s="67"/>
    </row>
    <row r="83" spans="2:5" x14ac:dyDescent="0.2">
      <c r="B83" s="3">
        <v>39173</v>
      </c>
      <c r="C83" s="67">
        <f>+F$23*(+'Purchased Power Model '!B54/SUM('Purchased Power Model '!B$51:B$62))</f>
        <v>502626.01169201429</v>
      </c>
      <c r="E83" s="67"/>
    </row>
    <row r="84" spans="2:5" x14ac:dyDescent="0.2">
      <c r="B84" s="3">
        <v>39203</v>
      </c>
      <c r="C84" s="67">
        <f>+F$23*(+'Purchased Power Model '!B55/SUM('Purchased Power Model '!B$51:B$62))</f>
        <v>468640.79417948739</v>
      </c>
      <c r="E84" s="67"/>
    </row>
    <row r="85" spans="2:5" x14ac:dyDescent="0.2">
      <c r="B85" s="3">
        <v>39234</v>
      </c>
      <c r="C85" s="67">
        <f>+F$23*(+'Purchased Power Model '!B56/SUM('Purchased Power Model '!B$51:B$62))</f>
        <v>527477.78915751178</v>
      </c>
      <c r="E85" s="67"/>
    </row>
    <row r="86" spans="2:5" x14ac:dyDescent="0.2">
      <c r="B86" s="3">
        <v>39264</v>
      </c>
      <c r="C86" s="67">
        <f>+F$23*(+'Purchased Power Model '!B57/SUM('Purchased Power Model '!B$51:B$62))</f>
        <v>527966.31794330815</v>
      </c>
      <c r="E86" s="67"/>
    </row>
    <row r="87" spans="2:5" x14ac:dyDescent="0.2">
      <c r="B87" s="3">
        <v>39295</v>
      </c>
      <c r="C87" s="67">
        <f>+F$23*(+'Purchased Power Model '!B58/SUM('Purchased Power Model '!B$51:B$62))</f>
        <v>564600.25703832565</v>
      </c>
      <c r="E87" s="67"/>
    </row>
    <row r="88" spans="2:5" x14ac:dyDescent="0.2">
      <c r="B88" s="3">
        <v>39326</v>
      </c>
      <c r="C88" s="67">
        <f>+F$23*(+'Purchased Power Model '!B59/SUM('Purchased Power Model '!B$51:B$62))</f>
        <v>478069.65032881097</v>
      </c>
      <c r="E88" s="67"/>
    </row>
    <row r="89" spans="2:5" x14ac:dyDescent="0.2">
      <c r="B89" s="3">
        <v>39356</v>
      </c>
      <c r="C89" s="67">
        <f>+F$23*(+'Purchased Power Model '!B60/SUM('Purchased Power Model '!B$51:B$62))</f>
        <v>484189.22512127191</v>
      </c>
      <c r="E89" s="67"/>
    </row>
    <row r="90" spans="2:5" x14ac:dyDescent="0.2">
      <c r="B90" s="3">
        <v>39387</v>
      </c>
      <c r="C90" s="67">
        <f>+F$23*(+'Purchased Power Model '!B61/SUM('Purchased Power Model '!B$51:B$62))</f>
        <v>532698.09619842004</v>
      </c>
      <c r="E90" s="67"/>
    </row>
    <row r="91" spans="2:5" x14ac:dyDescent="0.2">
      <c r="B91" s="3">
        <v>39417</v>
      </c>
      <c r="C91" s="67">
        <f>+F$23*(+'Purchased Power Model '!B62/SUM('Purchased Power Model '!B$51:B$62))</f>
        <v>614759.92833010049</v>
      </c>
      <c r="E91" s="67"/>
    </row>
    <row r="92" spans="2:5" x14ac:dyDescent="0.2">
      <c r="B92" s="3">
        <v>39448</v>
      </c>
      <c r="C92" s="67">
        <f>+G$23*(+'Purchased Power Model '!B63/SUM('Purchased Power Model '!B$63:B$74))</f>
        <v>1826757.4077739806</v>
      </c>
      <c r="E92" s="67"/>
    </row>
    <row r="93" spans="2:5" x14ac:dyDescent="0.2">
      <c r="B93" s="3">
        <v>39479</v>
      </c>
      <c r="C93" s="67">
        <f>+G$23*(+'Purchased Power Model '!B64/SUM('Purchased Power Model '!B$63:B$74))</f>
        <v>1746490.1415939191</v>
      </c>
      <c r="E93" s="67"/>
    </row>
    <row r="94" spans="2:5" x14ac:dyDescent="0.2">
      <c r="B94" s="3">
        <v>39508</v>
      </c>
      <c r="C94" s="67">
        <f>+G$23*(+'Purchased Power Model '!B65/SUM('Purchased Power Model '!B$63:B$74))</f>
        <v>1731838.8308914413</v>
      </c>
      <c r="E94" s="67"/>
    </row>
    <row r="95" spans="2:5" x14ac:dyDescent="0.2">
      <c r="B95" s="3">
        <v>39539</v>
      </c>
      <c r="C95" s="67">
        <f>+G$23*(+'Purchased Power Model '!B66/SUM('Purchased Power Model '!B$63:B$74))</f>
        <v>1412363.4974710038</v>
      </c>
      <c r="E95" s="67"/>
    </row>
    <row r="96" spans="2:5" x14ac:dyDescent="0.2">
      <c r="B96" s="3">
        <v>39569</v>
      </c>
      <c r="C96" s="67">
        <f>+G$23*(+'Purchased Power Model '!B67/SUM('Purchased Power Model '!B$63:B$74))</f>
        <v>1357094.9092659415</v>
      </c>
      <c r="E96" s="67"/>
    </row>
    <row r="97" spans="2:5" x14ac:dyDescent="0.2">
      <c r="B97" s="3">
        <v>39600</v>
      </c>
      <c r="C97" s="67">
        <f>+G$23*(+'Purchased Power Model '!B68/SUM('Purchased Power Model '!B$63:B$74))</f>
        <v>1486883.4777415157</v>
      </c>
      <c r="E97" s="67"/>
    </row>
    <row r="98" spans="2:5" x14ac:dyDescent="0.2">
      <c r="B98" s="3">
        <v>39630</v>
      </c>
      <c r="C98" s="67">
        <f>+G$23*(+'Purchased Power Model '!B69/SUM('Purchased Power Model '!B$63:B$74))</f>
        <v>1620920.9689470958</v>
      </c>
      <c r="E98" s="67"/>
    </row>
    <row r="99" spans="2:5" x14ac:dyDescent="0.2">
      <c r="B99" s="3">
        <v>39661</v>
      </c>
      <c r="C99" s="67">
        <f>+G$23*(+'Purchased Power Model '!B70/SUM('Purchased Power Model '!B$63:B$74))</f>
        <v>1531797.271863247</v>
      </c>
      <c r="E99" s="67"/>
    </row>
    <row r="100" spans="2:5" x14ac:dyDescent="0.2">
      <c r="B100" s="3">
        <v>39692</v>
      </c>
      <c r="C100" s="67">
        <f>+G$23*(+'Purchased Power Model '!B71/SUM('Purchased Power Model '!B$63:B$74))</f>
        <v>1423965.0940604482</v>
      </c>
      <c r="E100" s="67"/>
    </row>
    <row r="101" spans="2:5" x14ac:dyDescent="0.2">
      <c r="B101" s="3">
        <v>39722</v>
      </c>
      <c r="C101" s="67">
        <f>+G$23*(+'Purchased Power Model '!B72/SUM('Purchased Power Model '!B$63:B$74))</f>
        <v>1447566.0560778917</v>
      </c>
      <c r="E101" s="67"/>
    </row>
    <row r="102" spans="2:5" x14ac:dyDescent="0.2">
      <c r="B102" s="3">
        <v>39753</v>
      </c>
      <c r="C102" s="67">
        <f>+G$23*(+'Purchased Power Model '!B73/SUM('Purchased Power Model '!B$63:B$74))</f>
        <v>1571776.0567676313</v>
      </c>
      <c r="E102" s="67"/>
    </row>
    <row r="103" spans="2:5" x14ac:dyDescent="0.2">
      <c r="B103" s="3">
        <v>39783</v>
      </c>
      <c r="C103" s="67">
        <f>+G$23*(+'Purchased Power Model '!B74/SUM('Purchased Power Model '!B$63:B$74))</f>
        <v>1842097.7560144525</v>
      </c>
      <c r="E103" s="67"/>
    </row>
    <row r="104" spans="2:5" x14ac:dyDescent="0.2">
      <c r="B104" s="3">
        <v>39814</v>
      </c>
      <c r="C104" s="67">
        <f>+H$23*(+'Purchased Power Model '!B75/SUM('Purchased Power Model '!B$75:B$86))</f>
        <v>2590138.6375149633</v>
      </c>
      <c r="E104" s="67"/>
    </row>
    <row r="105" spans="2:5" x14ac:dyDescent="0.2">
      <c r="B105" s="3">
        <v>39845</v>
      </c>
      <c r="C105" s="67">
        <f>+H$23*(+'Purchased Power Model '!B76/SUM('Purchased Power Model '!B$75:B$86))</f>
        <v>2157369.1707998444</v>
      </c>
      <c r="E105" s="67"/>
    </row>
    <row r="106" spans="2:5" x14ac:dyDescent="0.2">
      <c r="B106" s="3">
        <v>39873</v>
      </c>
      <c r="C106" s="67">
        <f>+H$23*(+'Purchased Power Model '!B77/SUM('Purchased Power Model '!B$75:B$86))</f>
        <v>2189219.9966838951</v>
      </c>
      <c r="E106" s="67"/>
    </row>
    <row r="107" spans="2:5" x14ac:dyDescent="0.2">
      <c r="B107" s="3">
        <v>39904</v>
      </c>
      <c r="C107" s="67">
        <f>+H$23*(+'Purchased Power Model '!B78/SUM('Purchased Power Model '!B$75:B$86))</f>
        <v>1882917.6459251707</v>
      </c>
      <c r="E107" s="67"/>
    </row>
    <row r="108" spans="2:5" x14ac:dyDescent="0.2">
      <c r="B108" s="3">
        <v>39934</v>
      </c>
      <c r="C108" s="67">
        <f>+H$23*(+'Purchased Power Model '!B79/SUM('Purchased Power Model '!B$75:B$86))</f>
        <v>1749423.3356500859</v>
      </c>
      <c r="E108" s="67"/>
    </row>
    <row r="109" spans="2:5" x14ac:dyDescent="0.2">
      <c r="B109" s="3">
        <v>39965</v>
      </c>
      <c r="C109" s="67">
        <f>+H$23*(+'Purchased Power Model '!B80/SUM('Purchased Power Model '!B$75:B$86))</f>
        <v>1827702.8732669475</v>
      </c>
      <c r="E109" s="67"/>
    </row>
    <row r="110" spans="2:5" x14ac:dyDescent="0.2">
      <c r="B110" s="3">
        <v>39995</v>
      </c>
      <c r="C110" s="67">
        <f>+H$23*(+'Purchased Power Model '!B81/SUM('Purchased Power Model '!B$75:B$86))</f>
        <v>1906579.1978550621</v>
      </c>
      <c r="E110" s="67"/>
    </row>
    <row r="111" spans="2:5" x14ac:dyDescent="0.2">
      <c r="B111" s="3">
        <v>40026</v>
      </c>
      <c r="C111" s="67">
        <f>+H$23*(+'Purchased Power Model '!B82/SUM('Purchased Power Model '!B$75:B$86))</f>
        <v>2124694.1881303512</v>
      </c>
      <c r="E111" s="67"/>
    </row>
    <row r="112" spans="2:5" x14ac:dyDescent="0.2">
      <c r="B112" s="3">
        <v>40057</v>
      </c>
      <c r="C112" s="67">
        <f>+H$23*(+'Purchased Power Model '!B83/SUM('Purchased Power Model '!B$75:B$86))</f>
        <v>1821399.3397045955</v>
      </c>
      <c r="E112" s="67"/>
    </row>
    <row r="113" spans="2:7" x14ac:dyDescent="0.2">
      <c r="B113" s="3">
        <v>40087</v>
      </c>
      <c r="C113" s="67">
        <f>+H$23*(+'Purchased Power Model '!B84/SUM('Purchased Power Model '!B$75:B$86))</f>
        <v>1912341.658981726</v>
      </c>
      <c r="E113" s="67"/>
    </row>
    <row r="114" spans="2:7" x14ac:dyDescent="0.2">
      <c r="B114" s="3">
        <v>40118</v>
      </c>
      <c r="C114" s="67">
        <f>+H$23*(+'Purchased Power Model '!B85/SUM('Purchased Power Model '!B$75:B$86))</f>
        <v>1950908.8699473781</v>
      </c>
      <c r="E114" s="67"/>
    </row>
    <row r="115" spans="2:7" x14ac:dyDescent="0.2">
      <c r="B115" s="3">
        <v>40148</v>
      </c>
      <c r="C115" s="67">
        <f>+H$23*(+'Purchased Power Model '!B86/SUM('Purchased Power Model '!B$75:B$86))</f>
        <v>2381495.3477640599</v>
      </c>
      <c r="E115" s="67"/>
    </row>
    <row r="116" spans="2:7" x14ac:dyDescent="0.2">
      <c r="B116" s="3">
        <v>40179</v>
      </c>
      <c r="C116" s="67">
        <f>+I$23*(+'Purchased Power Model '!B87/SUM('Purchased Power Model '!B$87:B$98))</f>
        <v>2502910.694317434</v>
      </c>
      <c r="E116" s="67"/>
    </row>
    <row r="117" spans="2:7" x14ac:dyDescent="0.2">
      <c r="B117" s="3">
        <v>40210</v>
      </c>
      <c r="C117" s="67">
        <f>+I$23*(+'Purchased Power Model '!B88/SUM('Purchased Power Model '!B$87:B$98))</f>
        <v>2198840.3456331729</v>
      </c>
      <c r="E117" s="67"/>
    </row>
    <row r="118" spans="2:7" x14ac:dyDescent="0.2">
      <c r="B118" s="3">
        <v>40238</v>
      </c>
      <c r="C118" s="67">
        <f>+I$23*(+'Purchased Power Model '!B89/SUM('Purchased Power Model '!B$87:B$98))</f>
        <v>2092774.2062944421</v>
      </c>
      <c r="E118" s="67"/>
    </row>
    <row r="119" spans="2:7" x14ac:dyDescent="0.2">
      <c r="B119" s="3">
        <v>40269</v>
      </c>
      <c r="C119" s="67">
        <f>+I$23*(+'Purchased Power Model '!B90/SUM('Purchased Power Model '!B$87:B$98))</f>
        <v>1774795.8313004973</v>
      </c>
      <c r="E119" s="67"/>
    </row>
    <row r="120" spans="2:7" x14ac:dyDescent="0.2">
      <c r="B120" s="3">
        <v>40299</v>
      </c>
      <c r="C120" s="67">
        <f>+I$23*(+'Purchased Power Model '!B91/SUM('Purchased Power Model '!B$87:B$98))</f>
        <v>1916814.9727707084</v>
      </c>
      <c r="E120" s="67"/>
    </row>
    <row r="121" spans="2:7" x14ac:dyDescent="0.2">
      <c r="B121" s="3">
        <v>40330</v>
      </c>
      <c r="C121" s="67">
        <f>+I$23*(+'Purchased Power Model '!B92/SUM('Purchased Power Model '!B$87:B$98))</f>
        <v>1953400.3134709017</v>
      </c>
      <c r="E121" s="67"/>
    </row>
    <row r="122" spans="2:7" x14ac:dyDescent="0.2">
      <c r="B122" s="3">
        <v>40360</v>
      </c>
      <c r="C122" s="67">
        <f>+I$23*(+'Purchased Power Model '!B93/SUM('Purchased Power Model '!B$87:B$98))</f>
        <v>2365992.1111649745</v>
      </c>
      <c r="E122" s="67"/>
    </row>
    <row r="123" spans="2:7" x14ac:dyDescent="0.2">
      <c r="B123" s="3">
        <v>40391</v>
      </c>
      <c r="C123" s="67">
        <f>+I$23*(+'Purchased Power Model '!B94/SUM('Purchased Power Model '!B$87:B$98))</f>
        <v>2242552.2043705531</v>
      </c>
      <c r="E123" s="67"/>
    </row>
    <row r="124" spans="2:7" x14ac:dyDescent="0.2">
      <c r="B124" s="3">
        <v>40422</v>
      </c>
      <c r="C124" s="67">
        <f>+I$23*(+'Purchased Power Model '!B95/SUM('Purchased Power Model '!B$87:B$98))</f>
        <v>1830691.5880117151</v>
      </c>
      <c r="E124" s="67"/>
    </row>
    <row r="125" spans="2:7" x14ac:dyDescent="0.2">
      <c r="B125" s="3">
        <v>40452</v>
      </c>
      <c r="C125" s="67">
        <f>+I$23*(+'Purchased Power Model '!B96/SUM('Purchased Power Model '!B$87:B$98))</f>
        <v>1861590.5617367581</v>
      </c>
      <c r="E125" s="67"/>
    </row>
    <row r="126" spans="2:7" x14ac:dyDescent="0.2">
      <c r="B126" s="3">
        <v>40483</v>
      </c>
      <c r="C126" s="67">
        <f>+I$23*(+'Purchased Power Model '!B97/SUM('Purchased Power Model '!B$87:B$98))</f>
        <v>2011494.5862781771</v>
      </c>
      <c r="E126" s="67"/>
    </row>
    <row r="127" spans="2:7" x14ac:dyDescent="0.2">
      <c r="B127" s="3">
        <v>40513</v>
      </c>
      <c r="C127" s="67">
        <f>+I$23*(+'Purchased Power Model '!B98/SUM('Purchased Power Model '!B$87:B$98))</f>
        <v>2430853.2444590796</v>
      </c>
      <c r="E127" s="67"/>
    </row>
    <row r="128" spans="2:7" x14ac:dyDescent="0.2">
      <c r="B128" s="3">
        <v>40544</v>
      </c>
      <c r="C128" s="67">
        <f>+J$23*(+'Purchased Power Model '!B87/SUM('Purchased Power Model '!B$87:B$98))</f>
        <v>2502895.2618954922</v>
      </c>
      <c r="E128" s="67">
        <f>+J$33*(+'Purchased Power Model '!B87/SUM('Purchased Power Model '!B$87:B$98))</f>
        <v>256823.87100759594</v>
      </c>
      <c r="G128" s="116">
        <v>519245.6852695173</v>
      </c>
    </row>
    <row r="129" spans="2:7" x14ac:dyDescent="0.2">
      <c r="B129" s="3">
        <v>40575</v>
      </c>
      <c r="C129" s="67">
        <f>+J$23*(+'Purchased Power Model '!B88/SUM('Purchased Power Model '!B$87:B$98))</f>
        <v>2198826.7880451726</v>
      </c>
      <c r="E129" s="67">
        <f>+J$33*(+'Purchased Power Model '!B88/SUM('Purchased Power Model '!B$87:B$98))</f>
        <v>225623.18766518933</v>
      </c>
      <c r="G129" s="116">
        <v>456164.24295870506</v>
      </c>
    </row>
    <row r="130" spans="2:7" x14ac:dyDescent="0.2">
      <c r="B130" s="3">
        <v>40603</v>
      </c>
      <c r="C130" s="67">
        <f>+J$23*(+'Purchased Power Model '!B89/SUM('Purchased Power Model '!B$87:B$98))</f>
        <v>2092761.3026879916</v>
      </c>
      <c r="E130" s="67">
        <f>+J$33*(+'Purchased Power Model '!B89/SUM('Purchased Power Model '!B$87:B$98))</f>
        <v>214739.73243458525</v>
      </c>
      <c r="G130" s="116">
        <v>434160.10780123761</v>
      </c>
    </row>
    <row r="131" spans="2:7" x14ac:dyDescent="0.2">
      <c r="B131" s="3">
        <v>40634</v>
      </c>
      <c r="C131" s="67">
        <f>+J$23*(+'Purchased Power Model '!B90/SUM('Purchased Power Model '!B$87:B$98))</f>
        <v>1774784.8882819586</v>
      </c>
      <c r="E131" s="67">
        <f>+J$33*(+'Purchased Power Model '!B90/SUM('Purchased Power Model '!B$87:B$98))</f>
        <v>182111.94537527891</v>
      </c>
      <c r="G131" s="116">
        <v>368193.35173619748</v>
      </c>
    </row>
    <row r="132" spans="2:7" x14ac:dyDescent="0.2">
      <c r="B132" s="3">
        <v>40664</v>
      </c>
      <c r="C132" s="67">
        <f>+J$23*(+'Purchased Power Model '!B91/SUM('Purchased Power Model '!B$87:B$98))</f>
        <v>1916803.1540919552</v>
      </c>
      <c r="E132" s="67">
        <f>+J$33*(+'Purchased Power Model '!B91/SUM('Purchased Power Model '!B$87:B$98))</f>
        <v>196684.54109448087</v>
      </c>
      <c r="G132" s="116">
        <v>397656.17939581501</v>
      </c>
    </row>
    <row r="133" spans="2:7" x14ac:dyDescent="0.2">
      <c r="B133" s="3">
        <v>40695</v>
      </c>
      <c r="C133" s="67">
        <f>+J$23*(+'Purchased Power Model '!B92/SUM('Purchased Power Model '!B$87:B$98))</f>
        <v>1953388.2692146178</v>
      </c>
      <c r="E133" s="67">
        <f>+J$33*(+'Purchased Power Model '!B92/SUM('Purchased Power Model '!B$87:B$98))</f>
        <v>200438.56589532091</v>
      </c>
      <c r="G133" s="116">
        <v>405246.05479401472</v>
      </c>
    </row>
    <row r="134" spans="2:7" x14ac:dyDescent="0.2">
      <c r="B134" s="3">
        <v>40725</v>
      </c>
      <c r="C134" s="67">
        <f>+J$23*(+'Purchased Power Model '!B93/SUM('Purchased Power Model '!B$87:B$98))</f>
        <v>2365977.5229542754</v>
      </c>
      <c r="E134" s="67">
        <f>+J$33*(+'Purchased Power Model '!B93/SUM('Purchased Power Model '!B$87:B$98))</f>
        <v>242774.64399445252</v>
      </c>
      <c r="G134" s="116">
        <v>490841.00279461249</v>
      </c>
    </row>
    <row r="135" spans="2:7" x14ac:dyDescent="0.2">
      <c r="B135" s="3">
        <v>40756</v>
      </c>
      <c r="C135" s="67">
        <f>+J$23*(+'Purchased Power Model '!B94/SUM('Purchased Power Model '!B$87:B$98))</f>
        <v>2242538.3772644075</v>
      </c>
      <c r="E135" s="67">
        <f>+J$33*(+'Purchased Power Model '!B94/SUM('Purchased Power Model '!B$87:B$98))</f>
        <v>230108.46506456242</v>
      </c>
      <c r="G135" s="116">
        <v>465232.56253400055</v>
      </c>
    </row>
    <row r="136" spans="2:7" x14ac:dyDescent="0.2">
      <c r="B136" s="3">
        <v>40787</v>
      </c>
      <c r="C136" s="67">
        <f>+J$23*(+'Purchased Power Model '!B95/SUM('Purchased Power Model '!B$87:B$98))</f>
        <v>1830680.300351674</v>
      </c>
      <c r="E136" s="67">
        <f>+J$33*(+'Purchased Power Model '!B95/SUM('Purchased Power Model '!B$87:B$98))</f>
        <v>187847.41354202811</v>
      </c>
      <c r="G136" s="116">
        <v>379789.30302725616</v>
      </c>
    </row>
    <row r="137" spans="2:7" x14ac:dyDescent="0.2">
      <c r="B137" s="3">
        <v>40817</v>
      </c>
      <c r="C137" s="67">
        <f>+J$23*(+'Purchased Power Model '!B96/SUM('Purchased Power Model '!B$87:B$98))</f>
        <v>1861579.083560131</v>
      </c>
      <c r="E137" s="67">
        <f>+J$33*(+'Purchased Power Model '!B96/SUM('Purchased Power Model '!B$87:B$98))</f>
        <v>191017.95976257219</v>
      </c>
      <c r="G137" s="116">
        <v>386199.50328826066</v>
      </c>
    </row>
    <row r="138" spans="2:7" x14ac:dyDescent="0.2">
      <c r="B138" s="3">
        <v>40848</v>
      </c>
      <c r="C138" s="67">
        <f>+J$23*(+'Purchased Power Model '!B97/SUM('Purchased Power Model '!B$87:B$98))</f>
        <v>2011482.1838248018</v>
      </c>
      <c r="E138" s="67">
        <f>+J$33*(+'Purchased Power Model '!B97/SUM('Purchased Power Model '!B$87:B$98))</f>
        <v>206399.62397845983</v>
      </c>
      <c r="G138" s="116">
        <v>417298.1030602731</v>
      </c>
    </row>
    <row r="139" spans="2:7" x14ac:dyDescent="0.2">
      <c r="B139" s="3">
        <v>40878</v>
      </c>
      <c r="C139" s="67">
        <f>+J$23*(+'Purchased Power Model '!B98/SUM('Purchased Power Model '!B$87:B$98))</f>
        <v>2430838.256328248</v>
      </c>
      <c r="E139" s="67">
        <f>+J$33*(+'Purchased Power Model '!B98/SUM('Purchased Power Model '!B$87:B$98))</f>
        <v>249430.05018547305</v>
      </c>
      <c r="G139" s="116">
        <v>503973.90334010858</v>
      </c>
    </row>
    <row r="140" spans="2:7" x14ac:dyDescent="0.2">
      <c r="B140" s="3">
        <v>40909</v>
      </c>
      <c r="C140" s="67">
        <f>+K$23*(+'Purchased Power Model '!B87/SUM('Purchased Power Model '!B$87:B$98))</f>
        <v>2468034.2274504402</v>
      </c>
      <c r="E140" s="67">
        <f>+K$33*(+'Purchased Power Model '!B87/SUM('Purchased Power Model '!B$87:B$98))</f>
        <v>653887.09263118182</v>
      </c>
      <c r="G140" s="116">
        <v>1038491.3705390346</v>
      </c>
    </row>
    <row r="141" spans="2:7" x14ac:dyDescent="0.2">
      <c r="B141" s="3">
        <v>40940</v>
      </c>
      <c r="C141" s="67">
        <f>+K$23*(+'Purchased Power Model '!B88/SUM('Purchased Power Model '!B$87:B$98))</f>
        <v>2168200.9054668117</v>
      </c>
      <c r="E141" s="67">
        <f>+K$33*(+'Purchased Power Model '!B88/SUM('Purchased Power Model '!B$87:B$98))</f>
        <v>574448.51070018602</v>
      </c>
      <c r="G141" s="116">
        <v>912328.48591741011</v>
      </c>
    </row>
    <row r="142" spans="2:7" x14ac:dyDescent="0.2">
      <c r="B142" s="3">
        <v>40969</v>
      </c>
      <c r="C142" s="67">
        <f>+K$23*(+'Purchased Power Model '!B89/SUM('Purchased Power Model '!B$87:B$98))</f>
        <v>2063612.7302451211</v>
      </c>
      <c r="E142" s="67">
        <f>+K$33*(+'Purchased Power Model '!B89/SUM('Purchased Power Model '!B$87:B$98))</f>
        <v>546738.66086963483</v>
      </c>
      <c r="G142" s="116">
        <v>868320.21560247522</v>
      </c>
    </row>
    <row r="143" spans="2:7" x14ac:dyDescent="0.2">
      <c r="B143" s="3">
        <v>41000</v>
      </c>
      <c r="C143" s="67">
        <f>+K$23*(+'Purchased Power Model '!B90/SUM('Purchased Power Model '!B$87:B$98))</f>
        <v>1750065.181442888</v>
      </c>
      <c r="E143" s="67">
        <f>+K$33*(+'Purchased Power Model '!B90/SUM('Purchased Power Model '!B$87:B$98))</f>
        <v>463666.59776469041</v>
      </c>
      <c r="G143" s="116">
        <v>736386.70347239496</v>
      </c>
    </row>
    <row r="144" spans="2:7" x14ac:dyDescent="0.2">
      <c r="B144" s="3">
        <v>41030</v>
      </c>
      <c r="C144" s="67">
        <f>+K$23*(+'Purchased Power Model '!B91/SUM('Purchased Power Model '!B$87:B$98))</f>
        <v>1890105.3766034243</v>
      </c>
      <c r="E144" s="67">
        <f>+K$33*(+'Purchased Power Model '!B91/SUM('Purchased Power Model '!B$87:B$98))</f>
        <v>500769.19344450062</v>
      </c>
      <c r="G144" s="116">
        <v>795312.35879163002</v>
      </c>
    </row>
    <row r="145" spans="2:7" x14ac:dyDescent="0.2">
      <c r="B145" s="3">
        <v>41061</v>
      </c>
      <c r="C145" s="67">
        <f>+K$23*(+'Purchased Power Model '!B92/SUM('Purchased Power Model '!B$87:B$98))</f>
        <v>1926180.923875652</v>
      </c>
      <c r="E145" s="67">
        <f>+K$33*(+'Purchased Power Model '!B92/SUM('Purchased Power Model '!B$87:B$98))</f>
        <v>510327.13816769206</v>
      </c>
      <c r="G145" s="116">
        <v>810492.10958802945</v>
      </c>
    </row>
    <row r="146" spans="2:7" x14ac:dyDescent="0.2">
      <c r="B146" s="3">
        <v>41091</v>
      </c>
      <c r="C146" s="67">
        <f>+K$23*(+'Purchased Power Model '!B93/SUM('Purchased Power Model '!B$87:B$98))</f>
        <v>2333023.517575135</v>
      </c>
      <c r="E146" s="67">
        <f>+K$33*(+'Purchased Power Model '!B93/SUM('Purchased Power Model '!B$87:B$98))</f>
        <v>618117.02122271794</v>
      </c>
      <c r="G146" s="116">
        <v>981682.00558922498</v>
      </c>
    </row>
    <row r="147" spans="2:7" x14ac:dyDescent="0.2">
      <c r="B147" s="3">
        <v>41122</v>
      </c>
      <c r="C147" s="67">
        <f>+K$23*(+'Purchased Power Model '!B94/SUM('Purchased Power Model '!B$87:B$98))</f>
        <v>2211303.6672849893</v>
      </c>
      <c r="E147" s="67">
        <f>+K$33*(+'Purchased Power Model '!B94/SUM('Purchased Power Model '!B$87:B$98))</f>
        <v>585868.26302622142</v>
      </c>
      <c r="G147" s="116">
        <v>930465.1250680011</v>
      </c>
    </row>
    <row r="148" spans="2:7" x14ac:dyDescent="0.2">
      <c r="B148" s="3">
        <v>41153</v>
      </c>
      <c r="C148" s="67">
        <f>+K$23*(+'Purchased Power Model '!B95/SUM('Purchased Power Model '!B$87:B$98))</f>
        <v>1805182.0663743934</v>
      </c>
      <c r="E148" s="67">
        <f>+K$33*(+'Purchased Power Model '!B95/SUM('Purchased Power Model '!B$87:B$98))</f>
        <v>478269.40158397949</v>
      </c>
      <c r="G148" s="116">
        <v>759578.60605451232</v>
      </c>
    </row>
    <row r="149" spans="2:7" x14ac:dyDescent="0.2">
      <c r="B149" s="3">
        <v>41183</v>
      </c>
      <c r="C149" s="67">
        <f>+K$23*(+'Purchased Power Model '!B96/SUM('Purchased Power Model '!B$87:B$98))</f>
        <v>1835650.4825746345</v>
      </c>
      <c r="E149" s="67">
        <f>+K$33*(+'Purchased Power Model '!B96/SUM('Purchased Power Model '!B$87:B$98))</f>
        <v>486341.77913233847</v>
      </c>
      <c r="G149" s="116">
        <v>772399.00657652132</v>
      </c>
    </row>
    <row r="150" spans="2:7" x14ac:dyDescent="0.2">
      <c r="B150" s="3">
        <v>41214</v>
      </c>
      <c r="C150" s="67">
        <f>+K$23*(+'Purchased Power Model '!B97/SUM('Purchased Power Model '!B$87:B$98))</f>
        <v>1983465.6899812601</v>
      </c>
      <c r="E150" s="67">
        <f>+K$33*(+'Purchased Power Model '!B97/SUM('Purchased Power Model '!B$87:B$98))</f>
        <v>525504.30578726286</v>
      </c>
      <c r="G150" s="116">
        <v>834596.20612054621</v>
      </c>
    </row>
    <row r="151" spans="2:7" x14ac:dyDescent="0.2">
      <c r="B151" s="3">
        <v>41244</v>
      </c>
      <c r="C151" s="67">
        <f>+K$23*(+'Purchased Power Model '!B98/SUM('Purchased Power Model '!B$87:B$98))</f>
        <v>2396980.852275298</v>
      </c>
      <c r="E151" s="67">
        <f>+K$33*(+'Purchased Power Model '!B98/SUM('Purchased Power Model '!B$87:B$98))</f>
        <v>635062.03566959256</v>
      </c>
      <c r="G151" s="116">
        <v>1007947.8066802172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R115"/>
  <sheetViews>
    <sheetView topLeftCell="I1" workbookViewId="0">
      <selection activeCell="T6" sqref="T6:T63"/>
    </sheetView>
  </sheetViews>
  <sheetFormatPr defaultRowHeight="12.75" x14ac:dyDescent="0.2"/>
  <cols>
    <col min="1" max="1" width="32.7109375" customWidth="1"/>
    <col min="2" max="2" width="13.42578125" bestFit="1" customWidth="1"/>
    <col min="3" max="3" width="12.7109375" bestFit="1" customWidth="1"/>
    <col min="4" max="4" width="13.5703125" customWidth="1"/>
    <col min="5" max="5" width="12.7109375" customWidth="1"/>
    <col min="6" max="6" width="13" customWidth="1"/>
    <col min="7" max="7" width="12.7109375" bestFit="1" customWidth="1"/>
    <col min="8" max="16" width="12.85546875" customWidth="1"/>
    <col min="17" max="17" width="13.42578125" bestFit="1" customWidth="1"/>
    <col min="18" max="18" width="14.140625" bestFit="1" customWidth="1"/>
    <col min="20" max="21" width="12.7109375" bestFit="1" customWidth="1"/>
  </cols>
  <sheetData>
    <row r="2" spans="1:18" ht="13.5" thickBot="1" x14ac:dyDescent="0.25"/>
    <row r="3" spans="1:18" x14ac:dyDescent="0.2">
      <c r="A3" s="323"/>
      <c r="B3" s="496" t="s">
        <v>211</v>
      </c>
      <c r="C3" s="496"/>
      <c r="D3" s="496"/>
      <c r="E3" s="496"/>
      <c r="F3" s="496"/>
      <c r="G3" s="496"/>
      <c r="H3" s="496"/>
      <c r="I3" s="496"/>
      <c r="J3" s="496"/>
      <c r="K3" s="496"/>
      <c r="L3" s="497"/>
      <c r="M3" s="498" t="s">
        <v>212</v>
      </c>
      <c r="N3" s="496"/>
      <c r="O3" s="496"/>
      <c r="P3" s="496"/>
      <c r="Q3" s="496"/>
      <c r="R3" s="499"/>
    </row>
    <row r="4" spans="1:18" ht="13.5" thickBot="1" x14ac:dyDescent="0.25">
      <c r="A4" s="330" t="s">
        <v>117</v>
      </c>
      <c r="B4" s="331">
        <v>2003</v>
      </c>
      <c r="C4" s="331">
        <v>2004</v>
      </c>
      <c r="D4" s="331">
        <v>2005</v>
      </c>
      <c r="E4" s="331">
        <v>2006</v>
      </c>
      <c r="F4" s="331">
        <v>2007</v>
      </c>
      <c r="G4" s="331">
        <v>2008</v>
      </c>
      <c r="H4" s="331">
        <v>2009</v>
      </c>
      <c r="I4" s="331">
        <v>2010</v>
      </c>
      <c r="J4" s="331">
        <v>2011</v>
      </c>
      <c r="K4" s="331">
        <v>2012</v>
      </c>
      <c r="L4" s="332">
        <v>2013</v>
      </c>
      <c r="M4" s="333">
        <v>2014</v>
      </c>
      <c r="N4" s="331">
        <v>2015</v>
      </c>
      <c r="O4" s="331">
        <v>2016</v>
      </c>
      <c r="P4" s="331">
        <v>2017</v>
      </c>
      <c r="Q4" s="331">
        <v>2018</v>
      </c>
      <c r="R4" s="334">
        <v>2019</v>
      </c>
    </row>
    <row r="5" spans="1:18" x14ac:dyDescent="0.2">
      <c r="A5" s="324" t="s">
        <v>52</v>
      </c>
      <c r="B5" s="244">
        <f>+Chart!$C7</f>
        <v>1232724170</v>
      </c>
      <c r="C5" s="244">
        <f>+Chart!$C8</f>
        <v>1178441190</v>
      </c>
      <c r="D5" s="244">
        <f>+Chart!$C9</f>
        <v>1174501350</v>
      </c>
      <c r="E5" s="244">
        <f>+Chart!$C10</f>
        <v>1151360440</v>
      </c>
      <c r="F5" s="244">
        <f>+Chart!$C11</f>
        <v>1191153590</v>
      </c>
      <c r="G5" s="244">
        <f>+Chart!$C12</f>
        <v>1158881926</v>
      </c>
      <c r="H5" s="244">
        <f>+Chart!$C13</f>
        <v>1128390784.5107694</v>
      </c>
      <c r="I5" s="244">
        <f>+Chart!$C14</f>
        <v>1148489331.8146157</v>
      </c>
      <c r="J5" s="244">
        <f>+Chart!$C15</f>
        <v>1148632387.3953846</v>
      </c>
      <c r="K5" s="244">
        <f>+Chart!$C16</f>
        <v>1136211952.670979</v>
      </c>
      <c r="L5" s="244">
        <f>+Chart!$C17</f>
        <v>1130407041.6666667</v>
      </c>
      <c r="M5" s="335">
        <f>+Chart!C18</f>
        <v>1134970142.7733078</v>
      </c>
      <c r="N5" s="336"/>
      <c r="O5" s="336"/>
      <c r="P5" s="336"/>
      <c r="Q5" s="336"/>
      <c r="R5" s="337"/>
    </row>
    <row r="6" spans="1:18" x14ac:dyDescent="0.2">
      <c r="A6" s="324" t="s">
        <v>53</v>
      </c>
      <c r="B6" s="244">
        <f>+Chart!$D7</f>
        <v>1208483234.4312544</v>
      </c>
      <c r="C6" s="244">
        <f>+Chart!$D8</f>
        <v>1193278221.7053266</v>
      </c>
      <c r="D6" s="244">
        <f>+Chart!$D9</f>
        <v>1203281045.2314129</v>
      </c>
      <c r="E6" s="244">
        <f>+Chart!$D10</f>
        <v>1166568192.2886453</v>
      </c>
      <c r="F6" s="244">
        <f>+Chart!$D11</f>
        <v>1142506607.2224176</v>
      </c>
      <c r="G6" s="244">
        <f>+Chart!$D12</f>
        <v>1105605337.8738799</v>
      </c>
      <c r="H6" s="244">
        <f>+Chart!$D13</f>
        <v>1123816338.2115908</v>
      </c>
      <c r="I6" s="244">
        <f>+Chart!$D14</f>
        <v>1128203375.0065463</v>
      </c>
      <c r="J6" s="244">
        <f>+Chart!$D15</f>
        <v>1162405206.2491772</v>
      </c>
      <c r="K6" s="244">
        <f>+Chart!$D16</f>
        <v>1148412454.4669952</v>
      </c>
      <c r="L6" s="244">
        <f ca="1">+Chart!$D17</f>
        <v>1162091422.8514135</v>
      </c>
      <c r="M6" s="243">
        <f>+Chart!$D18</f>
        <v>1169512871.2930617</v>
      </c>
      <c r="N6" s="244">
        <f ca="1">+Chart!$D19</f>
        <v>1170789222.604636</v>
      </c>
      <c r="O6" s="244">
        <f ca="1">+Chart!$D20</f>
        <v>1186826722.6269789</v>
      </c>
      <c r="P6" s="244">
        <f ca="1">+Chart!$D21</f>
        <v>1201655752.4623165</v>
      </c>
      <c r="Q6" s="244">
        <f ca="1">+Chart!$D22</f>
        <v>1217915398.7826724</v>
      </c>
      <c r="R6" s="262">
        <f ca="1">+Chart!$D23</f>
        <v>1226740333.9186592</v>
      </c>
    </row>
    <row r="7" spans="1:18" x14ac:dyDescent="0.2">
      <c r="A7" s="324" t="s">
        <v>8</v>
      </c>
      <c r="B7" s="246">
        <f t="shared" ref="B7:M7" si="0">(B6-B5)/B5</f>
        <v>-1.9664525251213021E-2</v>
      </c>
      <c r="C7" s="246">
        <f t="shared" si="0"/>
        <v>1.2590387904997242E-2</v>
      </c>
      <c r="D7" s="246">
        <f t="shared" si="0"/>
        <v>2.4503756620980373E-2</v>
      </c>
      <c r="E7" s="246">
        <f t="shared" si="0"/>
        <v>1.3208506876131046E-2</v>
      </c>
      <c r="F7" s="246">
        <f t="shared" si="0"/>
        <v>-4.0840226807008495E-2</v>
      </c>
      <c r="G7" s="246">
        <f t="shared" si="0"/>
        <v>-4.5972404030848686E-2</v>
      </c>
      <c r="H7" s="246">
        <f t="shared" si="0"/>
        <v>-4.0539557411946783E-3</v>
      </c>
      <c r="I7" s="246">
        <f t="shared" si="0"/>
        <v>-1.7663165208524498E-2</v>
      </c>
      <c r="J7" s="246">
        <f t="shared" si="0"/>
        <v>1.1990623810480942E-2</v>
      </c>
      <c r="K7" s="246">
        <f t="shared" si="0"/>
        <v>1.0737874889747092E-2</v>
      </c>
      <c r="L7" s="246">
        <f t="shared" ca="1" si="0"/>
        <v>2.8029178885891796E-2</v>
      </c>
      <c r="M7" s="246">
        <f t="shared" si="0"/>
        <v>3.0434922662677739E-2</v>
      </c>
      <c r="N7" s="246"/>
      <c r="O7" s="246"/>
      <c r="P7" s="246"/>
      <c r="Q7" s="246"/>
      <c r="R7" s="263"/>
    </row>
    <row r="8" spans="1:18" x14ac:dyDescent="0.2">
      <c r="A8" s="324"/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7"/>
      <c r="N8" s="248"/>
      <c r="O8" s="248"/>
      <c r="P8" s="248"/>
      <c r="Q8" s="248"/>
      <c r="R8" s="264"/>
    </row>
    <row r="9" spans="1:18" x14ac:dyDescent="0.2">
      <c r="A9" s="324" t="s">
        <v>55</v>
      </c>
      <c r="B9" s="244">
        <f>+'Chart II'!$J58</f>
        <v>1136840307.5</v>
      </c>
      <c r="C9" s="244">
        <f>+'Chart II'!$J59</f>
        <v>1128300513.0634735</v>
      </c>
      <c r="D9" s="244">
        <f>+'Chart II'!$J60</f>
        <v>1125931170</v>
      </c>
      <c r="E9" s="244">
        <f>+'Chart II'!$J61</f>
        <v>1110963247</v>
      </c>
      <c r="F9" s="244">
        <f>+'Chart II'!$J62</f>
        <v>1143760516</v>
      </c>
      <c r="G9" s="244">
        <f>+'Chart II'!$J63</f>
        <v>1117251257</v>
      </c>
      <c r="H9" s="244">
        <f>+'Chart II'!$J64</f>
        <v>1082664508</v>
      </c>
      <c r="I9" s="244">
        <f>+'Chart II'!$J65</f>
        <v>1090938483</v>
      </c>
      <c r="J9" s="244">
        <f>+'Chart II'!$J66</f>
        <v>1110518847</v>
      </c>
      <c r="K9" s="244">
        <f>+'Chart II'!$J67</f>
        <v>1073783871</v>
      </c>
      <c r="L9" s="244">
        <f>+'Chart II'!$J68</f>
        <v>1078161209</v>
      </c>
      <c r="M9" s="243">
        <f>+'Chart II'!$J69</f>
        <v>1091642390</v>
      </c>
      <c r="N9" s="244">
        <f ca="1">+'Chart II'!$J70</f>
        <v>1116432536.9895813</v>
      </c>
      <c r="O9" s="244">
        <f ca="1">+'Chart II'!$J71</f>
        <v>1131630482.302804</v>
      </c>
      <c r="P9" s="244">
        <f ca="1">+'Chart II'!$J72</f>
        <v>1145673197.4182358</v>
      </c>
      <c r="Q9" s="244">
        <f ca="1">+'Chart II'!$J73</f>
        <v>1161077354.2842677</v>
      </c>
      <c r="R9" s="262">
        <f ca="1">+'Chart II'!$J74</f>
        <v>1169388487.36602</v>
      </c>
    </row>
    <row r="10" spans="1:18" x14ac:dyDescent="0.2">
      <c r="A10" s="324" t="s">
        <v>274</v>
      </c>
      <c r="B10" s="244">
        <f>+'Chart II'!$G292</f>
        <v>1376310.4427777778</v>
      </c>
      <c r="C10" s="244">
        <f>+'Chart II'!$G293</f>
        <v>1359503.3072222222</v>
      </c>
      <c r="D10" s="244">
        <f>+'Chart II'!$G294</f>
        <v>1235025.9316666666</v>
      </c>
      <c r="E10" s="244">
        <f>+'Chart II'!$G295</f>
        <v>1231537.3194444445</v>
      </c>
      <c r="F10" s="244">
        <f>+'Chart II'!$G296</f>
        <v>1262855.0222222223</v>
      </c>
      <c r="G10" s="244">
        <f>+'Chart II'!$G297</f>
        <v>1231679.9805555556</v>
      </c>
      <c r="H10" s="244">
        <f>+'Chart II'!$G298</f>
        <v>1167952.2</v>
      </c>
      <c r="I10" s="244">
        <f>+'Chart II'!$G299</f>
        <v>1165174.4777777777</v>
      </c>
      <c r="J10" s="244">
        <f>+'Chart II'!$G300</f>
        <v>1171404</v>
      </c>
      <c r="K10" s="244">
        <f>+'Chart II'!$G301</f>
        <v>1146022</v>
      </c>
      <c r="L10" s="244">
        <f>+'Chart II'!$G302</f>
        <v>1145530</v>
      </c>
      <c r="M10" s="243">
        <f>+'Chart II'!G303</f>
        <v>1137326</v>
      </c>
      <c r="N10" s="244">
        <f ca="1">+'Chart II'!$G339</f>
        <v>1173698.5951248333</v>
      </c>
      <c r="O10" s="244">
        <f ca="1">+'Chart II'!$G340</f>
        <v>1188193.5272971711</v>
      </c>
      <c r="P10" s="244">
        <f ca="1">+'Chart II'!$G341</f>
        <v>1204983.7840457296</v>
      </c>
      <c r="Q10" s="244">
        <f ca="1">+'Chart II'!$G342</f>
        <v>1223958.818391382</v>
      </c>
      <c r="R10" s="262">
        <f ca="1">+'Chart II'!$G343</f>
        <v>1235731.2269390824</v>
      </c>
    </row>
    <row r="11" spans="1:18" x14ac:dyDescent="0.2">
      <c r="A11" s="324"/>
      <c r="B11" s="248"/>
      <c r="C11" s="248"/>
      <c r="D11" s="248"/>
      <c r="E11" s="248"/>
      <c r="F11" s="248"/>
      <c r="G11" s="252"/>
      <c r="H11" s="250"/>
      <c r="I11" s="250"/>
      <c r="J11" s="250"/>
      <c r="K11" s="250"/>
      <c r="L11" s="250"/>
      <c r="M11" s="249"/>
      <c r="N11" s="250"/>
      <c r="O11" s="250"/>
      <c r="P11" s="250"/>
      <c r="Q11" s="250"/>
      <c r="R11" s="265"/>
    </row>
    <row r="12" spans="1:18" ht="15.75" x14ac:dyDescent="0.25">
      <c r="A12" s="325" t="s">
        <v>54</v>
      </c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1"/>
      <c r="N12" s="252"/>
      <c r="O12" s="252"/>
      <c r="P12" s="252"/>
      <c r="Q12" s="252"/>
      <c r="R12" s="267"/>
    </row>
    <row r="13" spans="1:18" x14ac:dyDescent="0.2">
      <c r="A13" s="326" t="str">
        <f>'Rate Class Energy Model'!H2</f>
        <v>Residential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1"/>
      <c r="N13" s="252"/>
      <c r="O13" s="252"/>
      <c r="P13" s="252"/>
      <c r="Q13" s="252"/>
      <c r="R13" s="267"/>
    </row>
    <row r="14" spans="1:18" x14ac:dyDescent="0.2">
      <c r="A14" s="327" t="s">
        <v>47</v>
      </c>
      <c r="B14" s="254">
        <f>+'Chart II'!$B$33</f>
        <v>43319.5</v>
      </c>
      <c r="C14" s="254">
        <f>+'Chart II'!$B$34</f>
        <v>43979.5</v>
      </c>
      <c r="D14" s="254">
        <f>+'Chart II'!$B$35</f>
        <v>44598.5</v>
      </c>
      <c r="E14" s="254">
        <f>+'Chart II'!$B$36</f>
        <v>45439</v>
      </c>
      <c r="F14" s="254">
        <f>+'Chart II'!$B$37</f>
        <v>46320</v>
      </c>
      <c r="G14" s="254">
        <f>+'Chart II'!$B$38</f>
        <v>47057.5</v>
      </c>
      <c r="H14" s="254">
        <f>+'Chart II'!$B$39</f>
        <v>47602.5</v>
      </c>
      <c r="I14" s="254">
        <f>+'Chart II'!$B$40</f>
        <v>48114.5</v>
      </c>
      <c r="J14" s="254">
        <f>+'Chart II'!$B$41</f>
        <v>48650.5</v>
      </c>
      <c r="K14" s="254">
        <f>+'Chart II'!$B$42</f>
        <v>49021</v>
      </c>
      <c r="L14" s="254">
        <f>+'Chart II'!$B$43</f>
        <v>49516</v>
      </c>
      <c r="M14" s="253">
        <f>+'Chart II'!$B$44</f>
        <v>50202.5</v>
      </c>
      <c r="N14" s="254">
        <f>+'Chart II'!$B$45</f>
        <v>51708.527408831855</v>
      </c>
      <c r="O14" s="254">
        <f>+'Chart II'!$B$46</f>
        <v>53259.798652925267</v>
      </c>
      <c r="P14" s="254">
        <f>+'Chart II'!$B$47</f>
        <v>54857.637136473488</v>
      </c>
      <c r="Q14" s="254">
        <f>+'Chart II'!$B$48</f>
        <v>56503.367929119158</v>
      </c>
      <c r="R14" s="270">
        <f>+'Chart II'!$B$49</f>
        <v>58198.417788431041</v>
      </c>
    </row>
    <row r="15" spans="1:18" x14ac:dyDescent="0.2">
      <c r="A15" s="327" t="s">
        <v>48</v>
      </c>
      <c r="B15" s="254">
        <f>+'Chart II'!$B58</f>
        <v>457616904</v>
      </c>
      <c r="C15" s="254">
        <f>+'Chart II'!$B59</f>
        <v>448138859</v>
      </c>
      <c r="D15" s="254">
        <f>+'Chart II'!$B60</f>
        <v>485961504</v>
      </c>
      <c r="E15" s="254">
        <f>+'Chart II'!$B61</f>
        <v>466401366</v>
      </c>
      <c r="F15" s="254">
        <f>+'Chart II'!$B62</f>
        <v>473023155</v>
      </c>
      <c r="G15" s="254">
        <f>+'Chart II'!$B63</f>
        <v>470718851</v>
      </c>
      <c r="H15" s="254">
        <f>+'Chart II'!$B64</f>
        <v>467977819</v>
      </c>
      <c r="I15" s="254">
        <f>+'Chart II'!$B65</f>
        <v>476941035</v>
      </c>
      <c r="J15" s="254">
        <f>+'Chart II'!$B66</f>
        <v>484582022</v>
      </c>
      <c r="K15" s="254">
        <f>+'Chart II'!$B67</f>
        <v>473288468</v>
      </c>
      <c r="L15" s="254">
        <f>+'Chart II'!$B68</f>
        <v>475282449</v>
      </c>
      <c r="M15" s="253">
        <f>+'Chart II'!$B69</f>
        <v>485503507</v>
      </c>
      <c r="N15" s="254">
        <f ca="1">+'Chart II'!$B70</f>
        <v>497610662.85013276</v>
      </c>
      <c r="O15" s="254">
        <f ca="1">+'Chart II'!$B71</f>
        <v>504749333.27643669</v>
      </c>
      <c r="P15" s="254">
        <f ca="1">+'Chart II'!$B72</f>
        <v>510469391.34748471</v>
      </c>
      <c r="Q15" s="254">
        <f ca="1">+'Chart II'!$B73</f>
        <v>516502314.78977972</v>
      </c>
      <c r="R15" s="270">
        <f ca="1">+'Chart II'!$B74</f>
        <v>519267546.5319913</v>
      </c>
    </row>
    <row r="16" spans="1:18" x14ac:dyDescent="0.2">
      <c r="A16" s="327"/>
      <c r="B16" s="252"/>
      <c r="C16" s="252"/>
      <c r="D16" s="252"/>
      <c r="E16" s="252"/>
      <c r="F16" s="252"/>
      <c r="G16" s="271"/>
      <c r="H16" s="250"/>
      <c r="I16" s="250"/>
      <c r="J16" s="250"/>
      <c r="K16" s="250"/>
      <c r="L16" s="250"/>
      <c r="M16" s="249"/>
      <c r="N16" s="250"/>
      <c r="O16" s="250"/>
      <c r="P16" s="250"/>
      <c r="Q16" s="250"/>
      <c r="R16" s="265"/>
    </row>
    <row r="17" spans="1:18" x14ac:dyDescent="0.2">
      <c r="A17" s="326" t="str">
        <f>'Rate Class Energy Model'!I2</f>
        <v>GS&lt;50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1"/>
      <c r="N17" s="252"/>
      <c r="O17" s="252"/>
      <c r="P17" s="252"/>
      <c r="Q17" s="252"/>
      <c r="R17" s="267"/>
    </row>
    <row r="18" spans="1:18" x14ac:dyDescent="0.2">
      <c r="A18" s="327" t="s">
        <v>47</v>
      </c>
      <c r="B18" s="254">
        <f>+'Chart II'!$C$33</f>
        <v>3689</v>
      </c>
      <c r="C18" s="254">
        <f>+'Chart II'!$C$34</f>
        <v>3626.5</v>
      </c>
      <c r="D18" s="254">
        <f>+'Chart II'!$C$35</f>
        <v>3662</v>
      </c>
      <c r="E18" s="254">
        <f>+'Chart II'!$C$36</f>
        <v>3740.5</v>
      </c>
      <c r="F18" s="254">
        <f>+'Chart II'!$C$37</f>
        <v>3749</v>
      </c>
      <c r="G18" s="254">
        <f>+'Chart II'!$C$38</f>
        <v>3793.5</v>
      </c>
      <c r="H18" s="254">
        <f>+'Chart II'!$C$39</f>
        <v>3859.5</v>
      </c>
      <c r="I18" s="254">
        <f>+'Chart II'!$C$40</f>
        <v>3929</v>
      </c>
      <c r="J18" s="254">
        <f>+'Chart II'!$C$41</f>
        <v>3888.5</v>
      </c>
      <c r="K18" s="254">
        <f>+'Chart II'!$C$42</f>
        <v>3850.5</v>
      </c>
      <c r="L18" s="254">
        <f>+'Chart II'!$C$43</f>
        <v>3904.5</v>
      </c>
      <c r="M18" s="253">
        <f>+'Chart II'!$C$44</f>
        <v>3952.5</v>
      </c>
      <c r="N18" s="254">
        <f>+'Chart II'!$C$45</f>
        <v>4071.0682995893244</v>
      </c>
      <c r="O18" s="254">
        <f>+'Chart II'!$C$46</f>
        <v>4193.1930652948959</v>
      </c>
      <c r="P18" s="254">
        <f>+'Chart II'!$C$47</f>
        <v>4318.9752815686434</v>
      </c>
      <c r="Q18" s="254">
        <f>+'Chart II'!$C$48</f>
        <v>4448.6159390564635</v>
      </c>
      <c r="R18" s="270">
        <f>+'Chart II'!$C$49</f>
        <v>4582.0160346371858</v>
      </c>
    </row>
    <row r="19" spans="1:18" x14ac:dyDescent="0.2">
      <c r="A19" s="327" t="s">
        <v>48</v>
      </c>
      <c r="B19" s="254">
        <f>+'Chart II'!$C58</f>
        <v>121224653</v>
      </c>
      <c r="C19" s="254">
        <f>+'Chart II'!$C59</f>
        <v>129998490</v>
      </c>
      <c r="D19" s="254">
        <f>+'Chart II'!$C60</f>
        <v>135909028</v>
      </c>
      <c r="E19" s="254">
        <f>+'Chart II'!$C61</f>
        <v>134155770</v>
      </c>
      <c r="F19" s="254">
        <f>+'Chart II'!$C62</f>
        <v>132346004</v>
      </c>
      <c r="G19" s="254">
        <f>+'Chart II'!$C63</f>
        <v>131868017</v>
      </c>
      <c r="H19" s="254">
        <f>+'Chart II'!$C64</f>
        <v>128019505</v>
      </c>
      <c r="I19" s="254">
        <f>+'Chart II'!$C65</f>
        <v>131282103</v>
      </c>
      <c r="J19" s="254">
        <f>+'Chart II'!$C66</f>
        <v>135695878</v>
      </c>
      <c r="K19" s="254">
        <f>+'Chart II'!$C67</f>
        <v>131590801</v>
      </c>
      <c r="L19" s="254">
        <f>+'Chart II'!$C68</f>
        <v>132382128</v>
      </c>
      <c r="M19" s="253">
        <f>+'Chart II'!$C69</f>
        <v>133729082</v>
      </c>
      <c r="N19" s="254">
        <f ca="1">+'Chart II'!$C70</f>
        <v>136996360.64027488</v>
      </c>
      <c r="O19" s="254">
        <f ca="1">+'Chart II'!$C71</f>
        <v>138910441.31964967</v>
      </c>
      <c r="P19" s="254">
        <f ca="1">+'Chart II'!$C72</f>
        <v>140443159.56641656</v>
      </c>
      <c r="Q19" s="254">
        <f ca="1">+'Chart II'!$C73</f>
        <v>142085760.01485717</v>
      </c>
      <c r="R19" s="270">
        <f ca="1">+'Chart II'!$C74</f>
        <v>142875985.37385976</v>
      </c>
    </row>
    <row r="20" spans="1:18" x14ac:dyDescent="0.2">
      <c r="A20" s="327"/>
      <c r="B20" s="252"/>
      <c r="C20" s="252"/>
      <c r="D20" s="252"/>
      <c r="E20" s="252"/>
      <c r="F20" s="252"/>
      <c r="G20" s="271"/>
      <c r="H20" s="250"/>
      <c r="I20" s="250"/>
      <c r="J20" s="250"/>
      <c r="K20" s="250"/>
      <c r="L20" s="250"/>
      <c r="M20" s="249"/>
      <c r="N20" s="250"/>
      <c r="O20" s="250"/>
      <c r="P20" s="250"/>
      <c r="Q20" s="250"/>
      <c r="R20" s="265"/>
    </row>
    <row r="21" spans="1:18" x14ac:dyDescent="0.2">
      <c r="A21" s="326" t="str">
        <f>'Rate Class Energy Model'!J2</f>
        <v>GS&gt;50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1"/>
      <c r="N21" s="252"/>
      <c r="O21" s="252"/>
      <c r="P21" s="252"/>
      <c r="Q21" s="252"/>
      <c r="R21" s="267"/>
    </row>
    <row r="22" spans="1:18" x14ac:dyDescent="0.2">
      <c r="A22" s="327" t="s">
        <v>47</v>
      </c>
      <c r="B22" s="254">
        <f>+'Chart II'!$D$33</f>
        <v>559</v>
      </c>
      <c r="C22" s="254">
        <f>+'Chart II'!$D$34</f>
        <v>530</v>
      </c>
      <c r="D22" s="254">
        <f>+'Chart II'!$D$35</f>
        <v>521.5</v>
      </c>
      <c r="E22" s="254">
        <f>+'Chart II'!$D$36</f>
        <v>525</v>
      </c>
      <c r="F22" s="254">
        <f>+'Chart II'!$D$37</f>
        <v>523</v>
      </c>
      <c r="G22" s="254">
        <f>+'Chart II'!$D$38</f>
        <v>533.5</v>
      </c>
      <c r="H22" s="254">
        <f>+'Chart II'!$D$39</f>
        <v>525</v>
      </c>
      <c r="I22" s="254">
        <f>+'Chart II'!$D$40</f>
        <v>512.5</v>
      </c>
      <c r="J22" s="254">
        <f>+'Chart II'!$D$41</f>
        <v>520.5</v>
      </c>
      <c r="K22" s="254">
        <f>+'Chart II'!$D$42</f>
        <v>511.5</v>
      </c>
      <c r="L22" s="254">
        <f>+'Chart II'!$D$43</f>
        <v>500</v>
      </c>
      <c r="M22" s="253">
        <f>+'Chart II'!$D$44</f>
        <v>502.5</v>
      </c>
      <c r="N22" s="254">
        <f>+'Chart II'!$D$45</f>
        <v>517.6</v>
      </c>
      <c r="O22" s="254">
        <f>+'Chart II'!$D$46</f>
        <v>533.1</v>
      </c>
      <c r="P22" s="254">
        <f>+'Chart II'!$D$47</f>
        <v>549.1</v>
      </c>
      <c r="Q22" s="254">
        <f>+'Chart II'!$D$48</f>
        <v>565.6</v>
      </c>
      <c r="R22" s="270">
        <f>+'Chart II'!$D$49</f>
        <v>582.5</v>
      </c>
    </row>
    <row r="23" spans="1:18" x14ac:dyDescent="0.2">
      <c r="A23" s="327" t="s">
        <v>48</v>
      </c>
      <c r="B23" s="254">
        <f>+'Chart II'!$D58</f>
        <v>281244125.5</v>
      </c>
      <c r="C23" s="254">
        <f>+'Chart II'!$D59</f>
        <v>360631980</v>
      </c>
      <c r="D23" s="254">
        <f>+'Chart II'!$D60</f>
        <v>361962669</v>
      </c>
      <c r="E23" s="254">
        <f>+'Chart II'!$D61</f>
        <v>357086593</v>
      </c>
      <c r="F23" s="254">
        <f>+'Chart II'!$D62</f>
        <v>359144720</v>
      </c>
      <c r="G23" s="254">
        <f>+'Chart II'!$D63</f>
        <v>352632150</v>
      </c>
      <c r="H23" s="254">
        <f>+'Chart II'!$D64</f>
        <v>349784301</v>
      </c>
      <c r="I23" s="254">
        <f>+'Chart II'!$D65</f>
        <v>355234224</v>
      </c>
      <c r="J23" s="254">
        <f>+'Chart II'!$D66</f>
        <v>359534375</v>
      </c>
      <c r="K23" s="254">
        <f>+'Chart II'!$D67</f>
        <v>338342507</v>
      </c>
      <c r="L23" s="254">
        <f>+'Chart II'!$D68</f>
        <v>337123668</v>
      </c>
      <c r="M23" s="253">
        <f>+'Chart II'!$D69</f>
        <v>336406114</v>
      </c>
      <c r="N23" s="254">
        <f ca="1">+'Chart II'!$D70</f>
        <v>345908558.91293103</v>
      </c>
      <c r="O23" s="254">
        <f ca="1">+'Chart II'!$D71</f>
        <v>352266716.64249188</v>
      </c>
      <c r="P23" s="254">
        <f ca="1">+'Chart II'!$D72</f>
        <v>357867688.71367508</v>
      </c>
      <c r="Q23" s="254">
        <f ca="1">+'Chart II'!$D73</f>
        <v>363791390.6049161</v>
      </c>
      <c r="R23" s="270">
        <f ca="1">+'Chart II'!$D74</f>
        <v>367631758.53428179</v>
      </c>
    </row>
    <row r="24" spans="1:18" x14ac:dyDescent="0.2">
      <c r="A24" s="327" t="s">
        <v>49</v>
      </c>
      <c r="B24" s="254">
        <f>+'Chart II'!$B292</f>
        <v>806199.49000000011</v>
      </c>
      <c r="C24" s="254">
        <f>+'Chart II'!$B293</f>
        <v>957450.82</v>
      </c>
      <c r="D24" s="254">
        <f>+'Chart II'!$B294</f>
        <v>913899.12999999989</v>
      </c>
      <c r="E24" s="254">
        <f>+'Chart II'!$B295</f>
        <v>893943</v>
      </c>
      <c r="F24" s="254">
        <f>+'Chart II'!$B296</f>
        <v>887017</v>
      </c>
      <c r="G24" s="254">
        <f>+'Chart II'!$B297</f>
        <v>876464</v>
      </c>
      <c r="H24" s="254">
        <f>+'Chart II'!$B298</f>
        <v>861503</v>
      </c>
      <c r="I24" s="256">
        <f>+'Chart II'!$B299</f>
        <v>871715</v>
      </c>
      <c r="J24" s="256">
        <f>+'Chart II'!$B300</f>
        <v>867070</v>
      </c>
      <c r="K24" s="256">
        <f>+'Chart II'!$B301</f>
        <v>846459</v>
      </c>
      <c r="L24" s="256">
        <f>+'Chart II'!$B302</f>
        <v>843160</v>
      </c>
      <c r="M24" s="255">
        <f>+'Chart II'!B303</f>
        <v>831789</v>
      </c>
      <c r="N24" s="256">
        <f ca="1">+'Chart II'!$B339</f>
        <v>873677.36609810172</v>
      </c>
      <c r="O24" s="256">
        <f ca="1">+'Chart II'!$B340</f>
        <v>889736.46135684976</v>
      </c>
      <c r="P24" s="256">
        <f ca="1">+'Chart II'!$B341</f>
        <v>903883.09751444799</v>
      </c>
      <c r="Q24" s="256">
        <f ca="1">+'Chart II'!$B342</f>
        <v>918844.86741732142</v>
      </c>
      <c r="R24" s="272">
        <f ca="1">+'Chart II'!$B343</f>
        <v>928544.66365225753</v>
      </c>
    </row>
    <row r="25" spans="1:18" x14ac:dyDescent="0.2">
      <c r="A25" s="327"/>
      <c r="B25" s="252"/>
      <c r="C25" s="252"/>
      <c r="D25" s="252"/>
      <c r="E25" s="252"/>
      <c r="F25" s="252"/>
      <c r="G25" s="271"/>
      <c r="H25" s="250"/>
      <c r="I25" s="250"/>
      <c r="J25" s="250"/>
      <c r="K25" s="250"/>
      <c r="L25" s="250"/>
      <c r="M25" s="249"/>
      <c r="N25" s="250"/>
      <c r="O25" s="250"/>
      <c r="P25" s="250"/>
      <c r="Q25" s="250"/>
      <c r="R25" s="265"/>
    </row>
    <row r="26" spans="1:18" x14ac:dyDescent="0.2">
      <c r="A26" s="326" t="str">
        <f>'Rate Class Energy Model'!K2</f>
        <v>Large User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1"/>
      <c r="N26" s="252"/>
      <c r="O26" s="252"/>
      <c r="P26" s="252"/>
      <c r="Q26" s="252"/>
      <c r="R26" s="267"/>
    </row>
    <row r="27" spans="1:18" x14ac:dyDescent="0.2">
      <c r="A27" s="327" t="s">
        <v>47</v>
      </c>
      <c r="B27" s="254">
        <f>+'Chart II'!$E$33</f>
        <v>2.5</v>
      </c>
      <c r="C27" s="254">
        <f>+'Chart II'!$E$34</f>
        <v>2.5</v>
      </c>
      <c r="D27" s="254">
        <f>+'Chart II'!$E$35</f>
        <v>2</v>
      </c>
      <c r="E27" s="254">
        <f>+'Chart II'!$E$36</f>
        <v>2</v>
      </c>
      <c r="F27" s="254">
        <f>+'Chart II'!$E$37</f>
        <v>2</v>
      </c>
      <c r="G27" s="254">
        <f>+'Chart II'!$E$38</f>
        <v>2.5</v>
      </c>
      <c r="H27" s="254">
        <f>+'Chart II'!$E$39</f>
        <v>2</v>
      </c>
      <c r="I27" s="254">
        <f>+'Chart II'!$E$40</f>
        <v>1</v>
      </c>
      <c r="J27" s="254">
        <f>+'Chart II'!$E$41</f>
        <v>1</v>
      </c>
      <c r="K27" s="254">
        <f>+'Chart II'!$E$42</f>
        <v>1</v>
      </c>
      <c r="L27" s="254">
        <f>+'Chart II'!$E$43</f>
        <v>1</v>
      </c>
      <c r="M27" s="253">
        <f>+'Chart II'!$E$44</f>
        <v>1</v>
      </c>
      <c r="N27" s="254">
        <f>+'Chart II'!$E$45</f>
        <v>1</v>
      </c>
      <c r="O27" s="254">
        <f>+'Chart II'!$E$46</f>
        <v>1</v>
      </c>
      <c r="P27" s="254">
        <f>+'Chart II'!$E$47</f>
        <v>1</v>
      </c>
      <c r="Q27" s="254">
        <f>+'Chart II'!$E$48</f>
        <v>1</v>
      </c>
      <c r="R27" s="270">
        <f>+'Chart II'!$E$49</f>
        <v>1</v>
      </c>
    </row>
    <row r="28" spans="1:18" x14ac:dyDescent="0.2">
      <c r="A28" s="327" t="s">
        <v>48</v>
      </c>
      <c r="B28" s="254">
        <f>+'Chart II'!$E58</f>
        <v>169257212.5</v>
      </c>
      <c r="C28" s="254">
        <f>+'Chart II'!$E59</f>
        <v>112144196</v>
      </c>
      <c r="D28" s="254">
        <f>+'Chart II'!$E60</f>
        <v>62904833</v>
      </c>
      <c r="E28" s="254">
        <f>+'Chart II'!$E61</f>
        <v>59654446</v>
      </c>
      <c r="F28" s="254">
        <f>+'Chart II'!$E62</f>
        <v>61811846</v>
      </c>
      <c r="G28" s="254">
        <f>+'Chart II'!$E63</f>
        <v>46461021</v>
      </c>
      <c r="H28" s="254">
        <f>+'Chart II'!$E64</f>
        <v>36580289</v>
      </c>
      <c r="I28" s="254">
        <f>+'Chart II'!$E65</f>
        <v>33402763</v>
      </c>
      <c r="J28" s="254">
        <f>+'Chart II'!$E66</f>
        <v>37740699</v>
      </c>
      <c r="K28" s="254">
        <f>+'Chart II'!$E67</f>
        <v>40812737</v>
      </c>
      <c r="L28" s="254">
        <f>+'Chart II'!$E68</f>
        <v>42326219</v>
      </c>
      <c r="M28" s="253">
        <f>+'Chart II'!$E69</f>
        <v>42700435</v>
      </c>
      <c r="N28" s="254">
        <f ca="1">+'Chart II'!$E70</f>
        <v>42704672.351565883</v>
      </c>
      <c r="O28" s="254">
        <f ca="1">+'Chart II'!$E71</f>
        <v>42684717.3443489</v>
      </c>
      <c r="P28" s="254">
        <f ca="1">+'Chart II'!$E72</f>
        <v>42762817.834401838</v>
      </c>
      <c r="Q28" s="254">
        <f ca="1">+'Chart II'!$E73</f>
        <v>42734648.790182367</v>
      </c>
      <c r="R28" s="270">
        <f ca="1">+'Chart II'!$E74</f>
        <v>42402886.405189961</v>
      </c>
    </row>
    <row r="29" spans="1:18" x14ac:dyDescent="0.2">
      <c r="A29" s="327" t="s">
        <v>49</v>
      </c>
      <c r="B29" s="254">
        <f>+'Chart II'!$C292</f>
        <v>349045.15</v>
      </c>
      <c r="C29" s="254">
        <f>+'Chart II'!$C293</f>
        <v>243130.85</v>
      </c>
      <c r="D29" s="254">
        <f>+'Chart II'!$C294</f>
        <v>154705.01</v>
      </c>
      <c r="E29" s="254">
        <f>+'Chart II'!$C295</f>
        <v>134252</v>
      </c>
      <c r="F29" s="254">
        <f>+'Chart II'!$C296</f>
        <v>135954</v>
      </c>
      <c r="G29" s="254">
        <f>+'Chart II'!$C297</f>
        <v>124131</v>
      </c>
      <c r="H29" s="254">
        <f>+'Chart II'!$C298</f>
        <v>89007</v>
      </c>
      <c r="I29" s="256">
        <f>+'Chart II'!$C299</f>
        <v>70585</v>
      </c>
      <c r="J29" s="256">
        <f>+'Chart II'!$C300</f>
        <v>83704</v>
      </c>
      <c r="K29" s="256">
        <f>+'Chart II'!$C301</f>
        <v>89554</v>
      </c>
      <c r="L29" s="256">
        <f>+'Chart II'!$C302</f>
        <v>92753</v>
      </c>
      <c r="M29" s="255">
        <f>+'Chart II'!C303</f>
        <v>93203</v>
      </c>
      <c r="N29" s="256">
        <f ca="1">+'Chart II'!$C339</f>
        <v>96597.504524505232</v>
      </c>
      <c r="O29" s="256">
        <f ca="1">+'Chart II'!$C340</f>
        <v>96552.366515154412</v>
      </c>
      <c r="P29" s="256">
        <f ca="1">+'Chart II'!$C341</f>
        <v>96729.028974455025</v>
      </c>
      <c r="Q29" s="256">
        <f ca="1">+'Chart II'!$C342</f>
        <v>96665.310902717101</v>
      </c>
      <c r="R29" s="272">
        <f ca="1">+'Chart II'!$C343</f>
        <v>95914.867995169785</v>
      </c>
    </row>
    <row r="30" spans="1:18" x14ac:dyDescent="0.2">
      <c r="A30" s="327"/>
      <c r="B30" s="252"/>
      <c r="C30" s="252"/>
      <c r="D30" s="252"/>
      <c r="E30" s="252"/>
      <c r="F30" s="252"/>
      <c r="G30" s="271"/>
      <c r="H30" s="250"/>
      <c r="I30" s="250"/>
      <c r="J30" s="250"/>
      <c r="K30" s="250"/>
      <c r="L30" s="250"/>
      <c r="M30" s="249"/>
      <c r="N30" s="250"/>
      <c r="O30" s="250"/>
      <c r="P30" s="250"/>
      <c r="Q30" s="250"/>
      <c r="R30" s="265"/>
    </row>
    <row r="31" spans="1:18" x14ac:dyDescent="0.2">
      <c r="A31" s="326" t="str">
        <f>'Rate Class Energy Model'!L2</f>
        <v>I2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1"/>
      <c r="N31" s="252"/>
      <c r="O31" s="252"/>
      <c r="P31" s="252"/>
      <c r="Q31" s="252"/>
      <c r="R31" s="267"/>
    </row>
    <row r="32" spans="1:18" x14ac:dyDescent="0.2">
      <c r="A32" s="328" t="s">
        <v>47</v>
      </c>
      <c r="B32" s="254">
        <f>+'Chart II'!$F$33</f>
        <v>5</v>
      </c>
      <c r="C32" s="254">
        <f>+'Chart II'!$F$34</f>
        <v>6</v>
      </c>
      <c r="D32" s="254">
        <f>+'Chart II'!$F$35</f>
        <v>7.5</v>
      </c>
      <c r="E32" s="254">
        <f>+'Chart II'!$F$36</f>
        <v>8.5</v>
      </c>
      <c r="F32" s="254">
        <f>+'Chart II'!$F$37</f>
        <v>9</v>
      </c>
      <c r="G32" s="254">
        <f>+'Chart II'!$F$38</f>
        <v>9</v>
      </c>
      <c r="H32" s="254">
        <f>+'Chart II'!$F$39</f>
        <v>9.5</v>
      </c>
      <c r="I32" s="254">
        <f>+'Chart II'!$F$40</f>
        <v>10</v>
      </c>
      <c r="J32" s="254">
        <f>+'Chart II'!$F$41</f>
        <v>10</v>
      </c>
      <c r="K32" s="254">
        <f>+'Chart II'!$F$42</f>
        <v>10.5</v>
      </c>
      <c r="L32" s="254">
        <f>+'Chart II'!$F$43</f>
        <v>11</v>
      </c>
      <c r="M32" s="253">
        <f>+'Chart II'!$F$44</f>
        <v>11</v>
      </c>
      <c r="N32" s="254">
        <f>+'Chart II'!$F$45</f>
        <v>11.3</v>
      </c>
      <c r="O32" s="254">
        <f>+'Chart II'!$F$46</f>
        <v>11.7</v>
      </c>
      <c r="P32" s="254">
        <f>+'Chart II'!$F$47</f>
        <v>12</v>
      </c>
      <c r="Q32" s="254">
        <f>+'Chart II'!$F$48</f>
        <v>12.4</v>
      </c>
      <c r="R32" s="270">
        <f>+'Chart II'!$F$49</f>
        <v>12.8</v>
      </c>
    </row>
    <row r="33" spans="1:18" x14ac:dyDescent="0.2">
      <c r="A33" s="327" t="s">
        <v>48</v>
      </c>
      <c r="B33" s="254">
        <f>+'Chart II'!$F58</f>
        <v>96172091</v>
      </c>
      <c r="C33" s="254">
        <f>+'Chart II'!$F59</f>
        <v>65676068</v>
      </c>
      <c r="D33" s="254">
        <f>+'Chart II'!$F60</f>
        <v>67016961</v>
      </c>
      <c r="E33" s="254">
        <f>+'Chart II'!$F61</f>
        <v>80518764</v>
      </c>
      <c r="F33" s="254">
        <f>+'Chart II'!$F62</f>
        <v>103869997</v>
      </c>
      <c r="G33" s="254">
        <f>+'Chart II'!$F63</f>
        <v>102433272</v>
      </c>
      <c r="H33" s="254">
        <f>+'Chart II'!$F64</f>
        <v>87237589</v>
      </c>
      <c r="I33" s="254">
        <f>+'Chart II'!$F65</f>
        <v>80783141</v>
      </c>
      <c r="J33" s="254">
        <f>+'Chart II'!$F66</f>
        <v>79908016</v>
      </c>
      <c r="K33" s="254">
        <f>+'Chart II'!$F67</f>
        <v>76828137</v>
      </c>
      <c r="L33" s="254">
        <f>+'Chart II'!$F68</f>
        <v>79176233</v>
      </c>
      <c r="M33" s="253">
        <f>+'Chart II'!$F69</f>
        <v>81400346</v>
      </c>
      <c r="N33" s="254">
        <f ca="1">+'Chart II'!$F70</f>
        <v>83553088.298685014</v>
      </c>
      <c r="O33" s="254">
        <f ca="1">+'Chart II'!$F71</f>
        <v>85692156.524740934</v>
      </c>
      <c r="P33" s="254">
        <f ca="1">+'Chart II'!$F72</f>
        <v>86862136.274436489</v>
      </c>
      <c r="Q33" s="254">
        <f ca="1">+'Chart II'!$F73</f>
        <v>88760313.469612524</v>
      </c>
      <c r="R33" s="270">
        <f ca="1">+'Chart II'!$F74</f>
        <v>90090497.322299674</v>
      </c>
    </row>
    <row r="34" spans="1:18" x14ac:dyDescent="0.2">
      <c r="A34" s="327" t="s">
        <v>49</v>
      </c>
      <c r="B34" s="254">
        <f>+'Chart II'!$D292</f>
        <v>197712.36</v>
      </c>
      <c r="C34" s="254">
        <f>+'Chart II'!$D293</f>
        <v>135213.89000000001</v>
      </c>
      <c r="D34" s="254">
        <f>+'Chart II'!$D294</f>
        <v>142187.47</v>
      </c>
      <c r="E34" s="254">
        <f>+'Chart II'!$D295</f>
        <v>178422</v>
      </c>
      <c r="F34" s="254">
        <f>+'Chart II'!$D296</f>
        <v>214029</v>
      </c>
      <c r="G34" s="254">
        <f>+'Chart II'!$D297</f>
        <v>204487</v>
      </c>
      <c r="H34" s="254">
        <f>+'Chart II'!$D298</f>
        <v>190299</v>
      </c>
      <c r="I34" s="256">
        <f>+'Chart II'!$D299</f>
        <v>195141</v>
      </c>
      <c r="J34" s="256">
        <f>+'Chart II'!$D300</f>
        <v>192700</v>
      </c>
      <c r="K34" s="256">
        <f>+'Chart II'!$D301</f>
        <v>182189</v>
      </c>
      <c r="L34" s="256">
        <f>+'Chart II'!$D302</f>
        <v>184241</v>
      </c>
      <c r="M34" s="255">
        <f>+'Chart II'!D303</f>
        <v>186714</v>
      </c>
      <c r="N34" s="256">
        <f ca="1">+'Chart II'!$D339</f>
        <v>184580.51902107167</v>
      </c>
      <c r="O34" s="256">
        <f ca="1">+'Chart II'!$D340</f>
        <v>189306.02147019058</v>
      </c>
      <c r="P34" s="256">
        <f ca="1">+'Chart II'!$D341</f>
        <v>191890.67122809004</v>
      </c>
      <c r="Q34" s="256">
        <f ca="1">+'Chart II'!$D342</f>
        <v>196084.01152243163</v>
      </c>
      <c r="R34" s="272">
        <f ca="1">+'Chart II'!$D343</f>
        <v>199022.57466739567</v>
      </c>
    </row>
    <row r="35" spans="1:18" x14ac:dyDescent="0.2">
      <c r="A35" s="327"/>
      <c r="B35" s="254"/>
      <c r="C35" s="254"/>
      <c r="D35" s="254"/>
      <c r="E35" s="254"/>
      <c r="F35" s="254"/>
      <c r="G35" s="254"/>
      <c r="H35" s="254"/>
      <c r="I35" s="250"/>
      <c r="J35" s="250"/>
      <c r="K35" s="250"/>
      <c r="L35" s="250"/>
      <c r="M35" s="249"/>
      <c r="N35" s="250"/>
      <c r="O35" s="250"/>
      <c r="P35" s="250"/>
      <c r="Q35" s="250"/>
      <c r="R35" s="265"/>
    </row>
    <row r="36" spans="1:18" x14ac:dyDescent="0.2">
      <c r="A36" s="326" t="str">
        <f>'Rate Class Energy Model'!M2</f>
        <v>Streetlights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1"/>
      <c r="N36" s="252"/>
      <c r="O36" s="252"/>
      <c r="P36" s="252"/>
      <c r="Q36" s="252"/>
      <c r="R36" s="267"/>
    </row>
    <row r="37" spans="1:18" x14ac:dyDescent="0.2">
      <c r="A37" s="327" t="s">
        <v>63</v>
      </c>
      <c r="B37" s="254">
        <f>+'Chart II'!$G$33</f>
        <v>10059</v>
      </c>
      <c r="C37" s="254">
        <f>+'Chart II'!$G$34</f>
        <v>10262</v>
      </c>
      <c r="D37" s="254">
        <f>+'Chart II'!$G$35</f>
        <v>10498.5</v>
      </c>
      <c r="E37" s="254">
        <f>+'Chart II'!$G$36</f>
        <v>10831</v>
      </c>
      <c r="F37" s="254">
        <f>+'Chart II'!$G$37</f>
        <v>11280.5</v>
      </c>
      <c r="G37" s="254">
        <f>+'Chart II'!$G$38</f>
        <v>11621.5</v>
      </c>
      <c r="H37" s="254">
        <f>+'Chart II'!$G$39</f>
        <v>11801</v>
      </c>
      <c r="I37" s="254">
        <f>+'Chart II'!$G$40</f>
        <v>11995.5</v>
      </c>
      <c r="J37" s="254">
        <f>+'Chart II'!$G$41</f>
        <v>12127.5</v>
      </c>
      <c r="K37" s="254">
        <f>+'Chart II'!$G$42</f>
        <v>12213</v>
      </c>
      <c r="L37" s="254">
        <f>+'Chart II'!$G$43</f>
        <v>12332.5</v>
      </c>
      <c r="M37" s="253">
        <f>+'Chart II'!$G$44</f>
        <v>12464.5</v>
      </c>
      <c r="N37" s="254">
        <f>+'Chart II'!$G$45</f>
        <v>12838.446964330369</v>
      </c>
      <c r="O37" s="254">
        <f>+'Chart II'!$G$46</f>
        <v>13223.623254578835</v>
      </c>
      <c r="P37" s="254">
        <f>+'Chart II'!$G$47</f>
        <v>13620.323929548704</v>
      </c>
      <c r="Q37" s="254">
        <f>+'Chart II'!$G$48</f>
        <v>14028.945919148318</v>
      </c>
      <c r="R37" s="270">
        <f>+'Chart II'!$G$49</f>
        <v>14449.788061221263</v>
      </c>
    </row>
    <row r="38" spans="1:18" x14ac:dyDescent="0.2">
      <c r="A38" s="327" t="s">
        <v>48</v>
      </c>
      <c r="B38" s="254">
        <f>+'Chart II'!$G58</f>
        <v>8359780.5</v>
      </c>
      <c r="C38" s="254">
        <f>+'Chart II'!$G59</f>
        <v>8743099.0634733941</v>
      </c>
      <c r="D38" s="254">
        <f>+'Chart II'!$G60</f>
        <v>9182978</v>
      </c>
      <c r="E38" s="254">
        <f>+'Chart II'!$G61</f>
        <v>9398525</v>
      </c>
      <c r="F38" s="254">
        <f>+'Chart II'!$G62</f>
        <v>9704521</v>
      </c>
      <c r="G38" s="254">
        <f>+'Chart II'!$G63</f>
        <v>9725840</v>
      </c>
      <c r="H38" s="254">
        <f>+'Chart II'!$G64</f>
        <v>10202758</v>
      </c>
      <c r="I38" s="254">
        <f>+'Chart II'!$G65</f>
        <v>10427904</v>
      </c>
      <c r="J38" s="254">
        <f>+'Chart II'!$G66</f>
        <v>10253017</v>
      </c>
      <c r="K38" s="254">
        <f>+'Chart II'!$G67</f>
        <v>10139708</v>
      </c>
      <c r="L38" s="254">
        <f>+'Chart II'!$G68</f>
        <v>9082284</v>
      </c>
      <c r="M38" s="253">
        <f>+'Chart II'!$G69</f>
        <v>9155875</v>
      </c>
      <c r="N38" s="254">
        <f>+'Chart II'!$G70</f>
        <v>6934206.2815438015</v>
      </c>
      <c r="O38" s="254">
        <f>+'Chart II'!$G71</f>
        <v>4625488.1587263634</v>
      </c>
      <c r="P38" s="254">
        <f>+'Chart II'!$G72</f>
        <v>4583340.2168644872</v>
      </c>
      <c r="Q38" s="254">
        <f>+'Chart II'!$G73</f>
        <v>4541712.7242170181</v>
      </c>
      <c r="R38" s="270">
        <f>+'Chart II'!$G74</f>
        <v>4500563.824822342</v>
      </c>
    </row>
    <row r="39" spans="1:18" x14ac:dyDescent="0.2">
      <c r="A39" s="327" t="s">
        <v>49</v>
      </c>
      <c r="B39" s="254">
        <f>+'Chart II'!$E292</f>
        <v>23226.94</v>
      </c>
      <c r="C39" s="254">
        <f>+'Chart II'!$E293</f>
        <v>23584.5</v>
      </c>
      <c r="D39" s="254">
        <f>+'Chart II'!$E294</f>
        <v>24114.33</v>
      </c>
      <c r="E39" s="254">
        <f>+'Chart II'!$E295</f>
        <v>24802</v>
      </c>
      <c r="F39" s="254">
        <f>+'Chart II'!$E296</f>
        <v>25740</v>
      </c>
      <c r="G39" s="254">
        <f>+'Chart II'!$E297</f>
        <v>26489</v>
      </c>
      <c r="H39" s="254">
        <f>+'Chart II'!$E298</f>
        <v>27041</v>
      </c>
      <c r="I39" s="256">
        <f>+'Chart II'!$E299</f>
        <v>27634</v>
      </c>
      <c r="J39" s="256">
        <f>+'Chart II'!$E300</f>
        <v>27830</v>
      </c>
      <c r="K39" s="256">
        <f>+'Chart II'!$E301</f>
        <v>27720</v>
      </c>
      <c r="L39" s="256">
        <f>+'Chart II'!$E302</f>
        <v>25276</v>
      </c>
      <c r="M39" s="255">
        <f>+'Chart II'!E303</f>
        <v>25520</v>
      </c>
      <c r="N39" s="256">
        <f>+'Chart II'!$E339</f>
        <v>18742.893699603548</v>
      </c>
      <c r="O39" s="256">
        <f>+'Chart II'!$E340</f>
        <v>12502.517137185854</v>
      </c>
      <c r="P39" s="256">
        <f>+'Chart II'!$E341</f>
        <v>12388.592866418654</v>
      </c>
      <c r="Q39" s="256">
        <f>+'Chart II'!$E342</f>
        <v>12276.075349922326</v>
      </c>
      <c r="R39" s="272">
        <f>+'Chart II'!$E343</f>
        <v>12164.85145263752</v>
      </c>
    </row>
    <row r="40" spans="1:18" x14ac:dyDescent="0.2">
      <c r="A40" s="327"/>
      <c r="B40" s="254"/>
      <c r="C40" s="254"/>
      <c r="D40" s="254"/>
      <c r="E40" s="254"/>
      <c r="F40" s="254"/>
      <c r="G40" s="254"/>
      <c r="H40" s="254"/>
      <c r="I40" s="256"/>
      <c r="J40" s="256"/>
      <c r="K40" s="256"/>
      <c r="L40" s="256"/>
      <c r="M40" s="255"/>
      <c r="N40" s="256"/>
      <c r="O40" s="256"/>
      <c r="P40" s="256"/>
      <c r="Q40" s="256"/>
      <c r="R40" s="272"/>
    </row>
    <row r="41" spans="1:18" x14ac:dyDescent="0.2">
      <c r="A41" s="326" t="str">
        <f>'Rate Class Energy Model'!N2</f>
        <v>Sentinels</v>
      </c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1"/>
      <c r="N41" s="252"/>
      <c r="O41" s="252"/>
      <c r="P41" s="252"/>
      <c r="Q41" s="252"/>
      <c r="R41" s="267"/>
    </row>
    <row r="42" spans="1:18" x14ac:dyDescent="0.2">
      <c r="A42" s="327" t="s">
        <v>63</v>
      </c>
      <c r="B42" s="254">
        <f>+'Chart II'!$H$33</f>
        <v>34.5</v>
      </c>
      <c r="C42" s="254">
        <f>+'Chart II'!$H$34</f>
        <v>30</v>
      </c>
      <c r="D42" s="254">
        <f>+'Chart II'!$H$35</f>
        <v>29.5</v>
      </c>
      <c r="E42" s="254">
        <f>+'Chart II'!$H$36</f>
        <v>28.5</v>
      </c>
      <c r="F42" s="254">
        <f>+'Chart II'!$H$37</f>
        <v>26.5</v>
      </c>
      <c r="G42" s="254">
        <f>+'Chart II'!$H$38</f>
        <v>26</v>
      </c>
      <c r="H42" s="254">
        <f>+'Chart II'!$H$39</f>
        <v>26</v>
      </c>
      <c r="I42" s="254">
        <f>+'Chart II'!$H$40</f>
        <v>25</v>
      </c>
      <c r="J42" s="254">
        <f>+'Chart II'!$H$41</f>
        <v>24</v>
      </c>
      <c r="K42" s="254">
        <f>+'Chart II'!$H$42</f>
        <v>24</v>
      </c>
      <c r="L42" s="254">
        <f>+'Chart II'!$H$43</f>
        <v>24</v>
      </c>
      <c r="M42" s="253">
        <f>+'Chart II'!$H$44</f>
        <v>24</v>
      </c>
      <c r="N42" s="254">
        <f>+'Chart II'!$H$45</f>
        <v>23.221124933174856</v>
      </c>
      <c r="O42" s="254">
        <f>+'Chart II'!$H$46</f>
        <v>22.46752679842146</v>
      </c>
      <c r="P42" s="254">
        <f>+'Chart II'!$H$47</f>
        <v>21.738385280233285</v>
      </c>
      <c r="Q42" s="254">
        <f>+'Chart II'!$H$48</f>
        <v>21.032906684907768</v>
      </c>
      <c r="R42" s="270">
        <f>+'Chart II'!$H$49</f>
        <v>20.350323076585497</v>
      </c>
    </row>
    <row r="43" spans="1:18" x14ac:dyDescent="0.2">
      <c r="A43" s="327" t="s">
        <v>48</v>
      </c>
      <c r="B43" s="254">
        <f>+'Chart II'!$H58</f>
        <v>45541</v>
      </c>
      <c r="C43" s="254">
        <f>+'Chart II'!$H59</f>
        <v>27821</v>
      </c>
      <c r="D43" s="254">
        <f>+'Chart II'!$H60</f>
        <v>43197</v>
      </c>
      <c r="E43" s="254">
        <f>+'Chart II'!$H61</f>
        <v>42595</v>
      </c>
      <c r="F43" s="254">
        <f>+'Chart II'!$H62</f>
        <v>41408</v>
      </c>
      <c r="G43" s="254">
        <f>+'Chart II'!$H63</f>
        <v>39233</v>
      </c>
      <c r="H43" s="254">
        <f>+'Chart II'!$H64</f>
        <v>36792</v>
      </c>
      <c r="I43" s="254">
        <f>+'Chart II'!$H65</f>
        <v>35812</v>
      </c>
      <c r="J43" s="254">
        <f>+'Chart II'!$H66</f>
        <v>35812</v>
      </c>
      <c r="K43" s="254">
        <f>+'Chart II'!$H67</f>
        <v>35812</v>
      </c>
      <c r="L43" s="254">
        <f>+'Chart II'!$H68</f>
        <v>35812</v>
      </c>
      <c r="M43" s="253">
        <f>+'Chart II'!$H69</f>
        <v>35812</v>
      </c>
      <c r="N43" s="254">
        <f ca="1">+'Chart II'!$H70</f>
        <v>34349.534768978912</v>
      </c>
      <c r="O43" s="254">
        <f ca="1">+'Chart II'!$H71</f>
        <v>32928.129707592547</v>
      </c>
      <c r="P43" s="254">
        <f ca="1">+'Chart II'!$H72</f>
        <v>31638.082757930551</v>
      </c>
      <c r="Q43" s="254">
        <f ca="1">+'Chart II'!$H73</f>
        <v>30323.070137644703</v>
      </c>
      <c r="R43" s="270">
        <f ca="1">+'Chart II'!$H74</f>
        <v>28856.100408357815</v>
      </c>
    </row>
    <row r="44" spans="1:18" x14ac:dyDescent="0.2">
      <c r="A44" s="327" t="s">
        <v>49</v>
      </c>
      <c r="B44" s="254">
        <f>+'Chart II'!$F292</f>
        <v>126.50277777777779</v>
      </c>
      <c r="C44" s="254">
        <f>+'Chart II'!$F293</f>
        <v>123.24722222222222</v>
      </c>
      <c r="D44" s="254">
        <f>+'Chart II'!$F294</f>
        <v>119.99166666666666</v>
      </c>
      <c r="E44" s="254">
        <f>+'Chart II'!$F295</f>
        <v>118.31944444444447</v>
      </c>
      <c r="F44" s="254">
        <f>+'Chart II'!$F296</f>
        <v>115.0222222222222</v>
      </c>
      <c r="G44" s="254">
        <f>+'Chart II'!$F297</f>
        <v>108.9805555555556</v>
      </c>
      <c r="H44" s="254">
        <f>+'Chart II'!$F298</f>
        <v>102.2</v>
      </c>
      <c r="I44" s="256">
        <f>+'Chart II'!$F299</f>
        <v>99.477777777777803</v>
      </c>
      <c r="J44" s="256">
        <f>+'Chart II'!$F300</f>
        <v>100</v>
      </c>
      <c r="K44" s="256">
        <f>+'Chart II'!$F301</f>
        <v>100</v>
      </c>
      <c r="L44" s="256">
        <f>+'Chart II'!$F302</f>
        <v>100</v>
      </c>
      <c r="M44" s="255">
        <f>+'Chart II'!F303</f>
        <v>100</v>
      </c>
      <c r="N44" s="256">
        <f ca="1">+'Chart II'!$F339</f>
        <v>100.31178155107455</v>
      </c>
      <c r="O44" s="256">
        <f ca="1">+'Chart II'!$F340</f>
        <v>96.160817790652715</v>
      </c>
      <c r="P44" s="256">
        <f ca="1">+'Chart II'!$F341</f>
        <v>92.393462317704902</v>
      </c>
      <c r="Q44" s="256">
        <f ca="1">+'Chart II'!$F342</f>
        <v>88.553198989825731</v>
      </c>
      <c r="R44" s="272">
        <f ca="1">+'Chart II'!$F343</f>
        <v>84.269171621887097</v>
      </c>
    </row>
    <row r="45" spans="1:18" x14ac:dyDescent="0.2">
      <c r="A45" s="327"/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1"/>
      <c r="N45" s="252"/>
      <c r="O45" s="252"/>
      <c r="P45" s="252"/>
      <c r="Q45" s="252"/>
      <c r="R45" s="267"/>
    </row>
    <row r="46" spans="1:18" x14ac:dyDescent="0.2">
      <c r="A46" s="326" t="str">
        <f>'Rate Class Energy Model'!O2</f>
        <v>USL</v>
      </c>
      <c r="B46" s="252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1"/>
      <c r="N46" s="252"/>
      <c r="O46" s="252"/>
      <c r="P46" s="252"/>
      <c r="Q46" s="252"/>
      <c r="R46" s="267"/>
    </row>
    <row r="47" spans="1:18" x14ac:dyDescent="0.2">
      <c r="A47" s="327" t="s">
        <v>63</v>
      </c>
      <c r="B47" s="254">
        <f>+'Chart II'!$I$33</f>
        <v>292</v>
      </c>
      <c r="C47" s="254">
        <f>+'Chart II'!$I$34</f>
        <v>294</v>
      </c>
      <c r="D47" s="254">
        <f>+'Chart II'!$I$35</f>
        <v>295</v>
      </c>
      <c r="E47" s="254">
        <f>+'Chart II'!$I$36</f>
        <v>298</v>
      </c>
      <c r="F47" s="254">
        <f>+'Chart II'!$I$37</f>
        <v>301</v>
      </c>
      <c r="G47" s="254">
        <f>+'Chart II'!$I$38</f>
        <v>301</v>
      </c>
      <c r="H47" s="254">
        <f>+'Chart II'!$I$39</f>
        <v>302.5</v>
      </c>
      <c r="I47" s="254">
        <f>+'Chart II'!$I$40</f>
        <v>306.5</v>
      </c>
      <c r="J47" s="254">
        <f>+'Chart II'!$I$41</f>
        <v>302.5</v>
      </c>
      <c r="K47" s="254">
        <f>+'Chart II'!$I$42</f>
        <v>295.5</v>
      </c>
      <c r="L47" s="254">
        <f>+'Chart II'!$I$43</f>
        <v>295</v>
      </c>
      <c r="M47" s="253">
        <f>+'Chart II'!$I$44</f>
        <v>295.5</v>
      </c>
      <c r="N47" s="254">
        <f>+'Chart II'!$I$45</f>
        <v>295.82025457231583</v>
      </c>
      <c r="O47" s="254">
        <f>+'Chart II'!$I$46</f>
        <v>296.14085622751179</v>
      </c>
      <c r="P47" s="254">
        <f>+'Chart II'!$I$47</f>
        <v>296.46180534174658</v>
      </c>
      <c r="Q47" s="254">
        <f>+'Chart II'!$I$48</f>
        <v>296.78310229158649</v>
      </c>
      <c r="R47" s="270">
        <f>+'Chart II'!$I$49</f>
        <v>297.10474745400597</v>
      </c>
    </row>
    <row r="48" spans="1:18" x14ac:dyDescent="0.2">
      <c r="A48" s="327" t="s">
        <v>48</v>
      </c>
      <c r="B48" s="254">
        <f>+'Chart II'!$I58</f>
        <v>2920000</v>
      </c>
      <c r="C48" s="254">
        <f>+'Chart II'!$I59</f>
        <v>2940000</v>
      </c>
      <c r="D48" s="254">
        <f>+'Chart II'!$I60</f>
        <v>2950000</v>
      </c>
      <c r="E48" s="254">
        <f>+'Chart II'!$I61</f>
        <v>3705188</v>
      </c>
      <c r="F48" s="254">
        <f>+'Chart II'!$I62</f>
        <v>3818865</v>
      </c>
      <c r="G48" s="254">
        <f>+'Chart II'!$I63</f>
        <v>3372873</v>
      </c>
      <c r="H48" s="254">
        <f>+'Chart II'!$I64</f>
        <v>2825455</v>
      </c>
      <c r="I48" s="254">
        <f>+'Chart II'!$I65</f>
        <v>2831501</v>
      </c>
      <c r="J48" s="254">
        <f>+'Chart II'!$I66</f>
        <v>2769028</v>
      </c>
      <c r="K48" s="254">
        <f>+'Chart II'!$I67</f>
        <v>2745701</v>
      </c>
      <c r="L48" s="254">
        <f>+'Chart II'!$I68</f>
        <v>2752416</v>
      </c>
      <c r="M48" s="253">
        <f>+'Chart II'!$I69</f>
        <v>2711219</v>
      </c>
      <c r="N48" s="254">
        <f ca="1">+'Chart II'!$I70</f>
        <v>2690638.1196790505</v>
      </c>
      <c r="O48" s="254">
        <f ca="1">+'Chart II'!$I71</f>
        <v>2668700.9067017306</v>
      </c>
      <c r="P48" s="254">
        <f ca="1">+'Chart II'!$I72</f>
        <v>2653025.3821984963</v>
      </c>
      <c r="Q48" s="254">
        <f ca="1">+'Chart II'!$I73</f>
        <v>2630890.8205649224</v>
      </c>
      <c r="R48" s="270">
        <f ca="1">+'Chart II'!$I74</f>
        <v>2590393.2731665666</v>
      </c>
    </row>
    <row r="49" spans="1:18" x14ac:dyDescent="0.2">
      <c r="A49" s="327"/>
      <c r="B49" s="252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1"/>
      <c r="N49" s="252"/>
      <c r="O49" s="252"/>
      <c r="P49" s="252"/>
      <c r="Q49" s="252"/>
      <c r="R49" s="267"/>
    </row>
    <row r="50" spans="1:18" x14ac:dyDescent="0.2">
      <c r="A50" s="326" t="s">
        <v>64</v>
      </c>
      <c r="B50" s="254"/>
      <c r="C50" s="254"/>
      <c r="D50" s="254"/>
      <c r="E50" s="254"/>
      <c r="F50" s="252"/>
      <c r="G50" s="254"/>
      <c r="H50" s="254"/>
      <c r="I50" s="254"/>
      <c r="J50" s="254"/>
      <c r="K50" s="254"/>
      <c r="L50" s="254"/>
      <c r="M50" s="253"/>
      <c r="N50" s="254"/>
      <c r="O50" s="254"/>
      <c r="P50" s="254"/>
      <c r="Q50" s="254"/>
      <c r="R50" s="270"/>
    </row>
    <row r="51" spans="1:18" x14ac:dyDescent="0.2">
      <c r="A51" s="327" t="s">
        <v>51</v>
      </c>
      <c r="B51" s="254">
        <f>B14+B18+B22+B27+B32+B37+B47+B42</f>
        <v>57960.5</v>
      </c>
      <c r="C51" s="254">
        <f t="shared" ref="C51:Q51" si="1">C14+C18+C22+C27+C32+C37+C47+C42</f>
        <v>58730.5</v>
      </c>
      <c r="D51" s="254">
        <f t="shared" si="1"/>
        <v>59614.5</v>
      </c>
      <c r="E51" s="254">
        <f t="shared" si="1"/>
        <v>60872.5</v>
      </c>
      <c r="F51" s="254">
        <f t="shared" si="1"/>
        <v>62211</v>
      </c>
      <c r="G51" s="254">
        <f t="shared" si="1"/>
        <v>63344.5</v>
      </c>
      <c r="H51" s="254">
        <f t="shared" si="1"/>
        <v>64128</v>
      </c>
      <c r="I51" s="254">
        <f t="shared" si="1"/>
        <v>64894</v>
      </c>
      <c r="J51" s="254">
        <f t="shared" si="1"/>
        <v>65524.5</v>
      </c>
      <c r="K51" s="254">
        <f t="shared" si="1"/>
        <v>65927</v>
      </c>
      <c r="L51" s="254">
        <f t="shared" si="1"/>
        <v>66584</v>
      </c>
      <c r="M51" s="253">
        <f t="shared" si="1"/>
        <v>67453.5</v>
      </c>
      <c r="N51" s="254">
        <f t="shared" si="1"/>
        <v>69466.984052257045</v>
      </c>
      <c r="O51" s="254">
        <f t="shared" si="1"/>
        <v>71541.023355824931</v>
      </c>
      <c r="P51" s="254">
        <f t="shared" si="1"/>
        <v>73677.236538212819</v>
      </c>
      <c r="Q51" s="254">
        <f t="shared" si="1"/>
        <v>75877.745796300442</v>
      </c>
      <c r="R51" s="270">
        <f>R14+R18+R22+R27+R32+R37+R47+R42</f>
        <v>78143.9769548201</v>
      </c>
    </row>
    <row r="52" spans="1:18" x14ac:dyDescent="0.2">
      <c r="A52" s="327" t="s">
        <v>48</v>
      </c>
      <c r="B52" s="254">
        <f>B15+B19+B23+B28+B33+B38+B48+B43</f>
        <v>1136840307.5</v>
      </c>
      <c r="C52" s="254">
        <f t="shared" ref="C52:R52" si="2">C15+C19+C23+C28+C33+C38+C48+C43</f>
        <v>1128300513.0634735</v>
      </c>
      <c r="D52" s="254">
        <f t="shared" si="2"/>
        <v>1125931170</v>
      </c>
      <c r="E52" s="254">
        <f t="shared" si="2"/>
        <v>1110963247</v>
      </c>
      <c r="F52" s="254">
        <f t="shared" si="2"/>
        <v>1143760516</v>
      </c>
      <c r="G52" s="254">
        <f t="shared" si="2"/>
        <v>1117251257</v>
      </c>
      <c r="H52" s="254">
        <f t="shared" si="2"/>
        <v>1082664508</v>
      </c>
      <c r="I52" s="254">
        <f t="shared" si="2"/>
        <v>1090938483</v>
      </c>
      <c r="J52" s="254">
        <f t="shared" si="2"/>
        <v>1110518847</v>
      </c>
      <c r="K52" s="254">
        <f t="shared" si="2"/>
        <v>1073783871</v>
      </c>
      <c r="L52" s="254">
        <f t="shared" si="2"/>
        <v>1078161209</v>
      </c>
      <c r="M52" s="253">
        <f t="shared" si="2"/>
        <v>1091642390</v>
      </c>
      <c r="N52" s="254">
        <f t="shared" ca="1" si="2"/>
        <v>1116432536.9895813</v>
      </c>
      <c r="O52" s="254">
        <f t="shared" ca="1" si="2"/>
        <v>1131630482.302804</v>
      </c>
      <c r="P52" s="254">
        <f t="shared" ca="1" si="2"/>
        <v>1145673197.4182358</v>
      </c>
      <c r="Q52" s="254">
        <f t="shared" ca="1" si="2"/>
        <v>1161077354.2842677</v>
      </c>
      <c r="R52" s="270">
        <f t="shared" ca="1" si="2"/>
        <v>1169388487.36602</v>
      </c>
    </row>
    <row r="53" spans="1:18" x14ac:dyDescent="0.2">
      <c r="A53" s="327" t="s">
        <v>50</v>
      </c>
      <c r="B53" s="254">
        <f t="shared" ref="B53:R53" si="3">B24+B29+B34+B39+B44</f>
        <v>1376310.4427777778</v>
      </c>
      <c r="C53" s="254">
        <f t="shared" si="3"/>
        <v>1359503.3072222222</v>
      </c>
      <c r="D53" s="254">
        <f t="shared" si="3"/>
        <v>1235025.9316666666</v>
      </c>
      <c r="E53" s="254">
        <f t="shared" si="3"/>
        <v>1231537.3194444445</v>
      </c>
      <c r="F53" s="254">
        <f t="shared" si="3"/>
        <v>1262855.0222222223</v>
      </c>
      <c r="G53" s="254">
        <f t="shared" si="3"/>
        <v>1231679.9805555556</v>
      </c>
      <c r="H53" s="254">
        <f t="shared" si="3"/>
        <v>1167952.2</v>
      </c>
      <c r="I53" s="254">
        <f t="shared" si="3"/>
        <v>1165174.4777777777</v>
      </c>
      <c r="J53" s="254">
        <f t="shared" si="3"/>
        <v>1171404</v>
      </c>
      <c r="K53" s="254">
        <f t="shared" si="3"/>
        <v>1146022</v>
      </c>
      <c r="L53" s="254">
        <f t="shared" si="3"/>
        <v>1145530</v>
      </c>
      <c r="M53" s="253">
        <f t="shared" si="3"/>
        <v>1137326</v>
      </c>
      <c r="N53" s="254">
        <f t="shared" ca="1" si="3"/>
        <v>1173698.5951248333</v>
      </c>
      <c r="O53" s="254">
        <f t="shared" ca="1" si="3"/>
        <v>1188193.5272971711</v>
      </c>
      <c r="P53" s="254">
        <f t="shared" ca="1" si="3"/>
        <v>1204983.7840457296</v>
      </c>
      <c r="Q53" s="254">
        <f t="shared" ca="1" si="3"/>
        <v>1223958.818391382</v>
      </c>
      <c r="R53" s="270">
        <f t="shared" ca="1" si="3"/>
        <v>1235731.2269390824</v>
      </c>
    </row>
    <row r="54" spans="1:18" x14ac:dyDescent="0.2">
      <c r="A54" s="327"/>
      <c r="B54" s="252"/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1"/>
      <c r="N54" s="252"/>
      <c r="O54" s="252"/>
      <c r="P54" s="252"/>
      <c r="Q54" s="252"/>
      <c r="R54" s="267"/>
    </row>
    <row r="55" spans="1:18" x14ac:dyDescent="0.2">
      <c r="A55" s="326" t="s">
        <v>65</v>
      </c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1"/>
      <c r="N55" s="252"/>
      <c r="O55" s="252"/>
      <c r="P55" s="252"/>
      <c r="Q55" s="252"/>
      <c r="R55" s="267"/>
    </row>
    <row r="56" spans="1:18" x14ac:dyDescent="0.2">
      <c r="A56" s="327" t="s">
        <v>51</v>
      </c>
      <c r="B56" s="254">
        <f>+'Chart II'!$J$33</f>
        <v>57960.5</v>
      </c>
      <c r="C56" s="254">
        <f>+'Chart II'!$J$34</f>
        <v>58730.5</v>
      </c>
      <c r="D56" s="254">
        <f>+'Chart II'!$J$35</f>
        <v>59614.5</v>
      </c>
      <c r="E56" s="254">
        <f>+'Chart II'!$J$36</f>
        <v>60872.5</v>
      </c>
      <c r="F56" s="254">
        <f>+'Chart II'!$J$37</f>
        <v>62211</v>
      </c>
      <c r="G56" s="254">
        <f>+'Chart II'!$J$38</f>
        <v>63344.5</v>
      </c>
      <c r="H56" s="254">
        <f>+'Chart II'!$J$39</f>
        <v>64128</v>
      </c>
      <c r="I56" s="254">
        <f>+'Chart II'!$J$40</f>
        <v>64894</v>
      </c>
      <c r="J56" s="254">
        <f>+'Chart II'!$J$41</f>
        <v>65524.5</v>
      </c>
      <c r="K56" s="254">
        <f>+'Chart II'!$J$42</f>
        <v>65927</v>
      </c>
      <c r="L56" s="254">
        <f>+'Chart II'!$J$43</f>
        <v>66584</v>
      </c>
      <c r="M56" s="253">
        <f>+'Chart II'!$J$44</f>
        <v>67453.5</v>
      </c>
      <c r="N56" s="254">
        <f>+'Chart II'!$J$45</f>
        <v>69466.984052257045</v>
      </c>
      <c r="O56" s="254">
        <f>+'Chart II'!$J$46</f>
        <v>71541.023355824931</v>
      </c>
      <c r="P56" s="254">
        <f>+'Chart II'!$J$47</f>
        <v>73677.236538212819</v>
      </c>
      <c r="Q56" s="254">
        <f>+'Chart II'!$J$48</f>
        <v>75877.745796300442</v>
      </c>
      <c r="R56" s="270">
        <f>+'Chart II'!$J$49</f>
        <v>78143.9769548201</v>
      </c>
    </row>
    <row r="57" spans="1:18" x14ac:dyDescent="0.2">
      <c r="A57" s="327" t="s">
        <v>48</v>
      </c>
      <c r="B57" s="254">
        <f>+B9</f>
        <v>1136840307.5</v>
      </c>
      <c r="C57" s="254">
        <f t="shared" ref="C57:R57" si="4">+C9</f>
        <v>1128300513.0634735</v>
      </c>
      <c r="D57" s="254">
        <f t="shared" si="4"/>
        <v>1125931170</v>
      </c>
      <c r="E57" s="254">
        <f t="shared" si="4"/>
        <v>1110963247</v>
      </c>
      <c r="F57" s="254">
        <f t="shared" si="4"/>
        <v>1143760516</v>
      </c>
      <c r="G57" s="254">
        <f t="shared" si="4"/>
        <v>1117251257</v>
      </c>
      <c r="H57" s="254">
        <f t="shared" si="4"/>
        <v>1082664508</v>
      </c>
      <c r="I57" s="254">
        <f t="shared" si="4"/>
        <v>1090938483</v>
      </c>
      <c r="J57" s="254">
        <f t="shared" si="4"/>
        <v>1110518847</v>
      </c>
      <c r="K57" s="254">
        <f t="shared" si="4"/>
        <v>1073783871</v>
      </c>
      <c r="L57" s="254">
        <f t="shared" si="4"/>
        <v>1078161209</v>
      </c>
      <c r="M57" s="253">
        <f t="shared" si="4"/>
        <v>1091642390</v>
      </c>
      <c r="N57" s="254">
        <f t="shared" ca="1" si="4"/>
        <v>1116432536.9895813</v>
      </c>
      <c r="O57" s="254">
        <f t="shared" ca="1" si="4"/>
        <v>1131630482.302804</v>
      </c>
      <c r="P57" s="254">
        <f t="shared" ca="1" si="4"/>
        <v>1145673197.4182358</v>
      </c>
      <c r="Q57" s="254">
        <f t="shared" ca="1" si="4"/>
        <v>1161077354.2842677</v>
      </c>
      <c r="R57" s="270">
        <f t="shared" ca="1" si="4"/>
        <v>1169388487.36602</v>
      </c>
    </row>
    <row r="58" spans="1:18" x14ac:dyDescent="0.2">
      <c r="A58" s="327" t="s">
        <v>50</v>
      </c>
      <c r="B58" s="254">
        <f>+B10</f>
        <v>1376310.4427777778</v>
      </c>
      <c r="C58" s="254">
        <f t="shared" ref="C58:R58" si="5">+C10</f>
        <v>1359503.3072222222</v>
      </c>
      <c r="D58" s="254">
        <f t="shared" si="5"/>
        <v>1235025.9316666666</v>
      </c>
      <c r="E58" s="254">
        <f t="shared" si="5"/>
        <v>1231537.3194444445</v>
      </c>
      <c r="F58" s="254">
        <f t="shared" si="5"/>
        <v>1262855.0222222223</v>
      </c>
      <c r="G58" s="254">
        <f t="shared" si="5"/>
        <v>1231679.9805555556</v>
      </c>
      <c r="H58" s="254">
        <f t="shared" si="5"/>
        <v>1167952.2</v>
      </c>
      <c r="I58" s="256">
        <f t="shared" si="5"/>
        <v>1165174.4777777777</v>
      </c>
      <c r="J58" s="256">
        <f t="shared" si="5"/>
        <v>1171404</v>
      </c>
      <c r="K58" s="256">
        <f t="shared" si="5"/>
        <v>1146022</v>
      </c>
      <c r="L58" s="256">
        <f t="shared" si="5"/>
        <v>1145530</v>
      </c>
      <c r="M58" s="255">
        <f t="shared" si="5"/>
        <v>1137326</v>
      </c>
      <c r="N58" s="256">
        <f t="shared" ca="1" si="5"/>
        <v>1173698.5951248333</v>
      </c>
      <c r="O58" s="256">
        <f t="shared" ca="1" si="5"/>
        <v>1188193.5272971711</v>
      </c>
      <c r="P58" s="256">
        <f t="shared" ca="1" si="5"/>
        <v>1204983.7840457296</v>
      </c>
      <c r="Q58" s="256">
        <f t="shared" ca="1" si="5"/>
        <v>1223958.818391382</v>
      </c>
      <c r="R58" s="272">
        <f t="shared" ca="1" si="5"/>
        <v>1235731.2269390824</v>
      </c>
    </row>
    <row r="59" spans="1:18" x14ac:dyDescent="0.2">
      <c r="A59" s="327"/>
      <c r="B59" s="252"/>
      <c r="C59" s="252"/>
      <c r="D59" s="252"/>
      <c r="E59" s="252"/>
      <c r="F59" s="252"/>
      <c r="G59" s="252"/>
      <c r="H59" s="252"/>
      <c r="I59" s="252"/>
      <c r="J59" s="252"/>
      <c r="K59" s="252"/>
      <c r="L59" s="252"/>
      <c r="M59" s="251"/>
      <c r="N59" s="252"/>
      <c r="O59" s="252"/>
      <c r="P59" s="252"/>
      <c r="Q59" s="252"/>
      <c r="R59" s="267"/>
    </row>
    <row r="60" spans="1:18" x14ac:dyDescent="0.2">
      <c r="A60" s="326" t="s">
        <v>66</v>
      </c>
      <c r="B60" s="254"/>
      <c r="C60" s="254"/>
      <c r="D60" s="254"/>
      <c r="E60" s="254"/>
      <c r="F60" s="254"/>
      <c r="G60" s="254"/>
      <c r="H60" s="254"/>
      <c r="I60" s="252"/>
      <c r="J60" s="252"/>
      <c r="K60" s="252"/>
      <c r="L60" s="252"/>
      <c r="M60" s="251"/>
      <c r="N60" s="252"/>
      <c r="O60" s="252"/>
      <c r="P60" s="252"/>
      <c r="Q60" s="252"/>
      <c r="R60" s="267"/>
    </row>
    <row r="61" spans="1:18" x14ac:dyDescent="0.2">
      <c r="A61" s="327" t="s">
        <v>51</v>
      </c>
      <c r="B61" s="254">
        <f>B51-B56</f>
        <v>0</v>
      </c>
      <c r="C61" s="254">
        <f t="shared" ref="C61:R63" si="6">C51-C56</f>
        <v>0</v>
      </c>
      <c r="D61" s="254">
        <f t="shared" si="6"/>
        <v>0</v>
      </c>
      <c r="E61" s="254">
        <f t="shared" si="6"/>
        <v>0</v>
      </c>
      <c r="F61" s="254">
        <f t="shared" si="6"/>
        <v>0</v>
      </c>
      <c r="G61" s="254">
        <f t="shared" si="6"/>
        <v>0</v>
      </c>
      <c r="H61" s="254">
        <f t="shared" si="6"/>
        <v>0</v>
      </c>
      <c r="I61" s="254">
        <f t="shared" si="6"/>
        <v>0</v>
      </c>
      <c r="J61" s="254">
        <f t="shared" si="6"/>
        <v>0</v>
      </c>
      <c r="K61" s="254">
        <f t="shared" si="6"/>
        <v>0</v>
      </c>
      <c r="L61" s="254">
        <f t="shared" si="6"/>
        <v>0</v>
      </c>
      <c r="M61" s="253">
        <f t="shared" si="6"/>
        <v>0</v>
      </c>
      <c r="N61" s="254">
        <f t="shared" si="6"/>
        <v>0</v>
      </c>
      <c r="O61" s="254">
        <f t="shared" si="6"/>
        <v>0</v>
      </c>
      <c r="P61" s="254">
        <f t="shared" si="6"/>
        <v>0</v>
      </c>
      <c r="Q61" s="254">
        <f t="shared" si="6"/>
        <v>0</v>
      </c>
      <c r="R61" s="270">
        <f t="shared" si="6"/>
        <v>0</v>
      </c>
    </row>
    <row r="62" spans="1:18" x14ac:dyDescent="0.2">
      <c r="A62" s="327" t="s">
        <v>48</v>
      </c>
      <c r="B62" s="254">
        <f t="shared" ref="B62:I63" si="7">B52-B57</f>
        <v>0</v>
      </c>
      <c r="C62" s="254">
        <f t="shared" si="7"/>
        <v>0</v>
      </c>
      <c r="D62" s="254">
        <f t="shared" si="7"/>
        <v>0</v>
      </c>
      <c r="E62" s="254">
        <f t="shared" si="7"/>
        <v>0</v>
      </c>
      <c r="F62" s="254">
        <f t="shared" si="7"/>
        <v>0</v>
      </c>
      <c r="G62" s="254">
        <f t="shared" si="7"/>
        <v>0</v>
      </c>
      <c r="H62" s="254">
        <f t="shared" si="7"/>
        <v>0</v>
      </c>
      <c r="I62" s="254">
        <f t="shared" si="7"/>
        <v>0</v>
      </c>
      <c r="J62" s="254">
        <f t="shared" si="6"/>
        <v>0</v>
      </c>
      <c r="K62" s="254">
        <f t="shared" si="6"/>
        <v>0</v>
      </c>
      <c r="L62" s="254">
        <f t="shared" si="6"/>
        <v>0</v>
      </c>
      <c r="M62" s="253">
        <f t="shared" si="6"/>
        <v>0</v>
      </c>
      <c r="N62" s="254">
        <f t="shared" ca="1" si="6"/>
        <v>0</v>
      </c>
      <c r="O62" s="254">
        <f t="shared" ca="1" si="6"/>
        <v>0</v>
      </c>
      <c r="P62" s="254">
        <f t="shared" ca="1" si="6"/>
        <v>0</v>
      </c>
      <c r="Q62" s="254">
        <f t="shared" ca="1" si="6"/>
        <v>0</v>
      </c>
      <c r="R62" s="270">
        <f t="shared" ca="1" si="6"/>
        <v>0</v>
      </c>
    </row>
    <row r="63" spans="1:18" ht="13.5" thickBot="1" x14ac:dyDescent="0.25">
      <c r="A63" s="329" t="s">
        <v>50</v>
      </c>
      <c r="B63" s="275">
        <f t="shared" si="7"/>
        <v>0</v>
      </c>
      <c r="C63" s="275">
        <f t="shared" si="7"/>
        <v>0</v>
      </c>
      <c r="D63" s="275">
        <f t="shared" si="7"/>
        <v>0</v>
      </c>
      <c r="E63" s="275">
        <f t="shared" si="7"/>
        <v>0</v>
      </c>
      <c r="F63" s="275">
        <f t="shared" si="7"/>
        <v>0</v>
      </c>
      <c r="G63" s="275">
        <f t="shared" si="7"/>
        <v>0</v>
      </c>
      <c r="H63" s="275">
        <f t="shared" si="7"/>
        <v>0</v>
      </c>
      <c r="I63" s="275">
        <f t="shared" si="7"/>
        <v>0</v>
      </c>
      <c r="J63" s="275">
        <f t="shared" si="6"/>
        <v>0</v>
      </c>
      <c r="K63" s="275">
        <f t="shared" si="6"/>
        <v>0</v>
      </c>
      <c r="L63" s="275">
        <f t="shared" si="6"/>
        <v>0</v>
      </c>
      <c r="M63" s="276">
        <f t="shared" si="6"/>
        <v>0</v>
      </c>
      <c r="N63" s="275">
        <f t="shared" ca="1" si="6"/>
        <v>0</v>
      </c>
      <c r="O63" s="275">
        <f t="shared" ca="1" si="6"/>
        <v>0</v>
      </c>
      <c r="P63" s="275">
        <f t="shared" ca="1" si="6"/>
        <v>0</v>
      </c>
      <c r="Q63" s="275">
        <f t="shared" ca="1" si="6"/>
        <v>0</v>
      </c>
      <c r="R63" s="277">
        <f t="shared" ca="1" si="6"/>
        <v>0</v>
      </c>
    </row>
    <row r="65" spans="1:17" ht="13.5" thickBot="1" x14ac:dyDescent="0.25"/>
    <row r="66" spans="1:17" x14ac:dyDescent="0.2">
      <c r="A66" s="338"/>
      <c r="B66" s="341" t="s">
        <v>263</v>
      </c>
      <c r="C66" s="341" t="s">
        <v>263</v>
      </c>
      <c r="D66" s="500" t="s">
        <v>211</v>
      </c>
      <c r="E66" s="501"/>
      <c r="F66" s="501"/>
      <c r="G66" s="501"/>
      <c r="H66" s="501"/>
      <c r="I66" s="502"/>
      <c r="J66" s="339" t="s">
        <v>264</v>
      </c>
      <c r="K66" s="500" t="s">
        <v>265</v>
      </c>
      <c r="L66" s="501"/>
      <c r="M66" s="501"/>
      <c r="N66" s="501"/>
      <c r="O66" s="503"/>
    </row>
    <row r="67" spans="1:17" ht="13.5" thickBot="1" x14ac:dyDescent="0.25">
      <c r="A67" s="340" t="s">
        <v>117</v>
      </c>
      <c r="B67" s="350">
        <v>2008</v>
      </c>
      <c r="C67" s="350">
        <v>2012</v>
      </c>
      <c r="D67" s="351">
        <v>2008</v>
      </c>
      <c r="E67" s="351">
        <v>2009</v>
      </c>
      <c r="F67" s="351">
        <v>2010</v>
      </c>
      <c r="G67" s="351">
        <v>2011</v>
      </c>
      <c r="H67" s="351">
        <v>2012</v>
      </c>
      <c r="I67" s="351">
        <v>2013</v>
      </c>
      <c r="J67" s="351">
        <v>2014</v>
      </c>
      <c r="K67" s="351">
        <v>2015</v>
      </c>
      <c r="L67" s="351">
        <v>2016</v>
      </c>
      <c r="M67" s="351">
        <v>2017</v>
      </c>
      <c r="N67" s="351">
        <v>2018</v>
      </c>
      <c r="O67" s="352">
        <v>2019</v>
      </c>
    </row>
    <row r="68" spans="1:17" x14ac:dyDescent="0.2">
      <c r="A68" s="324" t="s">
        <v>52</v>
      </c>
      <c r="B68" s="342">
        <f>+'Chart II'!B5</f>
        <v>1192455603</v>
      </c>
      <c r="C68" s="342">
        <f>+'Chart II'!B6</f>
        <v>1161936612</v>
      </c>
      <c r="D68" s="342">
        <f t="shared" ref="D68:O70" si="8">+G5</f>
        <v>1158881926</v>
      </c>
      <c r="E68" s="342">
        <f t="shared" si="8"/>
        <v>1128390784.5107694</v>
      </c>
      <c r="F68" s="342">
        <f t="shared" si="8"/>
        <v>1148489331.8146157</v>
      </c>
      <c r="G68" s="342">
        <f t="shared" si="8"/>
        <v>1148632387.3953846</v>
      </c>
      <c r="H68" s="342">
        <f t="shared" si="8"/>
        <v>1136211952.670979</v>
      </c>
      <c r="I68" s="342">
        <f t="shared" si="8"/>
        <v>1130407041.6666667</v>
      </c>
      <c r="J68" s="342">
        <f t="shared" si="8"/>
        <v>1134970142.7733078</v>
      </c>
      <c r="K68" s="342">
        <f t="shared" si="8"/>
        <v>0</v>
      </c>
      <c r="L68" s="342">
        <f t="shared" si="8"/>
        <v>0</v>
      </c>
      <c r="M68" s="342">
        <f t="shared" si="8"/>
        <v>0</v>
      </c>
      <c r="N68" s="342">
        <f t="shared" si="8"/>
        <v>0</v>
      </c>
      <c r="O68" s="343">
        <f t="shared" si="8"/>
        <v>0</v>
      </c>
    </row>
    <row r="69" spans="1:17" x14ac:dyDescent="0.2">
      <c r="A69" s="324" t="s">
        <v>53</v>
      </c>
      <c r="B69" s="342"/>
      <c r="C69" s="177"/>
      <c r="D69" s="342">
        <f t="shared" si="8"/>
        <v>1105605337.8738799</v>
      </c>
      <c r="E69" s="342">
        <f t="shared" si="8"/>
        <v>1123816338.2115908</v>
      </c>
      <c r="F69" s="342">
        <f t="shared" si="8"/>
        <v>1128203375.0065463</v>
      </c>
      <c r="G69" s="342">
        <f t="shared" si="8"/>
        <v>1162405206.2491772</v>
      </c>
      <c r="H69" s="342">
        <f t="shared" si="8"/>
        <v>1148412454.4669952</v>
      </c>
      <c r="I69" s="342">
        <f t="shared" ca="1" si="8"/>
        <v>1162091422.8514135</v>
      </c>
      <c r="J69" s="342">
        <f t="shared" si="8"/>
        <v>1169512871.2930617</v>
      </c>
      <c r="K69" s="342">
        <f t="shared" ca="1" si="8"/>
        <v>1170789222.604636</v>
      </c>
      <c r="L69" s="342">
        <f t="shared" ca="1" si="8"/>
        <v>1186826722.6269789</v>
      </c>
      <c r="M69" s="342">
        <f t="shared" ca="1" si="8"/>
        <v>1201655752.4623165</v>
      </c>
      <c r="N69" s="342">
        <f t="shared" ca="1" si="8"/>
        <v>1217915398.7826724</v>
      </c>
      <c r="O69" s="343">
        <f t="shared" ca="1" si="8"/>
        <v>1226740333.9186592</v>
      </c>
    </row>
    <row r="70" spans="1:17" x14ac:dyDescent="0.2">
      <c r="A70" s="324" t="s">
        <v>8</v>
      </c>
      <c r="B70" s="344"/>
      <c r="C70" s="177"/>
      <c r="D70" s="345">
        <f t="shared" si="8"/>
        <v>-4.5972404030848686E-2</v>
      </c>
      <c r="E70" s="345">
        <f t="shared" si="8"/>
        <v>-4.0539557411946783E-3</v>
      </c>
      <c r="F70" s="345">
        <f t="shared" si="8"/>
        <v>-1.7663165208524498E-2</v>
      </c>
      <c r="G70" s="345">
        <f t="shared" si="8"/>
        <v>1.1990623810480942E-2</v>
      </c>
      <c r="H70" s="345">
        <f t="shared" si="8"/>
        <v>1.0737874889747092E-2</v>
      </c>
      <c r="I70" s="345">
        <f t="shared" ca="1" si="8"/>
        <v>2.8029178885891796E-2</v>
      </c>
      <c r="J70" s="345">
        <f t="shared" si="8"/>
        <v>3.0434922662677739E-2</v>
      </c>
      <c r="K70" s="345">
        <f t="shared" si="8"/>
        <v>0</v>
      </c>
      <c r="L70" s="345">
        <f t="shared" si="8"/>
        <v>0</v>
      </c>
      <c r="M70" s="345">
        <f t="shared" si="8"/>
        <v>0</v>
      </c>
      <c r="N70" s="345">
        <f t="shared" si="8"/>
        <v>0</v>
      </c>
      <c r="O70" s="346">
        <f t="shared" si="8"/>
        <v>0</v>
      </c>
    </row>
    <row r="71" spans="1:17" x14ac:dyDescent="0.2">
      <c r="A71" s="324"/>
      <c r="B71" s="177"/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347"/>
    </row>
    <row r="72" spans="1:17" x14ac:dyDescent="0.2">
      <c r="A72" s="324" t="s">
        <v>55</v>
      </c>
      <c r="B72" s="342">
        <f>+'Chart II'!J55</f>
        <v>1141200155</v>
      </c>
      <c r="C72" s="342">
        <f>+'Chart II'!J56</f>
        <v>1114000000</v>
      </c>
      <c r="D72" s="342">
        <f t="shared" ref="D72:O72" si="9">+G9</f>
        <v>1117251257</v>
      </c>
      <c r="E72" s="342">
        <f t="shared" si="9"/>
        <v>1082664508</v>
      </c>
      <c r="F72" s="342">
        <f t="shared" si="9"/>
        <v>1090938483</v>
      </c>
      <c r="G72" s="342">
        <f t="shared" si="9"/>
        <v>1110518847</v>
      </c>
      <c r="H72" s="342">
        <f t="shared" si="9"/>
        <v>1073783871</v>
      </c>
      <c r="I72" s="342">
        <f t="shared" si="9"/>
        <v>1078161209</v>
      </c>
      <c r="J72" s="342">
        <f t="shared" si="9"/>
        <v>1091642390</v>
      </c>
      <c r="K72" s="342">
        <f t="shared" ca="1" si="9"/>
        <v>1116432536.9895813</v>
      </c>
      <c r="L72" s="342">
        <f t="shared" ca="1" si="9"/>
        <v>1131630482.302804</v>
      </c>
      <c r="M72" s="342">
        <f t="shared" ca="1" si="9"/>
        <v>1145673197.4182358</v>
      </c>
      <c r="N72" s="342">
        <f t="shared" ca="1" si="9"/>
        <v>1161077354.2842677</v>
      </c>
      <c r="O72" s="343">
        <f t="shared" ca="1" si="9"/>
        <v>1169388487.36602</v>
      </c>
      <c r="Q72" s="431"/>
    </row>
    <row r="73" spans="1:17" x14ac:dyDescent="0.2">
      <c r="A73" s="324"/>
      <c r="B73" s="177"/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347"/>
    </row>
    <row r="74" spans="1:17" ht="15.75" x14ac:dyDescent="0.25">
      <c r="A74" s="325" t="s">
        <v>54</v>
      </c>
      <c r="B74" s="177"/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347"/>
    </row>
    <row r="75" spans="1:17" x14ac:dyDescent="0.2">
      <c r="A75" s="326" t="str">
        <f>+A13</f>
        <v>Residential</v>
      </c>
      <c r="B75" s="177"/>
      <c r="C75" s="177"/>
      <c r="D75" s="177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347"/>
    </row>
    <row r="76" spans="1:17" x14ac:dyDescent="0.2">
      <c r="A76" s="327" t="s">
        <v>47</v>
      </c>
      <c r="B76" s="342">
        <f t="shared" ref="B76" si="10">+E14</f>
        <v>45439</v>
      </c>
      <c r="C76" s="342">
        <f t="shared" ref="C76" si="11">+F14</f>
        <v>46320</v>
      </c>
      <c r="D76" s="342">
        <f t="shared" ref="D76:O77" si="12">+G14</f>
        <v>47057.5</v>
      </c>
      <c r="E76" s="342">
        <f t="shared" si="12"/>
        <v>47602.5</v>
      </c>
      <c r="F76" s="342">
        <f t="shared" si="12"/>
        <v>48114.5</v>
      </c>
      <c r="G76" s="342">
        <f t="shared" si="12"/>
        <v>48650.5</v>
      </c>
      <c r="H76" s="342">
        <f t="shared" si="12"/>
        <v>49021</v>
      </c>
      <c r="I76" s="342">
        <f t="shared" si="12"/>
        <v>49516</v>
      </c>
      <c r="J76" s="342">
        <f t="shared" si="12"/>
        <v>50202.5</v>
      </c>
      <c r="K76" s="342">
        <f t="shared" si="12"/>
        <v>51708.527408831855</v>
      </c>
      <c r="L76" s="342">
        <f t="shared" si="12"/>
        <v>53259.798652925267</v>
      </c>
      <c r="M76" s="342">
        <f t="shared" si="12"/>
        <v>54857.637136473488</v>
      </c>
      <c r="N76" s="342">
        <f t="shared" si="12"/>
        <v>56503.367929119158</v>
      </c>
      <c r="O76" s="343">
        <f t="shared" si="12"/>
        <v>58198.417788431041</v>
      </c>
    </row>
    <row r="77" spans="1:17" x14ac:dyDescent="0.2">
      <c r="A77" s="327" t="s">
        <v>48</v>
      </c>
      <c r="B77" s="342">
        <f>+'Chart II'!B55</f>
        <v>487192399</v>
      </c>
      <c r="C77" s="342">
        <f>+'Chart II'!B56</f>
        <v>496447375</v>
      </c>
      <c r="D77" s="342">
        <f t="shared" si="12"/>
        <v>470718851</v>
      </c>
      <c r="E77" s="342">
        <f t="shared" si="12"/>
        <v>467977819</v>
      </c>
      <c r="F77" s="342">
        <f t="shared" si="12"/>
        <v>476941035</v>
      </c>
      <c r="G77" s="342">
        <f t="shared" si="12"/>
        <v>484582022</v>
      </c>
      <c r="H77" s="342">
        <f t="shared" si="12"/>
        <v>473288468</v>
      </c>
      <c r="I77" s="342">
        <f t="shared" si="12"/>
        <v>475282449</v>
      </c>
      <c r="J77" s="342">
        <f t="shared" si="12"/>
        <v>485503507</v>
      </c>
      <c r="K77" s="342">
        <f t="shared" ca="1" si="12"/>
        <v>497610662.85013276</v>
      </c>
      <c r="L77" s="342">
        <f t="shared" ca="1" si="12"/>
        <v>504749333.27643669</v>
      </c>
      <c r="M77" s="342">
        <f t="shared" ca="1" si="12"/>
        <v>510469391.34748471</v>
      </c>
      <c r="N77" s="342">
        <f t="shared" ca="1" si="12"/>
        <v>516502314.78977972</v>
      </c>
      <c r="O77" s="343">
        <f t="shared" ca="1" si="12"/>
        <v>519267546.5319913</v>
      </c>
    </row>
    <row r="78" spans="1:17" x14ac:dyDescent="0.2">
      <c r="A78" s="327"/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347"/>
    </row>
    <row r="79" spans="1:17" x14ac:dyDescent="0.2">
      <c r="A79" s="326" t="str">
        <f>+A17</f>
        <v>GS&lt;50</v>
      </c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347"/>
    </row>
    <row r="80" spans="1:17" x14ac:dyDescent="0.2">
      <c r="A80" s="327" t="s">
        <v>47</v>
      </c>
      <c r="B80" s="342">
        <f t="shared" ref="B80" si="13">+E18</f>
        <v>3740.5</v>
      </c>
      <c r="C80" s="342">
        <f t="shared" ref="C80" si="14">+F18</f>
        <v>3749</v>
      </c>
      <c r="D80" s="342">
        <f t="shared" ref="D80:O81" si="15">+G18</f>
        <v>3793.5</v>
      </c>
      <c r="E80" s="342">
        <f t="shared" si="15"/>
        <v>3859.5</v>
      </c>
      <c r="F80" s="342">
        <f t="shared" si="15"/>
        <v>3929</v>
      </c>
      <c r="G80" s="342">
        <f t="shared" si="15"/>
        <v>3888.5</v>
      </c>
      <c r="H80" s="342">
        <f t="shared" si="15"/>
        <v>3850.5</v>
      </c>
      <c r="I80" s="342">
        <f t="shared" si="15"/>
        <v>3904.5</v>
      </c>
      <c r="J80" s="342">
        <f t="shared" si="15"/>
        <v>3952.5</v>
      </c>
      <c r="K80" s="342">
        <f t="shared" si="15"/>
        <v>4071.0682995893244</v>
      </c>
      <c r="L80" s="342">
        <f t="shared" si="15"/>
        <v>4193.1930652948959</v>
      </c>
      <c r="M80" s="342">
        <f t="shared" si="15"/>
        <v>4318.9752815686434</v>
      </c>
      <c r="N80" s="342">
        <f t="shared" si="15"/>
        <v>4448.6159390564635</v>
      </c>
      <c r="O80" s="343">
        <f t="shared" si="15"/>
        <v>4582.0160346371858</v>
      </c>
    </row>
    <row r="81" spans="1:15" x14ac:dyDescent="0.2">
      <c r="A81" s="327" t="s">
        <v>48</v>
      </c>
      <c r="B81" s="342">
        <f>+'Chart II'!C55</f>
        <v>140097188</v>
      </c>
      <c r="C81" s="342">
        <f>+'Chart II'!C56</f>
        <v>132319612</v>
      </c>
      <c r="D81" s="342">
        <f t="shared" si="15"/>
        <v>131868017</v>
      </c>
      <c r="E81" s="342">
        <f t="shared" si="15"/>
        <v>128019505</v>
      </c>
      <c r="F81" s="342">
        <f t="shared" si="15"/>
        <v>131282103</v>
      </c>
      <c r="G81" s="342">
        <f t="shared" si="15"/>
        <v>135695878</v>
      </c>
      <c r="H81" s="342">
        <f t="shared" si="15"/>
        <v>131590801</v>
      </c>
      <c r="I81" s="342">
        <f t="shared" si="15"/>
        <v>132382128</v>
      </c>
      <c r="J81" s="342">
        <f t="shared" si="15"/>
        <v>133729082</v>
      </c>
      <c r="K81" s="342">
        <f t="shared" ca="1" si="15"/>
        <v>136996360.64027488</v>
      </c>
      <c r="L81" s="342">
        <f t="shared" ca="1" si="15"/>
        <v>138910441.31964967</v>
      </c>
      <c r="M81" s="342">
        <f t="shared" ca="1" si="15"/>
        <v>140443159.56641656</v>
      </c>
      <c r="N81" s="342">
        <f t="shared" ca="1" si="15"/>
        <v>142085760.01485717</v>
      </c>
      <c r="O81" s="343">
        <f t="shared" ca="1" si="15"/>
        <v>142875985.37385976</v>
      </c>
    </row>
    <row r="82" spans="1:15" x14ac:dyDescent="0.2">
      <c r="A82" s="327"/>
      <c r="B82" s="177"/>
      <c r="C82" s="177"/>
      <c r="D82" s="177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347"/>
    </row>
    <row r="83" spans="1:15" x14ac:dyDescent="0.2">
      <c r="A83" s="326" t="str">
        <f>+A21</f>
        <v>GS&gt;50</v>
      </c>
      <c r="B83" s="177"/>
      <c r="C83" s="177"/>
      <c r="D83" s="177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347"/>
    </row>
    <row r="84" spans="1:15" x14ac:dyDescent="0.2">
      <c r="A84" s="327" t="s">
        <v>47</v>
      </c>
      <c r="B84" s="342">
        <f t="shared" ref="B84" si="16">+E22</f>
        <v>525</v>
      </c>
      <c r="C84" s="342">
        <f t="shared" ref="C84" si="17">+F22</f>
        <v>523</v>
      </c>
      <c r="D84" s="342">
        <f t="shared" ref="D84:O86" si="18">+G22</f>
        <v>533.5</v>
      </c>
      <c r="E84" s="342">
        <f t="shared" si="18"/>
        <v>525</v>
      </c>
      <c r="F84" s="342">
        <f t="shared" si="18"/>
        <v>512.5</v>
      </c>
      <c r="G84" s="342">
        <f t="shared" si="18"/>
        <v>520.5</v>
      </c>
      <c r="H84" s="342">
        <f t="shared" si="18"/>
        <v>511.5</v>
      </c>
      <c r="I84" s="342">
        <f t="shared" si="18"/>
        <v>500</v>
      </c>
      <c r="J84" s="342">
        <f t="shared" si="18"/>
        <v>502.5</v>
      </c>
      <c r="K84" s="342">
        <f t="shared" si="18"/>
        <v>517.6</v>
      </c>
      <c r="L84" s="342">
        <f t="shared" si="18"/>
        <v>533.1</v>
      </c>
      <c r="M84" s="342">
        <f t="shared" si="18"/>
        <v>549.1</v>
      </c>
      <c r="N84" s="342">
        <f t="shared" si="18"/>
        <v>565.6</v>
      </c>
      <c r="O84" s="343">
        <f t="shared" si="18"/>
        <v>582.5</v>
      </c>
    </row>
    <row r="85" spans="1:15" x14ac:dyDescent="0.2">
      <c r="A85" s="327" t="s">
        <v>48</v>
      </c>
      <c r="B85" s="342">
        <f>+'Chart II'!D55</f>
        <v>358858375</v>
      </c>
      <c r="C85" s="342">
        <f>+'Chart II'!D56</f>
        <v>359363080</v>
      </c>
      <c r="D85" s="342">
        <f t="shared" si="18"/>
        <v>352632150</v>
      </c>
      <c r="E85" s="342">
        <f t="shared" si="18"/>
        <v>349784301</v>
      </c>
      <c r="F85" s="342">
        <f t="shared" si="18"/>
        <v>355234224</v>
      </c>
      <c r="G85" s="342">
        <f t="shared" si="18"/>
        <v>359534375</v>
      </c>
      <c r="H85" s="342">
        <f t="shared" si="18"/>
        <v>338342507</v>
      </c>
      <c r="I85" s="342">
        <f t="shared" si="18"/>
        <v>337123668</v>
      </c>
      <c r="J85" s="342">
        <f t="shared" si="18"/>
        <v>336406114</v>
      </c>
      <c r="K85" s="342">
        <f t="shared" ca="1" si="18"/>
        <v>345908558.91293103</v>
      </c>
      <c r="L85" s="342">
        <f t="shared" ca="1" si="18"/>
        <v>352266716.64249188</v>
      </c>
      <c r="M85" s="342">
        <f t="shared" ca="1" si="18"/>
        <v>357867688.71367508</v>
      </c>
      <c r="N85" s="342">
        <f t="shared" ca="1" si="18"/>
        <v>363791390.6049161</v>
      </c>
      <c r="O85" s="343">
        <f t="shared" ca="1" si="18"/>
        <v>367631758.53428179</v>
      </c>
    </row>
    <row r="86" spans="1:15" x14ac:dyDescent="0.2">
      <c r="A86" s="327" t="s">
        <v>49</v>
      </c>
      <c r="B86" s="342">
        <f>+B85*0.2454</f>
        <v>88063845.225000009</v>
      </c>
      <c r="C86" s="342">
        <f>+C85*0.2454</f>
        <v>88187699.832000002</v>
      </c>
      <c r="D86" s="342">
        <f t="shared" si="18"/>
        <v>876464</v>
      </c>
      <c r="E86" s="342">
        <f t="shared" si="18"/>
        <v>861503</v>
      </c>
      <c r="F86" s="342">
        <f t="shared" si="18"/>
        <v>871715</v>
      </c>
      <c r="G86" s="342">
        <f t="shared" si="18"/>
        <v>867070</v>
      </c>
      <c r="H86" s="342">
        <f t="shared" si="18"/>
        <v>846459</v>
      </c>
      <c r="I86" s="342">
        <f t="shared" si="18"/>
        <v>843160</v>
      </c>
      <c r="J86" s="342">
        <f t="shared" si="18"/>
        <v>831789</v>
      </c>
      <c r="K86" s="342">
        <f t="shared" ca="1" si="18"/>
        <v>873677.36609810172</v>
      </c>
      <c r="L86" s="342">
        <f t="shared" ca="1" si="18"/>
        <v>889736.46135684976</v>
      </c>
      <c r="M86" s="342">
        <f t="shared" ca="1" si="18"/>
        <v>903883.09751444799</v>
      </c>
      <c r="N86" s="342">
        <f t="shared" ca="1" si="18"/>
        <v>918844.86741732142</v>
      </c>
      <c r="O86" s="343">
        <f t="shared" ca="1" si="18"/>
        <v>928544.66365225753</v>
      </c>
    </row>
    <row r="87" spans="1:15" x14ac:dyDescent="0.2">
      <c r="A87" s="327"/>
      <c r="B87" s="177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347"/>
    </row>
    <row r="88" spans="1:15" x14ac:dyDescent="0.2">
      <c r="A88" s="326" t="str">
        <f>+A26</f>
        <v>Large User</v>
      </c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347"/>
    </row>
    <row r="89" spans="1:15" x14ac:dyDescent="0.2">
      <c r="A89" s="327" t="s">
        <v>47</v>
      </c>
      <c r="B89" s="342">
        <f t="shared" ref="B89" si="19">+E27</f>
        <v>2</v>
      </c>
      <c r="C89" s="342">
        <f t="shared" ref="C89" si="20">+F27</f>
        <v>2</v>
      </c>
      <c r="D89" s="342">
        <f t="shared" ref="D89:O91" si="21">+G27</f>
        <v>2.5</v>
      </c>
      <c r="E89" s="342">
        <f t="shared" si="21"/>
        <v>2</v>
      </c>
      <c r="F89" s="342">
        <f t="shared" si="21"/>
        <v>1</v>
      </c>
      <c r="G89" s="342">
        <f t="shared" si="21"/>
        <v>1</v>
      </c>
      <c r="H89" s="342">
        <f t="shared" si="21"/>
        <v>1</v>
      </c>
      <c r="I89" s="342">
        <f t="shared" si="21"/>
        <v>1</v>
      </c>
      <c r="J89" s="342">
        <f t="shared" si="21"/>
        <v>1</v>
      </c>
      <c r="K89" s="342">
        <f t="shared" si="21"/>
        <v>1</v>
      </c>
      <c r="L89" s="342">
        <f t="shared" si="21"/>
        <v>1</v>
      </c>
      <c r="M89" s="342">
        <f t="shared" si="21"/>
        <v>1</v>
      </c>
      <c r="N89" s="342">
        <f t="shared" si="21"/>
        <v>1</v>
      </c>
      <c r="O89" s="343">
        <f t="shared" si="21"/>
        <v>1</v>
      </c>
    </row>
    <row r="90" spans="1:15" x14ac:dyDescent="0.2">
      <c r="A90" s="327" t="s">
        <v>48</v>
      </c>
      <c r="B90" s="342">
        <f>+'Chart II'!E55</f>
        <v>60139982</v>
      </c>
      <c r="C90" s="342">
        <f>+'Chart II'!E56</f>
        <v>33402763</v>
      </c>
      <c r="D90" s="342">
        <f t="shared" si="21"/>
        <v>46461021</v>
      </c>
      <c r="E90" s="342">
        <f t="shared" si="21"/>
        <v>36580289</v>
      </c>
      <c r="F90" s="342">
        <f t="shared" si="21"/>
        <v>33402763</v>
      </c>
      <c r="G90" s="342">
        <f t="shared" si="21"/>
        <v>37740699</v>
      </c>
      <c r="H90" s="342">
        <f t="shared" si="21"/>
        <v>40812737</v>
      </c>
      <c r="I90" s="342">
        <f t="shared" si="21"/>
        <v>42326219</v>
      </c>
      <c r="J90" s="342">
        <f t="shared" si="21"/>
        <v>42700435</v>
      </c>
      <c r="K90" s="342">
        <f t="shared" ca="1" si="21"/>
        <v>42704672.351565883</v>
      </c>
      <c r="L90" s="342">
        <f t="shared" ca="1" si="21"/>
        <v>42684717.3443489</v>
      </c>
      <c r="M90" s="342">
        <f t="shared" ca="1" si="21"/>
        <v>42762817.834401838</v>
      </c>
      <c r="N90" s="342">
        <f t="shared" ca="1" si="21"/>
        <v>42734648.790182367</v>
      </c>
      <c r="O90" s="343">
        <f t="shared" ca="1" si="21"/>
        <v>42402886.405189961</v>
      </c>
    </row>
    <row r="91" spans="1:15" x14ac:dyDescent="0.2">
      <c r="A91" s="327" t="s">
        <v>49</v>
      </c>
      <c r="B91" s="342">
        <f>+B90*0.2454</f>
        <v>14758351.582800001</v>
      </c>
      <c r="C91" s="342">
        <f>+C90*0.2113</f>
        <v>7058003.8218999999</v>
      </c>
      <c r="D91" s="342">
        <f t="shared" si="21"/>
        <v>124131</v>
      </c>
      <c r="E91" s="342">
        <f t="shared" si="21"/>
        <v>89007</v>
      </c>
      <c r="F91" s="342">
        <f t="shared" si="21"/>
        <v>70585</v>
      </c>
      <c r="G91" s="342">
        <f t="shared" si="21"/>
        <v>83704</v>
      </c>
      <c r="H91" s="342">
        <f t="shared" si="21"/>
        <v>89554</v>
      </c>
      <c r="I91" s="342">
        <f t="shared" si="21"/>
        <v>92753</v>
      </c>
      <c r="J91" s="342">
        <f t="shared" si="21"/>
        <v>93203</v>
      </c>
      <c r="K91" s="342">
        <f t="shared" ca="1" si="21"/>
        <v>96597.504524505232</v>
      </c>
      <c r="L91" s="342">
        <f t="shared" ca="1" si="21"/>
        <v>96552.366515154412</v>
      </c>
      <c r="M91" s="342">
        <f t="shared" ca="1" si="21"/>
        <v>96729.028974455025</v>
      </c>
      <c r="N91" s="342">
        <f t="shared" ca="1" si="21"/>
        <v>96665.310902717101</v>
      </c>
      <c r="O91" s="343">
        <f t="shared" ca="1" si="21"/>
        <v>95914.867995169785</v>
      </c>
    </row>
    <row r="92" spans="1:15" x14ac:dyDescent="0.2">
      <c r="A92" s="327"/>
      <c r="B92" s="177"/>
      <c r="C92" s="177"/>
      <c r="D92" s="177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347"/>
    </row>
    <row r="93" spans="1:15" x14ac:dyDescent="0.2">
      <c r="A93" s="326" t="str">
        <f>+A31</f>
        <v>I2</v>
      </c>
      <c r="B93" s="177"/>
      <c r="C93" s="177"/>
      <c r="D93" s="177"/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347"/>
    </row>
    <row r="94" spans="1:15" x14ac:dyDescent="0.2">
      <c r="A94" s="328" t="s">
        <v>47</v>
      </c>
      <c r="B94" s="342">
        <f t="shared" ref="B94" si="22">+E32</f>
        <v>8.5</v>
      </c>
      <c r="C94" s="342">
        <f t="shared" ref="C94" si="23">+F32</f>
        <v>9</v>
      </c>
      <c r="D94" s="342">
        <f t="shared" ref="D94:O96" si="24">+G32</f>
        <v>9</v>
      </c>
      <c r="E94" s="342">
        <f t="shared" si="24"/>
        <v>9.5</v>
      </c>
      <c r="F94" s="342">
        <f t="shared" si="24"/>
        <v>10</v>
      </c>
      <c r="G94" s="342">
        <f t="shared" si="24"/>
        <v>10</v>
      </c>
      <c r="H94" s="342">
        <f t="shared" si="24"/>
        <v>10.5</v>
      </c>
      <c r="I94" s="342">
        <f t="shared" si="24"/>
        <v>11</v>
      </c>
      <c r="J94" s="342">
        <f t="shared" si="24"/>
        <v>11</v>
      </c>
      <c r="K94" s="342">
        <f t="shared" si="24"/>
        <v>11.3</v>
      </c>
      <c r="L94" s="342">
        <f t="shared" si="24"/>
        <v>11.7</v>
      </c>
      <c r="M94" s="342">
        <f t="shared" si="24"/>
        <v>12</v>
      </c>
      <c r="N94" s="342">
        <f t="shared" si="24"/>
        <v>12.4</v>
      </c>
      <c r="O94" s="343">
        <f t="shared" si="24"/>
        <v>12.8</v>
      </c>
    </row>
    <row r="95" spans="1:15" x14ac:dyDescent="0.2">
      <c r="A95" s="327" t="s">
        <v>48</v>
      </c>
      <c r="B95" s="342">
        <f>+'Chart II'!F55</f>
        <v>80956601</v>
      </c>
      <c r="C95" s="342">
        <f>+'Chart II'!F56</f>
        <v>78175306</v>
      </c>
      <c r="D95" s="342">
        <f t="shared" si="24"/>
        <v>102433272</v>
      </c>
      <c r="E95" s="342">
        <f t="shared" si="24"/>
        <v>87237589</v>
      </c>
      <c r="F95" s="342">
        <f t="shared" si="24"/>
        <v>80783141</v>
      </c>
      <c r="G95" s="342">
        <f t="shared" si="24"/>
        <v>79908016</v>
      </c>
      <c r="H95" s="342">
        <f t="shared" si="24"/>
        <v>76828137</v>
      </c>
      <c r="I95" s="342">
        <f t="shared" si="24"/>
        <v>79176233</v>
      </c>
      <c r="J95" s="342">
        <f t="shared" si="24"/>
        <v>81400346</v>
      </c>
      <c r="K95" s="342">
        <f t="shared" ca="1" si="24"/>
        <v>83553088.298685014</v>
      </c>
      <c r="L95" s="342">
        <f t="shared" ca="1" si="24"/>
        <v>85692156.524740934</v>
      </c>
      <c r="M95" s="342">
        <f t="shared" ca="1" si="24"/>
        <v>86862136.274436489</v>
      </c>
      <c r="N95" s="342">
        <f t="shared" ca="1" si="24"/>
        <v>88760313.469612524</v>
      </c>
      <c r="O95" s="343">
        <f t="shared" ca="1" si="24"/>
        <v>90090497.322299674</v>
      </c>
    </row>
    <row r="96" spans="1:15" x14ac:dyDescent="0.2">
      <c r="A96" s="327" t="s">
        <v>49</v>
      </c>
      <c r="B96" s="342">
        <f>+B95*0.2454</f>
        <v>19866749.885400001</v>
      </c>
      <c r="C96" s="342">
        <f>+C95*0.2416</f>
        <v>18887153.9296</v>
      </c>
      <c r="D96" s="342">
        <f t="shared" si="24"/>
        <v>204487</v>
      </c>
      <c r="E96" s="342">
        <f t="shared" si="24"/>
        <v>190299</v>
      </c>
      <c r="F96" s="342">
        <f t="shared" si="24"/>
        <v>195141</v>
      </c>
      <c r="G96" s="342">
        <f t="shared" si="24"/>
        <v>192700</v>
      </c>
      <c r="H96" s="342">
        <f t="shared" si="24"/>
        <v>182189</v>
      </c>
      <c r="I96" s="342">
        <f t="shared" si="24"/>
        <v>184241</v>
      </c>
      <c r="J96" s="342">
        <f t="shared" si="24"/>
        <v>186714</v>
      </c>
      <c r="K96" s="342">
        <f t="shared" ca="1" si="24"/>
        <v>184580.51902107167</v>
      </c>
      <c r="L96" s="342">
        <f t="shared" ca="1" si="24"/>
        <v>189306.02147019058</v>
      </c>
      <c r="M96" s="342">
        <f t="shared" ca="1" si="24"/>
        <v>191890.67122809004</v>
      </c>
      <c r="N96" s="342">
        <f t="shared" ca="1" si="24"/>
        <v>196084.01152243163</v>
      </c>
      <c r="O96" s="343">
        <f t="shared" ca="1" si="24"/>
        <v>199022.57466739567</v>
      </c>
    </row>
    <row r="97" spans="1:17" x14ac:dyDescent="0.2">
      <c r="A97" s="327"/>
      <c r="B97" s="177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347"/>
    </row>
    <row r="98" spans="1:17" x14ac:dyDescent="0.2">
      <c r="A98" s="326" t="str">
        <f>+A36</f>
        <v>Streetlights</v>
      </c>
      <c r="B98" s="177"/>
      <c r="C98" s="177"/>
      <c r="D98" s="177"/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347"/>
    </row>
    <row r="99" spans="1:17" x14ac:dyDescent="0.2">
      <c r="A99" s="327" t="s">
        <v>63</v>
      </c>
      <c r="B99" s="342">
        <f t="shared" ref="B99" si="25">+E37</f>
        <v>10831</v>
      </c>
      <c r="C99" s="342">
        <f t="shared" ref="C99" si="26">+F37</f>
        <v>11280.5</v>
      </c>
      <c r="D99" s="342">
        <f t="shared" ref="D99:O101" si="27">+G37</f>
        <v>11621.5</v>
      </c>
      <c r="E99" s="342">
        <f t="shared" si="27"/>
        <v>11801</v>
      </c>
      <c r="F99" s="342">
        <f t="shared" si="27"/>
        <v>11995.5</v>
      </c>
      <c r="G99" s="342">
        <f t="shared" si="27"/>
        <v>12127.5</v>
      </c>
      <c r="H99" s="342">
        <f t="shared" si="27"/>
        <v>12213</v>
      </c>
      <c r="I99" s="342">
        <f t="shared" si="27"/>
        <v>12332.5</v>
      </c>
      <c r="J99" s="342">
        <f t="shared" si="27"/>
        <v>12464.5</v>
      </c>
      <c r="K99" s="342">
        <f t="shared" si="27"/>
        <v>12838.446964330369</v>
      </c>
      <c r="L99" s="342">
        <f t="shared" si="27"/>
        <v>13223.623254578835</v>
      </c>
      <c r="M99" s="342">
        <f t="shared" si="27"/>
        <v>13620.323929548704</v>
      </c>
      <c r="N99" s="342">
        <f t="shared" si="27"/>
        <v>14028.945919148318</v>
      </c>
      <c r="O99" s="343">
        <f t="shared" si="27"/>
        <v>14449.788061221263</v>
      </c>
    </row>
    <row r="100" spans="1:17" x14ac:dyDescent="0.2">
      <c r="A100" s="327" t="s">
        <v>48</v>
      </c>
      <c r="B100" s="342">
        <f>+'Chart II'!G55</f>
        <v>10072853</v>
      </c>
      <c r="C100" s="342">
        <f>+'Chart II'!G56</f>
        <v>11044796</v>
      </c>
      <c r="D100" s="342">
        <f t="shared" si="27"/>
        <v>9725840</v>
      </c>
      <c r="E100" s="342">
        <f t="shared" si="27"/>
        <v>10202758</v>
      </c>
      <c r="F100" s="342">
        <f t="shared" si="27"/>
        <v>10427904</v>
      </c>
      <c r="G100" s="342">
        <f t="shared" si="27"/>
        <v>10253017</v>
      </c>
      <c r="H100" s="342">
        <f t="shared" si="27"/>
        <v>10139708</v>
      </c>
      <c r="I100" s="342">
        <f t="shared" si="27"/>
        <v>9082284</v>
      </c>
      <c r="J100" s="342">
        <f t="shared" si="27"/>
        <v>9155875</v>
      </c>
      <c r="K100" s="342">
        <f t="shared" si="27"/>
        <v>6934206.2815438015</v>
      </c>
      <c r="L100" s="342">
        <f t="shared" si="27"/>
        <v>4625488.1587263634</v>
      </c>
      <c r="M100" s="342">
        <f t="shared" si="27"/>
        <v>4583340.2168644872</v>
      </c>
      <c r="N100" s="342">
        <f t="shared" si="27"/>
        <v>4541712.7242170181</v>
      </c>
      <c r="O100" s="343">
        <f t="shared" si="27"/>
        <v>4500563.824822342</v>
      </c>
    </row>
    <row r="101" spans="1:17" x14ac:dyDescent="0.2">
      <c r="A101" s="327" t="s">
        <v>49</v>
      </c>
      <c r="B101" s="342">
        <f>+B100*0.2454</f>
        <v>2471878.1262000003</v>
      </c>
      <c r="C101" s="342">
        <f>+C100*0.265</f>
        <v>2926870.94</v>
      </c>
      <c r="D101" s="342">
        <f t="shared" si="27"/>
        <v>26489</v>
      </c>
      <c r="E101" s="342">
        <f t="shared" si="27"/>
        <v>27041</v>
      </c>
      <c r="F101" s="342">
        <f t="shared" si="27"/>
        <v>27634</v>
      </c>
      <c r="G101" s="342">
        <f t="shared" si="27"/>
        <v>27830</v>
      </c>
      <c r="H101" s="342">
        <f t="shared" si="27"/>
        <v>27720</v>
      </c>
      <c r="I101" s="342">
        <f t="shared" si="27"/>
        <v>25276</v>
      </c>
      <c r="J101" s="342">
        <f t="shared" si="27"/>
        <v>25520</v>
      </c>
      <c r="K101" s="342">
        <f t="shared" si="27"/>
        <v>18742.893699603548</v>
      </c>
      <c r="L101" s="342">
        <f t="shared" si="27"/>
        <v>12502.517137185854</v>
      </c>
      <c r="M101" s="342">
        <f t="shared" si="27"/>
        <v>12388.592866418654</v>
      </c>
      <c r="N101" s="342">
        <f t="shared" si="27"/>
        <v>12276.075349922326</v>
      </c>
      <c r="O101" s="343">
        <f t="shared" si="27"/>
        <v>12164.85145263752</v>
      </c>
    </row>
    <row r="102" spans="1:17" x14ac:dyDescent="0.2">
      <c r="A102" s="327"/>
      <c r="B102" s="177"/>
      <c r="C102" s="177"/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347"/>
    </row>
    <row r="103" spans="1:17" x14ac:dyDescent="0.2">
      <c r="A103" s="326" t="str">
        <f>+A41</f>
        <v>Sentinels</v>
      </c>
      <c r="B103" s="177"/>
      <c r="C103" s="177"/>
      <c r="D103" s="177"/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347"/>
    </row>
    <row r="104" spans="1:17" x14ac:dyDescent="0.2">
      <c r="A104" s="327" t="s">
        <v>63</v>
      </c>
      <c r="B104" s="342">
        <f t="shared" ref="B104" si="28">+E42</f>
        <v>28.5</v>
      </c>
      <c r="C104" s="342">
        <f t="shared" ref="C104" si="29">+F42</f>
        <v>26.5</v>
      </c>
      <c r="D104" s="342">
        <f t="shared" ref="D104:O106" si="30">+G42</f>
        <v>26</v>
      </c>
      <c r="E104" s="342">
        <f t="shared" si="30"/>
        <v>26</v>
      </c>
      <c r="F104" s="342">
        <f t="shared" si="30"/>
        <v>25</v>
      </c>
      <c r="G104" s="342">
        <f t="shared" si="30"/>
        <v>24</v>
      </c>
      <c r="H104" s="342">
        <f t="shared" si="30"/>
        <v>24</v>
      </c>
      <c r="I104" s="342">
        <f t="shared" si="30"/>
        <v>24</v>
      </c>
      <c r="J104" s="342">
        <f t="shared" si="30"/>
        <v>24</v>
      </c>
      <c r="K104" s="342">
        <f t="shared" si="30"/>
        <v>23.221124933174856</v>
      </c>
      <c r="L104" s="342">
        <f t="shared" si="30"/>
        <v>22.46752679842146</v>
      </c>
      <c r="M104" s="342">
        <f t="shared" si="30"/>
        <v>21.738385280233285</v>
      </c>
      <c r="N104" s="342">
        <f t="shared" si="30"/>
        <v>21.032906684907768</v>
      </c>
      <c r="O104" s="343">
        <f t="shared" si="30"/>
        <v>20.350323076585497</v>
      </c>
    </row>
    <row r="105" spans="1:17" x14ac:dyDescent="0.2">
      <c r="A105" s="327" t="s">
        <v>48</v>
      </c>
      <c r="B105" s="342">
        <f>+'Chart II'!H55</f>
        <v>40813</v>
      </c>
      <c r="C105" s="342">
        <f>+'Chart II'!H56</f>
        <v>38567</v>
      </c>
      <c r="D105" s="342">
        <f t="shared" si="30"/>
        <v>39233</v>
      </c>
      <c r="E105" s="342">
        <f t="shared" si="30"/>
        <v>36792</v>
      </c>
      <c r="F105" s="342">
        <f t="shared" si="30"/>
        <v>35812</v>
      </c>
      <c r="G105" s="342">
        <f t="shared" si="30"/>
        <v>35812</v>
      </c>
      <c r="H105" s="342">
        <f t="shared" si="30"/>
        <v>35812</v>
      </c>
      <c r="I105" s="342">
        <f t="shared" si="30"/>
        <v>35812</v>
      </c>
      <c r="J105" s="342">
        <f t="shared" si="30"/>
        <v>35812</v>
      </c>
      <c r="K105" s="342">
        <f t="shared" ca="1" si="30"/>
        <v>34349.534768978912</v>
      </c>
      <c r="L105" s="342">
        <f t="shared" ca="1" si="30"/>
        <v>32928.129707592547</v>
      </c>
      <c r="M105" s="342">
        <f t="shared" ca="1" si="30"/>
        <v>31638.082757930551</v>
      </c>
      <c r="N105" s="342">
        <f t="shared" ca="1" si="30"/>
        <v>30323.070137644703</v>
      </c>
      <c r="O105" s="343">
        <f t="shared" ca="1" si="30"/>
        <v>28856.100408357815</v>
      </c>
    </row>
    <row r="106" spans="1:17" x14ac:dyDescent="0.2">
      <c r="A106" s="327" t="s">
        <v>49</v>
      </c>
      <c r="B106" s="342">
        <f>+B105*0.2454</f>
        <v>10015.510200000001</v>
      </c>
      <c r="C106" s="342">
        <f>+C105*0.2778</f>
        <v>10713.9126</v>
      </c>
      <c r="D106" s="342">
        <f t="shared" si="30"/>
        <v>108.9805555555556</v>
      </c>
      <c r="E106" s="342">
        <f t="shared" si="30"/>
        <v>102.2</v>
      </c>
      <c r="F106" s="342">
        <f t="shared" si="30"/>
        <v>99.477777777777803</v>
      </c>
      <c r="G106" s="342">
        <f t="shared" si="30"/>
        <v>100</v>
      </c>
      <c r="H106" s="342">
        <f t="shared" si="30"/>
        <v>100</v>
      </c>
      <c r="I106" s="342">
        <f t="shared" si="30"/>
        <v>100</v>
      </c>
      <c r="J106" s="342">
        <f t="shared" si="30"/>
        <v>100</v>
      </c>
      <c r="K106" s="342">
        <f t="shared" ca="1" si="30"/>
        <v>100.31178155107455</v>
      </c>
      <c r="L106" s="342">
        <f t="shared" ca="1" si="30"/>
        <v>96.160817790652715</v>
      </c>
      <c r="M106" s="342">
        <f t="shared" ca="1" si="30"/>
        <v>92.393462317704902</v>
      </c>
      <c r="N106" s="342">
        <f t="shared" ca="1" si="30"/>
        <v>88.553198989825731</v>
      </c>
      <c r="O106" s="343">
        <f t="shared" ca="1" si="30"/>
        <v>84.269171621887097</v>
      </c>
    </row>
    <row r="107" spans="1:17" x14ac:dyDescent="0.2">
      <c r="A107" s="327"/>
      <c r="B107" s="177"/>
      <c r="C107" s="177"/>
      <c r="D107" s="177"/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347"/>
    </row>
    <row r="108" spans="1:17" x14ac:dyDescent="0.2">
      <c r="A108" s="326" t="str">
        <f>+A46</f>
        <v>USL</v>
      </c>
      <c r="B108" s="177"/>
      <c r="C108" s="177"/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347"/>
    </row>
    <row r="109" spans="1:17" x14ac:dyDescent="0.2">
      <c r="A109" s="327" t="s">
        <v>63</v>
      </c>
      <c r="B109" s="342">
        <f t="shared" ref="B109" si="31">+E47</f>
        <v>298</v>
      </c>
      <c r="C109" s="342">
        <f t="shared" ref="C109" si="32">+F47</f>
        <v>301</v>
      </c>
      <c r="D109" s="342">
        <f t="shared" ref="D109:O110" si="33">+G47</f>
        <v>301</v>
      </c>
      <c r="E109" s="342">
        <f t="shared" si="33"/>
        <v>302.5</v>
      </c>
      <c r="F109" s="342">
        <f t="shared" si="33"/>
        <v>306.5</v>
      </c>
      <c r="G109" s="342">
        <f t="shared" si="33"/>
        <v>302.5</v>
      </c>
      <c r="H109" s="342">
        <f t="shared" si="33"/>
        <v>295.5</v>
      </c>
      <c r="I109" s="342">
        <f t="shared" si="33"/>
        <v>295</v>
      </c>
      <c r="J109" s="342">
        <f t="shared" si="33"/>
        <v>295.5</v>
      </c>
      <c r="K109" s="342">
        <f t="shared" si="33"/>
        <v>295.82025457231583</v>
      </c>
      <c r="L109" s="342">
        <f t="shared" si="33"/>
        <v>296.14085622751179</v>
      </c>
      <c r="M109" s="342">
        <f t="shared" si="33"/>
        <v>296.46180534174658</v>
      </c>
      <c r="N109" s="342">
        <f t="shared" si="33"/>
        <v>296.78310229158649</v>
      </c>
      <c r="O109" s="343">
        <f t="shared" si="33"/>
        <v>297.10474745400597</v>
      </c>
    </row>
    <row r="110" spans="1:17" x14ac:dyDescent="0.2">
      <c r="A110" s="327" t="s">
        <v>48</v>
      </c>
      <c r="B110" s="342">
        <f>+'Chart II'!I55</f>
        <v>3841944</v>
      </c>
      <c r="C110" s="342">
        <f>+'Chart II'!I56</f>
        <v>3208501</v>
      </c>
      <c r="D110" s="342">
        <f t="shared" si="33"/>
        <v>3372873</v>
      </c>
      <c r="E110" s="342">
        <f t="shared" si="33"/>
        <v>2825455</v>
      </c>
      <c r="F110" s="342">
        <f t="shared" si="33"/>
        <v>2831501</v>
      </c>
      <c r="G110" s="342">
        <f t="shared" si="33"/>
        <v>2769028</v>
      </c>
      <c r="H110" s="342">
        <f t="shared" si="33"/>
        <v>2745701</v>
      </c>
      <c r="I110" s="342">
        <f t="shared" si="33"/>
        <v>2752416</v>
      </c>
      <c r="J110" s="342">
        <f t="shared" si="33"/>
        <v>2711219</v>
      </c>
      <c r="K110" s="342">
        <f t="shared" ca="1" si="33"/>
        <v>2690638.1196790505</v>
      </c>
      <c r="L110" s="342">
        <f t="shared" ca="1" si="33"/>
        <v>2668700.9067017306</v>
      </c>
      <c r="M110" s="342">
        <f t="shared" ca="1" si="33"/>
        <v>2653025.3821984963</v>
      </c>
      <c r="N110" s="342">
        <f t="shared" ca="1" si="33"/>
        <v>2630890.8205649224</v>
      </c>
      <c r="O110" s="343">
        <f t="shared" ca="1" si="33"/>
        <v>2590393.2731665666</v>
      </c>
    </row>
    <row r="111" spans="1:17" x14ac:dyDescent="0.2">
      <c r="A111" s="327"/>
      <c r="B111" s="177"/>
      <c r="C111" s="177"/>
      <c r="D111" s="177"/>
      <c r="E111" s="177"/>
      <c r="F111" s="177"/>
      <c r="G111" s="177"/>
      <c r="H111" s="177"/>
      <c r="I111" s="177"/>
      <c r="J111" s="177"/>
      <c r="K111" s="177"/>
      <c r="L111" s="177"/>
      <c r="M111" s="177"/>
      <c r="N111" s="177"/>
      <c r="O111" s="347"/>
    </row>
    <row r="112" spans="1:17" x14ac:dyDescent="0.2">
      <c r="A112" s="326" t="s">
        <v>64</v>
      </c>
      <c r="B112" s="177"/>
      <c r="C112" s="177"/>
      <c r="D112" s="177"/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347"/>
      <c r="Q112" s="433"/>
    </row>
    <row r="113" spans="1:17" x14ac:dyDescent="0.2">
      <c r="A113" s="327" t="s">
        <v>51</v>
      </c>
      <c r="B113" s="342">
        <f>+B109+B104+B99+B94+B89+B84+B80+B76</f>
        <v>60872.5</v>
      </c>
      <c r="C113" s="342">
        <f>+C109+C104+C99+C94+C89+C84+C80+C76</f>
        <v>62211</v>
      </c>
      <c r="D113" s="342">
        <f t="shared" ref="D113:O113" si="34">+D109+D104+D99+D94+D89+D84+D80+D76</f>
        <v>63344.5</v>
      </c>
      <c r="E113" s="342">
        <f t="shared" si="34"/>
        <v>64128</v>
      </c>
      <c r="F113" s="342">
        <f t="shared" si="34"/>
        <v>64894</v>
      </c>
      <c r="G113" s="342">
        <f t="shared" si="34"/>
        <v>65524.5</v>
      </c>
      <c r="H113" s="342">
        <f t="shared" si="34"/>
        <v>65927</v>
      </c>
      <c r="I113" s="342">
        <f t="shared" si="34"/>
        <v>66584</v>
      </c>
      <c r="J113" s="342">
        <f t="shared" si="34"/>
        <v>67453.5</v>
      </c>
      <c r="K113" s="342">
        <f t="shared" si="34"/>
        <v>69466.98405225703</v>
      </c>
      <c r="L113" s="342">
        <f t="shared" si="34"/>
        <v>71541.023355824931</v>
      </c>
      <c r="M113" s="342">
        <f t="shared" si="34"/>
        <v>73677.236538212819</v>
      </c>
      <c r="N113" s="342">
        <f t="shared" si="34"/>
        <v>75877.745796300442</v>
      </c>
      <c r="O113" s="343">
        <f t="shared" si="34"/>
        <v>78143.976954820086</v>
      </c>
      <c r="Q113" s="430"/>
    </row>
    <row r="114" spans="1:17" x14ac:dyDescent="0.2">
      <c r="A114" s="327" t="s">
        <v>48</v>
      </c>
      <c r="B114" s="342">
        <f t="shared" ref="B114:C115" si="35">+B110+B105+B100+B95+B90+B85+B81+B77</f>
        <v>1141200155</v>
      </c>
      <c r="C114" s="342">
        <f t="shared" si="35"/>
        <v>1114000000</v>
      </c>
      <c r="D114" s="342">
        <f t="shared" ref="D114:O114" si="36">+D110+D105+D100+D95+D90+D85+D81+D77</f>
        <v>1117251257</v>
      </c>
      <c r="E114" s="342">
        <f t="shared" si="36"/>
        <v>1082664508</v>
      </c>
      <c r="F114" s="342">
        <f t="shared" si="36"/>
        <v>1090938483</v>
      </c>
      <c r="G114" s="342">
        <f t="shared" si="36"/>
        <v>1110518847</v>
      </c>
      <c r="H114" s="342">
        <f t="shared" si="36"/>
        <v>1073783871</v>
      </c>
      <c r="I114" s="342">
        <f t="shared" si="36"/>
        <v>1078161209</v>
      </c>
      <c r="J114" s="342">
        <f t="shared" si="36"/>
        <v>1091642390</v>
      </c>
      <c r="K114" s="342">
        <f t="shared" ca="1" si="36"/>
        <v>1116432536.9895813</v>
      </c>
      <c r="L114" s="342">
        <f t="shared" ca="1" si="36"/>
        <v>1131630482.3028038</v>
      </c>
      <c r="M114" s="342">
        <f t="shared" ca="1" si="36"/>
        <v>1145673197.4182358</v>
      </c>
      <c r="N114" s="342">
        <f t="shared" ca="1" si="36"/>
        <v>1161077354.2842674</v>
      </c>
      <c r="O114" s="343">
        <f t="shared" ca="1" si="36"/>
        <v>1169388487.3660197</v>
      </c>
      <c r="Q114" s="432"/>
    </row>
    <row r="115" spans="1:17" ht="13.5" thickBot="1" x14ac:dyDescent="0.25">
      <c r="A115" s="329" t="s">
        <v>50</v>
      </c>
      <c r="B115" s="348">
        <f t="shared" si="35"/>
        <v>125170840.32960001</v>
      </c>
      <c r="C115" s="348">
        <f t="shared" si="35"/>
        <v>117070442.43610001</v>
      </c>
      <c r="D115" s="348">
        <f t="shared" ref="D115:O115" si="37">+D111+D106+D101+D96+D91+D86+D82+D78</f>
        <v>1231679.9805555556</v>
      </c>
      <c r="E115" s="348">
        <f t="shared" si="37"/>
        <v>1167952.2</v>
      </c>
      <c r="F115" s="348">
        <f t="shared" si="37"/>
        <v>1165174.4777777777</v>
      </c>
      <c r="G115" s="348">
        <f t="shared" si="37"/>
        <v>1171404</v>
      </c>
      <c r="H115" s="348">
        <f t="shared" si="37"/>
        <v>1146022</v>
      </c>
      <c r="I115" s="348">
        <f t="shared" si="37"/>
        <v>1145530</v>
      </c>
      <c r="J115" s="348">
        <f t="shared" si="37"/>
        <v>1137326</v>
      </c>
      <c r="K115" s="348">
        <f t="shared" ca="1" si="37"/>
        <v>1173698.5951248333</v>
      </c>
      <c r="L115" s="348">
        <f t="shared" ca="1" si="37"/>
        <v>1188193.5272971713</v>
      </c>
      <c r="M115" s="348">
        <f t="shared" ca="1" si="37"/>
        <v>1204983.7840457293</v>
      </c>
      <c r="N115" s="348">
        <f t="shared" ca="1" si="37"/>
        <v>1223958.8183913822</v>
      </c>
      <c r="O115" s="349">
        <f t="shared" ca="1" si="37"/>
        <v>1235731.2269390824</v>
      </c>
      <c r="Q115" s="433"/>
    </row>
  </sheetData>
  <mergeCells count="4">
    <mergeCell ref="B3:L3"/>
    <mergeCell ref="M3:R3"/>
    <mergeCell ref="D66:I66"/>
    <mergeCell ref="K66:O66"/>
  </mergeCells>
  <pageMargins left="0.70866141732283472" right="0.70866141732283472" top="0.74803149606299213" bottom="0.74803149606299213" header="0.31496062992125984" footer="0.31496062992125984"/>
  <pageSetup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Z206"/>
  <sheetViews>
    <sheetView workbookViewId="0"/>
  </sheetViews>
  <sheetFormatPr defaultRowHeight="12.75" x14ac:dyDescent="0.2"/>
  <cols>
    <col min="1" max="1" width="11.85546875" customWidth="1"/>
    <col min="2" max="2" width="18" customWidth="1"/>
    <col min="3" max="3" width="11.7109375" customWidth="1"/>
    <col min="4" max="4" width="13.42578125" customWidth="1"/>
    <col min="5" max="5" width="13.85546875" customWidth="1"/>
    <col min="6" max="6" width="13.5703125" customWidth="1"/>
    <col min="7" max="7" width="12.42578125" customWidth="1"/>
    <col min="8" max="8" width="17.5703125" bestFit="1" customWidth="1"/>
    <col min="10" max="10" width="11.85546875" customWidth="1"/>
    <col min="11" max="11" width="18" customWidth="1"/>
    <col min="12" max="12" width="11.7109375" customWidth="1"/>
    <col min="13" max="13" width="13.42578125" customWidth="1"/>
    <col min="14" max="14" width="13.85546875" customWidth="1"/>
    <col min="15" max="15" width="13.5703125" customWidth="1"/>
    <col min="16" max="16" width="12.42578125" customWidth="1"/>
    <col min="17" max="17" width="17.5703125" bestFit="1" customWidth="1"/>
    <col min="19" max="19" width="11.85546875" customWidth="1"/>
    <col min="20" max="20" width="18" customWidth="1"/>
    <col min="21" max="21" width="11.7109375" customWidth="1"/>
    <col min="22" max="22" width="13.42578125" customWidth="1"/>
    <col min="23" max="23" width="13.85546875" customWidth="1"/>
    <col min="24" max="24" width="13.5703125" customWidth="1"/>
    <col min="25" max="25" width="12.42578125" customWidth="1"/>
    <col min="26" max="26" width="17.5703125" bestFit="1" customWidth="1"/>
  </cols>
  <sheetData>
    <row r="1" spans="1:26" x14ac:dyDescent="0.2">
      <c r="A1" t="s">
        <v>277</v>
      </c>
      <c r="J1" t="s">
        <v>278</v>
      </c>
      <c r="S1" t="s">
        <v>279</v>
      </c>
    </row>
    <row r="2" spans="1:26" ht="36.75" thickBot="1" x14ac:dyDescent="0.25">
      <c r="A2" s="367" t="s">
        <v>266</v>
      </c>
      <c r="B2" s="351" t="s">
        <v>0</v>
      </c>
      <c r="C2" s="351" t="s">
        <v>3</v>
      </c>
      <c r="D2" s="351" t="s">
        <v>4</v>
      </c>
      <c r="E2" s="351" t="s">
        <v>223</v>
      </c>
      <c r="F2" s="351" t="s">
        <v>5</v>
      </c>
      <c r="G2" s="351" t="s">
        <v>17</v>
      </c>
      <c r="H2" s="352" t="s">
        <v>10</v>
      </c>
      <c r="J2" s="367" t="s">
        <v>266</v>
      </c>
      <c r="K2" s="351" t="s">
        <v>0</v>
      </c>
      <c r="L2" s="351" t="s">
        <v>3</v>
      </c>
      <c r="M2" s="351" t="s">
        <v>4</v>
      </c>
      <c r="N2" s="351" t="s">
        <v>223</v>
      </c>
      <c r="O2" s="351" t="s">
        <v>5</v>
      </c>
      <c r="P2" s="351" t="s">
        <v>17</v>
      </c>
      <c r="Q2" s="352" t="s">
        <v>10</v>
      </c>
      <c r="S2" s="367" t="s">
        <v>266</v>
      </c>
      <c r="T2" s="351" t="s">
        <v>0</v>
      </c>
      <c r="U2" s="351" t="s">
        <v>3</v>
      </c>
      <c r="V2" s="351" t="s">
        <v>4</v>
      </c>
      <c r="W2" s="351" t="s">
        <v>223</v>
      </c>
      <c r="X2" s="351" t="s">
        <v>5</v>
      </c>
      <c r="Y2" s="351" t="s">
        <v>17</v>
      </c>
      <c r="Z2" s="352" t="s">
        <v>10</v>
      </c>
    </row>
    <row r="3" spans="1:26" x14ac:dyDescent="0.2">
      <c r="A3" s="353">
        <f>+'Purchased Power Model '!A3</f>
        <v>37622</v>
      </c>
      <c r="B3" s="354">
        <f>+'Purchased Power Model '!B3</f>
        <v>126011890</v>
      </c>
      <c r="C3" s="355">
        <f>+'Purchased Power Model '!C3</f>
        <v>786</v>
      </c>
      <c r="D3" s="355">
        <f>+'Purchased Power Model '!D3</f>
        <v>0</v>
      </c>
      <c r="E3" s="356">
        <f>+'Purchased Power Model '!E3</f>
        <v>4.7E-2</v>
      </c>
      <c r="F3" s="357">
        <f>+'Purchased Power Model '!F3</f>
        <v>31</v>
      </c>
      <c r="G3" s="357">
        <f>+'Purchased Power Model '!G3</f>
        <v>0</v>
      </c>
      <c r="H3" s="358">
        <f>+'Purchased Power Model '!H3</f>
        <v>122016654.03972816</v>
      </c>
      <c r="J3" s="353">
        <f>+'10 Year Average'!A3</f>
        <v>37622</v>
      </c>
      <c r="K3" s="354">
        <f>+'10 Year Average'!B3</f>
        <v>126011890</v>
      </c>
      <c r="L3" s="355">
        <f>+'10 Year Average'!C3</f>
        <v>786</v>
      </c>
      <c r="M3" s="355">
        <f>+'10 Year Average'!D3</f>
        <v>0</v>
      </c>
      <c r="N3" s="356">
        <f>+'10 Year Average'!E3</f>
        <v>4.7E-2</v>
      </c>
      <c r="O3" s="357">
        <f>+'10 Year Average'!F3</f>
        <v>31</v>
      </c>
      <c r="P3" s="357">
        <f>+'10 Year Average'!G3</f>
        <v>0</v>
      </c>
      <c r="Q3" s="358">
        <f>+'10 Year Average'!H3</f>
        <v>122016654.03972816</v>
      </c>
      <c r="S3" s="353">
        <f>+'20 Year Trend'!A3</f>
        <v>37622</v>
      </c>
      <c r="T3" s="354">
        <f>+'20 Year Trend'!B3</f>
        <v>126011890</v>
      </c>
      <c r="U3" s="355">
        <f>+'20 Year Trend'!C3</f>
        <v>786</v>
      </c>
      <c r="V3" s="355">
        <f>+'20 Year Trend'!D3</f>
        <v>0</v>
      </c>
      <c r="W3" s="356">
        <f>+'20 Year Trend'!E3</f>
        <v>4.7E-2</v>
      </c>
      <c r="X3" s="357">
        <f>+'20 Year Trend'!F3</f>
        <v>31</v>
      </c>
      <c r="Y3" s="357">
        <f>+'20 Year Trend'!G3</f>
        <v>0</v>
      </c>
      <c r="Z3" s="358">
        <f>+'20 Year Trend'!H3</f>
        <v>122016654.03972816</v>
      </c>
    </row>
    <row r="4" spans="1:26" x14ac:dyDescent="0.2">
      <c r="A4" s="353">
        <f>+'Purchased Power Model '!A4</f>
        <v>37653</v>
      </c>
      <c r="B4" s="354">
        <f>+'Purchased Power Model '!B4</f>
        <v>112581000</v>
      </c>
      <c r="C4" s="355">
        <f>+'Purchased Power Model '!C4</f>
        <v>686.5</v>
      </c>
      <c r="D4" s="355">
        <f>+'Purchased Power Model '!D4</f>
        <v>0</v>
      </c>
      <c r="E4" s="356">
        <f>+'Purchased Power Model '!E4</f>
        <v>4.7E-2</v>
      </c>
      <c r="F4" s="357">
        <f>+'Purchased Power Model '!F4</f>
        <v>28</v>
      </c>
      <c r="G4" s="357">
        <f>+'Purchased Power Model '!G4</f>
        <v>0</v>
      </c>
      <c r="H4" s="358">
        <f>+'Purchased Power Model '!H4</f>
        <v>109578060.98553585</v>
      </c>
      <c r="J4" s="353">
        <f>+'10 Year Average'!A4</f>
        <v>37653</v>
      </c>
      <c r="K4" s="354">
        <f>+'10 Year Average'!B4</f>
        <v>112581000</v>
      </c>
      <c r="L4" s="355">
        <f>+'10 Year Average'!C4</f>
        <v>686.5</v>
      </c>
      <c r="M4" s="355">
        <f>+'10 Year Average'!D4</f>
        <v>0</v>
      </c>
      <c r="N4" s="356">
        <f>+'10 Year Average'!E4</f>
        <v>4.7E-2</v>
      </c>
      <c r="O4" s="357">
        <f>+'10 Year Average'!F4</f>
        <v>28</v>
      </c>
      <c r="P4" s="357">
        <f>+'10 Year Average'!G4</f>
        <v>0</v>
      </c>
      <c r="Q4" s="358">
        <f>+'10 Year Average'!H4</f>
        <v>109578060.98553585</v>
      </c>
      <c r="S4" s="353">
        <f>+'20 Year Trend'!A4</f>
        <v>37653</v>
      </c>
      <c r="T4" s="354">
        <f>+'20 Year Trend'!B4</f>
        <v>112581000</v>
      </c>
      <c r="U4" s="355">
        <f>+'20 Year Trend'!C4</f>
        <v>686.5</v>
      </c>
      <c r="V4" s="355">
        <f>+'20 Year Trend'!D4</f>
        <v>0</v>
      </c>
      <c r="W4" s="356">
        <f>+'20 Year Trend'!E4</f>
        <v>4.7E-2</v>
      </c>
      <c r="X4" s="357">
        <f>+'20 Year Trend'!F4</f>
        <v>28</v>
      </c>
      <c r="Y4" s="357">
        <f>+'20 Year Trend'!G4</f>
        <v>0</v>
      </c>
      <c r="Z4" s="358">
        <f>+'20 Year Trend'!H4</f>
        <v>109578060.98553585</v>
      </c>
    </row>
    <row r="5" spans="1:26" x14ac:dyDescent="0.2">
      <c r="A5" s="353">
        <f>+'Purchased Power Model '!A5</f>
        <v>37681</v>
      </c>
      <c r="B5" s="354">
        <f>+'Purchased Power Model '!B5</f>
        <v>110536430</v>
      </c>
      <c r="C5" s="355">
        <f>+'Purchased Power Model '!C5</f>
        <v>572.5</v>
      </c>
      <c r="D5" s="355">
        <f>+'Purchased Power Model '!D5</f>
        <v>0</v>
      </c>
      <c r="E5" s="356">
        <f>+'Purchased Power Model '!E5</f>
        <v>4.7E-2</v>
      </c>
      <c r="F5" s="357">
        <f>+'Purchased Power Model '!F5</f>
        <v>31</v>
      </c>
      <c r="G5" s="357">
        <f>+'Purchased Power Model '!G5</f>
        <v>1</v>
      </c>
      <c r="H5" s="358">
        <f>+'Purchased Power Model '!H5</f>
        <v>106400245.18741813</v>
      </c>
      <c r="J5" s="353">
        <f>+'10 Year Average'!A5</f>
        <v>37681</v>
      </c>
      <c r="K5" s="354">
        <f>+'10 Year Average'!B5</f>
        <v>110536430</v>
      </c>
      <c r="L5" s="355">
        <f>+'10 Year Average'!C5</f>
        <v>572.5</v>
      </c>
      <c r="M5" s="355">
        <f>+'10 Year Average'!D5</f>
        <v>0</v>
      </c>
      <c r="N5" s="356">
        <f>+'10 Year Average'!E5</f>
        <v>4.7E-2</v>
      </c>
      <c r="O5" s="357">
        <f>+'10 Year Average'!F5</f>
        <v>31</v>
      </c>
      <c r="P5" s="357">
        <f>+'10 Year Average'!G5</f>
        <v>1</v>
      </c>
      <c r="Q5" s="358">
        <f>+'10 Year Average'!H5</f>
        <v>106400245.18741813</v>
      </c>
      <c r="S5" s="353">
        <f>+'20 Year Trend'!A5</f>
        <v>37681</v>
      </c>
      <c r="T5" s="354">
        <f>+'20 Year Trend'!B5</f>
        <v>110536430</v>
      </c>
      <c r="U5" s="355">
        <f>+'20 Year Trend'!C5</f>
        <v>572.5</v>
      </c>
      <c r="V5" s="355">
        <f>+'20 Year Trend'!D5</f>
        <v>0</v>
      </c>
      <c r="W5" s="356">
        <f>+'20 Year Trend'!E5</f>
        <v>4.7E-2</v>
      </c>
      <c r="X5" s="357">
        <f>+'20 Year Trend'!F5</f>
        <v>31</v>
      </c>
      <c r="Y5" s="357">
        <f>+'20 Year Trend'!G5</f>
        <v>1</v>
      </c>
      <c r="Z5" s="358">
        <f>+'20 Year Trend'!H5</f>
        <v>106400245.18741813</v>
      </c>
    </row>
    <row r="6" spans="1:26" x14ac:dyDescent="0.2">
      <c r="A6" s="353">
        <f>+'Purchased Power Model '!A6</f>
        <v>37712</v>
      </c>
      <c r="B6" s="354">
        <f>+'Purchased Power Model '!B6</f>
        <v>97712940</v>
      </c>
      <c r="C6" s="355">
        <f>+'Purchased Power Model '!C6</f>
        <v>403.9</v>
      </c>
      <c r="D6" s="355">
        <f>+'Purchased Power Model '!D6</f>
        <v>0</v>
      </c>
      <c r="E6" s="356">
        <f>+'Purchased Power Model '!E6</f>
        <v>5.5999999999999994E-2</v>
      </c>
      <c r="F6" s="357">
        <f>+'Purchased Power Model '!F6</f>
        <v>30</v>
      </c>
      <c r="G6" s="357">
        <f>+'Purchased Power Model '!G6</f>
        <v>1</v>
      </c>
      <c r="H6" s="358">
        <f>+'Purchased Power Model '!H6</f>
        <v>95698523.005941063</v>
      </c>
      <c r="J6" s="353">
        <f>+'10 Year Average'!A6</f>
        <v>37712</v>
      </c>
      <c r="K6" s="354">
        <f>+'10 Year Average'!B6</f>
        <v>97712940</v>
      </c>
      <c r="L6" s="355">
        <f>+'10 Year Average'!C6</f>
        <v>403.9</v>
      </c>
      <c r="M6" s="355">
        <f>+'10 Year Average'!D6</f>
        <v>0</v>
      </c>
      <c r="N6" s="356">
        <f>+'10 Year Average'!E6</f>
        <v>5.5999999999999994E-2</v>
      </c>
      <c r="O6" s="357">
        <f>+'10 Year Average'!F6</f>
        <v>30</v>
      </c>
      <c r="P6" s="357">
        <f>+'10 Year Average'!G6</f>
        <v>1</v>
      </c>
      <c r="Q6" s="358">
        <f>+'10 Year Average'!H6</f>
        <v>95698523.005941063</v>
      </c>
      <c r="S6" s="353">
        <f>+'20 Year Trend'!A6</f>
        <v>37712</v>
      </c>
      <c r="T6" s="354">
        <f>+'20 Year Trend'!B6</f>
        <v>97712940</v>
      </c>
      <c r="U6" s="355">
        <f>+'20 Year Trend'!C6</f>
        <v>403.9</v>
      </c>
      <c r="V6" s="355">
        <f>+'20 Year Trend'!D6</f>
        <v>0</v>
      </c>
      <c r="W6" s="356">
        <f>+'20 Year Trend'!E6</f>
        <v>5.5999999999999994E-2</v>
      </c>
      <c r="X6" s="357">
        <f>+'20 Year Trend'!F6</f>
        <v>30</v>
      </c>
      <c r="Y6" s="357">
        <f>+'20 Year Trend'!G6</f>
        <v>1</v>
      </c>
      <c r="Z6" s="358">
        <f>+'20 Year Trend'!H6</f>
        <v>95698523.005941063</v>
      </c>
    </row>
    <row r="7" spans="1:26" x14ac:dyDescent="0.2">
      <c r="A7" s="353">
        <f>+'Purchased Power Model '!A7</f>
        <v>37742</v>
      </c>
      <c r="B7" s="354">
        <f>+'Purchased Power Model '!B7</f>
        <v>90261150</v>
      </c>
      <c r="C7" s="355">
        <f>+'Purchased Power Model '!C7</f>
        <v>192</v>
      </c>
      <c r="D7" s="355">
        <f>+'Purchased Power Model '!D7</f>
        <v>0</v>
      </c>
      <c r="E7" s="356">
        <f>+'Purchased Power Model '!E7</f>
        <v>5.5999999999999994E-2</v>
      </c>
      <c r="F7" s="357">
        <f>+'Purchased Power Model '!F7</f>
        <v>31</v>
      </c>
      <c r="G7" s="357">
        <f>+'Purchased Power Model '!G7</f>
        <v>1</v>
      </c>
      <c r="H7" s="358">
        <f>+'Purchased Power Model '!H7</f>
        <v>89979275.897824094</v>
      </c>
      <c r="J7" s="353">
        <f>+'10 Year Average'!A7</f>
        <v>37742</v>
      </c>
      <c r="K7" s="354">
        <f>+'10 Year Average'!B7</f>
        <v>90261150</v>
      </c>
      <c r="L7" s="355">
        <f>+'10 Year Average'!C7</f>
        <v>192</v>
      </c>
      <c r="M7" s="355">
        <f>+'10 Year Average'!D7</f>
        <v>0</v>
      </c>
      <c r="N7" s="356">
        <f>+'10 Year Average'!E7</f>
        <v>5.5999999999999994E-2</v>
      </c>
      <c r="O7" s="357">
        <f>+'10 Year Average'!F7</f>
        <v>31</v>
      </c>
      <c r="P7" s="357">
        <f>+'10 Year Average'!G7</f>
        <v>1</v>
      </c>
      <c r="Q7" s="358">
        <f>+'10 Year Average'!H7</f>
        <v>89979275.897824094</v>
      </c>
      <c r="S7" s="353">
        <f>+'20 Year Trend'!A7</f>
        <v>37742</v>
      </c>
      <c r="T7" s="354">
        <f>+'20 Year Trend'!B7</f>
        <v>90261150</v>
      </c>
      <c r="U7" s="355">
        <f>+'20 Year Trend'!C7</f>
        <v>192</v>
      </c>
      <c r="V7" s="355">
        <f>+'20 Year Trend'!D7</f>
        <v>0</v>
      </c>
      <c r="W7" s="356">
        <f>+'20 Year Trend'!E7</f>
        <v>5.5999999999999994E-2</v>
      </c>
      <c r="X7" s="357">
        <f>+'20 Year Trend'!F7</f>
        <v>31</v>
      </c>
      <c r="Y7" s="357">
        <f>+'20 Year Trend'!G7</f>
        <v>1</v>
      </c>
      <c r="Z7" s="358">
        <f>+'20 Year Trend'!H7</f>
        <v>89979275.897824094</v>
      </c>
    </row>
    <row r="8" spans="1:26" x14ac:dyDescent="0.2">
      <c r="A8" s="353">
        <f>+'Purchased Power Model '!A8</f>
        <v>37773</v>
      </c>
      <c r="B8" s="354">
        <f>+'Purchased Power Model '!B8</f>
        <v>92476040</v>
      </c>
      <c r="C8" s="355">
        <f>+'Purchased Power Model '!C8</f>
        <v>55.1</v>
      </c>
      <c r="D8" s="355">
        <f>+'Purchased Power Model '!D8</f>
        <v>31</v>
      </c>
      <c r="E8" s="356">
        <f>+'Purchased Power Model '!E8</f>
        <v>5.5999999999999994E-2</v>
      </c>
      <c r="F8" s="357">
        <f>+'Purchased Power Model '!F8</f>
        <v>30</v>
      </c>
      <c r="G8" s="357">
        <f>+'Purchased Power Model '!G8</f>
        <v>0</v>
      </c>
      <c r="H8" s="358">
        <f>+'Purchased Power Model '!H8</f>
        <v>93165040.95415099</v>
      </c>
      <c r="J8" s="353">
        <f>+'10 Year Average'!A8</f>
        <v>37773</v>
      </c>
      <c r="K8" s="354">
        <f>+'10 Year Average'!B8</f>
        <v>92476040</v>
      </c>
      <c r="L8" s="355">
        <f>+'10 Year Average'!C8</f>
        <v>55.1</v>
      </c>
      <c r="M8" s="355">
        <f>+'10 Year Average'!D8</f>
        <v>31</v>
      </c>
      <c r="N8" s="356">
        <f>+'10 Year Average'!E8</f>
        <v>5.5999999999999994E-2</v>
      </c>
      <c r="O8" s="357">
        <f>+'10 Year Average'!F8</f>
        <v>30</v>
      </c>
      <c r="P8" s="357">
        <f>+'10 Year Average'!G8</f>
        <v>0</v>
      </c>
      <c r="Q8" s="358">
        <f>+'10 Year Average'!H8</f>
        <v>93165040.95415099</v>
      </c>
      <c r="S8" s="353">
        <f>+'20 Year Trend'!A8</f>
        <v>37773</v>
      </c>
      <c r="T8" s="354">
        <f>+'20 Year Trend'!B8</f>
        <v>92476040</v>
      </c>
      <c r="U8" s="355">
        <f>+'20 Year Trend'!C8</f>
        <v>55.1</v>
      </c>
      <c r="V8" s="355">
        <f>+'20 Year Trend'!D8</f>
        <v>31</v>
      </c>
      <c r="W8" s="356">
        <f>+'20 Year Trend'!E8</f>
        <v>5.5999999999999994E-2</v>
      </c>
      <c r="X8" s="357">
        <f>+'20 Year Trend'!F8</f>
        <v>30</v>
      </c>
      <c r="Y8" s="357">
        <f>+'20 Year Trend'!G8</f>
        <v>0</v>
      </c>
      <c r="Z8" s="358">
        <f>+'20 Year Trend'!H8</f>
        <v>93165040.95415099</v>
      </c>
    </row>
    <row r="9" spans="1:26" x14ac:dyDescent="0.2">
      <c r="A9" s="353">
        <f>+'Purchased Power Model '!A9</f>
        <v>37803</v>
      </c>
      <c r="B9" s="354">
        <f>+'Purchased Power Model '!B9</f>
        <v>100371630</v>
      </c>
      <c r="C9" s="355">
        <f>+'Purchased Power Model '!C9</f>
        <v>5.7</v>
      </c>
      <c r="D9" s="355">
        <f>+'Purchased Power Model '!D9</f>
        <v>59.1</v>
      </c>
      <c r="E9" s="356">
        <f>+'Purchased Power Model '!E9</f>
        <v>5.2000000000000005E-2</v>
      </c>
      <c r="F9" s="357">
        <f>+'Purchased Power Model '!F9</f>
        <v>31</v>
      </c>
      <c r="G9" s="357">
        <f>+'Purchased Power Model '!G9</f>
        <v>0</v>
      </c>
      <c r="H9" s="358">
        <f>+'Purchased Power Model '!H9</f>
        <v>98544344.234893277</v>
      </c>
      <c r="J9" s="353">
        <f>+'10 Year Average'!A9</f>
        <v>37803</v>
      </c>
      <c r="K9" s="354">
        <f>+'10 Year Average'!B9</f>
        <v>100371630</v>
      </c>
      <c r="L9" s="355">
        <f>+'10 Year Average'!C9</f>
        <v>5.7</v>
      </c>
      <c r="M9" s="355">
        <f>+'10 Year Average'!D9</f>
        <v>59.1</v>
      </c>
      <c r="N9" s="356">
        <f>+'10 Year Average'!E9</f>
        <v>5.2000000000000005E-2</v>
      </c>
      <c r="O9" s="357">
        <f>+'10 Year Average'!F9</f>
        <v>31</v>
      </c>
      <c r="P9" s="357">
        <f>+'10 Year Average'!G9</f>
        <v>0</v>
      </c>
      <c r="Q9" s="358">
        <f>+'10 Year Average'!H9</f>
        <v>98544344.234893277</v>
      </c>
      <c r="S9" s="353">
        <f>+'20 Year Trend'!A9</f>
        <v>37803</v>
      </c>
      <c r="T9" s="354">
        <f>+'20 Year Trend'!B9</f>
        <v>100371630</v>
      </c>
      <c r="U9" s="355">
        <f>+'20 Year Trend'!C9</f>
        <v>5.7</v>
      </c>
      <c r="V9" s="355">
        <f>+'20 Year Trend'!D9</f>
        <v>59.1</v>
      </c>
      <c r="W9" s="356">
        <f>+'20 Year Trend'!E9</f>
        <v>5.2000000000000005E-2</v>
      </c>
      <c r="X9" s="357">
        <f>+'20 Year Trend'!F9</f>
        <v>31</v>
      </c>
      <c r="Y9" s="357">
        <f>+'20 Year Trend'!G9</f>
        <v>0</v>
      </c>
      <c r="Z9" s="358">
        <f>+'20 Year Trend'!H9</f>
        <v>98544344.234893277</v>
      </c>
    </row>
    <row r="10" spans="1:26" x14ac:dyDescent="0.2">
      <c r="A10" s="353">
        <f>+'Purchased Power Model '!A10</f>
        <v>37834</v>
      </c>
      <c r="B10" s="354">
        <f>+'Purchased Power Model '!B10</f>
        <v>101507680</v>
      </c>
      <c r="C10" s="355">
        <f>+'Purchased Power Model '!C10</f>
        <v>10.4</v>
      </c>
      <c r="D10" s="355">
        <f>+'Purchased Power Model '!D10</f>
        <v>106.5</v>
      </c>
      <c r="E10" s="356">
        <f>+'Purchased Power Model '!E10</f>
        <v>5.2000000000000005E-2</v>
      </c>
      <c r="F10" s="357">
        <f>+'Purchased Power Model '!F10</f>
        <v>31</v>
      </c>
      <c r="G10" s="357">
        <f>+'Purchased Power Model '!G10</f>
        <v>0</v>
      </c>
      <c r="H10" s="358">
        <f>+'Purchased Power Model '!H10</f>
        <v>105593019.50707024</v>
      </c>
      <c r="J10" s="353">
        <f>+'10 Year Average'!A10</f>
        <v>37834</v>
      </c>
      <c r="K10" s="354">
        <f>+'10 Year Average'!B10</f>
        <v>101507680</v>
      </c>
      <c r="L10" s="355">
        <f>+'10 Year Average'!C10</f>
        <v>10.4</v>
      </c>
      <c r="M10" s="355">
        <f>+'10 Year Average'!D10</f>
        <v>106.5</v>
      </c>
      <c r="N10" s="356">
        <f>+'10 Year Average'!E10</f>
        <v>5.2000000000000005E-2</v>
      </c>
      <c r="O10" s="357">
        <f>+'10 Year Average'!F10</f>
        <v>31</v>
      </c>
      <c r="P10" s="357">
        <f>+'10 Year Average'!G10</f>
        <v>0</v>
      </c>
      <c r="Q10" s="358">
        <f>+'10 Year Average'!H10</f>
        <v>105593019.50707024</v>
      </c>
      <c r="S10" s="353">
        <f>+'20 Year Trend'!A10</f>
        <v>37834</v>
      </c>
      <c r="T10" s="354">
        <f>+'20 Year Trend'!B10</f>
        <v>101507680</v>
      </c>
      <c r="U10" s="355">
        <f>+'20 Year Trend'!C10</f>
        <v>10.4</v>
      </c>
      <c r="V10" s="355">
        <f>+'20 Year Trend'!D10</f>
        <v>106.5</v>
      </c>
      <c r="W10" s="356">
        <f>+'20 Year Trend'!E10</f>
        <v>5.2000000000000005E-2</v>
      </c>
      <c r="X10" s="357">
        <f>+'20 Year Trend'!F10</f>
        <v>31</v>
      </c>
      <c r="Y10" s="357">
        <f>+'20 Year Trend'!G10</f>
        <v>0</v>
      </c>
      <c r="Z10" s="358">
        <f>+'20 Year Trend'!H10</f>
        <v>105593019.50707024</v>
      </c>
    </row>
    <row r="11" spans="1:26" x14ac:dyDescent="0.2">
      <c r="A11" s="353">
        <f>+'Purchased Power Model '!A11</f>
        <v>37865</v>
      </c>
      <c r="B11" s="354">
        <f>+'Purchased Power Model '!B11</f>
        <v>91341000</v>
      </c>
      <c r="C11" s="355">
        <f>+'Purchased Power Model '!C11</f>
        <v>55.2</v>
      </c>
      <c r="D11" s="355">
        <f>+'Purchased Power Model '!D11</f>
        <v>12.1</v>
      </c>
      <c r="E11" s="356">
        <f>+'Purchased Power Model '!E11</f>
        <v>5.2000000000000005E-2</v>
      </c>
      <c r="F11" s="357">
        <f>+'Purchased Power Model '!F11</f>
        <v>30</v>
      </c>
      <c r="G11" s="357">
        <f>+'Purchased Power Model '!G11</f>
        <v>1</v>
      </c>
      <c r="H11" s="358">
        <f>+'Purchased Power Model '!H11</f>
        <v>83902687.201119527</v>
      </c>
      <c r="J11" s="353">
        <f>+'10 Year Average'!A11</f>
        <v>37865</v>
      </c>
      <c r="K11" s="354">
        <f>+'10 Year Average'!B11</f>
        <v>91341000</v>
      </c>
      <c r="L11" s="355">
        <f>+'10 Year Average'!C11</f>
        <v>55.2</v>
      </c>
      <c r="M11" s="355">
        <f>+'10 Year Average'!D11</f>
        <v>12.1</v>
      </c>
      <c r="N11" s="356">
        <f>+'10 Year Average'!E11</f>
        <v>5.2000000000000005E-2</v>
      </c>
      <c r="O11" s="357">
        <f>+'10 Year Average'!F11</f>
        <v>30</v>
      </c>
      <c r="P11" s="357">
        <f>+'10 Year Average'!G11</f>
        <v>1</v>
      </c>
      <c r="Q11" s="358">
        <f>+'10 Year Average'!H11</f>
        <v>83902687.201119527</v>
      </c>
      <c r="S11" s="353">
        <f>+'20 Year Trend'!A11</f>
        <v>37865</v>
      </c>
      <c r="T11" s="354">
        <f>+'20 Year Trend'!B11</f>
        <v>91341000</v>
      </c>
      <c r="U11" s="355">
        <f>+'20 Year Trend'!C11</f>
        <v>55.2</v>
      </c>
      <c r="V11" s="355">
        <f>+'20 Year Trend'!D11</f>
        <v>12.1</v>
      </c>
      <c r="W11" s="356">
        <f>+'20 Year Trend'!E11</f>
        <v>5.2000000000000005E-2</v>
      </c>
      <c r="X11" s="357">
        <f>+'20 Year Trend'!F11</f>
        <v>30</v>
      </c>
      <c r="Y11" s="357">
        <f>+'20 Year Trend'!G11</f>
        <v>1</v>
      </c>
      <c r="Z11" s="358">
        <f>+'20 Year Trend'!H11</f>
        <v>83902687.201119527</v>
      </c>
    </row>
    <row r="12" spans="1:26" x14ac:dyDescent="0.2">
      <c r="A12" s="353">
        <f>+'Purchased Power Model '!A12</f>
        <v>37895</v>
      </c>
      <c r="B12" s="354">
        <f>+'Purchased Power Model '!B12</f>
        <v>95672250</v>
      </c>
      <c r="C12" s="355">
        <f>+'Purchased Power Model '!C12</f>
        <v>289.7</v>
      </c>
      <c r="D12" s="355">
        <f>+'Purchased Power Model '!D12</f>
        <v>0</v>
      </c>
      <c r="E12" s="356">
        <f>+'Purchased Power Model '!E12</f>
        <v>4.7E-2</v>
      </c>
      <c r="F12" s="357">
        <f>+'Purchased Power Model '!F12</f>
        <v>31</v>
      </c>
      <c r="G12" s="357">
        <f>+'Purchased Power Model '!G12</f>
        <v>1</v>
      </c>
      <c r="H12" s="358">
        <f>+'Purchased Power Model '!H12</f>
        <v>95015801.005900159</v>
      </c>
      <c r="J12" s="353">
        <f>+'10 Year Average'!A12</f>
        <v>37895</v>
      </c>
      <c r="K12" s="354">
        <f>+'10 Year Average'!B12</f>
        <v>95672250</v>
      </c>
      <c r="L12" s="355">
        <f>+'10 Year Average'!C12</f>
        <v>289.7</v>
      </c>
      <c r="M12" s="355">
        <f>+'10 Year Average'!D12</f>
        <v>0</v>
      </c>
      <c r="N12" s="356">
        <f>+'10 Year Average'!E12</f>
        <v>4.7E-2</v>
      </c>
      <c r="O12" s="357">
        <f>+'10 Year Average'!F12</f>
        <v>31</v>
      </c>
      <c r="P12" s="357">
        <f>+'10 Year Average'!G12</f>
        <v>1</v>
      </c>
      <c r="Q12" s="358">
        <f>+'10 Year Average'!H12</f>
        <v>95015801.005900159</v>
      </c>
      <c r="S12" s="353">
        <f>+'20 Year Trend'!A12</f>
        <v>37895</v>
      </c>
      <c r="T12" s="354">
        <f>+'20 Year Trend'!B12</f>
        <v>95672250</v>
      </c>
      <c r="U12" s="355">
        <f>+'20 Year Trend'!C12</f>
        <v>289.7</v>
      </c>
      <c r="V12" s="355">
        <f>+'20 Year Trend'!D12</f>
        <v>0</v>
      </c>
      <c r="W12" s="356">
        <f>+'20 Year Trend'!E12</f>
        <v>4.7E-2</v>
      </c>
      <c r="X12" s="357">
        <f>+'20 Year Trend'!F12</f>
        <v>31</v>
      </c>
      <c r="Y12" s="357">
        <f>+'20 Year Trend'!G12</f>
        <v>1</v>
      </c>
      <c r="Z12" s="358">
        <f>+'20 Year Trend'!H12</f>
        <v>95015801.005900159</v>
      </c>
    </row>
    <row r="13" spans="1:26" x14ac:dyDescent="0.2">
      <c r="A13" s="353">
        <f>+'Purchased Power Model '!A13</f>
        <v>37926</v>
      </c>
      <c r="B13" s="354">
        <f>+'Purchased Power Model '!B13</f>
        <v>101404920</v>
      </c>
      <c r="C13" s="355">
        <f>+'Purchased Power Model '!C13</f>
        <v>387.6</v>
      </c>
      <c r="D13" s="355">
        <f>+'Purchased Power Model '!D13</f>
        <v>0</v>
      </c>
      <c r="E13" s="356">
        <f>+'Purchased Power Model '!E13</f>
        <v>4.7E-2</v>
      </c>
      <c r="F13" s="357">
        <f>+'Purchased Power Model '!F13</f>
        <v>30</v>
      </c>
      <c r="G13" s="357">
        <f>+'Purchased Power Model '!G13</f>
        <v>1</v>
      </c>
      <c r="H13" s="358">
        <f>+'Purchased Power Model '!H13</f>
        <v>96145845.013970971</v>
      </c>
      <c r="J13" s="353">
        <f>+'10 Year Average'!A13</f>
        <v>37926</v>
      </c>
      <c r="K13" s="354">
        <f>+'10 Year Average'!B13</f>
        <v>101404920</v>
      </c>
      <c r="L13" s="355">
        <f>+'10 Year Average'!C13</f>
        <v>387.6</v>
      </c>
      <c r="M13" s="355">
        <f>+'10 Year Average'!D13</f>
        <v>0</v>
      </c>
      <c r="N13" s="356">
        <f>+'10 Year Average'!E13</f>
        <v>4.7E-2</v>
      </c>
      <c r="O13" s="357">
        <f>+'10 Year Average'!F13</f>
        <v>30</v>
      </c>
      <c r="P13" s="357">
        <f>+'10 Year Average'!G13</f>
        <v>1</v>
      </c>
      <c r="Q13" s="358">
        <f>+'10 Year Average'!H13</f>
        <v>96145845.013970971</v>
      </c>
      <c r="S13" s="353">
        <f>+'20 Year Trend'!A13</f>
        <v>37926</v>
      </c>
      <c r="T13" s="354">
        <f>+'20 Year Trend'!B13</f>
        <v>101404920</v>
      </c>
      <c r="U13" s="355">
        <f>+'20 Year Trend'!C13</f>
        <v>387.6</v>
      </c>
      <c r="V13" s="355">
        <f>+'20 Year Trend'!D13</f>
        <v>0</v>
      </c>
      <c r="W13" s="356">
        <f>+'20 Year Trend'!E13</f>
        <v>4.7E-2</v>
      </c>
      <c r="X13" s="357">
        <f>+'20 Year Trend'!F13</f>
        <v>30</v>
      </c>
      <c r="Y13" s="357">
        <f>+'20 Year Trend'!G13</f>
        <v>1</v>
      </c>
      <c r="Z13" s="358">
        <f>+'20 Year Trend'!H13</f>
        <v>96145845.013970971</v>
      </c>
    </row>
    <row r="14" spans="1:26" x14ac:dyDescent="0.2">
      <c r="A14" s="353">
        <f>+'Purchased Power Model '!A14</f>
        <v>37956</v>
      </c>
      <c r="B14" s="354">
        <f>+'Purchased Power Model '!B14</f>
        <v>112847240</v>
      </c>
      <c r="C14" s="355">
        <f>+'Purchased Power Model '!C14</f>
        <v>548.20000000000005</v>
      </c>
      <c r="D14" s="355">
        <f>+'Purchased Power Model '!D14</f>
        <v>0</v>
      </c>
      <c r="E14" s="356">
        <f>+'Purchased Power Model '!E14</f>
        <v>4.7E-2</v>
      </c>
      <c r="F14" s="357">
        <f>+'Purchased Power Model '!F14</f>
        <v>31</v>
      </c>
      <c r="G14" s="357">
        <f>+'Purchased Power Model '!G14</f>
        <v>0</v>
      </c>
      <c r="H14" s="358">
        <f>+'Purchased Power Model '!H14</f>
        <v>112443737.3977021</v>
      </c>
      <c r="J14" s="353">
        <f>+'10 Year Average'!A14</f>
        <v>37956</v>
      </c>
      <c r="K14" s="354">
        <f>+'10 Year Average'!B14</f>
        <v>112847240</v>
      </c>
      <c r="L14" s="355">
        <f>+'10 Year Average'!C14</f>
        <v>548.20000000000005</v>
      </c>
      <c r="M14" s="355">
        <f>+'10 Year Average'!D14</f>
        <v>0</v>
      </c>
      <c r="N14" s="356">
        <f>+'10 Year Average'!E14</f>
        <v>4.7E-2</v>
      </c>
      <c r="O14" s="357">
        <f>+'10 Year Average'!F14</f>
        <v>31</v>
      </c>
      <c r="P14" s="357">
        <f>+'10 Year Average'!G14</f>
        <v>0</v>
      </c>
      <c r="Q14" s="358">
        <f>+'10 Year Average'!H14</f>
        <v>112443737.3977021</v>
      </c>
      <c r="S14" s="353">
        <f>+'20 Year Trend'!A14</f>
        <v>37956</v>
      </c>
      <c r="T14" s="354">
        <f>+'20 Year Trend'!B14</f>
        <v>112847240</v>
      </c>
      <c r="U14" s="355">
        <f>+'20 Year Trend'!C14</f>
        <v>548.20000000000005</v>
      </c>
      <c r="V14" s="355">
        <f>+'20 Year Trend'!D14</f>
        <v>0</v>
      </c>
      <c r="W14" s="356">
        <f>+'20 Year Trend'!E14</f>
        <v>4.7E-2</v>
      </c>
      <c r="X14" s="357">
        <f>+'20 Year Trend'!F14</f>
        <v>31</v>
      </c>
      <c r="Y14" s="357">
        <f>+'20 Year Trend'!G14</f>
        <v>0</v>
      </c>
      <c r="Z14" s="358">
        <f>+'20 Year Trend'!H14</f>
        <v>112443737.3977021</v>
      </c>
    </row>
    <row r="15" spans="1:26" x14ac:dyDescent="0.2">
      <c r="A15" s="353">
        <f>+'Purchased Power Model '!A15</f>
        <v>37987</v>
      </c>
      <c r="B15" s="354">
        <f>+'Purchased Power Model '!B15</f>
        <v>127196340</v>
      </c>
      <c r="C15" s="355">
        <f>+'Purchased Power Model '!C15</f>
        <v>828.8</v>
      </c>
      <c r="D15" s="355">
        <f>+'Purchased Power Model '!D15</f>
        <v>0</v>
      </c>
      <c r="E15" s="356">
        <f>+'Purchased Power Model '!E15</f>
        <v>0.05</v>
      </c>
      <c r="F15" s="357">
        <f>+'Purchased Power Model '!F15</f>
        <v>31</v>
      </c>
      <c r="G15" s="357">
        <f>+'Purchased Power Model '!G15</f>
        <v>0</v>
      </c>
      <c r="H15" s="358">
        <f>+'Purchased Power Model '!H15</f>
        <v>123371785.49762222</v>
      </c>
      <c r="J15" s="353">
        <f>+'10 Year Average'!A15</f>
        <v>37987</v>
      </c>
      <c r="K15" s="354">
        <f>+'10 Year Average'!B15</f>
        <v>127196340</v>
      </c>
      <c r="L15" s="355">
        <f>+'10 Year Average'!C15</f>
        <v>828.8</v>
      </c>
      <c r="M15" s="355">
        <f>+'10 Year Average'!D15</f>
        <v>0</v>
      </c>
      <c r="N15" s="356">
        <f>+'10 Year Average'!E15</f>
        <v>0.05</v>
      </c>
      <c r="O15" s="357">
        <f>+'10 Year Average'!F15</f>
        <v>31</v>
      </c>
      <c r="P15" s="357">
        <f>+'10 Year Average'!G15</f>
        <v>0</v>
      </c>
      <c r="Q15" s="358">
        <f>+'10 Year Average'!H15</f>
        <v>123371785.49762222</v>
      </c>
      <c r="S15" s="353">
        <f>+'20 Year Trend'!A15</f>
        <v>37987</v>
      </c>
      <c r="T15" s="354">
        <f>+'20 Year Trend'!B15</f>
        <v>127196340</v>
      </c>
      <c r="U15" s="355">
        <f>+'20 Year Trend'!C15</f>
        <v>828.8</v>
      </c>
      <c r="V15" s="355">
        <f>+'20 Year Trend'!D15</f>
        <v>0</v>
      </c>
      <c r="W15" s="356">
        <f>+'20 Year Trend'!E15</f>
        <v>0.05</v>
      </c>
      <c r="X15" s="357">
        <f>+'20 Year Trend'!F15</f>
        <v>31</v>
      </c>
      <c r="Y15" s="357">
        <f>+'20 Year Trend'!G15</f>
        <v>0</v>
      </c>
      <c r="Z15" s="358">
        <f>+'20 Year Trend'!H15</f>
        <v>123371785.49762222</v>
      </c>
    </row>
    <row r="16" spans="1:26" x14ac:dyDescent="0.2">
      <c r="A16" s="353">
        <f>+'Purchased Power Model '!A16</f>
        <v>38018</v>
      </c>
      <c r="B16" s="354">
        <f>+'Purchased Power Model '!B16</f>
        <v>108928270</v>
      </c>
      <c r="C16" s="355">
        <f>+'Purchased Power Model '!C16</f>
        <v>615.6</v>
      </c>
      <c r="D16" s="355">
        <f>+'Purchased Power Model '!D16</f>
        <v>0</v>
      </c>
      <c r="E16" s="356">
        <f>+'Purchased Power Model '!E16</f>
        <v>0.05</v>
      </c>
      <c r="F16" s="357">
        <f>+'Purchased Power Model '!F16</f>
        <v>29</v>
      </c>
      <c r="G16" s="357">
        <f>+'Purchased Power Model '!G16</f>
        <v>0</v>
      </c>
      <c r="H16" s="358">
        <f>+'Purchased Power Model '!H16</f>
        <v>109167100.98815969</v>
      </c>
      <c r="J16" s="353">
        <f>+'10 Year Average'!A16</f>
        <v>38018</v>
      </c>
      <c r="K16" s="354">
        <f>+'10 Year Average'!B16</f>
        <v>108928270</v>
      </c>
      <c r="L16" s="355">
        <f>+'10 Year Average'!C16</f>
        <v>615.6</v>
      </c>
      <c r="M16" s="355">
        <f>+'10 Year Average'!D16</f>
        <v>0</v>
      </c>
      <c r="N16" s="356">
        <f>+'10 Year Average'!E16</f>
        <v>0.05</v>
      </c>
      <c r="O16" s="357">
        <f>+'10 Year Average'!F16</f>
        <v>29</v>
      </c>
      <c r="P16" s="357">
        <f>+'10 Year Average'!G16</f>
        <v>0</v>
      </c>
      <c r="Q16" s="358">
        <f>+'10 Year Average'!H16</f>
        <v>109167100.98815969</v>
      </c>
      <c r="S16" s="353">
        <f>+'20 Year Trend'!A16</f>
        <v>38018</v>
      </c>
      <c r="T16" s="354">
        <f>+'20 Year Trend'!B16</f>
        <v>108928270</v>
      </c>
      <c r="U16" s="355">
        <f>+'20 Year Trend'!C16</f>
        <v>615.6</v>
      </c>
      <c r="V16" s="355">
        <f>+'20 Year Trend'!D16</f>
        <v>0</v>
      </c>
      <c r="W16" s="356">
        <f>+'20 Year Trend'!E16</f>
        <v>0.05</v>
      </c>
      <c r="X16" s="357">
        <f>+'20 Year Trend'!F16</f>
        <v>29</v>
      </c>
      <c r="Y16" s="357">
        <f>+'20 Year Trend'!G16</f>
        <v>0</v>
      </c>
      <c r="Z16" s="358">
        <f>+'20 Year Trend'!H16</f>
        <v>109167100.98815969</v>
      </c>
    </row>
    <row r="17" spans="1:26" x14ac:dyDescent="0.2">
      <c r="A17" s="353">
        <f>+'Purchased Power Model '!A17</f>
        <v>38047</v>
      </c>
      <c r="B17" s="354">
        <f>+'Purchased Power Model '!B17</f>
        <v>105064150</v>
      </c>
      <c r="C17" s="355">
        <f>+'Purchased Power Model '!C17</f>
        <v>487.1</v>
      </c>
      <c r="D17" s="355">
        <f>+'Purchased Power Model '!D17</f>
        <v>0</v>
      </c>
      <c r="E17" s="356">
        <f>+'Purchased Power Model '!E17</f>
        <v>0.05</v>
      </c>
      <c r="F17" s="357">
        <f>+'Purchased Power Model '!F17</f>
        <v>31</v>
      </c>
      <c r="G17" s="357">
        <f>+'Purchased Power Model '!G17</f>
        <v>1</v>
      </c>
      <c r="H17" s="358">
        <f>+'Purchased Power Model '!H17</f>
        <v>102594535.96613748</v>
      </c>
      <c r="J17" s="353">
        <f>+'10 Year Average'!A17</f>
        <v>38047</v>
      </c>
      <c r="K17" s="354">
        <f>+'10 Year Average'!B17</f>
        <v>105064150</v>
      </c>
      <c r="L17" s="355">
        <f>+'10 Year Average'!C17</f>
        <v>487.1</v>
      </c>
      <c r="M17" s="355">
        <f>+'10 Year Average'!D17</f>
        <v>0</v>
      </c>
      <c r="N17" s="356">
        <f>+'10 Year Average'!E17</f>
        <v>0.05</v>
      </c>
      <c r="O17" s="357">
        <f>+'10 Year Average'!F17</f>
        <v>31</v>
      </c>
      <c r="P17" s="357">
        <f>+'10 Year Average'!G17</f>
        <v>1</v>
      </c>
      <c r="Q17" s="358">
        <f>+'10 Year Average'!H17</f>
        <v>102594535.96613748</v>
      </c>
      <c r="S17" s="353">
        <f>+'20 Year Trend'!A17</f>
        <v>38047</v>
      </c>
      <c r="T17" s="354">
        <f>+'20 Year Trend'!B17</f>
        <v>105064150</v>
      </c>
      <c r="U17" s="355">
        <f>+'20 Year Trend'!C17</f>
        <v>487.1</v>
      </c>
      <c r="V17" s="355">
        <f>+'20 Year Trend'!D17</f>
        <v>0</v>
      </c>
      <c r="W17" s="356">
        <f>+'20 Year Trend'!E17</f>
        <v>0.05</v>
      </c>
      <c r="X17" s="357">
        <f>+'20 Year Trend'!F17</f>
        <v>31</v>
      </c>
      <c r="Y17" s="357">
        <f>+'20 Year Trend'!G17</f>
        <v>1</v>
      </c>
      <c r="Z17" s="358">
        <f>+'20 Year Trend'!H17</f>
        <v>102594535.96613748</v>
      </c>
    </row>
    <row r="18" spans="1:26" x14ac:dyDescent="0.2">
      <c r="A18" s="353">
        <f>+'Purchased Power Model '!A18</f>
        <v>38078</v>
      </c>
      <c r="B18" s="354">
        <f>+'Purchased Power Model '!B18</f>
        <v>91322380</v>
      </c>
      <c r="C18" s="355">
        <f>+'Purchased Power Model '!C18</f>
        <v>345</v>
      </c>
      <c r="D18" s="355">
        <f>+'Purchased Power Model '!D18</f>
        <v>0</v>
      </c>
      <c r="E18" s="356">
        <f>+'Purchased Power Model '!E18</f>
        <v>5.4000000000000006E-2</v>
      </c>
      <c r="F18" s="357">
        <f>+'Purchased Power Model '!F18</f>
        <v>30</v>
      </c>
      <c r="G18" s="357">
        <f>+'Purchased Power Model '!G18</f>
        <v>1</v>
      </c>
      <c r="H18" s="358">
        <f>+'Purchased Power Model '!H18</f>
        <v>93572656.412917539</v>
      </c>
      <c r="J18" s="353">
        <f>+'10 Year Average'!A18</f>
        <v>38078</v>
      </c>
      <c r="K18" s="354">
        <f>+'10 Year Average'!B18</f>
        <v>91322380</v>
      </c>
      <c r="L18" s="355">
        <f>+'10 Year Average'!C18</f>
        <v>345</v>
      </c>
      <c r="M18" s="355">
        <f>+'10 Year Average'!D18</f>
        <v>0</v>
      </c>
      <c r="N18" s="356">
        <f>+'10 Year Average'!E18</f>
        <v>5.4000000000000006E-2</v>
      </c>
      <c r="O18" s="357">
        <f>+'10 Year Average'!F18</f>
        <v>30</v>
      </c>
      <c r="P18" s="357">
        <f>+'10 Year Average'!G18</f>
        <v>1</v>
      </c>
      <c r="Q18" s="358">
        <f>+'10 Year Average'!H18</f>
        <v>93572656.412917539</v>
      </c>
      <c r="S18" s="353">
        <f>+'20 Year Trend'!A18</f>
        <v>38078</v>
      </c>
      <c r="T18" s="354">
        <f>+'20 Year Trend'!B18</f>
        <v>91322380</v>
      </c>
      <c r="U18" s="355">
        <f>+'20 Year Trend'!C18</f>
        <v>345</v>
      </c>
      <c r="V18" s="355">
        <f>+'20 Year Trend'!D18</f>
        <v>0</v>
      </c>
      <c r="W18" s="356">
        <f>+'20 Year Trend'!E18</f>
        <v>5.4000000000000006E-2</v>
      </c>
      <c r="X18" s="357">
        <f>+'20 Year Trend'!F18</f>
        <v>30</v>
      </c>
      <c r="Y18" s="357">
        <f>+'20 Year Trend'!G18</f>
        <v>1</v>
      </c>
      <c r="Z18" s="358">
        <f>+'20 Year Trend'!H18</f>
        <v>93572656.412917539</v>
      </c>
    </row>
    <row r="19" spans="1:26" x14ac:dyDescent="0.2">
      <c r="A19" s="353">
        <f>+'Purchased Power Model '!A19</f>
        <v>38108</v>
      </c>
      <c r="B19" s="354">
        <f>+'Purchased Power Model '!B19</f>
        <v>86885250</v>
      </c>
      <c r="C19" s="355">
        <f>+'Purchased Power Model '!C19</f>
        <v>177.5</v>
      </c>
      <c r="D19" s="355">
        <f>+'Purchased Power Model '!D19</f>
        <v>0</v>
      </c>
      <c r="E19" s="356">
        <f>+'Purchased Power Model '!E19</f>
        <v>5.4000000000000006E-2</v>
      </c>
      <c r="F19" s="357">
        <f>+'Purchased Power Model '!F19</f>
        <v>31</v>
      </c>
      <c r="G19" s="357">
        <f>+'Purchased Power Model '!G19</f>
        <v>1</v>
      </c>
      <c r="H19" s="358">
        <f>+'Purchased Power Model '!H19</f>
        <v>89640783.143765911</v>
      </c>
      <c r="J19" s="353">
        <f>+'10 Year Average'!A19</f>
        <v>38108</v>
      </c>
      <c r="K19" s="354">
        <f>+'10 Year Average'!B19</f>
        <v>86885250</v>
      </c>
      <c r="L19" s="355">
        <f>+'10 Year Average'!C19</f>
        <v>177.5</v>
      </c>
      <c r="M19" s="355">
        <f>+'10 Year Average'!D19</f>
        <v>0</v>
      </c>
      <c r="N19" s="356">
        <f>+'10 Year Average'!E19</f>
        <v>5.4000000000000006E-2</v>
      </c>
      <c r="O19" s="357">
        <f>+'10 Year Average'!F19</f>
        <v>31</v>
      </c>
      <c r="P19" s="357">
        <f>+'10 Year Average'!G19</f>
        <v>1</v>
      </c>
      <c r="Q19" s="358">
        <f>+'10 Year Average'!H19</f>
        <v>89640783.143765911</v>
      </c>
      <c r="S19" s="353">
        <f>+'20 Year Trend'!A19</f>
        <v>38108</v>
      </c>
      <c r="T19" s="354">
        <f>+'20 Year Trend'!B19</f>
        <v>86885250</v>
      </c>
      <c r="U19" s="355">
        <f>+'20 Year Trend'!C19</f>
        <v>177.5</v>
      </c>
      <c r="V19" s="355">
        <f>+'20 Year Trend'!D19</f>
        <v>0</v>
      </c>
      <c r="W19" s="356">
        <f>+'20 Year Trend'!E19</f>
        <v>5.4000000000000006E-2</v>
      </c>
      <c r="X19" s="357">
        <f>+'20 Year Trend'!F19</f>
        <v>31</v>
      </c>
      <c r="Y19" s="357">
        <f>+'20 Year Trend'!G19</f>
        <v>1</v>
      </c>
      <c r="Z19" s="358">
        <f>+'20 Year Trend'!H19</f>
        <v>89640783.143765911</v>
      </c>
    </row>
    <row r="20" spans="1:26" x14ac:dyDescent="0.2">
      <c r="A20" s="353">
        <f>+'Purchased Power Model '!A20</f>
        <v>38139</v>
      </c>
      <c r="B20" s="354">
        <f>+'Purchased Power Model '!B20</f>
        <v>86876500</v>
      </c>
      <c r="C20" s="355">
        <f>+'Purchased Power Model '!C20</f>
        <v>73.2</v>
      </c>
      <c r="D20" s="355">
        <f>+'Purchased Power Model '!D20</f>
        <v>15.6</v>
      </c>
      <c r="E20" s="356">
        <f>+'Purchased Power Model '!E20</f>
        <v>5.4000000000000006E-2</v>
      </c>
      <c r="F20" s="357">
        <f>+'Purchased Power Model '!F20</f>
        <v>30</v>
      </c>
      <c r="G20" s="357">
        <f>+'Purchased Power Model '!G20</f>
        <v>0</v>
      </c>
      <c r="H20" s="358">
        <f>+'Purchased Power Model '!H20</f>
        <v>91910294.667422518</v>
      </c>
      <c r="J20" s="353">
        <f>+'10 Year Average'!A20</f>
        <v>38139</v>
      </c>
      <c r="K20" s="354">
        <f>+'10 Year Average'!B20</f>
        <v>86876500</v>
      </c>
      <c r="L20" s="355">
        <f>+'10 Year Average'!C20</f>
        <v>73.2</v>
      </c>
      <c r="M20" s="355">
        <f>+'10 Year Average'!D20</f>
        <v>15.6</v>
      </c>
      <c r="N20" s="356">
        <f>+'10 Year Average'!E20</f>
        <v>5.4000000000000006E-2</v>
      </c>
      <c r="O20" s="357">
        <f>+'10 Year Average'!F20</f>
        <v>30</v>
      </c>
      <c r="P20" s="357">
        <f>+'10 Year Average'!G20</f>
        <v>0</v>
      </c>
      <c r="Q20" s="358">
        <f>+'10 Year Average'!H20</f>
        <v>91910294.667422518</v>
      </c>
      <c r="S20" s="353">
        <f>+'20 Year Trend'!A20</f>
        <v>38139</v>
      </c>
      <c r="T20" s="354">
        <f>+'20 Year Trend'!B20</f>
        <v>86876500</v>
      </c>
      <c r="U20" s="355">
        <f>+'20 Year Trend'!C20</f>
        <v>73.2</v>
      </c>
      <c r="V20" s="355">
        <f>+'20 Year Trend'!D20</f>
        <v>15.6</v>
      </c>
      <c r="W20" s="356">
        <f>+'20 Year Trend'!E20</f>
        <v>5.4000000000000006E-2</v>
      </c>
      <c r="X20" s="357">
        <f>+'20 Year Trend'!F20</f>
        <v>30</v>
      </c>
      <c r="Y20" s="357">
        <f>+'20 Year Trend'!G20</f>
        <v>0</v>
      </c>
      <c r="Z20" s="358">
        <f>+'20 Year Trend'!H20</f>
        <v>91910294.667422518</v>
      </c>
    </row>
    <row r="21" spans="1:26" x14ac:dyDescent="0.2">
      <c r="A21" s="353">
        <f>+'Purchased Power Model '!A21</f>
        <v>38169</v>
      </c>
      <c r="B21" s="354">
        <f>+'Purchased Power Model '!B21</f>
        <v>92903530</v>
      </c>
      <c r="C21" s="355">
        <f>+'Purchased Power Model '!C21</f>
        <v>2</v>
      </c>
      <c r="D21" s="355">
        <f>+'Purchased Power Model '!D21</f>
        <v>69.3</v>
      </c>
      <c r="E21" s="356">
        <f>+'Purchased Power Model '!E21</f>
        <v>5.5E-2</v>
      </c>
      <c r="F21" s="357">
        <f>+'Purchased Power Model '!F21</f>
        <v>31</v>
      </c>
      <c r="G21" s="357">
        <f>+'Purchased Power Model '!G21</f>
        <v>0</v>
      </c>
      <c r="H21" s="358">
        <f>+'Purchased Power Model '!H21</f>
        <v>99503652.659450188</v>
      </c>
      <c r="J21" s="353">
        <f>+'10 Year Average'!A21</f>
        <v>38169</v>
      </c>
      <c r="K21" s="354">
        <f>+'10 Year Average'!B21</f>
        <v>92903530</v>
      </c>
      <c r="L21" s="355">
        <f>+'10 Year Average'!C21</f>
        <v>2</v>
      </c>
      <c r="M21" s="355">
        <f>+'10 Year Average'!D21</f>
        <v>69.3</v>
      </c>
      <c r="N21" s="356">
        <f>+'10 Year Average'!E21</f>
        <v>5.5E-2</v>
      </c>
      <c r="O21" s="357">
        <f>+'10 Year Average'!F21</f>
        <v>31</v>
      </c>
      <c r="P21" s="357">
        <f>+'10 Year Average'!G21</f>
        <v>0</v>
      </c>
      <c r="Q21" s="358">
        <f>+'10 Year Average'!H21</f>
        <v>99503652.659450188</v>
      </c>
      <c r="S21" s="353">
        <f>+'20 Year Trend'!A21</f>
        <v>38169</v>
      </c>
      <c r="T21" s="354">
        <f>+'20 Year Trend'!B21</f>
        <v>92903530</v>
      </c>
      <c r="U21" s="355">
        <f>+'20 Year Trend'!C21</f>
        <v>2</v>
      </c>
      <c r="V21" s="355">
        <f>+'20 Year Trend'!D21</f>
        <v>69.3</v>
      </c>
      <c r="W21" s="356">
        <f>+'20 Year Trend'!E21</f>
        <v>5.5E-2</v>
      </c>
      <c r="X21" s="357">
        <f>+'20 Year Trend'!F21</f>
        <v>31</v>
      </c>
      <c r="Y21" s="357">
        <f>+'20 Year Trend'!G21</f>
        <v>0</v>
      </c>
      <c r="Z21" s="358">
        <f>+'20 Year Trend'!H21</f>
        <v>99503652.659450188</v>
      </c>
    </row>
    <row r="22" spans="1:26" x14ac:dyDescent="0.2">
      <c r="A22" s="353">
        <f>+'Purchased Power Model '!A22</f>
        <v>38200</v>
      </c>
      <c r="B22" s="354">
        <f>+'Purchased Power Model '!B22</f>
        <v>94121760</v>
      </c>
      <c r="C22" s="355">
        <f>+'Purchased Power Model '!C22</f>
        <v>19.600000000000001</v>
      </c>
      <c r="D22" s="355">
        <f>+'Purchased Power Model '!D22</f>
        <v>53.6</v>
      </c>
      <c r="E22" s="356">
        <f>+'Purchased Power Model '!E22</f>
        <v>5.5E-2</v>
      </c>
      <c r="F22" s="357">
        <f>+'Purchased Power Model '!F22</f>
        <v>31</v>
      </c>
      <c r="G22" s="357">
        <f>+'Purchased Power Model '!G22</f>
        <v>0</v>
      </c>
      <c r="H22" s="358">
        <f>+'Purchased Power Model '!H22</f>
        <v>97940142.238396183</v>
      </c>
      <c r="J22" s="353">
        <f>+'10 Year Average'!A22</f>
        <v>38200</v>
      </c>
      <c r="K22" s="354">
        <f>+'10 Year Average'!B22</f>
        <v>94121760</v>
      </c>
      <c r="L22" s="355">
        <f>+'10 Year Average'!C22</f>
        <v>19.600000000000001</v>
      </c>
      <c r="M22" s="355">
        <f>+'10 Year Average'!D22</f>
        <v>53.6</v>
      </c>
      <c r="N22" s="356">
        <f>+'10 Year Average'!E22</f>
        <v>5.5E-2</v>
      </c>
      <c r="O22" s="357">
        <f>+'10 Year Average'!F22</f>
        <v>31</v>
      </c>
      <c r="P22" s="357">
        <f>+'10 Year Average'!G22</f>
        <v>0</v>
      </c>
      <c r="Q22" s="358">
        <f>+'10 Year Average'!H22</f>
        <v>97940142.238396183</v>
      </c>
      <c r="S22" s="353">
        <f>+'20 Year Trend'!A22</f>
        <v>38200</v>
      </c>
      <c r="T22" s="354">
        <f>+'20 Year Trend'!B22</f>
        <v>94121760</v>
      </c>
      <c r="U22" s="355">
        <f>+'20 Year Trend'!C22</f>
        <v>19.600000000000001</v>
      </c>
      <c r="V22" s="355">
        <f>+'20 Year Trend'!D22</f>
        <v>53.6</v>
      </c>
      <c r="W22" s="356">
        <f>+'20 Year Trend'!E22</f>
        <v>5.5E-2</v>
      </c>
      <c r="X22" s="357">
        <f>+'20 Year Trend'!F22</f>
        <v>31</v>
      </c>
      <c r="Y22" s="357">
        <f>+'20 Year Trend'!G22</f>
        <v>0</v>
      </c>
      <c r="Z22" s="358">
        <f>+'20 Year Trend'!H22</f>
        <v>97940142.238396183</v>
      </c>
    </row>
    <row r="23" spans="1:26" x14ac:dyDescent="0.2">
      <c r="A23" s="353">
        <f>+'Purchased Power Model '!A23</f>
        <v>38231</v>
      </c>
      <c r="B23" s="354">
        <f>+'Purchased Power Model '!B23</f>
        <v>88536700</v>
      </c>
      <c r="C23" s="355">
        <f>+'Purchased Power Model '!C23</f>
        <v>41.7</v>
      </c>
      <c r="D23" s="355">
        <f>+'Purchased Power Model '!D23</f>
        <v>26.7</v>
      </c>
      <c r="E23" s="356">
        <f>+'Purchased Power Model '!E23</f>
        <v>5.5E-2</v>
      </c>
      <c r="F23" s="357">
        <f>+'Purchased Power Model '!F23</f>
        <v>30</v>
      </c>
      <c r="G23" s="357">
        <f>+'Purchased Power Model '!G23</f>
        <v>1</v>
      </c>
      <c r="H23" s="358">
        <f>+'Purchased Power Model '!H23</f>
        <v>85104229.353632167</v>
      </c>
      <c r="J23" s="353">
        <f>+'10 Year Average'!A23</f>
        <v>38231</v>
      </c>
      <c r="K23" s="354">
        <f>+'10 Year Average'!B23</f>
        <v>88536700</v>
      </c>
      <c r="L23" s="355">
        <f>+'10 Year Average'!C23</f>
        <v>41.7</v>
      </c>
      <c r="M23" s="355">
        <f>+'10 Year Average'!D23</f>
        <v>26.7</v>
      </c>
      <c r="N23" s="356">
        <f>+'10 Year Average'!E23</f>
        <v>5.5E-2</v>
      </c>
      <c r="O23" s="357">
        <f>+'10 Year Average'!F23</f>
        <v>30</v>
      </c>
      <c r="P23" s="357">
        <f>+'10 Year Average'!G23</f>
        <v>1</v>
      </c>
      <c r="Q23" s="358">
        <f>+'10 Year Average'!H23</f>
        <v>85104229.353632167</v>
      </c>
      <c r="S23" s="353">
        <f>+'20 Year Trend'!A23</f>
        <v>38231</v>
      </c>
      <c r="T23" s="354">
        <f>+'20 Year Trend'!B23</f>
        <v>88536700</v>
      </c>
      <c r="U23" s="355">
        <f>+'20 Year Trend'!C23</f>
        <v>41.7</v>
      </c>
      <c r="V23" s="355">
        <f>+'20 Year Trend'!D23</f>
        <v>26.7</v>
      </c>
      <c r="W23" s="356">
        <f>+'20 Year Trend'!E23</f>
        <v>5.5E-2</v>
      </c>
      <c r="X23" s="357">
        <f>+'20 Year Trend'!F23</f>
        <v>30</v>
      </c>
      <c r="Y23" s="357">
        <f>+'20 Year Trend'!G23</f>
        <v>1</v>
      </c>
      <c r="Z23" s="358">
        <f>+'20 Year Trend'!H23</f>
        <v>85104229.353632167</v>
      </c>
    </row>
    <row r="24" spans="1:26" x14ac:dyDescent="0.2">
      <c r="A24" s="353">
        <f>+'Purchased Power Model '!A24</f>
        <v>38261</v>
      </c>
      <c r="B24" s="354">
        <f>+'Purchased Power Model '!B24</f>
        <v>88377710</v>
      </c>
      <c r="C24" s="355">
        <f>+'Purchased Power Model '!C24</f>
        <v>235</v>
      </c>
      <c r="D24" s="355">
        <f>+'Purchased Power Model '!D24</f>
        <v>0</v>
      </c>
      <c r="E24" s="356">
        <f>+'Purchased Power Model '!E24</f>
        <v>5.7999999999999996E-2</v>
      </c>
      <c r="F24" s="357">
        <f>+'Purchased Power Model '!F24</f>
        <v>31</v>
      </c>
      <c r="G24" s="357">
        <f>+'Purchased Power Model '!G24</f>
        <v>1</v>
      </c>
      <c r="H24" s="358">
        <f>+'Purchased Power Model '!H24</f>
        <v>91465069.426893815</v>
      </c>
      <c r="J24" s="353">
        <f>+'10 Year Average'!A24</f>
        <v>38261</v>
      </c>
      <c r="K24" s="354">
        <f>+'10 Year Average'!B24</f>
        <v>88377710</v>
      </c>
      <c r="L24" s="355">
        <f>+'10 Year Average'!C24</f>
        <v>235</v>
      </c>
      <c r="M24" s="355">
        <f>+'10 Year Average'!D24</f>
        <v>0</v>
      </c>
      <c r="N24" s="356">
        <f>+'10 Year Average'!E24</f>
        <v>5.7999999999999996E-2</v>
      </c>
      <c r="O24" s="357">
        <f>+'10 Year Average'!F24</f>
        <v>31</v>
      </c>
      <c r="P24" s="357">
        <f>+'10 Year Average'!G24</f>
        <v>1</v>
      </c>
      <c r="Q24" s="358">
        <f>+'10 Year Average'!H24</f>
        <v>91465069.426893815</v>
      </c>
      <c r="S24" s="353">
        <f>+'20 Year Trend'!A24</f>
        <v>38261</v>
      </c>
      <c r="T24" s="354">
        <f>+'20 Year Trend'!B24</f>
        <v>88377710</v>
      </c>
      <c r="U24" s="355">
        <f>+'20 Year Trend'!C24</f>
        <v>235</v>
      </c>
      <c r="V24" s="355">
        <f>+'20 Year Trend'!D24</f>
        <v>0</v>
      </c>
      <c r="W24" s="356">
        <f>+'20 Year Trend'!E24</f>
        <v>5.7999999999999996E-2</v>
      </c>
      <c r="X24" s="357">
        <f>+'20 Year Trend'!F24</f>
        <v>31</v>
      </c>
      <c r="Y24" s="357">
        <f>+'20 Year Trend'!G24</f>
        <v>1</v>
      </c>
      <c r="Z24" s="358">
        <f>+'20 Year Trend'!H24</f>
        <v>91465069.426893815</v>
      </c>
    </row>
    <row r="25" spans="1:26" x14ac:dyDescent="0.2">
      <c r="A25" s="353">
        <f>+'Purchased Power Model '!A25</f>
        <v>38292</v>
      </c>
      <c r="B25" s="354">
        <f>+'Purchased Power Model '!B25</f>
        <v>94905100</v>
      </c>
      <c r="C25" s="355">
        <f>+'Purchased Power Model '!C25</f>
        <v>385.7</v>
      </c>
      <c r="D25" s="355">
        <f>+'Purchased Power Model '!D25</f>
        <v>0</v>
      </c>
      <c r="E25" s="356">
        <f>+'Purchased Power Model '!E25</f>
        <v>5.7999999999999996E-2</v>
      </c>
      <c r="F25" s="357">
        <f>+'Purchased Power Model '!F25</f>
        <v>30</v>
      </c>
      <c r="G25" s="357">
        <f>+'Purchased Power Model '!G25</f>
        <v>1</v>
      </c>
      <c r="H25" s="358">
        <f>+'Purchased Power Model '!H25</f>
        <v>94720639.081301793</v>
      </c>
      <c r="J25" s="353">
        <f>+'10 Year Average'!A25</f>
        <v>38292</v>
      </c>
      <c r="K25" s="354">
        <f>+'10 Year Average'!B25</f>
        <v>94905100</v>
      </c>
      <c r="L25" s="355">
        <f>+'10 Year Average'!C25</f>
        <v>385.7</v>
      </c>
      <c r="M25" s="355">
        <f>+'10 Year Average'!D25</f>
        <v>0</v>
      </c>
      <c r="N25" s="356">
        <f>+'10 Year Average'!E25</f>
        <v>5.7999999999999996E-2</v>
      </c>
      <c r="O25" s="357">
        <f>+'10 Year Average'!F25</f>
        <v>30</v>
      </c>
      <c r="P25" s="357">
        <f>+'10 Year Average'!G25</f>
        <v>1</v>
      </c>
      <c r="Q25" s="358">
        <f>+'10 Year Average'!H25</f>
        <v>94720639.081301793</v>
      </c>
      <c r="S25" s="353">
        <f>+'20 Year Trend'!A25</f>
        <v>38292</v>
      </c>
      <c r="T25" s="354">
        <f>+'20 Year Trend'!B25</f>
        <v>94905100</v>
      </c>
      <c r="U25" s="355">
        <f>+'20 Year Trend'!C25</f>
        <v>385.7</v>
      </c>
      <c r="V25" s="355">
        <f>+'20 Year Trend'!D25</f>
        <v>0</v>
      </c>
      <c r="W25" s="356">
        <f>+'20 Year Trend'!E25</f>
        <v>5.7999999999999996E-2</v>
      </c>
      <c r="X25" s="357">
        <f>+'20 Year Trend'!F25</f>
        <v>30</v>
      </c>
      <c r="Y25" s="357">
        <f>+'20 Year Trend'!G25</f>
        <v>1</v>
      </c>
      <c r="Z25" s="358">
        <f>+'20 Year Trend'!H25</f>
        <v>94720639.081301793</v>
      </c>
    </row>
    <row r="26" spans="1:26" x14ac:dyDescent="0.2">
      <c r="A26" s="353">
        <f>+'Purchased Power Model '!A26</f>
        <v>38322</v>
      </c>
      <c r="B26" s="354">
        <f>+'Purchased Power Model '!B26</f>
        <v>113323500</v>
      </c>
      <c r="C26" s="355">
        <f>+'Purchased Power Model '!C26</f>
        <v>627.5</v>
      </c>
      <c r="D26" s="355">
        <f>+'Purchased Power Model '!D26</f>
        <v>0</v>
      </c>
      <c r="E26" s="356">
        <f>+'Purchased Power Model '!E26</f>
        <v>5.7999999999999996E-2</v>
      </c>
      <c r="F26" s="357">
        <f>+'Purchased Power Model '!F26</f>
        <v>31</v>
      </c>
      <c r="G26" s="357">
        <f>+'Purchased Power Model '!G26</f>
        <v>0</v>
      </c>
      <c r="H26" s="358">
        <f>+'Purchased Power Model '!H26</f>
        <v>114287332.26962718</v>
      </c>
      <c r="J26" s="353">
        <f>+'10 Year Average'!A26</f>
        <v>38322</v>
      </c>
      <c r="K26" s="354">
        <f>+'10 Year Average'!B26</f>
        <v>113323500</v>
      </c>
      <c r="L26" s="355">
        <f>+'10 Year Average'!C26</f>
        <v>627.5</v>
      </c>
      <c r="M26" s="355">
        <f>+'10 Year Average'!D26</f>
        <v>0</v>
      </c>
      <c r="N26" s="356">
        <f>+'10 Year Average'!E26</f>
        <v>5.7999999999999996E-2</v>
      </c>
      <c r="O26" s="357">
        <f>+'10 Year Average'!F26</f>
        <v>31</v>
      </c>
      <c r="P26" s="357">
        <f>+'10 Year Average'!G26</f>
        <v>0</v>
      </c>
      <c r="Q26" s="358">
        <f>+'10 Year Average'!H26</f>
        <v>114287332.26962718</v>
      </c>
      <c r="S26" s="353">
        <f>+'20 Year Trend'!A26</f>
        <v>38322</v>
      </c>
      <c r="T26" s="354">
        <f>+'20 Year Trend'!B26</f>
        <v>113323500</v>
      </c>
      <c r="U26" s="355">
        <f>+'20 Year Trend'!C26</f>
        <v>627.5</v>
      </c>
      <c r="V26" s="355">
        <f>+'20 Year Trend'!D26</f>
        <v>0</v>
      </c>
      <c r="W26" s="356">
        <f>+'20 Year Trend'!E26</f>
        <v>5.7999999999999996E-2</v>
      </c>
      <c r="X26" s="357">
        <f>+'20 Year Trend'!F26</f>
        <v>31</v>
      </c>
      <c r="Y26" s="357">
        <f>+'20 Year Trend'!G26</f>
        <v>0</v>
      </c>
      <c r="Z26" s="358">
        <f>+'20 Year Trend'!H26</f>
        <v>114287332.26962718</v>
      </c>
    </row>
    <row r="27" spans="1:26" x14ac:dyDescent="0.2">
      <c r="A27" s="353">
        <f>+'Purchased Power Model '!A27</f>
        <v>38353</v>
      </c>
      <c r="B27" s="354">
        <f>+'Purchased Power Model '!B27</f>
        <v>118166820</v>
      </c>
      <c r="C27" s="355">
        <f>+'Purchased Power Model '!C27</f>
        <v>745.5</v>
      </c>
      <c r="D27" s="355">
        <f>+'Purchased Power Model '!D27</f>
        <v>0</v>
      </c>
      <c r="E27" s="356">
        <f>+'Purchased Power Model '!E27</f>
        <v>7.2000000000000008E-2</v>
      </c>
      <c r="F27" s="357">
        <f>+'Purchased Power Model '!F27</f>
        <v>31</v>
      </c>
      <c r="G27" s="357">
        <f>+'Purchased Power Model '!G27</f>
        <v>0</v>
      </c>
      <c r="H27" s="358">
        <f>+'Purchased Power Model '!H27</f>
        <v>117321008.31251484</v>
      </c>
      <c r="J27" s="353">
        <f>+'10 Year Average'!A27</f>
        <v>38353</v>
      </c>
      <c r="K27" s="354">
        <f>+'10 Year Average'!B27</f>
        <v>118166820</v>
      </c>
      <c r="L27" s="355">
        <f>+'10 Year Average'!C27</f>
        <v>745.5</v>
      </c>
      <c r="M27" s="355">
        <f>+'10 Year Average'!D27</f>
        <v>0</v>
      </c>
      <c r="N27" s="356">
        <f>+'10 Year Average'!E27</f>
        <v>7.2000000000000008E-2</v>
      </c>
      <c r="O27" s="357">
        <f>+'10 Year Average'!F27</f>
        <v>31</v>
      </c>
      <c r="P27" s="357">
        <f>+'10 Year Average'!G27</f>
        <v>0</v>
      </c>
      <c r="Q27" s="358">
        <f>+'10 Year Average'!H27</f>
        <v>117321008.31251484</v>
      </c>
      <c r="S27" s="353">
        <f>+'20 Year Trend'!A27</f>
        <v>38353</v>
      </c>
      <c r="T27" s="354">
        <f>+'20 Year Trend'!B27</f>
        <v>118166820</v>
      </c>
      <c r="U27" s="355">
        <f>+'20 Year Trend'!C27</f>
        <v>745.5</v>
      </c>
      <c r="V27" s="355">
        <f>+'20 Year Trend'!D27</f>
        <v>0</v>
      </c>
      <c r="W27" s="356">
        <f>+'20 Year Trend'!E27</f>
        <v>7.2000000000000008E-2</v>
      </c>
      <c r="X27" s="357">
        <f>+'20 Year Trend'!F27</f>
        <v>31</v>
      </c>
      <c r="Y27" s="357">
        <f>+'20 Year Trend'!G27</f>
        <v>0</v>
      </c>
      <c r="Z27" s="358">
        <f>+'20 Year Trend'!H27</f>
        <v>117321008.31251484</v>
      </c>
    </row>
    <row r="28" spans="1:26" x14ac:dyDescent="0.2">
      <c r="A28" s="353">
        <f>+'Purchased Power Model '!A28</f>
        <v>38384</v>
      </c>
      <c r="B28" s="354">
        <f>+'Purchased Power Model '!B28</f>
        <v>100566840</v>
      </c>
      <c r="C28" s="355">
        <f>+'Purchased Power Model '!C28</f>
        <v>589.5</v>
      </c>
      <c r="D28" s="355">
        <f>+'Purchased Power Model '!D28</f>
        <v>0</v>
      </c>
      <c r="E28" s="356">
        <f>+'Purchased Power Model '!E28</f>
        <v>7.2000000000000008E-2</v>
      </c>
      <c r="F28" s="357">
        <f>+'Purchased Power Model '!F28</f>
        <v>28</v>
      </c>
      <c r="G28" s="357">
        <f>+'Purchased Power Model '!G28</f>
        <v>0</v>
      </c>
      <c r="H28" s="358">
        <f>+'Purchased Power Model '!H28</f>
        <v>102607941.79207157</v>
      </c>
      <c r="J28" s="353">
        <f>+'10 Year Average'!A28</f>
        <v>38384</v>
      </c>
      <c r="K28" s="354">
        <f>+'10 Year Average'!B28</f>
        <v>100566840</v>
      </c>
      <c r="L28" s="355">
        <f>+'10 Year Average'!C28</f>
        <v>589.5</v>
      </c>
      <c r="M28" s="355">
        <f>+'10 Year Average'!D28</f>
        <v>0</v>
      </c>
      <c r="N28" s="356">
        <f>+'10 Year Average'!E28</f>
        <v>7.2000000000000008E-2</v>
      </c>
      <c r="O28" s="357">
        <f>+'10 Year Average'!F28</f>
        <v>28</v>
      </c>
      <c r="P28" s="357">
        <f>+'10 Year Average'!G28</f>
        <v>0</v>
      </c>
      <c r="Q28" s="358">
        <f>+'10 Year Average'!H28</f>
        <v>102607941.79207157</v>
      </c>
      <c r="S28" s="353">
        <f>+'20 Year Trend'!A28</f>
        <v>38384</v>
      </c>
      <c r="T28" s="354">
        <f>+'20 Year Trend'!B28</f>
        <v>100566840</v>
      </c>
      <c r="U28" s="355">
        <f>+'20 Year Trend'!C28</f>
        <v>589.5</v>
      </c>
      <c r="V28" s="355">
        <f>+'20 Year Trend'!D28</f>
        <v>0</v>
      </c>
      <c r="W28" s="356">
        <f>+'20 Year Trend'!E28</f>
        <v>7.2000000000000008E-2</v>
      </c>
      <c r="X28" s="357">
        <f>+'20 Year Trend'!F28</f>
        <v>28</v>
      </c>
      <c r="Y28" s="357">
        <f>+'20 Year Trend'!G28</f>
        <v>0</v>
      </c>
      <c r="Z28" s="358">
        <f>+'20 Year Trend'!H28</f>
        <v>102607941.79207157</v>
      </c>
    </row>
    <row r="29" spans="1:26" x14ac:dyDescent="0.2">
      <c r="A29" s="353">
        <f>+'Purchased Power Model '!A29</f>
        <v>38412</v>
      </c>
      <c r="B29" s="354">
        <f>+'Purchased Power Model '!B29</f>
        <v>104158730</v>
      </c>
      <c r="C29" s="355">
        <f>+'Purchased Power Model '!C29</f>
        <v>578.29999999999995</v>
      </c>
      <c r="D29" s="355">
        <f>+'Purchased Power Model '!D29</f>
        <v>0</v>
      </c>
      <c r="E29" s="356">
        <f>+'Purchased Power Model '!E29</f>
        <v>7.2000000000000008E-2</v>
      </c>
      <c r="F29" s="357">
        <f>+'Purchased Power Model '!F29</f>
        <v>31</v>
      </c>
      <c r="G29" s="357">
        <f>+'Purchased Power Model '!G29</f>
        <v>1</v>
      </c>
      <c r="H29" s="358">
        <f>+'Purchased Power Model '!H29</f>
        <v>103568460.01750425</v>
      </c>
      <c r="J29" s="353">
        <f>+'10 Year Average'!A29</f>
        <v>38412</v>
      </c>
      <c r="K29" s="354">
        <f>+'10 Year Average'!B29</f>
        <v>104158730</v>
      </c>
      <c r="L29" s="355">
        <f>+'10 Year Average'!C29</f>
        <v>578.29999999999995</v>
      </c>
      <c r="M29" s="355">
        <f>+'10 Year Average'!D29</f>
        <v>0</v>
      </c>
      <c r="N29" s="356">
        <f>+'10 Year Average'!E29</f>
        <v>7.2000000000000008E-2</v>
      </c>
      <c r="O29" s="357">
        <f>+'10 Year Average'!F29</f>
        <v>31</v>
      </c>
      <c r="P29" s="357">
        <f>+'10 Year Average'!G29</f>
        <v>1</v>
      </c>
      <c r="Q29" s="358">
        <f>+'10 Year Average'!H29</f>
        <v>103568460.01750425</v>
      </c>
      <c r="S29" s="353">
        <f>+'20 Year Trend'!A29</f>
        <v>38412</v>
      </c>
      <c r="T29" s="354">
        <f>+'20 Year Trend'!B29</f>
        <v>104158730</v>
      </c>
      <c r="U29" s="355">
        <f>+'20 Year Trend'!C29</f>
        <v>578.29999999999995</v>
      </c>
      <c r="V29" s="355">
        <f>+'20 Year Trend'!D29</f>
        <v>0</v>
      </c>
      <c r="W29" s="356">
        <f>+'20 Year Trend'!E29</f>
        <v>7.2000000000000008E-2</v>
      </c>
      <c r="X29" s="357">
        <f>+'20 Year Trend'!F29</f>
        <v>31</v>
      </c>
      <c r="Y29" s="357">
        <f>+'20 Year Trend'!G29</f>
        <v>1</v>
      </c>
      <c r="Z29" s="358">
        <f>+'20 Year Trend'!H29</f>
        <v>103568460.01750425</v>
      </c>
    </row>
    <row r="30" spans="1:26" x14ac:dyDescent="0.2">
      <c r="A30" s="353">
        <f>+'Purchased Power Model '!A30</f>
        <v>38443</v>
      </c>
      <c r="B30" s="354">
        <f>+'Purchased Power Model '!B30</f>
        <v>84434840</v>
      </c>
      <c r="C30" s="355">
        <f>+'Purchased Power Model '!C30</f>
        <v>325.3</v>
      </c>
      <c r="D30" s="355">
        <f>+'Purchased Power Model '!D30</f>
        <v>0</v>
      </c>
      <c r="E30" s="356">
        <f>+'Purchased Power Model '!E30</f>
        <v>6.4000000000000001E-2</v>
      </c>
      <c r="F30" s="357">
        <f>+'Purchased Power Model '!F30</f>
        <v>30</v>
      </c>
      <c r="G30" s="357">
        <f>+'Purchased Power Model '!G30</f>
        <v>1</v>
      </c>
      <c r="H30" s="358">
        <f>+'Purchased Power Model '!H30</f>
        <v>91553501.535627276</v>
      </c>
      <c r="J30" s="353">
        <f>+'10 Year Average'!A30</f>
        <v>38443</v>
      </c>
      <c r="K30" s="354">
        <f>+'10 Year Average'!B30</f>
        <v>84434840</v>
      </c>
      <c r="L30" s="355">
        <f>+'10 Year Average'!C30</f>
        <v>325.3</v>
      </c>
      <c r="M30" s="355">
        <f>+'10 Year Average'!D30</f>
        <v>0</v>
      </c>
      <c r="N30" s="356">
        <f>+'10 Year Average'!E30</f>
        <v>6.4000000000000001E-2</v>
      </c>
      <c r="O30" s="357">
        <f>+'10 Year Average'!F30</f>
        <v>30</v>
      </c>
      <c r="P30" s="357">
        <f>+'10 Year Average'!G30</f>
        <v>1</v>
      </c>
      <c r="Q30" s="358">
        <f>+'10 Year Average'!H30</f>
        <v>91553501.535627276</v>
      </c>
      <c r="S30" s="353">
        <f>+'20 Year Trend'!A30</f>
        <v>38443</v>
      </c>
      <c r="T30" s="354">
        <f>+'20 Year Trend'!B30</f>
        <v>84434840</v>
      </c>
      <c r="U30" s="355">
        <f>+'20 Year Trend'!C30</f>
        <v>325.3</v>
      </c>
      <c r="V30" s="355">
        <f>+'20 Year Trend'!D30</f>
        <v>0</v>
      </c>
      <c r="W30" s="356">
        <f>+'20 Year Trend'!E30</f>
        <v>6.4000000000000001E-2</v>
      </c>
      <c r="X30" s="357">
        <f>+'20 Year Trend'!F30</f>
        <v>30</v>
      </c>
      <c r="Y30" s="357">
        <f>+'20 Year Trend'!G30</f>
        <v>1</v>
      </c>
      <c r="Z30" s="358">
        <f>+'20 Year Trend'!H30</f>
        <v>91553501.535627276</v>
      </c>
    </row>
    <row r="31" spans="1:26" x14ac:dyDescent="0.2">
      <c r="A31" s="353">
        <f>+'Purchased Power Model '!A31</f>
        <v>38473</v>
      </c>
      <c r="B31" s="354">
        <f>+'Purchased Power Model '!B31</f>
        <v>81831370</v>
      </c>
      <c r="C31" s="355">
        <f>+'Purchased Power Model '!C31</f>
        <v>216.1</v>
      </c>
      <c r="D31" s="355">
        <f>+'Purchased Power Model '!D31</f>
        <v>0.3</v>
      </c>
      <c r="E31" s="356">
        <f>+'Purchased Power Model '!E31</f>
        <v>6.4000000000000001E-2</v>
      </c>
      <c r="F31" s="357">
        <f>+'Purchased Power Model '!F31</f>
        <v>31</v>
      </c>
      <c r="G31" s="357">
        <f>+'Purchased Power Model '!G31</f>
        <v>1</v>
      </c>
      <c r="H31" s="358">
        <f>+'Purchased Power Model '!H31</f>
        <v>90011977.209526002</v>
      </c>
      <c r="J31" s="353">
        <f>+'10 Year Average'!A31</f>
        <v>38473</v>
      </c>
      <c r="K31" s="354">
        <f>+'10 Year Average'!B31</f>
        <v>81831370</v>
      </c>
      <c r="L31" s="355">
        <f>+'10 Year Average'!C31</f>
        <v>216.1</v>
      </c>
      <c r="M31" s="355">
        <f>+'10 Year Average'!D31</f>
        <v>0.3</v>
      </c>
      <c r="N31" s="356">
        <f>+'10 Year Average'!E31</f>
        <v>6.4000000000000001E-2</v>
      </c>
      <c r="O31" s="357">
        <f>+'10 Year Average'!F31</f>
        <v>31</v>
      </c>
      <c r="P31" s="357">
        <f>+'10 Year Average'!G31</f>
        <v>1</v>
      </c>
      <c r="Q31" s="358">
        <f>+'10 Year Average'!H31</f>
        <v>90011977.209526002</v>
      </c>
      <c r="S31" s="353">
        <f>+'20 Year Trend'!A31</f>
        <v>38473</v>
      </c>
      <c r="T31" s="354">
        <f>+'20 Year Trend'!B31</f>
        <v>81831370</v>
      </c>
      <c r="U31" s="355">
        <f>+'20 Year Trend'!C31</f>
        <v>216.1</v>
      </c>
      <c r="V31" s="355">
        <f>+'20 Year Trend'!D31</f>
        <v>0.3</v>
      </c>
      <c r="W31" s="356">
        <f>+'20 Year Trend'!E31</f>
        <v>6.4000000000000001E-2</v>
      </c>
      <c r="X31" s="357">
        <f>+'20 Year Trend'!F31</f>
        <v>31</v>
      </c>
      <c r="Y31" s="357">
        <f>+'20 Year Trend'!G31</f>
        <v>1</v>
      </c>
      <c r="Z31" s="358">
        <f>+'20 Year Trend'!H31</f>
        <v>90011977.209526002</v>
      </c>
    </row>
    <row r="32" spans="1:26" x14ac:dyDescent="0.2">
      <c r="A32" s="353">
        <f>+'Purchased Power Model '!A32</f>
        <v>38504</v>
      </c>
      <c r="B32" s="354">
        <f>+'Purchased Power Model '!B32</f>
        <v>98362500</v>
      </c>
      <c r="C32" s="355">
        <f>+'Purchased Power Model '!C32</f>
        <v>13.7</v>
      </c>
      <c r="D32" s="355">
        <f>+'Purchased Power Model '!D32</f>
        <v>89.9</v>
      </c>
      <c r="E32" s="356">
        <f>+'Purchased Power Model '!E32</f>
        <v>6.4000000000000001E-2</v>
      </c>
      <c r="F32" s="357">
        <f>+'Purchased Power Model '!F32</f>
        <v>30</v>
      </c>
      <c r="G32" s="357">
        <f>+'Purchased Power Model '!G32</f>
        <v>0</v>
      </c>
      <c r="H32" s="358">
        <f>+'Purchased Power Model '!H32</f>
        <v>99041237.917959452</v>
      </c>
      <c r="J32" s="353">
        <f>+'10 Year Average'!A32</f>
        <v>38504</v>
      </c>
      <c r="K32" s="354">
        <f>+'10 Year Average'!B32</f>
        <v>98362500</v>
      </c>
      <c r="L32" s="355">
        <f>+'10 Year Average'!C32</f>
        <v>13.7</v>
      </c>
      <c r="M32" s="355">
        <f>+'10 Year Average'!D32</f>
        <v>89.9</v>
      </c>
      <c r="N32" s="356">
        <f>+'10 Year Average'!E32</f>
        <v>6.4000000000000001E-2</v>
      </c>
      <c r="O32" s="357">
        <f>+'10 Year Average'!F32</f>
        <v>30</v>
      </c>
      <c r="P32" s="357">
        <f>+'10 Year Average'!G32</f>
        <v>0</v>
      </c>
      <c r="Q32" s="358">
        <f>+'10 Year Average'!H32</f>
        <v>99041237.917959452</v>
      </c>
      <c r="S32" s="353">
        <f>+'20 Year Trend'!A32</f>
        <v>38504</v>
      </c>
      <c r="T32" s="354">
        <f>+'20 Year Trend'!B32</f>
        <v>98362500</v>
      </c>
      <c r="U32" s="355">
        <f>+'20 Year Trend'!C32</f>
        <v>13.7</v>
      </c>
      <c r="V32" s="355">
        <f>+'20 Year Trend'!D32</f>
        <v>89.9</v>
      </c>
      <c r="W32" s="356">
        <f>+'20 Year Trend'!E32</f>
        <v>6.4000000000000001E-2</v>
      </c>
      <c r="X32" s="357">
        <f>+'20 Year Trend'!F32</f>
        <v>30</v>
      </c>
      <c r="Y32" s="357">
        <f>+'20 Year Trend'!G32</f>
        <v>0</v>
      </c>
      <c r="Z32" s="358">
        <f>+'20 Year Trend'!H32</f>
        <v>99041237.917959452</v>
      </c>
    </row>
    <row r="33" spans="1:26" x14ac:dyDescent="0.2">
      <c r="A33" s="353">
        <f>+'Purchased Power Model '!A33</f>
        <v>38534</v>
      </c>
      <c r="B33" s="354">
        <f>+'Purchased Power Model '!B33</f>
        <v>103745750</v>
      </c>
      <c r="C33" s="355">
        <f>+'Purchased Power Model '!C33</f>
        <v>2.2000000000000002</v>
      </c>
      <c r="D33" s="355">
        <f>+'Purchased Power Model '!D33</f>
        <v>153</v>
      </c>
      <c r="E33" s="356">
        <f>+'Purchased Power Model '!E33</f>
        <v>5.7999999999999996E-2</v>
      </c>
      <c r="F33" s="357">
        <f>+'Purchased Power Model '!F33</f>
        <v>31</v>
      </c>
      <c r="G33" s="357">
        <f>+'Purchased Power Model '!G33</f>
        <v>0</v>
      </c>
      <c r="H33" s="358">
        <f>+'Purchased Power Model '!H33</f>
        <v>111256482.06626602</v>
      </c>
      <c r="J33" s="353">
        <f>+'10 Year Average'!A33</f>
        <v>38534</v>
      </c>
      <c r="K33" s="354">
        <f>+'10 Year Average'!B33</f>
        <v>103745750</v>
      </c>
      <c r="L33" s="355">
        <f>+'10 Year Average'!C33</f>
        <v>2.2000000000000002</v>
      </c>
      <c r="M33" s="355">
        <f>+'10 Year Average'!D33</f>
        <v>153</v>
      </c>
      <c r="N33" s="356">
        <f>+'10 Year Average'!E33</f>
        <v>5.7999999999999996E-2</v>
      </c>
      <c r="O33" s="357">
        <f>+'10 Year Average'!F33</f>
        <v>31</v>
      </c>
      <c r="P33" s="357">
        <f>+'10 Year Average'!G33</f>
        <v>0</v>
      </c>
      <c r="Q33" s="358">
        <f>+'10 Year Average'!H33</f>
        <v>111256482.06626602</v>
      </c>
      <c r="S33" s="353">
        <f>+'20 Year Trend'!A33</f>
        <v>38534</v>
      </c>
      <c r="T33" s="354">
        <f>+'20 Year Trend'!B33</f>
        <v>103745750</v>
      </c>
      <c r="U33" s="355">
        <f>+'20 Year Trend'!C33</f>
        <v>2.2000000000000002</v>
      </c>
      <c r="V33" s="355">
        <f>+'20 Year Trend'!D33</f>
        <v>153</v>
      </c>
      <c r="W33" s="356">
        <f>+'20 Year Trend'!E33</f>
        <v>5.7999999999999996E-2</v>
      </c>
      <c r="X33" s="357">
        <f>+'20 Year Trend'!F33</f>
        <v>31</v>
      </c>
      <c r="Y33" s="357">
        <f>+'20 Year Trend'!G33</f>
        <v>0</v>
      </c>
      <c r="Z33" s="358">
        <f>+'20 Year Trend'!H33</f>
        <v>111256482.06626602</v>
      </c>
    </row>
    <row r="34" spans="1:26" x14ac:dyDescent="0.2">
      <c r="A34" s="353">
        <f>+'Purchased Power Model '!A34</f>
        <v>38565</v>
      </c>
      <c r="B34" s="354">
        <f>+'Purchased Power Model '!B34</f>
        <v>101425330</v>
      </c>
      <c r="C34" s="355">
        <f>+'Purchased Power Model '!C34</f>
        <v>0</v>
      </c>
      <c r="D34" s="355">
        <f>+'Purchased Power Model '!D34</f>
        <v>108</v>
      </c>
      <c r="E34" s="356">
        <f>+'Purchased Power Model '!E34</f>
        <v>5.7999999999999996E-2</v>
      </c>
      <c r="F34" s="357">
        <f>+'Purchased Power Model '!F34</f>
        <v>31</v>
      </c>
      <c r="G34" s="357">
        <f>+'Purchased Power Model '!G34</f>
        <v>0</v>
      </c>
      <c r="H34" s="358">
        <f>+'Purchased Power Model '!H34</f>
        <v>104655762.21470764</v>
      </c>
      <c r="J34" s="353">
        <f>+'10 Year Average'!A34</f>
        <v>38565</v>
      </c>
      <c r="K34" s="354">
        <f>+'10 Year Average'!B34</f>
        <v>101425330</v>
      </c>
      <c r="L34" s="355">
        <f>+'10 Year Average'!C34</f>
        <v>0</v>
      </c>
      <c r="M34" s="355">
        <f>+'10 Year Average'!D34</f>
        <v>108</v>
      </c>
      <c r="N34" s="356">
        <f>+'10 Year Average'!E34</f>
        <v>5.7999999999999996E-2</v>
      </c>
      <c r="O34" s="357">
        <f>+'10 Year Average'!F34</f>
        <v>31</v>
      </c>
      <c r="P34" s="357">
        <f>+'10 Year Average'!G34</f>
        <v>0</v>
      </c>
      <c r="Q34" s="358">
        <f>+'10 Year Average'!H34</f>
        <v>104655762.21470764</v>
      </c>
      <c r="S34" s="353">
        <f>+'20 Year Trend'!A34</f>
        <v>38565</v>
      </c>
      <c r="T34" s="354">
        <f>+'20 Year Trend'!B34</f>
        <v>101425330</v>
      </c>
      <c r="U34" s="355">
        <f>+'20 Year Trend'!C34</f>
        <v>0</v>
      </c>
      <c r="V34" s="355">
        <f>+'20 Year Trend'!D34</f>
        <v>108</v>
      </c>
      <c r="W34" s="356">
        <f>+'20 Year Trend'!E34</f>
        <v>5.7999999999999996E-2</v>
      </c>
      <c r="X34" s="357">
        <f>+'20 Year Trend'!F34</f>
        <v>31</v>
      </c>
      <c r="Y34" s="357">
        <f>+'20 Year Trend'!G34</f>
        <v>0</v>
      </c>
      <c r="Z34" s="358">
        <f>+'20 Year Trend'!H34</f>
        <v>104655762.21470764</v>
      </c>
    </row>
    <row r="35" spans="1:26" x14ac:dyDescent="0.2">
      <c r="A35" s="353">
        <f>+'Purchased Power Model '!A35</f>
        <v>38596</v>
      </c>
      <c r="B35" s="354">
        <f>+'Purchased Power Model '!B35</f>
        <v>87813850</v>
      </c>
      <c r="C35" s="355">
        <f>+'Purchased Power Model '!C35</f>
        <v>36.700000000000003</v>
      </c>
      <c r="D35" s="355">
        <f>+'Purchased Power Model '!D35</f>
        <v>32.799999999999997</v>
      </c>
      <c r="E35" s="356">
        <f>+'Purchased Power Model '!E35</f>
        <v>5.7999999999999996E-2</v>
      </c>
      <c r="F35" s="357">
        <f>+'Purchased Power Model '!F35</f>
        <v>30</v>
      </c>
      <c r="G35" s="357">
        <f>+'Purchased Power Model '!G35</f>
        <v>1</v>
      </c>
      <c r="H35" s="358">
        <f>+'Purchased Power Model '!H35</f>
        <v>85417874.965711743</v>
      </c>
      <c r="J35" s="353">
        <f>+'10 Year Average'!A35</f>
        <v>38596</v>
      </c>
      <c r="K35" s="354">
        <f>+'10 Year Average'!B35</f>
        <v>87813850</v>
      </c>
      <c r="L35" s="355">
        <f>+'10 Year Average'!C35</f>
        <v>36.700000000000003</v>
      </c>
      <c r="M35" s="355">
        <f>+'10 Year Average'!D35</f>
        <v>32.799999999999997</v>
      </c>
      <c r="N35" s="356">
        <f>+'10 Year Average'!E35</f>
        <v>5.7999999999999996E-2</v>
      </c>
      <c r="O35" s="357">
        <f>+'10 Year Average'!F35</f>
        <v>30</v>
      </c>
      <c r="P35" s="357">
        <f>+'10 Year Average'!G35</f>
        <v>1</v>
      </c>
      <c r="Q35" s="358">
        <f>+'10 Year Average'!H35</f>
        <v>85417874.965711743</v>
      </c>
      <c r="S35" s="353">
        <f>+'20 Year Trend'!A35</f>
        <v>38596</v>
      </c>
      <c r="T35" s="354">
        <f>+'20 Year Trend'!B35</f>
        <v>87813850</v>
      </c>
      <c r="U35" s="355">
        <f>+'20 Year Trend'!C35</f>
        <v>36.700000000000003</v>
      </c>
      <c r="V35" s="355">
        <f>+'20 Year Trend'!D35</f>
        <v>32.799999999999997</v>
      </c>
      <c r="W35" s="356">
        <f>+'20 Year Trend'!E35</f>
        <v>5.7999999999999996E-2</v>
      </c>
      <c r="X35" s="357">
        <f>+'20 Year Trend'!F35</f>
        <v>30</v>
      </c>
      <c r="Y35" s="357">
        <f>+'20 Year Trend'!G35</f>
        <v>1</v>
      </c>
      <c r="Z35" s="358">
        <f>+'20 Year Trend'!H35</f>
        <v>85417874.965711743</v>
      </c>
    </row>
    <row r="36" spans="1:26" x14ac:dyDescent="0.2">
      <c r="A36" s="353">
        <f>+'Purchased Power Model '!A36</f>
        <v>38626</v>
      </c>
      <c r="B36" s="354">
        <f>+'Purchased Power Model '!B36</f>
        <v>87350690</v>
      </c>
      <c r="C36" s="355">
        <f>+'Purchased Power Model '!C36</f>
        <v>223.8</v>
      </c>
      <c r="D36" s="355">
        <f>+'Purchased Power Model '!D36</f>
        <v>0.5</v>
      </c>
      <c r="E36" s="356">
        <f>+'Purchased Power Model '!E36</f>
        <v>6.7000000000000004E-2</v>
      </c>
      <c r="F36" s="357">
        <f>+'Purchased Power Model '!F36</f>
        <v>31</v>
      </c>
      <c r="G36" s="357">
        <f>+'Purchased Power Model '!G36</f>
        <v>1</v>
      </c>
      <c r="H36" s="358">
        <f>+'Purchased Power Model '!H36</f>
        <v>89983060.103429526</v>
      </c>
      <c r="J36" s="353">
        <f>+'10 Year Average'!A36</f>
        <v>38626</v>
      </c>
      <c r="K36" s="354">
        <f>+'10 Year Average'!B36</f>
        <v>87350690</v>
      </c>
      <c r="L36" s="355">
        <f>+'10 Year Average'!C36</f>
        <v>223.8</v>
      </c>
      <c r="M36" s="355">
        <f>+'10 Year Average'!D36</f>
        <v>0.5</v>
      </c>
      <c r="N36" s="356">
        <f>+'10 Year Average'!E36</f>
        <v>6.7000000000000004E-2</v>
      </c>
      <c r="O36" s="357">
        <f>+'10 Year Average'!F36</f>
        <v>31</v>
      </c>
      <c r="P36" s="357">
        <f>+'10 Year Average'!G36</f>
        <v>1</v>
      </c>
      <c r="Q36" s="358">
        <f>+'10 Year Average'!H36</f>
        <v>89983060.103429526</v>
      </c>
      <c r="S36" s="353">
        <f>+'20 Year Trend'!A36</f>
        <v>38626</v>
      </c>
      <c r="T36" s="354">
        <f>+'20 Year Trend'!B36</f>
        <v>87350690</v>
      </c>
      <c r="U36" s="355">
        <f>+'20 Year Trend'!C36</f>
        <v>223.8</v>
      </c>
      <c r="V36" s="355">
        <f>+'20 Year Trend'!D36</f>
        <v>0.5</v>
      </c>
      <c r="W36" s="356">
        <f>+'20 Year Trend'!E36</f>
        <v>6.7000000000000004E-2</v>
      </c>
      <c r="X36" s="357">
        <f>+'20 Year Trend'!F36</f>
        <v>31</v>
      </c>
      <c r="Y36" s="357">
        <f>+'20 Year Trend'!G36</f>
        <v>1</v>
      </c>
      <c r="Z36" s="358">
        <f>+'20 Year Trend'!H36</f>
        <v>89983060.103429526</v>
      </c>
    </row>
    <row r="37" spans="1:26" x14ac:dyDescent="0.2">
      <c r="A37" s="353">
        <f>+'Purchased Power Model '!A37</f>
        <v>38657</v>
      </c>
      <c r="B37" s="354">
        <f>+'Purchased Power Model '!B37</f>
        <v>94515140</v>
      </c>
      <c r="C37" s="355">
        <f>+'Purchased Power Model '!C37</f>
        <v>398.5</v>
      </c>
      <c r="D37" s="355">
        <f>+'Purchased Power Model '!D37</f>
        <v>0</v>
      </c>
      <c r="E37" s="356">
        <f>+'Purchased Power Model '!E37</f>
        <v>6.7000000000000004E-2</v>
      </c>
      <c r="F37" s="357">
        <f>+'Purchased Power Model '!F37</f>
        <v>30</v>
      </c>
      <c r="G37" s="357">
        <f>+'Purchased Power Model '!G37</f>
        <v>1</v>
      </c>
      <c r="H37" s="358">
        <f>+'Purchased Power Model '!H37</f>
        <v>94132420.486866951</v>
      </c>
      <c r="J37" s="353">
        <f>+'10 Year Average'!A37</f>
        <v>38657</v>
      </c>
      <c r="K37" s="354">
        <f>+'10 Year Average'!B37</f>
        <v>94515140</v>
      </c>
      <c r="L37" s="355">
        <f>+'10 Year Average'!C37</f>
        <v>398.5</v>
      </c>
      <c r="M37" s="355">
        <f>+'10 Year Average'!D37</f>
        <v>0</v>
      </c>
      <c r="N37" s="356">
        <f>+'10 Year Average'!E37</f>
        <v>6.7000000000000004E-2</v>
      </c>
      <c r="O37" s="357">
        <f>+'10 Year Average'!F37</f>
        <v>30</v>
      </c>
      <c r="P37" s="357">
        <f>+'10 Year Average'!G37</f>
        <v>1</v>
      </c>
      <c r="Q37" s="358">
        <f>+'10 Year Average'!H37</f>
        <v>94132420.486866951</v>
      </c>
      <c r="S37" s="353">
        <f>+'20 Year Trend'!A37</f>
        <v>38657</v>
      </c>
      <c r="T37" s="354">
        <f>+'20 Year Trend'!B37</f>
        <v>94515140</v>
      </c>
      <c r="U37" s="355">
        <f>+'20 Year Trend'!C37</f>
        <v>398.5</v>
      </c>
      <c r="V37" s="355">
        <f>+'20 Year Trend'!D37</f>
        <v>0</v>
      </c>
      <c r="W37" s="356">
        <f>+'20 Year Trend'!E37</f>
        <v>6.7000000000000004E-2</v>
      </c>
      <c r="X37" s="357">
        <f>+'20 Year Trend'!F37</f>
        <v>30</v>
      </c>
      <c r="Y37" s="357">
        <f>+'20 Year Trend'!G37</f>
        <v>1</v>
      </c>
      <c r="Z37" s="358">
        <f>+'20 Year Trend'!H37</f>
        <v>94132420.486866951</v>
      </c>
    </row>
    <row r="38" spans="1:26" x14ac:dyDescent="0.2">
      <c r="A38" s="353">
        <f>+'Purchased Power Model '!A38</f>
        <v>38687</v>
      </c>
      <c r="B38" s="354">
        <f>+'Purchased Power Model '!B38</f>
        <v>112129490</v>
      </c>
      <c r="C38" s="355">
        <f>+'Purchased Power Model '!C38</f>
        <v>641.1</v>
      </c>
      <c r="D38" s="355">
        <f>+'Purchased Power Model '!D38</f>
        <v>0</v>
      </c>
      <c r="E38" s="356">
        <f>+'Purchased Power Model '!E38</f>
        <v>6.7000000000000004E-2</v>
      </c>
      <c r="F38" s="357">
        <f>+'Purchased Power Model '!F38</f>
        <v>31</v>
      </c>
      <c r="G38" s="357">
        <f>+'Purchased Power Model '!G38</f>
        <v>0</v>
      </c>
      <c r="H38" s="358">
        <f>+'Purchased Power Model '!H38</f>
        <v>113731318.60922776</v>
      </c>
      <c r="J38" s="353">
        <f>+'10 Year Average'!A38</f>
        <v>38687</v>
      </c>
      <c r="K38" s="354">
        <f>+'10 Year Average'!B38</f>
        <v>112129490</v>
      </c>
      <c r="L38" s="355">
        <f>+'10 Year Average'!C38</f>
        <v>641.1</v>
      </c>
      <c r="M38" s="355">
        <f>+'10 Year Average'!D38</f>
        <v>0</v>
      </c>
      <c r="N38" s="356">
        <f>+'10 Year Average'!E38</f>
        <v>6.7000000000000004E-2</v>
      </c>
      <c r="O38" s="357">
        <f>+'10 Year Average'!F38</f>
        <v>31</v>
      </c>
      <c r="P38" s="357">
        <f>+'10 Year Average'!G38</f>
        <v>0</v>
      </c>
      <c r="Q38" s="358">
        <f>+'10 Year Average'!H38</f>
        <v>113731318.60922776</v>
      </c>
      <c r="S38" s="353">
        <f>+'20 Year Trend'!A38</f>
        <v>38687</v>
      </c>
      <c r="T38" s="354">
        <f>+'20 Year Trend'!B38</f>
        <v>112129490</v>
      </c>
      <c r="U38" s="355">
        <f>+'20 Year Trend'!C38</f>
        <v>641.1</v>
      </c>
      <c r="V38" s="355">
        <f>+'20 Year Trend'!D38</f>
        <v>0</v>
      </c>
      <c r="W38" s="356">
        <f>+'20 Year Trend'!E38</f>
        <v>6.7000000000000004E-2</v>
      </c>
      <c r="X38" s="357">
        <f>+'20 Year Trend'!F38</f>
        <v>31</v>
      </c>
      <c r="Y38" s="357">
        <f>+'20 Year Trend'!G38</f>
        <v>0</v>
      </c>
      <c r="Z38" s="358">
        <f>+'20 Year Trend'!H38</f>
        <v>113731318.60922776</v>
      </c>
    </row>
    <row r="39" spans="1:26" x14ac:dyDescent="0.2">
      <c r="A39" s="353">
        <f>+'Purchased Power Model '!A39</f>
        <v>38718</v>
      </c>
      <c r="B39" s="359">
        <f>+'Purchased Power Model '!B39</f>
        <v>108586490</v>
      </c>
      <c r="C39" s="355">
        <f>+'Purchased Power Model '!C39</f>
        <v>558.20000000000005</v>
      </c>
      <c r="D39" s="355">
        <f>+'Purchased Power Model '!D39</f>
        <v>0</v>
      </c>
      <c r="E39" s="356">
        <f>+'Purchased Power Model '!E39</f>
        <v>6.6000000000000003E-2</v>
      </c>
      <c r="F39" s="357">
        <f>+'Purchased Power Model '!F39</f>
        <v>31</v>
      </c>
      <c r="G39" s="357">
        <f>+'Purchased Power Model '!G39</f>
        <v>0</v>
      </c>
      <c r="H39" s="358">
        <f>+'Purchased Power Model '!H39</f>
        <v>110516693.15747507</v>
      </c>
      <c r="J39" s="353">
        <f>+'10 Year Average'!A39</f>
        <v>38718</v>
      </c>
      <c r="K39" s="359">
        <f>+'10 Year Average'!B39</f>
        <v>108586490</v>
      </c>
      <c r="L39" s="355">
        <f>+'10 Year Average'!C39</f>
        <v>558.20000000000005</v>
      </c>
      <c r="M39" s="355">
        <f>+'10 Year Average'!D39</f>
        <v>0</v>
      </c>
      <c r="N39" s="356">
        <f>+'10 Year Average'!E39</f>
        <v>6.6000000000000003E-2</v>
      </c>
      <c r="O39" s="357">
        <f>+'10 Year Average'!F39</f>
        <v>31</v>
      </c>
      <c r="P39" s="357">
        <f>+'10 Year Average'!G39</f>
        <v>0</v>
      </c>
      <c r="Q39" s="358">
        <f>+'10 Year Average'!H39</f>
        <v>110516693.15747507</v>
      </c>
      <c r="S39" s="353">
        <f>+'20 Year Trend'!A39</f>
        <v>38718</v>
      </c>
      <c r="T39" s="359">
        <f>+'20 Year Trend'!B39</f>
        <v>108586490</v>
      </c>
      <c r="U39" s="355">
        <f>+'20 Year Trend'!C39</f>
        <v>558.20000000000005</v>
      </c>
      <c r="V39" s="355">
        <f>+'20 Year Trend'!D39</f>
        <v>0</v>
      </c>
      <c r="W39" s="356">
        <f>+'20 Year Trend'!E39</f>
        <v>6.6000000000000003E-2</v>
      </c>
      <c r="X39" s="357">
        <f>+'20 Year Trend'!F39</f>
        <v>31</v>
      </c>
      <c r="Y39" s="357">
        <f>+'20 Year Trend'!G39</f>
        <v>0</v>
      </c>
      <c r="Z39" s="358">
        <f>+'20 Year Trend'!H39</f>
        <v>110516693.15747507</v>
      </c>
    </row>
    <row r="40" spans="1:26" x14ac:dyDescent="0.2">
      <c r="A40" s="353">
        <f>+'Purchased Power Model '!A40</f>
        <v>38749</v>
      </c>
      <c r="B40" s="359">
        <f>+'Purchased Power Model '!B40</f>
        <v>101769990</v>
      </c>
      <c r="C40" s="355">
        <f>+'Purchased Power Model '!C40</f>
        <v>608.79999999999995</v>
      </c>
      <c r="D40" s="355">
        <f>+'Purchased Power Model '!D40</f>
        <v>0</v>
      </c>
      <c r="E40" s="356">
        <f>+'Purchased Power Model '!E40</f>
        <v>6.6000000000000003E-2</v>
      </c>
      <c r="F40" s="357">
        <f>+'Purchased Power Model '!F40</f>
        <v>28</v>
      </c>
      <c r="G40" s="357">
        <f>+'Purchased Power Model '!G40</f>
        <v>0</v>
      </c>
      <c r="H40" s="358">
        <f>+'Purchased Power Model '!H40</f>
        <v>104120550.85167682</v>
      </c>
      <c r="J40" s="353">
        <f>+'10 Year Average'!A40</f>
        <v>38749</v>
      </c>
      <c r="K40" s="359">
        <f>+'10 Year Average'!B40</f>
        <v>101769990</v>
      </c>
      <c r="L40" s="355">
        <f>+'10 Year Average'!C40</f>
        <v>608.79999999999995</v>
      </c>
      <c r="M40" s="355">
        <f>+'10 Year Average'!D40</f>
        <v>0</v>
      </c>
      <c r="N40" s="356">
        <f>+'10 Year Average'!E40</f>
        <v>6.6000000000000003E-2</v>
      </c>
      <c r="O40" s="357">
        <f>+'10 Year Average'!F40</f>
        <v>28</v>
      </c>
      <c r="P40" s="357">
        <f>+'10 Year Average'!G40</f>
        <v>0</v>
      </c>
      <c r="Q40" s="358">
        <f>+'10 Year Average'!H40</f>
        <v>104120550.85167682</v>
      </c>
      <c r="S40" s="353">
        <f>+'20 Year Trend'!A40</f>
        <v>38749</v>
      </c>
      <c r="T40" s="359">
        <f>+'20 Year Trend'!B40</f>
        <v>101769990</v>
      </c>
      <c r="U40" s="355">
        <f>+'20 Year Trend'!C40</f>
        <v>608.79999999999995</v>
      </c>
      <c r="V40" s="355">
        <f>+'20 Year Trend'!D40</f>
        <v>0</v>
      </c>
      <c r="W40" s="356">
        <f>+'20 Year Trend'!E40</f>
        <v>6.6000000000000003E-2</v>
      </c>
      <c r="X40" s="357">
        <f>+'20 Year Trend'!F40</f>
        <v>28</v>
      </c>
      <c r="Y40" s="357">
        <f>+'20 Year Trend'!G40</f>
        <v>0</v>
      </c>
      <c r="Z40" s="358">
        <f>+'20 Year Trend'!H40</f>
        <v>104120550.85167682</v>
      </c>
    </row>
    <row r="41" spans="1:26" x14ac:dyDescent="0.2">
      <c r="A41" s="353">
        <f>+'Purchased Power Model '!A41</f>
        <v>38777</v>
      </c>
      <c r="B41" s="359">
        <f>+'Purchased Power Model '!B41</f>
        <v>102729300</v>
      </c>
      <c r="C41" s="355">
        <f>+'Purchased Power Model '!C41</f>
        <v>534</v>
      </c>
      <c r="D41" s="355">
        <f>+'Purchased Power Model '!D41</f>
        <v>0</v>
      </c>
      <c r="E41" s="356">
        <f>+'Purchased Power Model '!E41</f>
        <v>6.6000000000000003E-2</v>
      </c>
      <c r="F41" s="357">
        <f>+'Purchased Power Model '!F41</f>
        <v>31</v>
      </c>
      <c r="G41" s="357">
        <f>+'Purchased Power Model '!G41</f>
        <v>1</v>
      </c>
      <c r="H41" s="358">
        <f>+'Purchased Power Model '!H41</f>
        <v>102520776.82129429</v>
      </c>
      <c r="J41" s="353">
        <f>+'10 Year Average'!A41</f>
        <v>38777</v>
      </c>
      <c r="K41" s="359">
        <f>+'10 Year Average'!B41</f>
        <v>102729300</v>
      </c>
      <c r="L41" s="355">
        <f>+'10 Year Average'!C41</f>
        <v>534</v>
      </c>
      <c r="M41" s="355">
        <f>+'10 Year Average'!D41</f>
        <v>0</v>
      </c>
      <c r="N41" s="356">
        <f>+'10 Year Average'!E41</f>
        <v>6.6000000000000003E-2</v>
      </c>
      <c r="O41" s="357">
        <f>+'10 Year Average'!F41</f>
        <v>31</v>
      </c>
      <c r="P41" s="357">
        <f>+'10 Year Average'!G41</f>
        <v>1</v>
      </c>
      <c r="Q41" s="358">
        <f>+'10 Year Average'!H41</f>
        <v>102520776.82129429</v>
      </c>
      <c r="S41" s="353">
        <f>+'20 Year Trend'!A41</f>
        <v>38777</v>
      </c>
      <c r="T41" s="359">
        <f>+'20 Year Trend'!B41</f>
        <v>102729300</v>
      </c>
      <c r="U41" s="355">
        <f>+'20 Year Trend'!C41</f>
        <v>534</v>
      </c>
      <c r="V41" s="355">
        <f>+'20 Year Trend'!D41</f>
        <v>0</v>
      </c>
      <c r="W41" s="356">
        <f>+'20 Year Trend'!E41</f>
        <v>6.6000000000000003E-2</v>
      </c>
      <c r="X41" s="357">
        <f>+'20 Year Trend'!F41</f>
        <v>31</v>
      </c>
      <c r="Y41" s="357">
        <f>+'20 Year Trend'!G41</f>
        <v>1</v>
      </c>
      <c r="Z41" s="358">
        <f>+'20 Year Trend'!H41</f>
        <v>102520776.82129429</v>
      </c>
    </row>
    <row r="42" spans="1:26" x14ac:dyDescent="0.2">
      <c r="A42" s="353">
        <f>+'Purchased Power Model '!A42</f>
        <v>38808</v>
      </c>
      <c r="B42" s="359">
        <f>+'Purchased Power Model '!B42</f>
        <v>85245280</v>
      </c>
      <c r="C42" s="355">
        <f>+'Purchased Power Model '!C42</f>
        <v>323.60000000000002</v>
      </c>
      <c r="D42" s="355">
        <f>+'Purchased Power Model '!D42</f>
        <v>0</v>
      </c>
      <c r="E42" s="356">
        <f>+'Purchased Power Model '!E42</f>
        <v>6.5000000000000002E-2</v>
      </c>
      <c r="F42" s="357">
        <f>+'Purchased Power Model '!F42</f>
        <v>30</v>
      </c>
      <c r="G42" s="357">
        <f>+'Purchased Power Model '!G42</f>
        <v>1</v>
      </c>
      <c r="H42" s="358">
        <f>+'Purchased Power Model '!H42</f>
        <v>91362455.213135198</v>
      </c>
      <c r="J42" s="353">
        <f>+'10 Year Average'!A42</f>
        <v>38808</v>
      </c>
      <c r="K42" s="359">
        <f>+'10 Year Average'!B42</f>
        <v>85245280</v>
      </c>
      <c r="L42" s="355">
        <f>+'10 Year Average'!C42</f>
        <v>323.60000000000002</v>
      </c>
      <c r="M42" s="355">
        <f>+'10 Year Average'!D42</f>
        <v>0</v>
      </c>
      <c r="N42" s="356">
        <f>+'10 Year Average'!E42</f>
        <v>6.5000000000000002E-2</v>
      </c>
      <c r="O42" s="357">
        <f>+'10 Year Average'!F42</f>
        <v>30</v>
      </c>
      <c r="P42" s="357">
        <f>+'10 Year Average'!G42</f>
        <v>1</v>
      </c>
      <c r="Q42" s="358">
        <f>+'10 Year Average'!H42</f>
        <v>91362455.213135198</v>
      </c>
      <c r="S42" s="353">
        <f>+'20 Year Trend'!A42</f>
        <v>38808</v>
      </c>
      <c r="T42" s="359">
        <f>+'20 Year Trend'!B42</f>
        <v>85245280</v>
      </c>
      <c r="U42" s="355">
        <f>+'20 Year Trend'!C42</f>
        <v>323.60000000000002</v>
      </c>
      <c r="V42" s="355">
        <f>+'20 Year Trend'!D42</f>
        <v>0</v>
      </c>
      <c r="W42" s="356">
        <f>+'20 Year Trend'!E42</f>
        <v>6.5000000000000002E-2</v>
      </c>
      <c r="X42" s="357">
        <f>+'20 Year Trend'!F42</f>
        <v>30</v>
      </c>
      <c r="Y42" s="357">
        <f>+'20 Year Trend'!G42</f>
        <v>1</v>
      </c>
      <c r="Z42" s="358">
        <f>+'20 Year Trend'!H42</f>
        <v>91362455.213135198</v>
      </c>
    </row>
    <row r="43" spans="1:26" x14ac:dyDescent="0.2">
      <c r="A43" s="353">
        <f>+'Purchased Power Model '!A43</f>
        <v>38838</v>
      </c>
      <c r="B43" s="359">
        <f>+'Purchased Power Model '!B43</f>
        <v>85191000</v>
      </c>
      <c r="C43" s="355">
        <f>+'Purchased Power Model '!C43</f>
        <v>172.6</v>
      </c>
      <c r="D43" s="355">
        <f>+'Purchased Power Model '!D43</f>
        <v>12.8</v>
      </c>
      <c r="E43" s="356">
        <f>+'Purchased Power Model '!E43</f>
        <v>6.5000000000000002E-2</v>
      </c>
      <c r="F43" s="357">
        <f>+'Purchased Power Model '!F43</f>
        <v>31</v>
      </c>
      <c r="G43" s="357">
        <f>+'Purchased Power Model '!G43</f>
        <v>1</v>
      </c>
      <c r="H43" s="358">
        <f>+'Purchased Power Model '!H43</f>
        <v>89947155.384506181</v>
      </c>
      <c r="J43" s="353">
        <f>+'10 Year Average'!A43</f>
        <v>38838</v>
      </c>
      <c r="K43" s="359">
        <f>+'10 Year Average'!B43</f>
        <v>85191000</v>
      </c>
      <c r="L43" s="355">
        <f>+'10 Year Average'!C43</f>
        <v>172.6</v>
      </c>
      <c r="M43" s="355">
        <f>+'10 Year Average'!D43</f>
        <v>12.8</v>
      </c>
      <c r="N43" s="356">
        <f>+'10 Year Average'!E43</f>
        <v>6.5000000000000002E-2</v>
      </c>
      <c r="O43" s="357">
        <f>+'10 Year Average'!F43</f>
        <v>31</v>
      </c>
      <c r="P43" s="357">
        <f>+'10 Year Average'!G43</f>
        <v>1</v>
      </c>
      <c r="Q43" s="358">
        <f>+'10 Year Average'!H43</f>
        <v>89947155.384506181</v>
      </c>
      <c r="S43" s="353">
        <f>+'20 Year Trend'!A43</f>
        <v>38838</v>
      </c>
      <c r="T43" s="359">
        <f>+'20 Year Trend'!B43</f>
        <v>85191000</v>
      </c>
      <c r="U43" s="355">
        <f>+'20 Year Trend'!C43</f>
        <v>172.6</v>
      </c>
      <c r="V43" s="355">
        <f>+'20 Year Trend'!D43</f>
        <v>12.8</v>
      </c>
      <c r="W43" s="356">
        <f>+'20 Year Trend'!E43</f>
        <v>6.5000000000000002E-2</v>
      </c>
      <c r="X43" s="357">
        <f>+'20 Year Trend'!F43</f>
        <v>31</v>
      </c>
      <c r="Y43" s="357">
        <f>+'20 Year Trend'!G43</f>
        <v>1</v>
      </c>
      <c r="Z43" s="358">
        <f>+'20 Year Trend'!H43</f>
        <v>89947155.384506181</v>
      </c>
    </row>
    <row r="44" spans="1:26" x14ac:dyDescent="0.2">
      <c r="A44" s="353">
        <f>+'Purchased Power Model '!A44</f>
        <v>38869</v>
      </c>
      <c r="B44" s="359">
        <f>+'Purchased Power Model '!B44</f>
        <v>91808310</v>
      </c>
      <c r="C44" s="355">
        <f>+'Purchased Power Model '!C44</f>
        <v>22.6</v>
      </c>
      <c r="D44" s="355">
        <f>+'Purchased Power Model '!D44</f>
        <v>36.200000000000003</v>
      </c>
      <c r="E44" s="356">
        <f>+'Purchased Power Model '!E44</f>
        <v>6.5000000000000002E-2</v>
      </c>
      <c r="F44" s="357">
        <f>+'Purchased Power Model '!F44</f>
        <v>30</v>
      </c>
      <c r="G44" s="357">
        <f>+'Purchased Power Model '!G44</f>
        <v>0</v>
      </c>
      <c r="H44" s="358">
        <f>+'Purchased Power Model '!H44</f>
        <v>91505733.807103127</v>
      </c>
      <c r="J44" s="353">
        <f>+'10 Year Average'!A44</f>
        <v>38869</v>
      </c>
      <c r="K44" s="359">
        <f>+'10 Year Average'!B44</f>
        <v>91808310</v>
      </c>
      <c r="L44" s="355">
        <f>+'10 Year Average'!C44</f>
        <v>22.6</v>
      </c>
      <c r="M44" s="355">
        <f>+'10 Year Average'!D44</f>
        <v>36.200000000000003</v>
      </c>
      <c r="N44" s="356">
        <f>+'10 Year Average'!E44</f>
        <v>6.5000000000000002E-2</v>
      </c>
      <c r="O44" s="357">
        <f>+'10 Year Average'!F44</f>
        <v>30</v>
      </c>
      <c r="P44" s="357">
        <f>+'10 Year Average'!G44</f>
        <v>0</v>
      </c>
      <c r="Q44" s="358">
        <f>+'10 Year Average'!H44</f>
        <v>91505733.807103127</v>
      </c>
      <c r="S44" s="353">
        <f>+'20 Year Trend'!A44</f>
        <v>38869</v>
      </c>
      <c r="T44" s="359">
        <f>+'20 Year Trend'!B44</f>
        <v>91808310</v>
      </c>
      <c r="U44" s="355">
        <f>+'20 Year Trend'!C44</f>
        <v>22.6</v>
      </c>
      <c r="V44" s="355">
        <f>+'20 Year Trend'!D44</f>
        <v>36.200000000000003</v>
      </c>
      <c r="W44" s="356">
        <f>+'20 Year Trend'!E44</f>
        <v>6.5000000000000002E-2</v>
      </c>
      <c r="X44" s="357">
        <f>+'20 Year Trend'!F44</f>
        <v>30</v>
      </c>
      <c r="Y44" s="357">
        <f>+'20 Year Trend'!G44</f>
        <v>0</v>
      </c>
      <c r="Z44" s="358">
        <f>+'20 Year Trend'!H44</f>
        <v>91505733.807103127</v>
      </c>
    </row>
    <row r="45" spans="1:26" x14ac:dyDescent="0.2">
      <c r="A45" s="353">
        <f>+'Purchased Power Model '!A45</f>
        <v>38899</v>
      </c>
      <c r="B45" s="359">
        <f>+'Purchased Power Model '!B45</f>
        <v>103610940</v>
      </c>
      <c r="C45" s="355">
        <f>+'Purchased Power Model '!C45</f>
        <v>1.7</v>
      </c>
      <c r="D45" s="355">
        <f>+'Purchased Power Model '!D45</f>
        <v>107.6</v>
      </c>
      <c r="E45" s="356">
        <f>+'Purchased Power Model '!E45</f>
        <v>6.7000000000000004E-2</v>
      </c>
      <c r="F45" s="357">
        <f>+'Purchased Power Model '!F45</f>
        <v>31</v>
      </c>
      <c r="G45" s="357">
        <f>+'Purchased Power Model '!G45</f>
        <v>0</v>
      </c>
      <c r="H45" s="358">
        <f>+'Purchased Power Model '!H45</f>
        <v>103562814.32690515</v>
      </c>
      <c r="J45" s="353">
        <f>+'10 Year Average'!A45</f>
        <v>38899</v>
      </c>
      <c r="K45" s="359">
        <f>+'10 Year Average'!B45</f>
        <v>103610940</v>
      </c>
      <c r="L45" s="355">
        <f>+'10 Year Average'!C45</f>
        <v>1.7</v>
      </c>
      <c r="M45" s="355">
        <f>+'10 Year Average'!D45</f>
        <v>107.6</v>
      </c>
      <c r="N45" s="356">
        <f>+'10 Year Average'!E45</f>
        <v>6.7000000000000004E-2</v>
      </c>
      <c r="O45" s="357">
        <f>+'10 Year Average'!F45</f>
        <v>31</v>
      </c>
      <c r="P45" s="357">
        <f>+'10 Year Average'!G45</f>
        <v>0</v>
      </c>
      <c r="Q45" s="358">
        <f>+'10 Year Average'!H45</f>
        <v>103562814.32690515</v>
      </c>
      <c r="S45" s="353">
        <f>+'20 Year Trend'!A45</f>
        <v>38899</v>
      </c>
      <c r="T45" s="359">
        <f>+'20 Year Trend'!B45</f>
        <v>103610940</v>
      </c>
      <c r="U45" s="355">
        <f>+'20 Year Trend'!C45</f>
        <v>1.7</v>
      </c>
      <c r="V45" s="355">
        <f>+'20 Year Trend'!D45</f>
        <v>107.6</v>
      </c>
      <c r="W45" s="356">
        <f>+'20 Year Trend'!E45</f>
        <v>6.7000000000000004E-2</v>
      </c>
      <c r="X45" s="357">
        <f>+'20 Year Trend'!F45</f>
        <v>31</v>
      </c>
      <c r="Y45" s="357">
        <f>+'20 Year Trend'!G45</f>
        <v>0</v>
      </c>
      <c r="Z45" s="358">
        <f>+'20 Year Trend'!H45</f>
        <v>103562814.32690515</v>
      </c>
    </row>
    <row r="46" spans="1:26" x14ac:dyDescent="0.2">
      <c r="A46" s="353">
        <f>+'Purchased Power Model '!A46</f>
        <v>38930</v>
      </c>
      <c r="B46" s="359">
        <f>+'Purchased Power Model '!B46</f>
        <v>98252830</v>
      </c>
      <c r="C46" s="355">
        <f>+'Purchased Power Model '!C46</f>
        <v>4.4000000000000004</v>
      </c>
      <c r="D46" s="355">
        <f>+'Purchased Power Model '!D46</f>
        <v>82.1</v>
      </c>
      <c r="E46" s="356">
        <f>+'Purchased Power Model '!E46</f>
        <v>6.7000000000000004E-2</v>
      </c>
      <c r="F46" s="357">
        <f>+'Purchased Power Model '!F46</f>
        <v>31</v>
      </c>
      <c r="G46" s="357">
        <f>+'Purchased Power Model '!G46</f>
        <v>0</v>
      </c>
      <c r="H46" s="358">
        <f>+'Purchased Power Model '!H46</f>
        <v>99981284.085596755</v>
      </c>
      <c r="J46" s="353">
        <f>+'10 Year Average'!A46</f>
        <v>38930</v>
      </c>
      <c r="K46" s="359">
        <f>+'10 Year Average'!B46</f>
        <v>98252830</v>
      </c>
      <c r="L46" s="355">
        <f>+'10 Year Average'!C46</f>
        <v>4.4000000000000004</v>
      </c>
      <c r="M46" s="355">
        <f>+'10 Year Average'!D46</f>
        <v>82.1</v>
      </c>
      <c r="N46" s="356">
        <f>+'10 Year Average'!E46</f>
        <v>6.7000000000000004E-2</v>
      </c>
      <c r="O46" s="357">
        <f>+'10 Year Average'!F46</f>
        <v>31</v>
      </c>
      <c r="P46" s="357">
        <f>+'10 Year Average'!G46</f>
        <v>0</v>
      </c>
      <c r="Q46" s="358">
        <f>+'10 Year Average'!H46</f>
        <v>99981284.085596755</v>
      </c>
      <c r="S46" s="353">
        <f>+'20 Year Trend'!A46</f>
        <v>38930</v>
      </c>
      <c r="T46" s="359">
        <f>+'20 Year Trend'!B46</f>
        <v>98252830</v>
      </c>
      <c r="U46" s="355">
        <f>+'20 Year Trend'!C46</f>
        <v>4.4000000000000004</v>
      </c>
      <c r="V46" s="355">
        <f>+'20 Year Trend'!D46</f>
        <v>82.1</v>
      </c>
      <c r="W46" s="356">
        <f>+'20 Year Trend'!E46</f>
        <v>6.7000000000000004E-2</v>
      </c>
      <c r="X46" s="357">
        <f>+'20 Year Trend'!F46</f>
        <v>31</v>
      </c>
      <c r="Y46" s="357">
        <f>+'20 Year Trend'!G46</f>
        <v>0</v>
      </c>
      <c r="Z46" s="358">
        <f>+'20 Year Trend'!H46</f>
        <v>99981284.085596755</v>
      </c>
    </row>
    <row r="47" spans="1:26" x14ac:dyDescent="0.2">
      <c r="A47" s="353">
        <f>+'Purchased Power Model '!A47</f>
        <v>38961</v>
      </c>
      <c r="B47" s="359">
        <f>+'Purchased Power Model '!B47</f>
        <v>83090470</v>
      </c>
      <c r="C47" s="355">
        <f>+'Purchased Power Model '!C47</f>
        <v>70.7</v>
      </c>
      <c r="D47" s="355">
        <f>+'Purchased Power Model '!D47</f>
        <v>5.0999999999999996</v>
      </c>
      <c r="E47" s="356">
        <f>+'Purchased Power Model '!E47</f>
        <v>6.7000000000000004E-2</v>
      </c>
      <c r="F47" s="357">
        <f>+'Purchased Power Model '!F47</f>
        <v>30</v>
      </c>
      <c r="G47" s="357">
        <f>+'Purchased Power Model '!G47</f>
        <v>1</v>
      </c>
      <c r="H47" s="358">
        <f>+'Purchased Power Model '!H47</f>
        <v>81674493.144592658</v>
      </c>
      <c r="J47" s="353">
        <f>+'10 Year Average'!A47</f>
        <v>38961</v>
      </c>
      <c r="K47" s="359">
        <f>+'10 Year Average'!B47</f>
        <v>83090470</v>
      </c>
      <c r="L47" s="355">
        <f>+'10 Year Average'!C47</f>
        <v>70.7</v>
      </c>
      <c r="M47" s="355">
        <f>+'10 Year Average'!D47</f>
        <v>5.0999999999999996</v>
      </c>
      <c r="N47" s="356">
        <f>+'10 Year Average'!E47</f>
        <v>6.7000000000000004E-2</v>
      </c>
      <c r="O47" s="357">
        <f>+'10 Year Average'!F47</f>
        <v>30</v>
      </c>
      <c r="P47" s="357">
        <f>+'10 Year Average'!G47</f>
        <v>1</v>
      </c>
      <c r="Q47" s="358">
        <f>+'10 Year Average'!H47</f>
        <v>81674493.144592658</v>
      </c>
      <c r="S47" s="353">
        <f>+'20 Year Trend'!A47</f>
        <v>38961</v>
      </c>
      <c r="T47" s="359">
        <f>+'20 Year Trend'!B47</f>
        <v>83090470</v>
      </c>
      <c r="U47" s="355">
        <f>+'20 Year Trend'!C47</f>
        <v>70.7</v>
      </c>
      <c r="V47" s="355">
        <f>+'20 Year Trend'!D47</f>
        <v>5.0999999999999996</v>
      </c>
      <c r="W47" s="356">
        <f>+'20 Year Trend'!E47</f>
        <v>6.7000000000000004E-2</v>
      </c>
      <c r="X47" s="357">
        <f>+'20 Year Trend'!F47</f>
        <v>30</v>
      </c>
      <c r="Y47" s="357">
        <f>+'20 Year Trend'!G47</f>
        <v>1</v>
      </c>
      <c r="Z47" s="358">
        <f>+'20 Year Trend'!H47</f>
        <v>81674493.144592658</v>
      </c>
    </row>
    <row r="48" spans="1:26" x14ac:dyDescent="0.2">
      <c r="A48" s="353">
        <f>+'Purchased Power Model '!A48</f>
        <v>38991</v>
      </c>
      <c r="B48" s="359">
        <f>+'Purchased Power Model '!B48</f>
        <v>90859410</v>
      </c>
      <c r="C48" s="355">
        <f>+'Purchased Power Model '!C48</f>
        <v>274.60000000000002</v>
      </c>
      <c r="D48" s="355">
        <f>+'Purchased Power Model '!D48</f>
        <v>0</v>
      </c>
      <c r="E48" s="356">
        <f>+'Purchased Power Model '!E48</f>
        <v>6.8000000000000005E-2</v>
      </c>
      <c r="F48" s="357">
        <f>+'Purchased Power Model '!F48</f>
        <v>31</v>
      </c>
      <c r="G48" s="357">
        <f>+'Purchased Power Model '!G48</f>
        <v>1</v>
      </c>
      <c r="H48" s="358">
        <f>+'Purchased Power Model '!H48</f>
        <v>91833105.284978449</v>
      </c>
      <c r="J48" s="353">
        <f>+'10 Year Average'!A48</f>
        <v>38991</v>
      </c>
      <c r="K48" s="359">
        <f>+'10 Year Average'!B48</f>
        <v>90859410</v>
      </c>
      <c r="L48" s="355">
        <f>+'10 Year Average'!C48</f>
        <v>274.60000000000002</v>
      </c>
      <c r="M48" s="355">
        <f>+'10 Year Average'!D48</f>
        <v>0</v>
      </c>
      <c r="N48" s="356">
        <f>+'10 Year Average'!E48</f>
        <v>6.8000000000000005E-2</v>
      </c>
      <c r="O48" s="357">
        <f>+'10 Year Average'!F48</f>
        <v>31</v>
      </c>
      <c r="P48" s="357">
        <f>+'10 Year Average'!G48</f>
        <v>1</v>
      </c>
      <c r="Q48" s="358">
        <f>+'10 Year Average'!H48</f>
        <v>91833105.284978449</v>
      </c>
      <c r="S48" s="353">
        <f>+'20 Year Trend'!A48</f>
        <v>38991</v>
      </c>
      <c r="T48" s="359">
        <f>+'20 Year Trend'!B48</f>
        <v>90859410</v>
      </c>
      <c r="U48" s="355">
        <f>+'20 Year Trend'!C48</f>
        <v>274.60000000000002</v>
      </c>
      <c r="V48" s="355">
        <f>+'20 Year Trend'!D48</f>
        <v>0</v>
      </c>
      <c r="W48" s="356">
        <f>+'20 Year Trend'!E48</f>
        <v>6.8000000000000005E-2</v>
      </c>
      <c r="X48" s="357">
        <f>+'20 Year Trend'!F48</f>
        <v>31</v>
      </c>
      <c r="Y48" s="357">
        <f>+'20 Year Trend'!G48</f>
        <v>1</v>
      </c>
      <c r="Z48" s="358">
        <f>+'20 Year Trend'!H48</f>
        <v>91833105.284978449</v>
      </c>
    </row>
    <row r="49" spans="1:26" x14ac:dyDescent="0.2">
      <c r="A49" s="353">
        <f>+'Purchased Power Model '!A49</f>
        <v>39022</v>
      </c>
      <c r="B49" s="359">
        <f>+'Purchased Power Model '!B49</f>
        <v>95117460</v>
      </c>
      <c r="C49" s="355">
        <f>+'Purchased Power Model '!C49</f>
        <v>367.5</v>
      </c>
      <c r="D49" s="355">
        <f>+'Purchased Power Model '!D49</f>
        <v>0</v>
      </c>
      <c r="E49" s="356">
        <f>+'Purchased Power Model '!E49</f>
        <v>6.8000000000000005E-2</v>
      </c>
      <c r="F49" s="357">
        <f>+'Purchased Power Model '!F49</f>
        <v>30</v>
      </c>
      <c r="G49" s="357">
        <f>+'Purchased Power Model '!G49</f>
        <v>1</v>
      </c>
      <c r="H49" s="358">
        <f>+'Purchased Power Model '!H49</f>
        <v>92761868.455327928</v>
      </c>
      <c r="J49" s="353">
        <f>+'10 Year Average'!A49</f>
        <v>39022</v>
      </c>
      <c r="K49" s="359">
        <f>+'10 Year Average'!B49</f>
        <v>95117460</v>
      </c>
      <c r="L49" s="355">
        <f>+'10 Year Average'!C49</f>
        <v>367.5</v>
      </c>
      <c r="M49" s="355">
        <f>+'10 Year Average'!D49</f>
        <v>0</v>
      </c>
      <c r="N49" s="356">
        <f>+'10 Year Average'!E49</f>
        <v>6.8000000000000005E-2</v>
      </c>
      <c r="O49" s="357">
        <f>+'10 Year Average'!F49</f>
        <v>30</v>
      </c>
      <c r="P49" s="357">
        <f>+'10 Year Average'!G49</f>
        <v>1</v>
      </c>
      <c r="Q49" s="358">
        <f>+'10 Year Average'!H49</f>
        <v>92761868.455327928</v>
      </c>
      <c r="S49" s="353">
        <f>+'20 Year Trend'!A49</f>
        <v>39022</v>
      </c>
      <c r="T49" s="359">
        <f>+'20 Year Trend'!B49</f>
        <v>95117460</v>
      </c>
      <c r="U49" s="355">
        <f>+'20 Year Trend'!C49</f>
        <v>367.5</v>
      </c>
      <c r="V49" s="355">
        <f>+'20 Year Trend'!D49</f>
        <v>0</v>
      </c>
      <c r="W49" s="356">
        <f>+'20 Year Trend'!E49</f>
        <v>6.8000000000000005E-2</v>
      </c>
      <c r="X49" s="357">
        <f>+'20 Year Trend'!F49</f>
        <v>30</v>
      </c>
      <c r="Y49" s="357">
        <f>+'20 Year Trend'!G49</f>
        <v>1</v>
      </c>
      <c r="Z49" s="358">
        <f>+'20 Year Trend'!H49</f>
        <v>92761868.455327928</v>
      </c>
    </row>
    <row r="50" spans="1:26" x14ac:dyDescent="0.2">
      <c r="A50" s="353">
        <f>+'Purchased Power Model '!A50</f>
        <v>39052</v>
      </c>
      <c r="B50" s="359">
        <f>+'Purchased Power Model '!B50</f>
        <v>105098960</v>
      </c>
      <c r="C50" s="355">
        <f>+'Purchased Power Model '!C50</f>
        <v>471.5</v>
      </c>
      <c r="D50" s="355">
        <f>+'Purchased Power Model '!D50</f>
        <v>0</v>
      </c>
      <c r="E50" s="356">
        <f>+'Purchased Power Model '!E50</f>
        <v>6.8000000000000005E-2</v>
      </c>
      <c r="F50" s="357">
        <f>+'Purchased Power Model '!F50</f>
        <v>31</v>
      </c>
      <c r="G50" s="357">
        <f>+'Purchased Power Model '!G50</f>
        <v>0</v>
      </c>
      <c r="H50" s="358">
        <f>+'Purchased Power Model '!H50</f>
        <v>106781261.75605369</v>
      </c>
      <c r="J50" s="353">
        <f>+'10 Year Average'!A50</f>
        <v>39052</v>
      </c>
      <c r="K50" s="359">
        <f>+'10 Year Average'!B50</f>
        <v>105098960</v>
      </c>
      <c r="L50" s="355">
        <f>+'10 Year Average'!C50</f>
        <v>471.5</v>
      </c>
      <c r="M50" s="355">
        <f>+'10 Year Average'!D50</f>
        <v>0</v>
      </c>
      <c r="N50" s="356">
        <f>+'10 Year Average'!E50</f>
        <v>6.8000000000000005E-2</v>
      </c>
      <c r="O50" s="357">
        <f>+'10 Year Average'!F50</f>
        <v>31</v>
      </c>
      <c r="P50" s="357">
        <f>+'10 Year Average'!G50</f>
        <v>0</v>
      </c>
      <c r="Q50" s="358">
        <f>+'10 Year Average'!H50</f>
        <v>106781261.75605369</v>
      </c>
      <c r="S50" s="353">
        <f>+'20 Year Trend'!A50</f>
        <v>39052</v>
      </c>
      <c r="T50" s="359">
        <f>+'20 Year Trend'!B50</f>
        <v>105098960</v>
      </c>
      <c r="U50" s="355">
        <f>+'20 Year Trend'!C50</f>
        <v>471.5</v>
      </c>
      <c r="V50" s="355">
        <f>+'20 Year Trend'!D50</f>
        <v>0</v>
      </c>
      <c r="W50" s="356">
        <f>+'20 Year Trend'!E50</f>
        <v>6.8000000000000005E-2</v>
      </c>
      <c r="X50" s="357">
        <f>+'20 Year Trend'!F50</f>
        <v>31</v>
      </c>
      <c r="Y50" s="357">
        <f>+'20 Year Trend'!G50</f>
        <v>0</v>
      </c>
      <c r="Z50" s="358">
        <f>+'20 Year Trend'!H50</f>
        <v>106781261.75605369</v>
      </c>
    </row>
    <row r="51" spans="1:26" x14ac:dyDescent="0.2">
      <c r="A51" s="353">
        <f>+'Purchased Power Model '!A51</f>
        <v>39083</v>
      </c>
      <c r="B51" s="359">
        <f>+'Purchased Power Model '!B51</f>
        <v>112093789.99999999</v>
      </c>
      <c r="C51" s="355">
        <f>+'Purchased Power Model '!C51</f>
        <v>573.1</v>
      </c>
      <c r="D51" s="355">
        <f>+'Purchased Power Model '!D51</f>
        <v>0</v>
      </c>
      <c r="E51" s="356">
        <f>+'Purchased Power Model '!E51</f>
        <v>6.0999999999999999E-2</v>
      </c>
      <c r="F51" s="357">
        <f>+'Purchased Power Model '!F51</f>
        <v>31</v>
      </c>
      <c r="G51" s="357">
        <f>+'Purchased Power Model '!G51</f>
        <v>0</v>
      </c>
      <c r="H51" s="358">
        <f>+'Purchased Power Model '!H51</f>
        <v>111729564.24221873</v>
      </c>
      <c r="J51" s="353">
        <f>+'10 Year Average'!A51</f>
        <v>39083</v>
      </c>
      <c r="K51" s="359">
        <f>+'10 Year Average'!B51</f>
        <v>112093789.99999999</v>
      </c>
      <c r="L51" s="355">
        <f>+'10 Year Average'!C51</f>
        <v>573.1</v>
      </c>
      <c r="M51" s="355">
        <f>+'10 Year Average'!D51</f>
        <v>0</v>
      </c>
      <c r="N51" s="356">
        <f>+'10 Year Average'!E51</f>
        <v>6.0999999999999999E-2</v>
      </c>
      <c r="O51" s="357">
        <f>+'10 Year Average'!F51</f>
        <v>31</v>
      </c>
      <c r="P51" s="357">
        <f>+'10 Year Average'!G51</f>
        <v>0</v>
      </c>
      <c r="Q51" s="358">
        <f>+'10 Year Average'!H51</f>
        <v>111729564.24221873</v>
      </c>
      <c r="S51" s="353">
        <f>+'20 Year Trend'!A51</f>
        <v>39083</v>
      </c>
      <c r="T51" s="359">
        <f>+'20 Year Trend'!B51</f>
        <v>112093789.99999999</v>
      </c>
      <c r="U51" s="355">
        <f>+'20 Year Trend'!C51</f>
        <v>573.1</v>
      </c>
      <c r="V51" s="355">
        <f>+'20 Year Trend'!D51</f>
        <v>0</v>
      </c>
      <c r="W51" s="356">
        <f>+'20 Year Trend'!E51</f>
        <v>6.0999999999999999E-2</v>
      </c>
      <c r="X51" s="357">
        <f>+'20 Year Trend'!F51</f>
        <v>31</v>
      </c>
      <c r="Y51" s="357">
        <f>+'20 Year Trend'!G51</f>
        <v>0</v>
      </c>
      <c r="Z51" s="358">
        <f>+'20 Year Trend'!H51</f>
        <v>111729564.24221873</v>
      </c>
    </row>
    <row r="52" spans="1:26" x14ac:dyDescent="0.2">
      <c r="A52" s="353">
        <f>+'Purchased Power Model '!A52</f>
        <v>39114</v>
      </c>
      <c r="B52" s="359">
        <f>+'Purchased Power Model '!B52</f>
        <v>109302770</v>
      </c>
      <c r="C52" s="355">
        <f>+'Purchased Power Model '!C52</f>
        <v>693.5</v>
      </c>
      <c r="D52" s="355">
        <f>+'Purchased Power Model '!D52</f>
        <v>0</v>
      </c>
      <c r="E52" s="356">
        <f>+'Purchased Power Model '!E52</f>
        <v>6.0999999999999999E-2</v>
      </c>
      <c r="F52" s="357">
        <f>+'Purchased Power Model '!F52</f>
        <v>28</v>
      </c>
      <c r="G52" s="357">
        <f>+'Purchased Power Model '!G52</f>
        <v>0</v>
      </c>
      <c r="H52" s="358">
        <f>+'Purchased Power Model '!H52</f>
        <v>108143302.43101014</v>
      </c>
      <c r="J52" s="353">
        <f>+'10 Year Average'!A52</f>
        <v>39114</v>
      </c>
      <c r="K52" s="359">
        <f>+'10 Year Average'!B52</f>
        <v>109302770</v>
      </c>
      <c r="L52" s="355">
        <f>+'10 Year Average'!C52</f>
        <v>693.5</v>
      </c>
      <c r="M52" s="355">
        <f>+'10 Year Average'!D52</f>
        <v>0</v>
      </c>
      <c r="N52" s="356">
        <f>+'10 Year Average'!E52</f>
        <v>6.0999999999999999E-2</v>
      </c>
      <c r="O52" s="357">
        <f>+'10 Year Average'!F52</f>
        <v>28</v>
      </c>
      <c r="P52" s="357">
        <f>+'10 Year Average'!G52</f>
        <v>0</v>
      </c>
      <c r="Q52" s="358">
        <f>+'10 Year Average'!H52</f>
        <v>108143302.43101014</v>
      </c>
      <c r="S52" s="353">
        <f>+'20 Year Trend'!A52</f>
        <v>39114</v>
      </c>
      <c r="T52" s="359">
        <f>+'20 Year Trend'!B52</f>
        <v>109302770</v>
      </c>
      <c r="U52" s="355">
        <f>+'20 Year Trend'!C52</f>
        <v>693.5</v>
      </c>
      <c r="V52" s="355">
        <f>+'20 Year Trend'!D52</f>
        <v>0</v>
      </c>
      <c r="W52" s="356">
        <f>+'20 Year Trend'!E52</f>
        <v>6.0999999999999999E-2</v>
      </c>
      <c r="X52" s="357">
        <f>+'20 Year Trend'!F52</f>
        <v>28</v>
      </c>
      <c r="Y52" s="357">
        <f>+'20 Year Trend'!G52</f>
        <v>0</v>
      </c>
      <c r="Z52" s="358">
        <f>+'20 Year Trend'!H52</f>
        <v>108143302.43101014</v>
      </c>
    </row>
    <row r="53" spans="1:26" x14ac:dyDescent="0.2">
      <c r="A53" s="353">
        <f>+'Purchased Power Model '!A53</f>
        <v>39142</v>
      </c>
      <c r="B53" s="359">
        <f>+'Purchased Power Model '!B53</f>
        <v>106781890</v>
      </c>
      <c r="C53" s="355">
        <f>+'Purchased Power Model '!C53</f>
        <v>477.9</v>
      </c>
      <c r="D53" s="355">
        <f>+'Purchased Power Model '!D53</f>
        <v>0</v>
      </c>
      <c r="E53" s="356">
        <f>+'Purchased Power Model '!E53</f>
        <v>6.0999999999999999E-2</v>
      </c>
      <c r="F53" s="357">
        <f>+'Purchased Power Model '!F53</f>
        <v>31</v>
      </c>
      <c r="G53" s="357">
        <f>+'Purchased Power Model '!G53</f>
        <v>1</v>
      </c>
      <c r="H53" s="358">
        <f>+'Purchased Power Model '!H53</f>
        <v>100875460.01039517</v>
      </c>
      <c r="J53" s="353">
        <f>+'10 Year Average'!A53</f>
        <v>39142</v>
      </c>
      <c r="K53" s="359">
        <f>+'10 Year Average'!B53</f>
        <v>106781890</v>
      </c>
      <c r="L53" s="355">
        <f>+'10 Year Average'!C53</f>
        <v>477.9</v>
      </c>
      <c r="M53" s="355">
        <f>+'10 Year Average'!D53</f>
        <v>0</v>
      </c>
      <c r="N53" s="356">
        <f>+'10 Year Average'!E53</f>
        <v>6.0999999999999999E-2</v>
      </c>
      <c r="O53" s="357">
        <f>+'10 Year Average'!F53</f>
        <v>31</v>
      </c>
      <c r="P53" s="357">
        <f>+'10 Year Average'!G53</f>
        <v>1</v>
      </c>
      <c r="Q53" s="358">
        <f>+'10 Year Average'!H53</f>
        <v>100875460.01039517</v>
      </c>
      <c r="S53" s="353">
        <f>+'20 Year Trend'!A53</f>
        <v>39142</v>
      </c>
      <c r="T53" s="359">
        <f>+'20 Year Trend'!B53</f>
        <v>106781890</v>
      </c>
      <c r="U53" s="355">
        <f>+'20 Year Trend'!C53</f>
        <v>477.9</v>
      </c>
      <c r="V53" s="355">
        <f>+'20 Year Trend'!D53</f>
        <v>0</v>
      </c>
      <c r="W53" s="356">
        <f>+'20 Year Trend'!E53</f>
        <v>6.0999999999999999E-2</v>
      </c>
      <c r="X53" s="357">
        <f>+'20 Year Trend'!F53</f>
        <v>31</v>
      </c>
      <c r="Y53" s="357">
        <f>+'20 Year Trend'!G53</f>
        <v>1</v>
      </c>
      <c r="Z53" s="358">
        <f>+'20 Year Trend'!H53</f>
        <v>100875460.01039517</v>
      </c>
    </row>
    <row r="54" spans="1:26" x14ac:dyDescent="0.2">
      <c r="A54" s="353">
        <f>+'Purchased Power Model '!A54</f>
        <v>39173</v>
      </c>
      <c r="B54" s="359">
        <f>+'Purchased Power Model '!B54</f>
        <v>92267850</v>
      </c>
      <c r="C54" s="355">
        <f>+'Purchased Power Model '!C54</f>
        <v>280.39999999999998</v>
      </c>
      <c r="D54" s="355">
        <f>+'Purchased Power Model '!D54</f>
        <v>0</v>
      </c>
      <c r="E54" s="356">
        <f>+'Purchased Power Model '!E54</f>
        <v>0.06</v>
      </c>
      <c r="F54" s="357">
        <f>+'Purchased Power Model '!F54</f>
        <v>30</v>
      </c>
      <c r="G54" s="357">
        <f>+'Purchased Power Model '!G54</f>
        <v>1</v>
      </c>
      <c r="H54" s="358">
        <f>+'Purchased Power Model '!H54</f>
        <v>90236442.963557094</v>
      </c>
      <c r="J54" s="353">
        <f>+'10 Year Average'!A54</f>
        <v>39173</v>
      </c>
      <c r="K54" s="359">
        <f>+'10 Year Average'!B54</f>
        <v>92267850</v>
      </c>
      <c r="L54" s="355">
        <f>+'10 Year Average'!C54</f>
        <v>280.39999999999998</v>
      </c>
      <c r="M54" s="355">
        <f>+'10 Year Average'!D54</f>
        <v>0</v>
      </c>
      <c r="N54" s="356">
        <f>+'10 Year Average'!E54</f>
        <v>0.06</v>
      </c>
      <c r="O54" s="357">
        <f>+'10 Year Average'!F54</f>
        <v>30</v>
      </c>
      <c r="P54" s="357">
        <f>+'10 Year Average'!G54</f>
        <v>1</v>
      </c>
      <c r="Q54" s="358">
        <f>+'10 Year Average'!H54</f>
        <v>90236442.963557094</v>
      </c>
      <c r="S54" s="353">
        <f>+'20 Year Trend'!A54</f>
        <v>39173</v>
      </c>
      <c r="T54" s="359">
        <f>+'20 Year Trend'!B54</f>
        <v>92267850</v>
      </c>
      <c r="U54" s="355">
        <f>+'20 Year Trend'!C54</f>
        <v>280.39999999999998</v>
      </c>
      <c r="V54" s="355">
        <f>+'20 Year Trend'!D54</f>
        <v>0</v>
      </c>
      <c r="W54" s="356">
        <f>+'20 Year Trend'!E54</f>
        <v>0.06</v>
      </c>
      <c r="X54" s="357">
        <f>+'20 Year Trend'!F54</f>
        <v>30</v>
      </c>
      <c r="Y54" s="357">
        <f>+'20 Year Trend'!G54</f>
        <v>1</v>
      </c>
      <c r="Z54" s="358">
        <f>+'20 Year Trend'!H54</f>
        <v>90236442.963557094</v>
      </c>
    </row>
    <row r="55" spans="1:26" x14ac:dyDescent="0.2">
      <c r="A55" s="353">
        <f>+'Purchased Power Model '!A55</f>
        <v>39203</v>
      </c>
      <c r="B55" s="359">
        <f>+'Purchased Power Model '!B55</f>
        <v>86029130</v>
      </c>
      <c r="C55" s="355">
        <f>+'Purchased Power Model '!C55</f>
        <v>72.8</v>
      </c>
      <c r="D55" s="355">
        <f>+'Purchased Power Model '!D55</f>
        <v>4.5</v>
      </c>
      <c r="E55" s="356">
        <f>+'Purchased Power Model '!E55</f>
        <v>0.06</v>
      </c>
      <c r="F55" s="357">
        <f>+'Purchased Power Model '!F55</f>
        <v>31</v>
      </c>
      <c r="G55" s="357">
        <f>+'Purchased Power Model '!G55</f>
        <v>1</v>
      </c>
      <c r="H55" s="358">
        <f>+'Purchased Power Model '!H55</f>
        <v>85341513.004176587</v>
      </c>
      <c r="J55" s="353">
        <f>+'10 Year Average'!A55</f>
        <v>39203</v>
      </c>
      <c r="K55" s="359">
        <f>+'10 Year Average'!B55</f>
        <v>86029130</v>
      </c>
      <c r="L55" s="355">
        <f>+'10 Year Average'!C55</f>
        <v>72.8</v>
      </c>
      <c r="M55" s="355">
        <f>+'10 Year Average'!D55</f>
        <v>4.5</v>
      </c>
      <c r="N55" s="356">
        <f>+'10 Year Average'!E55</f>
        <v>0.06</v>
      </c>
      <c r="O55" s="357">
        <f>+'10 Year Average'!F55</f>
        <v>31</v>
      </c>
      <c r="P55" s="357">
        <f>+'10 Year Average'!G55</f>
        <v>1</v>
      </c>
      <c r="Q55" s="358">
        <f>+'10 Year Average'!H55</f>
        <v>85341513.004176587</v>
      </c>
      <c r="S55" s="353">
        <f>+'20 Year Trend'!A55</f>
        <v>39203</v>
      </c>
      <c r="T55" s="359">
        <f>+'20 Year Trend'!B55</f>
        <v>86029130</v>
      </c>
      <c r="U55" s="355">
        <f>+'20 Year Trend'!C55</f>
        <v>72.8</v>
      </c>
      <c r="V55" s="355">
        <f>+'20 Year Trend'!D55</f>
        <v>4.5</v>
      </c>
      <c r="W55" s="356">
        <f>+'20 Year Trend'!E55</f>
        <v>0.06</v>
      </c>
      <c r="X55" s="357">
        <f>+'20 Year Trend'!F55</f>
        <v>31</v>
      </c>
      <c r="Y55" s="357">
        <f>+'20 Year Trend'!G55</f>
        <v>1</v>
      </c>
      <c r="Z55" s="358">
        <f>+'20 Year Trend'!H55</f>
        <v>85341513.004176587</v>
      </c>
    </row>
    <row r="56" spans="1:26" x14ac:dyDescent="0.2">
      <c r="A56" s="353">
        <f>+'Purchased Power Model '!A56</f>
        <v>39234</v>
      </c>
      <c r="B56" s="359">
        <f>+'Purchased Power Model '!B56</f>
        <v>96829929.999999985</v>
      </c>
      <c r="C56" s="355">
        <f>+'Purchased Power Model '!C56</f>
        <v>6.2</v>
      </c>
      <c r="D56" s="355">
        <f>+'Purchased Power Model '!D56</f>
        <v>32.799999999999997</v>
      </c>
      <c r="E56" s="356">
        <f>+'Purchased Power Model '!E56</f>
        <v>0.06</v>
      </c>
      <c r="F56" s="357">
        <f>+'Purchased Power Model '!F56</f>
        <v>30</v>
      </c>
      <c r="G56" s="357">
        <f>+'Purchased Power Model '!G56</f>
        <v>0</v>
      </c>
      <c r="H56" s="358">
        <f>+'Purchased Power Model '!H56</f>
        <v>90966557.26188761</v>
      </c>
      <c r="J56" s="353">
        <f>+'10 Year Average'!A56</f>
        <v>39234</v>
      </c>
      <c r="K56" s="359">
        <f>+'10 Year Average'!B56</f>
        <v>96829929.999999985</v>
      </c>
      <c r="L56" s="355">
        <f>+'10 Year Average'!C56</f>
        <v>6.2</v>
      </c>
      <c r="M56" s="355">
        <f>+'10 Year Average'!D56</f>
        <v>32.799999999999997</v>
      </c>
      <c r="N56" s="356">
        <f>+'10 Year Average'!E56</f>
        <v>0.06</v>
      </c>
      <c r="O56" s="357">
        <f>+'10 Year Average'!F56</f>
        <v>30</v>
      </c>
      <c r="P56" s="357">
        <f>+'10 Year Average'!G56</f>
        <v>0</v>
      </c>
      <c r="Q56" s="358">
        <f>+'10 Year Average'!H56</f>
        <v>90966557.26188761</v>
      </c>
      <c r="S56" s="353">
        <f>+'20 Year Trend'!A56</f>
        <v>39234</v>
      </c>
      <c r="T56" s="359">
        <f>+'20 Year Trend'!B56</f>
        <v>96829929.999999985</v>
      </c>
      <c r="U56" s="355">
        <f>+'20 Year Trend'!C56</f>
        <v>6.2</v>
      </c>
      <c r="V56" s="355">
        <f>+'20 Year Trend'!D56</f>
        <v>32.799999999999997</v>
      </c>
      <c r="W56" s="356">
        <f>+'20 Year Trend'!E56</f>
        <v>0.06</v>
      </c>
      <c r="X56" s="357">
        <f>+'20 Year Trend'!F56</f>
        <v>30</v>
      </c>
      <c r="Y56" s="357">
        <f>+'20 Year Trend'!G56</f>
        <v>0</v>
      </c>
      <c r="Z56" s="358">
        <f>+'20 Year Trend'!H56</f>
        <v>90966557.26188761</v>
      </c>
    </row>
    <row r="57" spans="1:26" x14ac:dyDescent="0.2">
      <c r="A57" s="353">
        <f>+'Purchased Power Model '!A57</f>
        <v>39264</v>
      </c>
      <c r="B57" s="359">
        <f>+'Purchased Power Model '!B57</f>
        <v>96919610</v>
      </c>
      <c r="C57" s="355">
        <f>+'Purchased Power Model '!C57</f>
        <v>8.6999999999999993</v>
      </c>
      <c r="D57" s="355">
        <f>+'Purchased Power Model '!D57</f>
        <v>41.6</v>
      </c>
      <c r="E57" s="356">
        <f>+'Purchased Power Model '!E57</f>
        <v>6.5000000000000002E-2</v>
      </c>
      <c r="F57" s="357">
        <f>+'Purchased Power Model '!F57</f>
        <v>31</v>
      </c>
      <c r="G57" s="357">
        <f>+'Purchased Power Model '!G57</f>
        <v>0</v>
      </c>
      <c r="H57" s="358">
        <f>+'Purchased Power Model '!H57</f>
        <v>94538666.626705855</v>
      </c>
      <c r="J57" s="353">
        <f>+'10 Year Average'!A57</f>
        <v>39264</v>
      </c>
      <c r="K57" s="359">
        <f>+'10 Year Average'!B57</f>
        <v>96919610</v>
      </c>
      <c r="L57" s="355">
        <f>+'10 Year Average'!C57</f>
        <v>8.6999999999999993</v>
      </c>
      <c r="M57" s="355">
        <f>+'10 Year Average'!D57</f>
        <v>41.6</v>
      </c>
      <c r="N57" s="356">
        <f>+'10 Year Average'!E57</f>
        <v>6.5000000000000002E-2</v>
      </c>
      <c r="O57" s="357">
        <f>+'10 Year Average'!F57</f>
        <v>31</v>
      </c>
      <c r="P57" s="357">
        <f>+'10 Year Average'!G57</f>
        <v>0</v>
      </c>
      <c r="Q57" s="358">
        <f>+'10 Year Average'!H57</f>
        <v>94538666.626705855</v>
      </c>
      <c r="S57" s="353">
        <f>+'20 Year Trend'!A57</f>
        <v>39264</v>
      </c>
      <c r="T57" s="359">
        <f>+'20 Year Trend'!B57</f>
        <v>96919610</v>
      </c>
      <c r="U57" s="355">
        <f>+'20 Year Trend'!C57</f>
        <v>8.6999999999999993</v>
      </c>
      <c r="V57" s="355">
        <f>+'20 Year Trend'!D57</f>
        <v>41.6</v>
      </c>
      <c r="W57" s="356">
        <f>+'20 Year Trend'!E57</f>
        <v>6.5000000000000002E-2</v>
      </c>
      <c r="X57" s="357">
        <f>+'20 Year Trend'!F57</f>
        <v>31</v>
      </c>
      <c r="Y57" s="357">
        <f>+'20 Year Trend'!G57</f>
        <v>0</v>
      </c>
      <c r="Z57" s="358">
        <f>+'20 Year Trend'!H57</f>
        <v>94538666.626705855</v>
      </c>
    </row>
    <row r="58" spans="1:26" x14ac:dyDescent="0.2">
      <c r="A58" s="353">
        <f>+'Purchased Power Model '!A58</f>
        <v>39295</v>
      </c>
      <c r="B58" s="359">
        <f>+'Purchased Power Model '!B58</f>
        <v>103644560</v>
      </c>
      <c r="C58" s="355">
        <f>+'Purchased Power Model '!C58</f>
        <v>4</v>
      </c>
      <c r="D58" s="355">
        <f>+'Purchased Power Model '!D58</f>
        <v>87.8</v>
      </c>
      <c r="E58" s="356">
        <f>+'Purchased Power Model '!E58</f>
        <v>6.5000000000000002E-2</v>
      </c>
      <c r="F58" s="357">
        <f>+'Purchased Power Model '!F58</f>
        <v>31</v>
      </c>
      <c r="G58" s="357">
        <f>+'Purchased Power Model '!G58</f>
        <v>0</v>
      </c>
      <c r="H58" s="358">
        <f>+'Purchased Power Model '!H58</f>
        <v>101035276.42308776</v>
      </c>
      <c r="J58" s="353">
        <f>+'10 Year Average'!A58</f>
        <v>39295</v>
      </c>
      <c r="K58" s="359">
        <f>+'10 Year Average'!B58</f>
        <v>103644560</v>
      </c>
      <c r="L58" s="355">
        <f>+'10 Year Average'!C58</f>
        <v>4</v>
      </c>
      <c r="M58" s="355">
        <f>+'10 Year Average'!D58</f>
        <v>87.8</v>
      </c>
      <c r="N58" s="356">
        <f>+'10 Year Average'!E58</f>
        <v>6.5000000000000002E-2</v>
      </c>
      <c r="O58" s="357">
        <f>+'10 Year Average'!F58</f>
        <v>31</v>
      </c>
      <c r="P58" s="357">
        <f>+'10 Year Average'!G58</f>
        <v>0</v>
      </c>
      <c r="Q58" s="358">
        <f>+'10 Year Average'!H58</f>
        <v>101035276.42308776</v>
      </c>
      <c r="S58" s="353">
        <f>+'20 Year Trend'!A58</f>
        <v>39295</v>
      </c>
      <c r="T58" s="359">
        <f>+'20 Year Trend'!B58</f>
        <v>103644560</v>
      </c>
      <c r="U58" s="355">
        <f>+'20 Year Trend'!C58</f>
        <v>4</v>
      </c>
      <c r="V58" s="355">
        <f>+'20 Year Trend'!D58</f>
        <v>87.8</v>
      </c>
      <c r="W58" s="356">
        <f>+'20 Year Trend'!E58</f>
        <v>6.5000000000000002E-2</v>
      </c>
      <c r="X58" s="357">
        <f>+'20 Year Trend'!F58</f>
        <v>31</v>
      </c>
      <c r="Y58" s="357">
        <f>+'20 Year Trend'!G58</f>
        <v>0</v>
      </c>
      <c r="Z58" s="358">
        <f>+'20 Year Trend'!H58</f>
        <v>101035276.42308776</v>
      </c>
    </row>
    <row r="59" spans="1:26" x14ac:dyDescent="0.2">
      <c r="A59" s="353">
        <f>+'Purchased Power Model '!A59</f>
        <v>39326</v>
      </c>
      <c r="B59" s="359">
        <f>+'Purchased Power Model '!B59</f>
        <v>87760000</v>
      </c>
      <c r="C59" s="355">
        <f>+'Purchased Power Model '!C59</f>
        <v>20.100000000000001</v>
      </c>
      <c r="D59" s="355">
        <f>+'Purchased Power Model '!D59</f>
        <v>12.3</v>
      </c>
      <c r="E59" s="356">
        <f>+'Purchased Power Model '!E59</f>
        <v>6.5000000000000002E-2</v>
      </c>
      <c r="F59" s="357">
        <f>+'Purchased Power Model '!F59</f>
        <v>30</v>
      </c>
      <c r="G59" s="357">
        <f>+'Purchased Power Model '!G59</f>
        <v>1</v>
      </c>
      <c r="H59" s="358">
        <f>+'Purchased Power Model '!H59</f>
        <v>80924697.747460276</v>
      </c>
      <c r="J59" s="353">
        <f>+'10 Year Average'!A59</f>
        <v>39326</v>
      </c>
      <c r="K59" s="359">
        <f>+'10 Year Average'!B59</f>
        <v>87760000</v>
      </c>
      <c r="L59" s="355">
        <f>+'10 Year Average'!C59</f>
        <v>20.100000000000001</v>
      </c>
      <c r="M59" s="355">
        <f>+'10 Year Average'!D59</f>
        <v>12.3</v>
      </c>
      <c r="N59" s="356">
        <f>+'10 Year Average'!E59</f>
        <v>6.5000000000000002E-2</v>
      </c>
      <c r="O59" s="357">
        <f>+'10 Year Average'!F59</f>
        <v>30</v>
      </c>
      <c r="P59" s="357">
        <f>+'10 Year Average'!G59</f>
        <v>1</v>
      </c>
      <c r="Q59" s="358">
        <f>+'10 Year Average'!H59</f>
        <v>80924697.747460276</v>
      </c>
      <c r="S59" s="353">
        <f>+'20 Year Trend'!A59</f>
        <v>39326</v>
      </c>
      <c r="T59" s="359">
        <f>+'20 Year Trend'!B59</f>
        <v>87760000</v>
      </c>
      <c r="U59" s="355">
        <f>+'20 Year Trend'!C59</f>
        <v>20.100000000000001</v>
      </c>
      <c r="V59" s="355">
        <f>+'20 Year Trend'!D59</f>
        <v>12.3</v>
      </c>
      <c r="W59" s="356">
        <f>+'20 Year Trend'!E59</f>
        <v>6.5000000000000002E-2</v>
      </c>
      <c r="X59" s="357">
        <f>+'20 Year Trend'!F59</f>
        <v>30</v>
      </c>
      <c r="Y59" s="357">
        <f>+'20 Year Trend'!G59</f>
        <v>1</v>
      </c>
      <c r="Z59" s="358">
        <f>+'20 Year Trend'!H59</f>
        <v>80924697.747460276</v>
      </c>
    </row>
    <row r="60" spans="1:26" x14ac:dyDescent="0.2">
      <c r="A60" s="353">
        <f>+'Purchased Power Model '!A60</f>
        <v>39356</v>
      </c>
      <c r="B60" s="359">
        <f>+'Purchased Power Model '!B60</f>
        <v>88883380</v>
      </c>
      <c r="C60" s="355">
        <f>+'Purchased Power Model '!C60</f>
        <v>101.5</v>
      </c>
      <c r="D60" s="355">
        <f>+'Purchased Power Model '!D60</f>
        <v>0</v>
      </c>
      <c r="E60" s="356">
        <f>+'Purchased Power Model '!E60</f>
        <v>6.3E-2</v>
      </c>
      <c r="F60" s="357">
        <f>+'Purchased Power Model '!F60</f>
        <v>31</v>
      </c>
      <c r="G60" s="357">
        <f>+'Purchased Power Model '!G60</f>
        <v>1</v>
      </c>
      <c r="H60" s="358">
        <f>+'Purchased Power Model '!H60</f>
        <v>85477816.871400386</v>
      </c>
      <c r="J60" s="353">
        <f>+'10 Year Average'!A60</f>
        <v>39356</v>
      </c>
      <c r="K60" s="359">
        <f>+'10 Year Average'!B60</f>
        <v>88883380</v>
      </c>
      <c r="L60" s="355">
        <f>+'10 Year Average'!C60</f>
        <v>101.5</v>
      </c>
      <c r="M60" s="355">
        <f>+'10 Year Average'!D60</f>
        <v>0</v>
      </c>
      <c r="N60" s="356">
        <f>+'10 Year Average'!E60</f>
        <v>6.3E-2</v>
      </c>
      <c r="O60" s="357">
        <f>+'10 Year Average'!F60</f>
        <v>31</v>
      </c>
      <c r="P60" s="357">
        <f>+'10 Year Average'!G60</f>
        <v>1</v>
      </c>
      <c r="Q60" s="358">
        <f>+'10 Year Average'!H60</f>
        <v>85477816.871400386</v>
      </c>
      <c r="S60" s="353">
        <f>+'20 Year Trend'!A60</f>
        <v>39356</v>
      </c>
      <c r="T60" s="359">
        <f>+'20 Year Trend'!B60</f>
        <v>88883380</v>
      </c>
      <c r="U60" s="355">
        <f>+'20 Year Trend'!C60</f>
        <v>101.5</v>
      </c>
      <c r="V60" s="355">
        <f>+'20 Year Trend'!D60</f>
        <v>0</v>
      </c>
      <c r="W60" s="356">
        <f>+'20 Year Trend'!E60</f>
        <v>6.3E-2</v>
      </c>
      <c r="X60" s="357">
        <f>+'20 Year Trend'!F60</f>
        <v>31</v>
      </c>
      <c r="Y60" s="357">
        <f>+'20 Year Trend'!G60</f>
        <v>1</v>
      </c>
      <c r="Z60" s="358">
        <f>+'20 Year Trend'!H60</f>
        <v>85477816.871400386</v>
      </c>
    </row>
    <row r="61" spans="1:26" x14ac:dyDescent="0.2">
      <c r="A61" s="353">
        <f>+'Purchased Power Model '!A61</f>
        <v>39387</v>
      </c>
      <c r="B61" s="359">
        <f>+'Purchased Power Model '!B61</f>
        <v>97788230</v>
      </c>
      <c r="C61" s="355">
        <f>+'Purchased Power Model '!C61</f>
        <v>314.10000000000002</v>
      </c>
      <c r="D61" s="355">
        <f>+'Purchased Power Model '!D61</f>
        <v>0</v>
      </c>
      <c r="E61" s="356">
        <f>+'Purchased Power Model '!E61</f>
        <v>6.3E-2</v>
      </c>
      <c r="F61" s="357">
        <f>+'Purchased Power Model '!F61</f>
        <v>30</v>
      </c>
      <c r="G61" s="357">
        <f>+'Purchased Power Model '!G61</f>
        <v>1</v>
      </c>
      <c r="H61" s="358">
        <f>+'Purchased Power Model '!H61</f>
        <v>91225243.296798334</v>
      </c>
      <c r="J61" s="353">
        <f>+'10 Year Average'!A61</f>
        <v>39387</v>
      </c>
      <c r="K61" s="359">
        <f>+'10 Year Average'!B61</f>
        <v>97788230</v>
      </c>
      <c r="L61" s="355">
        <f>+'10 Year Average'!C61</f>
        <v>314.10000000000002</v>
      </c>
      <c r="M61" s="355">
        <f>+'10 Year Average'!D61</f>
        <v>0</v>
      </c>
      <c r="N61" s="356">
        <f>+'10 Year Average'!E61</f>
        <v>6.3E-2</v>
      </c>
      <c r="O61" s="357">
        <f>+'10 Year Average'!F61</f>
        <v>30</v>
      </c>
      <c r="P61" s="357">
        <f>+'10 Year Average'!G61</f>
        <v>1</v>
      </c>
      <c r="Q61" s="358">
        <f>+'10 Year Average'!H61</f>
        <v>91225243.296798334</v>
      </c>
      <c r="S61" s="353">
        <f>+'20 Year Trend'!A61</f>
        <v>39387</v>
      </c>
      <c r="T61" s="359">
        <f>+'20 Year Trend'!B61</f>
        <v>97788230</v>
      </c>
      <c r="U61" s="355">
        <f>+'20 Year Trend'!C61</f>
        <v>314.10000000000002</v>
      </c>
      <c r="V61" s="355">
        <f>+'20 Year Trend'!D61</f>
        <v>0</v>
      </c>
      <c r="W61" s="356">
        <f>+'20 Year Trend'!E61</f>
        <v>6.3E-2</v>
      </c>
      <c r="X61" s="357">
        <f>+'20 Year Trend'!F61</f>
        <v>30</v>
      </c>
      <c r="Y61" s="357">
        <f>+'20 Year Trend'!G61</f>
        <v>1</v>
      </c>
      <c r="Z61" s="358">
        <f>+'20 Year Trend'!H61</f>
        <v>91225243.296798334</v>
      </c>
    </row>
    <row r="62" spans="1:26" ht="13.5" thickBot="1" x14ac:dyDescent="0.25">
      <c r="A62" s="361">
        <f>+'Purchased Power Model '!A62</f>
        <v>39417</v>
      </c>
      <c r="B62" s="462">
        <f>+'Purchased Power Model '!B62</f>
        <v>112852450</v>
      </c>
      <c r="C62" s="363">
        <f>+'Purchased Power Model '!C62</f>
        <v>337.8</v>
      </c>
      <c r="D62" s="363">
        <f>+'Purchased Power Model '!D62</f>
        <v>0</v>
      </c>
      <c r="E62" s="364">
        <f>+'Purchased Power Model '!E62</f>
        <v>6.3E-2</v>
      </c>
      <c r="F62" s="365">
        <f>+'Purchased Power Model '!F62</f>
        <v>31</v>
      </c>
      <c r="G62" s="365">
        <f>+'Purchased Power Model '!G62</f>
        <v>0</v>
      </c>
      <c r="H62" s="366">
        <f>+'Purchased Power Model '!H62</f>
        <v>102012066.34371966</v>
      </c>
      <c r="J62" s="361">
        <f>+'10 Year Average'!A62</f>
        <v>39417</v>
      </c>
      <c r="K62" s="462">
        <f>+'10 Year Average'!B62</f>
        <v>112852450</v>
      </c>
      <c r="L62" s="363">
        <f>+'10 Year Average'!C62</f>
        <v>337.8</v>
      </c>
      <c r="M62" s="363">
        <f>+'10 Year Average'!D62</f>
        <v>0</v>
      </c>
      <c r="N62" s="364">
        <f>+'10 Year Average'!E62</f>
        <v>6.3E-2</v>
      </c>
      <c r="O62" s="365">
        <f>+'10 Year Average'!F62</f>
        <v>31</v>
      </c>
      <c r="P62" s="365">
        <f>+'10 Year Average'!G62</f>
        <v>0</v>
      </c>
      <c r="Q62" s="366">
        <f>+'10 Year Average'!H62</f>
        <v>102012066.34371966</v>
      </c>
      <c r="S62" s="361">
        <f>+'20 Year Trend'!A62</f>
        <v>39417</v>
      </c>
      <c r="T62" s="462">
        <f>+'20 Year Trend'!B62</f>
        <v>112852450</v>
      </c>
      <c r="U62" s="363">
        <f>+'20 Year Trend'!C62</f>
        <v>337.8</v>
      </c>
      <c r="V62" s="363">
        <f>+'20 Year Trend'!D62</f>
        <v>0</v>
      </c>
      <c r="W62" s="364">
        <f>+'20 Year Trend'!E62</f>
        <v>6.3E-2</v>
      </c>
      <c r="X62" s="365">
        <f>+'20 Year Trend'!F62</f>
        <v>31</v>
      </c>
      <c r="Y62" s="365">
        <f>+'20 Year Trend'!G62</f>
        <v>0</v>
      </c>
      <c r="Z62" s="366">
        <f>+'20 Year Trend'!H62</f>
        <v>102012066.34371966</v>
      </c>
    </row>
    <row r="63" spans="1:26" x14ac:dyDescent="0.2">
      <c r="A63" s="353">
        <f>+'Purchased Power Model '!A63</f>
        <v>39448</v>
      </c>
      <c r="B63" s="357">
        <f>+'Purchased Power Model '!B63</f>
        <v>111423480</v>
      </c>
      <c r="C63" s="355">
        <f>+'Purchased Power Model '!C63</f>
        <v>432.8</v>
      </c>
      <c r="D63" s="355">
        <f>+'Purchased Power Model '!D63</f>
        <v>0</v>
      </c>
      <c r="E63" s="356">
        <f>+'Purchased Power Model '!E63</f>
        <v>6.4000000000000001E-2</v>
      </c>
      <c r="F63" s="357">
        <f>+'Purchased Power Model '!F63</f>
        <v>31</v>
      </c>
      <c r="G63" s="357">
        <f>+'Purchased Power Model '!G63</f>
        <v>0</v>
      </c>
      <c r="H63" s="358">
        <f>+'Purchased Power Model '!H63</f>
        <v>105713791.42275795</v>
      </c>
      <c r="J63" s="353">
        <f>+'10 Year Average'!A63</f>
        <v>39448</v>
      </c>
      <c r="K63" s="357">
        <f>+'10 Year Average'!B63</f>
        <v>111423480</v>
      </c>
      <c r="L63" s="355">
        <f>+'10 Year Average'!C63</f>
        <v>432.8</v>
      </c>
      <c r="M63" s="355">
        <f>+'10 Year Average'!D63</f>
        <v>0</v>
      </c>
      <c r="N63" s="356">
        <f>+'10 Year Average'!E63</f>
        <v>6.4000000000000001E-2</v>
      </c>
      <c r="O63" s="357">
        <f>+'10 Year Average'!F63</f>
        <v>31</v>
      </c>
      <c r="P63" s="357">
        <f>+'10 Year Average'!G63</f>
        <v>0</v>
      </c>
      <c r="Q63" s="358">
        <f>+'10 Year Average'!H63</f>
        <v>105713791.42275795</v>
      </c>
      <c r="S63" s="353">
        <f>+'20 Year Trend'!A63</f>
        <v>39448</v>
      </c>
      <c r="T63" s="357">
        <f>+'20 Year Trend'!B63</f>
        <v>111423480</v>
      </c>
      <c r="U63" s="355">
        <f>+'20 Year Trend'!C63</f>
        <v>432.8</v>
      </c>
      <c r="V63" s="355">
        <f>+'20 Year Trend'!D63</f>
        <v>0</v>
      </c>
      <c r="W63" s="356">
        <f>+'20 Year Trend'!E63</f>
        <v>6.4000000000000001E-2</v>
      </c>
      <c r="X63" s="357">
        <f>+'20 Year Trend'!F63</f>
        <v>31</v>
      </c>
      <c r="Y63" s="357">
        <f>+'20 Year Trend'!G63</f>
        <v>0</v>
      </c>
      <c r="Z63" s="358">
        <f>+'20 Year Trend'!H63</f>
        <v>105713791.42275795</v>
      </c>
    </row>
    <row r="64" spans="1:26" x14ac:dyDescent="0.2">
      <c r="A64" s="353">
        <f>+'Purchased Power Model '!A64</f>
        <v>39479</v>
      </c>
      <c r="B64" s="357">
        <f>+'Purchased Power Model '!B64</f>
        <v>106527560</v>
      </c>
      <c r="C64" s="355">
        <f>+'Purchased Power Model '!C64</f>
        <v>317.60000000000002</v>
      </c>
      <c r="D64" s="355">
        <f>+'Purchased Power Model '!D64</f>
        <v>0</v>
      </c>
      <c r="E64" s="356">
        <f>+'Purchased Power Model '!E64</f>
        <v>6.4000000000000001E-2</v>
      </c>
      <c r="F64" s="357">
        <f>+'Purchased Power Model '!F64</f>
        <v>29</v>
      </c>
      <c r="G64" s="357">
        <f>+'Purchased Power Model '!G64</f>
        <v>0</v>
      </c>
      <c r="H64" s="358">
        <f>+'Purchased Power Model '!H64</f>
        <v>95454211.332633346</v>
      </c>
      <c r="J64" s="353">
        <f>+'10 Year Average'!A64</f>
        <v>39479</v>
      </c>
      <c r="K64" s="357">
        <f>+'10 Year Average'!B64</f>
        <v>106527560</v>
      </c>
      <c r="L64" s="355">
        <f>+'10 Year Average'!C64</f>
        <v>317.60000000000002</v>
      </c>
      <c r="M64" s="355">
        <f>+'10 Year Average'!D64</f>
        <v>0</v>
      </c>
      <c r="N64" s="356">
        <f>+'10 Year Average'!E64</f>
        <v>6.4000000000000001E-2</v>
      </c>
      <c r="O64" s="357">
        <f>+'10 Year Average'!F64</f>
        <v>29</v>
      </c>
      <c r="P64" s="357">
        <f>+'10 Year Average'!G64</f>
        <v>0</v>
      </c>
      <c r="Q64" s="358">
        <f>+'10 Year Average'!H64</f>
        <v>95454211.332633346</v>
      </c>
      <c r="S64" s="353">
        <f>+'20 Year Trend'!A64</f>
        <v>39479</v>
      </c>
      <c r="T64" s="357">
        <f>+'20 Year Trend'!B64</f>
        <v>106527560</v>
      </c>
      <c r="U64" s="355">
        <f>+'20 Year Trend'!C64</f>
        <v>317.60000000000002</v>
      </c>
      <c r="V64" s="355">
        <f>+'20 Year Trend'!D64</f>
        <v>0</v>
      </c>
      <c r="W64" s="356">
        <f>+'20 Year Trend'!E64</f>
        <v>6.4000000000000001E-2</v>
      </c>
      <c r="X64" s="357">
        <f>+'20 Year Trend'!F64</f>
        <v>29</v>
      </c>
      <c r="Y64" s="357">
        <f>+'20 Year Trend'!G64</f>
        <v>0</v>
      </c>
      <c r="Z64" s="358">
        <f>+'20 Year Trend'!H64</f>
        <v>95454211.332633346</v>
      </c>
    </row>
    <row r="65" spans="1:26" x14ac:dyDescent="0.2">
      <c r="A65" s="353">
        <f>+'Purchased Power Model '!A65</f>
        <v>39508</v>
      </c>
      <c r="B65" s="357">
        <f>+'Purchased Power Model '!B65</f>
        <v>105633899.99999999</v>
      </c>
      <c r="C65" s="355">
        <f>+'Purchased Power Model '!C65</f>
        <v>430</v>
      </c>
      <c r="D65" s="355">
        <f>+'Purchased Power Model '!D65</f>
        <v>0</v>
      </c>
      <c r="E65" s="356">
        <f>+'Purchased Power Model '!E65</f>
        <v>6.4000000000000001E-2</v>
      </c>
      <c r="F65" s="357">
        <f>+'Purchased Power Model '!F65</f>
        <v>31</v>
      </c>
      <c r="G65" s="357">
        <f>+'Purchased Power Model '!G65</f>
        <v>1</v>
      </c>
      <c r="H65" s="358">
        <f>+'Purchased Power Model '!H65</f>
        <v>98579357.072024435</v>
      </c>
      <c r="J65" s="353">
        <f>+'10 Year Average'!A65</f>
        <v>39508</v>
      </c>
      <c r="K65" s="357">
        <f>+'10 Year Average'!B65</f>
        <v>105633899.99999999</v>
      </c>
      <c r="L65" s="355">
        <f>+'10 Year Average'!C65</f>
        <v>430</v>
      </c>
      <c r="M65" s="355">
        <f>+'10 Year Average'!D65</f>
        <v>0</v>
      </c>
      <c r="N65" s="356">
        <f>+'10 Year Average'!E65</f>
        <v>6.4000000000000001E-2</v>
      </c>
      <c r="O65" s="357">
        <f>+'10 Year Average'!F65</f>
        <v>31</v>
      </c>
      <c r="P65" s="357">
        <f>+'10 Year Average'!G65</f>
        <v>1</v>
      </c>
      <c r="Q65" s="358">
        <f>+'10 Year Average'!H65</f>
        <v>98579357.072024435</v>
      </c>
      <c r="S65" s="353">
        <f>+'20 Year Trend'!A65</f>
        <v>39508</v>
      </c>
      <c r="T65" s="357">
        <f>+'20 Year Trend'!B65</f>
        <v>105633899.99999999</v>
      </c>
      <c r="U65" s="355">
        <f>+'20 Year Trend'!C65</f>
        <v>430</v>
      </c>
      <c r="V65" s="355">
        <f>+'20 Year Trend'!D65</f>
        <v>0</v>
      </c>
      <c r="W65" s="356">
        <f>+'20 Year Trend'!E65</f>
        <v>6.4000000000000001E-2</v>
      </c>
      <c r="X65" s="357">
        <f>+'20 Year Trend'!F65</f>
        <v>31</v>
      </c>
      <c r="Y65" s="357">
        <f>+'20 Year Trend'!G65</f>
        <v>1</v>
      </c>
      <c r="Z65" s="358">
        <f>+'20 Year Trend'!H65</f>
        <v>98579357.072024435</v>
      </c>
    </row>
    <row r="66" spans="1:26" x14ac:dyDescent="0.2">
      <c r="A66" s="353">
        <f>+'Purchased Power Model '!A66</f>
        <v>39539</v>
      </c>
      <c r="B66" s="357">
        <f>+'Purchased Power Model '!B66</f>
        <v>86147429.999999985</v>
      </c>
      <c r="C66" s="355">
        <f>+'Purchased Power Model '!C66</f>
        <v>144.6</v>
      </c>
      <c r="D66" s="355">
        <f>+'Purchased Power Model '!D66</f>
        <v>0</v>
      </c>
      <c r="E66" s="356">
        <f>+'Purchased Power Model '!E66</f>
        <v>7.400000000000001E-2</v>
      </c>
      <c r="F66" s="357">
        <f>+'Purchased Power Model '!F66</f>
        <v>30</v>
      </c>
      <c r="G66" s="357">
        <f>+'Purchased Power Model '!G66</f>
        <v>1</v>
      </c>
      <c r="H66" s="358">
        <f>+'Purchased Power Model '!H66</f>
        <v>83053103.683710441</v>
      </c>
      <c r="J66" s="353">
        <f>+'10 Year Average'!A66</f>
        <v>39539</v>
      </c>
      <c r="K66" s="357">
        <f>+'10 Year Average'!B66</f>
        <v>86147429.999999985</v>
      </c>
      <c r="L66" s="355">
        <f>+'10 Year Average'!C66</f>
        <v>144.6</v>
      </c>
      <c r="M66" s="355">
        <f>+'10 Year Average'!D66</f>
        <v>0</v>
      </c>
      <c r="N66" s="356">
        <f>+'10 Year Average'!E66</f>
        <v>7.400000000000001E-2</v>
      </c>
      <c r="O66" s="357">
        <f>+'10 Year Average'!F66</f>
        <v>30</v>
      </c>
      <c r="P66" s="357">
        <f>+'10 Year Average'!G66</f>
        <v>1</v>
      </c>
      <c r="Q66" s="358">
        <f>+'10 Year Average'!H66</f>
        <v>83053103.683710441</v>
      </c>
      <c r="S66" s="353">
        <f>+'20 Year Trend'!A66</f>
        <v>39539</v>
      </c>
      <c r="T66" s="357">
        <f>+'20 Year Trend'!B66</f>
        <v>86147429.999999985</v>
      </c>
      <c r="U66" s="355">
        <f>+'20 Year Trend'!C66</f>
        <v>144.6</v>
      </c>
      <c r="V66" s="355">
        <f>+'20 Year Trend'!D66</f>
        <v>0</v>
      </c>
      <c r="W66" s="356">
        <f>+'20 Year Trend'!E66</f>
        <v>7.400000000000001E-2</v>
      </c>
      <c r="X66" s="357">
        <f>+'20 Year Trend'!F66</f>
        <v>30</v>
      </c>
      <c r="Y66" s="357">
        <f>+'20 Year Trend'!G66</f>
        <v>1</v>
      </c>
      <c r="Z66" s="358">
        <f>+'20 Year Trend'!H66</f>
        <v>83053103.683710441</v>
      </c>
    </row>
    <row r="67" spans="1:26" x14ac:dyDescent="0.2">
      <c r="A67" s="353">
        <f>+'Purchased Power Model '!A67</f>
        <v>39569</v>
      </c>
      <c r="B67" s="357">
        <f>+'Purchased Power Model '!B67</f>
        <v>82776310</v>
      </c>
      <c r="C67" s="355">
        <f>+'Purchased Power Model '!C67</f>
        <v>151</v>
      </c>
      <c r="D67" s="355">
        <f>+'Purchased Power Model '!D67</f>
        <v>0</v>
      </c>
      <c r="E67" s="356">
        <f>+'Purchased Power Model '!E67</f>
        <v>7.400000000000001E-2</v>
      </c>
      <c r="F67" s="357">
        <f>+'Purchased Power Model '!F67</f>
        <v>31</v>
      </c>
      <c r="G67" s="357">
        <f>+'Purchased Power Model '!G67</f>
        <v>1</v>
      </c>
      <c r="H67" s="358">
        <f>+'Purchased Power Model '!H67</f>
        <v>86121777.950506404</v>
      </c>
      <c r="J67" s="353">
        <f>+'10 Year Average'!A67</f>
        <v>39569</v>
      </c>
      <c r="K67" s="357">
        <f>+'10 Year Average'!B67</f>
        <v>82776310</v>
      </c>
      <c r="L67" s="355">
        <f>+'10 Year Average'!C67</f>
        <v>151</v>
      </c>
      <c r="M67" s="355">
        <f>+'10 Year Average'!D67</f>
        <v>0</v>
      </c>
      <c r="N67" s="356">
        <f>+'10 Year Average'!E67</f>
        <v>7.400000000000001E-2</v>
      </c>
      <c r="O67" s="357">
        <f>+'10 Year Average'!F67</f>
        <v>31</v>
      </c>
      <c r="P67" s="357">
        <f>+'10 Year Average'!G67</f>
        <v>1</v>
      </c>
      <c r="Q67" s="358">
        <f>+'10 Year Average'!H67</f>
        <v>86121777.950506404</v>
      </c>
      <c r="S67" s="353">
        <f>+'20 Year Trend'!A67</f>
        <v>39569</v>
      </c>
      <c r="T67" s="357">
        <f>+'20 Year Trend'!B67</f>
        <v>82776310</v>
      </c>
      <c r="U67" s="355">
        <f>+'20 Year Trend'!C67</f>
        <v>151</v>
      </c>
      <c r="V67" s="355">
        <f>+'20 Year Trend'!D67</f>
        <v>0</v>
      </c>
      <c r="W67" s="356">
        <f>+'20 Year Trend'!E67</f>
        <v>7.400000000000001E-2</v>
      </c>
      <c r="X67" s="357">
        <f>+'20 Year Trend'!F67</f>
        <v>31</v>
      </c>
      <c r="Y67" s="357">
        <f>+'20 Year Trend'!G67</f>
        <v>1</v>
      </c>
      <c r="Z67" s="358">
        <f>+'20 Year Trend'!H67</f>
        <v>86121777.950506404</v>
      </c>
    </row>
    <row r="68" spans="1:26" x14ac:dyDescent="0.2">
      <c r="A68" s="353">
        <f>+'Purchased Power Model '!A68</f>
        <v>39600</v>
      </c>
      <c r="B68" s="357">
        <f>+'Purchased Power Model '!B68</f>
        <v>90692793</v>
      </c>
      <c r="C68" s="355">
        <f>+'Purchased Power Model '!C68</f>
        <v>15.5</v>
      </c>
      <c r="D68" s="355">
        <f>+'Purchased Power Model '!D68</f>
        <v>23.6</v>
      </c>
      <c r="E68" s="356">
        <f>+'Purchased Power Model '!E68</f>
        <v>7.400000000000001E-2</v>
      </c>
      <c r="F68" s="357">
        <f>+'Purchased Power Model '!F68</f>
        <v>30</v>
      </c>
      <c r="G68" s="357">
        <f>+'Purchased Power Model '!G68</f>
        <v>0</v>
      </c>
      <c r="H68" s="358">
        <f>+'Purchased Power Model '!H68</f>
        <v>88293013.719308361</v>
      </c>
      <c r="J68" s="353">
        <f>+'10 Year Average'!A68</f>
        <v>39600</v>
      </c>
      <c r="K68" s="357">
        <f>+'10 Year Average'!B68</f>
        <v>90692793</v>
      </c>
      <c r="L68" s="355">
        <f>+'10 Year Average'!C68</f>
        <v>15.5</v>
      </c>
      <c r="M68" s="355">
        <f>+'10 Year Average'!D68</f>
        <v>23.6</v>
      </c>
      <c r="N68" s="356">
        <f>+'10 Year Average'!E68</f>
        <v>7.400000000000001E-2</v>
      </c>
      <c r="O68" s="357">
        <f>+'10 Year Average'!F68</f>
        <v>30</v>
      </c>
      <c r="P68" s="357">
        <f>+'10 Year Average'!G68</f>
        <v>0</v>
      </c>
      <c r="Q68" s="358">
        <f>+'10 Year Average'!H68</f>
        <v>88293013.719308361</v>
      </c>
      <c r="S68" s="353">
        <f>+'20 Year Trend'!A68</f>
        <v>39600</v>
      </c>
      <c r="T68" s="357">
        <f>+'20 Year Trend'!B68</f>
        <v>90692793</v>
      </c>
      <c r="U68" s="355">
        <f>+'20 Year Trend'!C68</f>
        <v>15.5</v>
      </c>
      <c r="V68" s="355">
        <f>+'20 Year Trend'!D68</f>
        <v>23.6</v>
      </c>
      <c r="W68" s="356">
        <f>+'20 Year Trend'!E68</f>
        <v>7.400000000000001E-2</v>
      </c>
      <c r="X68" s="357">
        <f>+'20 Year Trend'!F68</f>
        <v>30</v>
      </c>
      <c r="Y68" s="357">
        <f>+'20 Year Trend'!G68</f>
        <v>0</v>
      </c>
      <c r="Z68" s="358">
        <f>+'20 Year Trend'!H68</f>
        <v>88293013.719308361</v>
      </c>
    </row>
    <row r="69" spans="1:26" x14ac:dyDescent="0.2">
      <c r="A69" s="353">
        <f>+'Purchased Power Model '!A69</f>
        <v>39630</v>
      </c>
      <c r="B69" s="357">
        <f>+'Purchased Power Model '!B69</f>
        <v>98868440</v>
      </c>
      <c r="C69" s="355">
        <f>+'Purchased Power Model '!C69</f>
        <v>1</v>
      </c>
      <c r="D69" s="355">
        <f>+'Purchased Power Model '!D69</f>
        <v>61.4</v>
      </c>
      <c r="E69" s="356">
        <f>+'Purchased Power Model '!E69</f>
        <v>6.8000000000000005E-2</v>
      </c>
      <c r="F69" s="357">
        <f>+'Purchased Power Model '!F69</f>
        <v>31</v>
      </c>
      <c r="G69" s="357">
        <f>+'Purchased Power Model '!G69</f>
        <v>0</v>
      </c>
      <c r="H69" s="358">
        <f>+'Purchased Power Model '!H69</f>
        <v>96726210.388117373</v>
      </c>
      <c r="J69" s="353">
        <f>+'10 Year Average'!A69</f>
        <v>39630</v>
      </c>
      <c r="K69" s="357">
        <f>+'10 Year Average'!B69</f>
        <v>98868440</v>
      </c>
      <c r="L69" s="355">
        <f>+'10 Year Average'!C69</f>
        <v>1</v>
      </c>
      <c r="M69" s="355">
        <f>+'10 Year Average'!D69</f>
        <v>61.4</v>
      </c>
      <c r="N69" s="356">
        <f>+'10 Year Average'!E69</f>
        <v>6.8000000000000005E-2</v>
      </c>
      <c r="O69" s="357">
        <f>+'10 Year Average'!F69</f>
        <v>31</v>
      </c>
      <c r="P69" s="357">
        <f>+'10 Year Average'!G69</f>
        <v>0</v>
      </c>
      <c r="Q69" s="358">
        <f>+'10 Year Average'!H69</f>
        <v>96726210.388117373</v>
      </c>
      <c r="S69" s="353">
        <f>+'20 Year Trend'!A69</f>
        <v>39630</v>
      </c>
      <c r="T69" s="357">
        <f>+'20 Year Trend'!B69</f>
        <v>98868440</v>
      </c>
      <c r="U69" s="355">
        <f>+'20 Year Trend'!C69</f>
        <v>1</v>
      </c>
      <c r="V69" s="355">
        <f>+'20 Year Trend'!D69</f>
        <v>61.4</v>
      </c>
      <c r="W69" s="356">
        <f>+'20 Year Trend'!E69</f>
        <v>6.8000000000000005E-2</v>
      </c>
      <c r="X69" s="357">
        <f>+'20 Year Trend'!F69</f>
        <v>31</v>
      </c>
      <c r="Y69" s="357">
        <f>+'20 Year Trend'!G69</f>
        <v>0</v>
      </c>
      <c r="Z69" s="358">
        <f>+'20 Year Trend'!H69</f>
        <v>96726210.388117373</v>
      </c>
    </row>
    <row r="70" spans="1:26" x14ac:dyDescent="0.2">
      <c r="A70" s="353">
        <f>+'Purchased Power Model '!A70</f>
        <v>39661</v>
      </c>
      <c r="B70" s="357">
        <f>+'Purchased Power Model '!B70</f>
        <v>93432320</v>
      </c>
      <c r="C70" s="355">
        <f>+'Purchased Power Model '!C70</f>
        <v>13.8</v>
      </c>
      <c r="D70" s="355">
        <f>+'Purchased Power Model '!D70</f>
        <v>29.9</v>
      </c>
      <c r="E70" s="356">
        <f>+'Purchased Power Model '!E70</f>
        <v>6.8000000000000005E-2</v>
      </c>
      <c r="F70" s="357">
        <f>+'Purchased Power Model '!F70</f>
        <v>31</v>
      </c>
      <c r="G70" s="357">
        <f>+'Purchased Power Model '!G70</f>
        <v>0</v>
      </c>
      <c r="H70" s="358">
        <f>+'Purchased Power Model '!H70</f>
        <v>92682979.934611261</v>
      </c>
      <c r="J70" s="353">
        <f>+'10 Year Average'!A70</f>
        <v>39661</v>
      </c>
      <c r="K70" s="357">
        <f>+'10 Year Average'!B70</f>
        <v>93432320</v>
      </c>
      <c r="L70" s="355">
        <f>+'10 Year Average'!C70</f>
        <v>13.8</v>
      </c>
      <c r="M70" s="355">
        <f>+'10 Year Average'!D70</f>
        <v>29.9</v>
      </c>
      <c r="N70" s="356">
        <f>+'10 Year Average'!E70</f>
        <v>6.8000000000000005E-2</v>
      </c>
      <c r="O70" s="357">
        <f>+'10 Year Average'!F70</f>
        <v>31</v>
      </c>
      <c r="P70" s="357">
        <f>+'10 Year Average'!G70</f>
        <v>0</v>
      </c>
      <c r="Q70" s="358">
        <f>+'10 Year Average'!H70</f>
        <v>92682979.934611261</v>
      </c>
      <c r="S70" s="353">
        <f>+'20 Year Trend'!A70</f>
        <v>39661</v>
      </c>
      <c r="T70" s="357">
        <f>+'20 Year Trend'!B70</f>
        <v>93432320</v>
      </c>
      <c r="U70" s="355">
        <f>+'20 Year Trend'!C70</f>
        <v>13.8</v>
      </c>
      <c r="V70" s="355">
        <f>+'20 Year Trend'!D70</f>
        <v>29.9</v>
      </c>
      <c r="W70" s="356">
        <f>+'20 Year Trend'!E70</f>
        <v>6.8000000000000005E-2</v>
      </c>
      <c r="X70" s="357">
        <f>+'20 Year Trend'!F70</f>
        <v>31</v>
      </c>
      <c r="Y70" s="357">
        <f>+'20 Year Trend'!G70</f>
        <v>0</v>
      </c>
      <c r="Z70" s="358">
        <f>+'20 Year Trend'!H70</f>
        <v>92682979.934611261</v>
      </c>
    </row>
    <row r="71" spans="1:26" x14ac:dyDescent="0.2">
      <c r="A71" s="353">
        <f>+'Purchased Power Model '!A71</f>
        <v>39692</v>
      </c>
      <c r="B71" s="357">
        <f>+'Purchased Power Model '!B71</f>
        <v>86855072</v>
      </c>
      <c r="C71" s="355">
        <f>+'Purchased Power Model '!C71</f>
        <v>51.6</v>
      </c>
      <c r="D71" s="355">
        <f>+'Purchased Power Model '!D71</f>
        <v>15.1</v>
      </c>
      <c r="E71" s="356">
        <f>+'Purchased Power Model '!E71</f>
        <v>6.8000000000000005E-2</v>
      </c>
      <c r="F71" s="357">
        <f>+'Purchased Power Model '!F71</f>
        <v>30</v>
      </c>
      <c r="G71" s="357">
        <f>+'Purchased Power Model '!G71</f>
        <v>1</v>
      </c>
      <c r="H71" s="358">
        <f>+'Purchased Power Model '!H71</f>
        <v>82230135.347488374</v>
      </c>
      <c r="J71" s="353">
        <f>+'10 Year Average'!A71</f>
        <v>39692</v>
      </c>
      <c r="K71" s="357">
        <f>+'10 Year Average'!B71</f>
        <v>86855072</v>
      </c>
      <c r="L71" s="355">
        <f>+'10 Year Average'!C71</f>
        <v>51.6</v>
      </c>
      <c r="M71" s="355">
        <f>+'10 Year Average'!D71</f>
        <v>15.1</v>
      </c>
      <c r="N71" s="356">
        <f>+'10 Year Average'!E71</f>
        <v>6.8000000000000005E-2</v>
      </c>
      <c r="O71" s="357">
        <f>+'10 Year Average'!F71</f>
        <v>30</v>
      </c>
      <c r="P71" s="357">
        <f>+'10 Year Average'!G71</f>
        <v>1</v>
      </c>
      <c r="Q71" s="358">
        <f>+'10 Year Average'!H71</f>
        <v>82230135.347488374</v>
      </c>
      <c r="S71" s="353">
        <f>+'20 Year Trend'!A71</f>
        <v>39692</v>
      </c>
      <c r="T71" s="357">
        <f>+'20 Year Trend'!B71</f>
        <v>86855072</v>
      </c>
      <c r="U71" s="355">
        <f>+'20 Year Trend'!C71</f>
        <v>51.6</v>
      </c>
      <c r="V71" s="355">
        <f>+'20 Year Trend'!D71</f>
        <v>15.1</v>
      </c>
      <c r="W71" s="356">
        <f>+'20 Year Trend'!E71</f>
        <v>6.8000000000000005E-2</v>
      </c>
      <c r="X71" s="357">
        <f>+'20 Year Trend'!F71</f>
        <v>30</v>
      </c>
      <c r="Y71" s="357">
        <f>+'20 Year Trend'!G71</f>
        <v>1</v>
      </c>
      <c r="Z71" s="358">
        <f>+'20 Year Trend'!H71</f>
        <v>82230135.347488374</v>
      </c>
    </row>
    <row r="72" spans="1:26" x14ac:dyDescent="0.2">
      <c r="A72" s="353">
        <f>+'Purchased Power Model '!A72</f>
        <v>39722</v>
      </c>
      <c r="B72" s="357">
        <f>+'Purchased Power Model '!B72</f>
        <v>88294618</v>
      </c>
      <c r="C72" s="355">
        <f>+'Purchased Power Model '!C72</f>
        <v>203.1</v>
      </c>
      <c r="D72" s="355">
        <f>+'Purchased Power Model '!D72</f>
        <v>0</v>
      </c>
      <c r="E72" s="356">
        <f>+'Purchased Power Model '!E72</f>
        <v>7.9000000000000001E-2</v>
      </c>
      <c r="F72" s="357">
        <f>+'Purchased Power Model '!F72</f>
        <v>31</v>
      </c>
      <c r="G72" s="357">
        <f>+'Purchased Power Model '!G72</f>
        <v>1</v>
      </c>
      <c r="H72" s="358">
        <f>+'Purchased Power Model '!H72</f>
        <v>87606070.091228455</v>
      </c>
      <c r="J72" s="353">
        <f>+'10 Year Average'!A72</f>
        <v>39722</v>
      </c>
      <c r="K72" s="357">
        <f>+'10 Year Average'!B72</f>
        <v>88294618</v>
      </c>
      <c r="L72" s="355">
        <f>+'10 Year Average'!C72</f>
        <v>203.1</v>
      </c>
      <c r="M72" s="355">
        <f>+'10 Year Average'!D72</f>
        <v>0</v>
      </c>
      <c r="N72" s="356">
        <f>+'10 Year Average'!E72</f>
        <v>7.9000000000000001E-2</v>
      </c>
      <c r="O72" s="357">
        <f>+'10 Year Average'!F72</f>
        <v>31</v>
      </c>
      <c r="P72" s="357">
        <f>+'10 Year Average'!G72</f>
        <v>1</v>
      </c>
      <c r="Q72" s="358">
        <f>+'10 Year Average'!H72</f>
        <v>87606070.091228455</v>
      </c>
      <c r="S72" s="353">
        <f>+'20 Year Trend'!A72</f>
        <v>39722</v>
      </c>
      <c r="T72" s="357">
        <f>+'20 Year Trend'!B72</f>
        <v>88294618</v>
      </c>
      <c r="U72" s="355">
        <f>+'20 Year Trend'!C72</f>
        <v>203.1</v>
      </c>
      <c r="V72" s="355">
        <f>+'20 Year Trend'!D72</f>
        <v>0</v>
      </c>
      <c r="W72" s="356">
        <f>+'20 Year Trend'!E72</f>
        <v>7.9000000000000001E-2</v>
      </c>
      <c r="X72" s="357">
        <f>+'20 Year Trend'!F72</f>
        <v>31</v>
      </c>
      <c r="Y72" s="357">
        <f>+'20 Year Trend'!G72</f>
        <v>1</v>
      </c>
      <c r="Z72" s="358">
        <f>+'20 Year Trend'!H72</f>
        <v>87606070.091228455</v>
      </c>
    </row>
    <row r="73" spans="1:26" x14ac:dyDescent="0.2">
      <c r="A73" s="353">
        <f>+'Purchased Power Model '!A73</f>
        <v>39753</v>
      </c>
      <c r="B73" s="357">
        <f>+'Purchased Power Model '!B73</f>
        <v>95870835</v>
      </c>
      <c r="C73" s="355">
        <f>+'Purchased Power Model '!C73</f>
        <v>268.8</v>
      </c>
      <c r="D73" s="355">
        <f>+'Purchased Power Model '!D73</f>
        <v>0</v>
      </c>
      <c r="E73" s="356">
        <f>+'Purchased Power Model '!E73</f>
        <v>7.9000000000000001E-2</v>
      </c>
      <c r="F73" s="357">
        <f>+'Purchased Power Model '!F73</f>
        <v>30</v>
      </c>
      <c r="G73" s="357">
        <f>+'Purchased Power Model '!G73</f>
        <v>1</v>
      </c>
      <c r="H73" s="358">
        <f>+'Purchased Power Model '!H73</f>
        <v>87439865.504373953</v>
      </c>
      <c r="J73" s="353">
        <f>+'10 Year Average'!A73</f>
        <v>39753</v>
      </c>
      <c r="K73" s="357">
        <f>+'10 Year Average'!B73</f>
        <v>95870835</v>
      </c>
      <c r="L73" s="355">
        <f>+'10 Year Average'!C73</f>
        <v>268.8</v>
      </c>
      <c r="M73" s="355">
        <f>+'10 Year Average'!D73</f>
        <v>0</v>
      </c>
      <c r="N73" s="356">
        <f>+'10 Year Average'!E73</f>
        <v>7.9000000000000001E-2</v>
      </c>
      <c r="O73" s="357">
        <f>+'10 Year Average'!F73</f>
        <v>30</v>
      </c>
      <c r="P73" s="357">
        <f>+'10 Year Average'!G73</f>
        <v>1</v>
      </c>
      <c r="Q73" s="358">
        <f>+'10 Year Average'!H73</f>
        <v>87439865.504373953</v>
      </c>
      <c r="S73" s="353">
        <f>+'20 Year Trend'!A73</f>
        <v>39753</v>
      </c>
      <c r="T73" s="357">
        <f>+'20 Year Trend'!B73</f>
        <v>95870835</v>
      </c>
      <c r="U73" s="355">
        <f>+'20 Year Trend'!C73</f>
        <v>268.8</v>
      </c>
      <c r="V73" s="355">
        <f>+'20 Year Trend'!D73</f>
        <v>0</v>
      </c>
      <c r="W73" s="356">
        <f>+'20 Year Trend'!E73</f>
        <v>7.9000000000000001E-2</v>
      </c>
      <c r="X73" s="357">
        <f>+'20 Year Trend'!F73</f>
        <v>30</v>
      </c>
      <c r="Y73" s="357">
        <f>+'20 Year Trend'!G73</f>
        <v>1</v>
      </c>
      <c r="Z73" s="358">
        <f>+'20 Year Trend'!H73</f>
        <v>87439865.504373953</v>
      </c>
    </row>
    <row r="74" spans="1:26" x14ac:dyDescent="0.2">
      <c r="A74" s="353">
        <f>+'Purchased Power Model '!A74</f>
        <v>39783</v>
      </c>
      <c r="B74" s="357">
        <f>+'Purchased Power Model '!B74</f>
        <v>112359168</v>
      </c>
      <c r="C74" s="355">
        <f>+'Purchased Power Model '!C74</f>
        <v>378.9</v>
      </c>
      <c r="D74" s="355">
        <f>+'Purchased Power Model '!D74</f>
        <v>0</v>
      </c>
      <c r="E74" s="356">
        <f>+'Purchased Power Model '!E74</f>
        <v>7.9000000000000001E-2</v>
      </c>
      <c r="F74" s="357">
        <f>+'Purchased Power Model '!F74</f>
        <v>31</v>
      </c>
      <c r="G74" s="357">
        <f>+'Purchased Power Model '!G74</f>
        <v>0</v>
      </c>
      <c r="H74" s="358">
        <f>+'Purchased Power Model '!H74</f>
        <v>101704821.42711972</v>
      </c>
      <c r="J74" s="353">
        <f>+'10 Year Average'!A74</f>
        <v>39783</v>
      </c>
      <c r="K74" s="357">
        <f>+'10 Year Average'!B74</f>
        <v>112359168</v>
      </c>
      <c r="L74" s="355">
        <f>+'10 Year Average'!C74</f>
        <v>378.9</v>
      </c>
      <c r="M74" s="355">
        <f>+'10 Year Average'!D74</f>
        <v>0</v>
      </c>
      <c r="N74" s="356">
        <f>+'10 Year Average'!E74</f>
        <v>7.9000000000000001E-2</v>
      </c>
      <c r="O74" s="357">
        <f>+'10 Year Average'!F74</f>
        <v>31</v>
      </c>
      <c r="P74" s="357">
        <f>+'10 Year Average'!G74</f>
        <v>0</v>
      </c>
      <c r="Q74" s="358">
        <f>+'10 Year Average'!H74</f>
        <v>101704821.42711972</v>
      </c>
      <c r="S74" s="353">
        <f>+'20 Year Trend'!A74</f>
        <v>39783</v>
      </c>
      <c r="T74" s="357">
        <f>+'20 Year Trend'!B74</f>
        <v>112359168</v>
      </c>
      <c r="U74" s="355">
        <f>+'20 Year Trend'!C74</f>
        <v>378.9</v>
      </c>
      <c r="V74" s="355">
        <f>+'20 Year Trend'!D74</f>
        <v>0</v>
      </c>
      <c r="W74" s="356">
        <f>+'20 Year Trend'!E74</f>
        <v>7.9000000000000001E-2</v>
      </c>
      <c r="X74" s="357">
        <f>+'20 Year Trend'!F74</f>
        <v>31</v>
      </c>
      <c r="Y74" s="357">
        <f>+'20 Year Trend'!G74</f>
        <v>0</v>
      </c>
      <c r="Z74" s="358">
        <f>+'20 Year Trend'!H74</f>
        <v>101704821.42711972</v>
      </c>
    </row>
    <row r="75" spans="1:26" x14ac:dyDescent="0.2">
      <c r="A75" s="353">
        <f>+'Purchased Power Model '!A75</f>
        <v>39814</v>
      </c>
      <c r="B75" s="359">
        <f>+'Purchased Power Model '!B75</f>
        <v>119321706</v>
      </c>
      <c r="C75" s="355">
        <f>+'Purchased Power Model '!C75</f>
        <v>684.3</v>
      </c>
      <c r="D75" s="355">
        <f>+'Purchased Power Model '!D75</f>
        <v>0</v>
      </c>
      <c r="E75" s="356">
        <f>+'Purchased Power Model '!E75</f>
        <v>8.5000000000000006E-2</v>
      </c>
      <c r="F75" s="357">
        <f>+'Purchased Power Model '!F75</f>
        <v>31</v>
      </c>
      <c r="G75" s="357">
        <f>+'Purchased Power Model '!G75</f>
        <v>0</v>
      </c>
      <c r="H75" s="358">
        <f>+'Purchased Power Model '!H75</f>
        <v>113263389.96913713</v>
      </c>
      <c r="J75" s="353">
        <f>+'10 Year Average'!A75</f>
        <v>39814</v>
      </c>
      <c r="K75" s="359">
        <f>+'10 Year Average'!B75</f>
        <v>119321706</v>
      </c>
      <c r="L75" s="355">
        <f>+'10 Year Average'!C75</f>
        <v>684.3</v>
      </c>
      <c r="M75" s="355">
        <f>+'10 Year Average'!D75</f>
        <v>0</v>
      </c>
      <c r="N75" s="356">
        <f>+'10 Year Average'!E75</f>
        <v>8.5000000000000006E-2</v>
      </c>
      <c r="O75" s="357">
        <f>+'10 Year Average'!F75</f>
        <v>31</v>
      </c>
      <c r="P75" s="357">
        <f>+'10 Year Average'!G75</f>
        <v>0</v>
      </c>
      <c r="Q75" s="358">
        <f>+'10 Year Average'!H75</f>
        <v>113263389.96913713</v>
      </c>
      <c r="S75" s="353">
        <f>+'20 Year Trend'!A75</f>
        <v>39814</v>
      </c>
      <c r="T75" s="359">
        <f>+'20 Year Trend'!B75</f>
        <v>119321706</v>
      </c>
      <c r="U75" s="355">
        <f>+'20 Year Trend'!C75</f>
        <v>684.3</v>
      </c>
      <c r="V75" s="355">
        <f>+'20 Year Trend'!D75</f>
        <v>0</v>
      </c>
      <c r="W75" s="356">
        <f>+'20 Year Trend'!E75</f>
        <v>8.5000000000000006E-2</v>
      </c>
      <c r="X75" s="357">
        <f>+'20 Year Trend'!F75</f>
        <v>31</v>
      </c>
      <c r="Y75" s="357">
        <f>+'20 Year Trend'!G75</f>
        <v>0</v>
      </c>
      <c r="Z75" s="358">
        <f>+'20 Year Trend'!H75</f>
        <v>113263389.96913713</v>
      </c>
    </row>
    <row r="76" spans="1:26" x14ac:dyDescent="0.2">
      <c r="A76" s="353">
        <f>+'Purchased Power Model '!A76</f>
        <v>39845</v>
      </c>
      <c r="B76" s="359">
        <f>+'Purchased Power Model '!B76</f>
        <v>99385016</v>
      </c>
      <c r="C76" s="355">
        <f>+'Purchased Power Model '!C76</f>
        <v>595.29999999999995</v>
      </c>
      <c r="D76" s="355">
        <f>+'Purchased Power Model '!D76</f>
        <v>0</v>
      </c>
      <c r="E76" s="356">
        <f>+'Purchased Power Model '!E76</f>
        <v>8.5000000000000006E-2</v>
      </c>
      <c r="F76" s="357">
        <f>+'Purchased Power Model '!F76</f>
        <v>28</v>
      </c>
      <c r="G76" s="357">
        <f>+'Purchased Power Model '!G76</f>
        <v>0</v>
      </c>
      <c r="H76" s="358">
        <f>+'Purchased Power Model '!H76</f>
        <v>101247486.67415957</v>
      </c>
      <c r="J76" s="353">
        <f>+'10 Year Average'!A76</f>
        <v>39845</v>
      </c>
      <c r="K76" s="359">
        <f>+'10 Year Average'!B76</f>
        <v>99385016</v>
      </c>
      <c r="L76" s="355">
        <f>+'10 Year Average'!C76</f>
        <v>595.29999999999995</v>
      </c>
      <c r="M76" s="355">
        <f>+'10 Year Average'!D76</f>
        <v>0</v>
      </c>
      <c r="N76" s="356">
        <f>+'10 Year Average'!E76</f>
        <v>8.5000000000000006E-2</v>
      </c>
      <c r="O76" s="357">
        <f>+'10 Year Average'!F76</f>
        <v>28</v>
      </c>
      <c r="P76" s="357">
        <f>+'10 Year Average'!G76</f>
        <v>0</v>
      </c>
      <c r="Q76" s="358">
        <f>+'10 Year Average'!H76</f>
        <v>101247486.67415957</v>
      </c>
      <c r="S76" s="353">
        <f>+'20 Year Trend'!A76</f>
        <v>39845</v>
      </c>
      <c r="T76" s="359">
        <f>+'20 Year Trend'!B76</f>
        <v>99385016</v>
      </c>
      <c r="U76" s="355">
        <f>+'20 Year Trend'!C76</f>
        <v>595.29999999999995</v>
      </c>
      <c r="V76" s="355">
        <f>+'20 Year Trend'!D76</f>
        <v>0</v>
      </c>
      <c r="W76" s="356">
        <f>+'20 Year Trend'!E76</f>
        <v>8.5000000000000006E-2</v>
      </c>
      <c r="X76" s="357">
        <f>+'20 Year Trend'!F76</f>
        <v>28</v>
      </c>
      <c r="Y76" s="357">
        <f>+'20 Year Trend'!G76</f>
        <v>0</v>
      </c>
      <c r="Z76" s="358">
        <f>+'20 Year Trend'!H76</f>
        <v>101247486.67415957</v>
      </c>
    </row>
    <row r="77" spans="1:26" x14ac:dyDescent="0.2">
      <c r="A77" s="353">
        <f>+'Purchased Power Model '!A77</f>
        <v>39873</v>
      </c>
      <c r="B77" s="359">
        <f>+'Purchased Power Model '!B77</f>
        <v>100852310</v>
      </c>
      <c r="C77" s="355">
        <f>+'Purchased Power Model '!C77</f>
        <v>442.2</v>
      </c>
      <c r="D77" s="355">
        <f>+'Purchased Power Model '!D77</f>
        <v>0</v>
      </c>
      <c r="E77" s="356">
        <f>+'Purchased Power Model '!E77</f>
        <v>8.5000000000000006E-2</v>
      </c>
      <c r="F77" s="357">
        <f>+'Purchased Power Model '!F77</f>
        <v>31</v>
      </c>
      <c r="G77" s="357">
        <f>+'Purchased Power Model '!G77</f>
        <v>1</v>
      </c>
      <c r="H77" s="358">
        <f>+'Purchased Power Model '!H77</f>
        <v>96495654.725061134</v>
      </c>
      <c r="J77" s="353">
        <f>+'10 Year Average'!A77</f>
        <v>39873</v>
      </c>
      <c r="K77" s="359">
        <f>+'10 Year Average'!B77</f>
        <v>100852310</v>
      </c>
      <c r="L77" s="355">
        <f>+'10 Year Average'!C77</f>
        <v>442.2</v>
      </c>
      <c r="M77" s="355">
        <f>+'10 Year Average'!D77</f>
        <v>0</v>
      </c>
      <c r="N77" s="356">
        <f>+'10 Year Average'!E77</f>
        <v>8.5000000000000006E-2</v>
      </c>
      <c r="O77" s="357">
        <f>+'10 Year Average'!F77</f>
        <v>31</v>
      </c>
      <c r="P77" s="357">
        <f>+'10 Year Average'!G77</f>
        <v>1</v>
      </c>
      <c r="Q77" s="358">
        <f>+'10 Year Average'!H77</f>
        <v>96495654.725061134</v>
      </c>
      <c r="S77" s="353">
        <f>+'20 Year Trend'!A77</f>
        <v>39873</v>
      </c>
      <c r="T77" s="359">
        <f>+'20 Year Trend'!B77</f>
        <v>100852310</v>
      </c>
      <c r="U77" s="355">
        <f>+'20 Year Trend'!C77</f>
        <v>442.2</v>
      </c>
      <c r="V77" s="355">
        <f>+'20 Year Trend'!D77</f>
        <v>0</v>
      </c>
      <c r="W77" s="356">
        <f>+'20 Year Trend'!E77</f>
        <v>8.5000000000000006E-2</v>
      </c>
      <c r="X77" s="357">
        <f>+'20 Year Trend'!F77</f>
        <v>31</v>
      </c>
      <c r="Y77" s="357">
        <f>+'20 Year Trend'!G77</f>
        <v>1</v>
      </c>
      <c r="Z77" s="358">
        <f>+'20 Year Trend'!H77</f>
        <v>96495654.725061134</v>
      </c>
    </row>
    <row r="78" spans="1:26" x14ac:dyDescent="0.2">
      <c r="A78" s="353">
        <f>+'Purchased Power Model '!A78</f>
        <v>39904</v>
      </c>
      <c r="B78" s="359">
        <f>+'Purchased Power Model '!B78</f>
        <v>86741668</v>
      </c>
      <c r="C78" s="355">
        <f>+'Purchased Power Model '!C78</f>
        <v>313.8</v>
      </c>
      <c r="D78" s="355">
        <f>+'Purchased Power Model '!D78</f>
        <v>0</v>
      </c>
      <c r="E78" s="356">
        <f>+'Purchased Power Model '!E78</f>
        <v>8.6999999999999994E-2</v>
      </c>
      <c r="F78" s="357">
        <f>+'Purchased Power Model '!F78</f>
        <v>30</v>
      </c>
      <c r="G78" s="357">
        <f>+'Purchased Power Model '!G78</f>
        <v>1</v>
      </c>
      <c r="H78" s="358">
        <f>+'Purchased Power Model '!H78</f>
        <v>88270506.342531264</v>
      </c>
      <c r="J78" s="353">
        <f>+'10 Year Average'!A78</f>
        <v>39904</v>
      </c>
      <c r="K78" s="359">
        <f>+'10 Year Average'!B78</f>
        <v>86741668</v>
      </c>
      <c r="L78" s="355">
        <f>+'10 Year Average'!C78</f>
        <v>313.8</v>
      </c>
      <c r="M78" s="355">
        <f>+'10 Year Average'!D78</f>
        <v>0</v>
      </c>
      <c r="N78" s="356">
        <f>+'10 Year Average'!E78</f>
        <v>8.6999999999999994E-2</v>
      </c>
      <c r="O78" s="357">
        <f>+'10 Year Average'!F78</f>
        <v>30</v>
      </c>
      <c r="P78" s="357">
        <f>+'10 Year Average'!G78</f>
        <v>1</v>
      </c>
      <c r="Q78" s="358">
        <f>+'10 Year Average'!H78</f>
        <v>88270506.342531264</v>
      </c>
      <c r="S78" s="353">
        <f>+'20 Year Trend'!A78</f>
        <v>39904</v>
      </c>
      <c r="T78" s="359">
        <f>+'20 Year Trend'!B78</f>
        <v>86741668</v>
      </c>
      <c r="U78" s="355">
        <f>+'20 Year Trend'!C78</f>
        <v>313.8</v>
      </c>
      <c r="V78" s="355">
        <f>+'20 Year Trend'!D78</f>
        <v>0</v>
      </c>
      <c r="W78" s="356">
        <f>+'20 Year Trend'!E78</f>
        <v>8.6999999999999994E-2</v>
      </c>
      <c r="X78" s="357">
        <f>+'20 Year Trend'!F78</f>
        <v>30</v>
      </c>
      <c r="Y78" s="357">
        <f>+'20 Year Trend'!G78</f>
        <v>1</v>
      </c>
      <c r="Z78" s="358">
        <f>+'20 Year Trend'!H78</f>
        <v>88270506.342531264</v>
      </c>
    </row>
    <row r="79" spans="1:26" x14ac:dyDescent="0.2">
      <c r="A79" s="353">
        <f>+'Purchased Power Model '!A79</f>
        <v>39934</v>
      </c>
      <c r="B79" s="359">
        <f>+'Purchased Power Model '!B79</f>
        <v>80591893.384615391</v>
      </c>
      <c r="C79" s="355">
        <f>+'Purchased Power Model '!C79</f>
        <v>170.1</v>
      </c>
      <c r="D79" s="355">
        <f>+'Purchased Power Model '!D79</f>
        <v>0</v>
      </c>
      <c r="E79" s="356">
        <f>+'Purchased Power Model '!E79</f>
        <v>8.6999999999999994E-2</v>
      </c>
      <c r="F79" s="357">
        <f>+'Purchased Power Model '!F79</f>
        <v>31</v>
      </c>
      <c r="G79" s="357">
        <f>+'Purchased Power Model '!G79</f>
        <v>1</v>
      </c>
      <c r="H79" s="358">
        <f>+'Purchased Power Model '!H79</f>
        <v>85296729.86093314</v>
      </c>
      <c r="J79" s="353">
        <f>+'10 Year Average'!A79</f>
        <v>39934</v>
      </c>
      <c r="K79" s="359">
        <f>+'10 Year Average'!B79</f>
        <v>80591893.384615391</v>
      </c>
      <c r="L79" s="355">
        <f>+'10 Year Average'!C79</f>
        <v>170.1</v>
      </c>
      <c r="M79" s="355">
        <f>+'10 Year Average'!D79</f>
        <v>0</v>
      </c>
      <c r="N79" s="356">
        <f>+'10 Year Average'!E79</f>
        <v>8.6999999999999994E-2</v>
      </c>
      <c r="O79" s="357">
        <f>+'10 Year Average'!F79</f>
        <v>31</v>
      </c>
      <c r="P79" s="357">
        <f>+'10 Year Average'!G79</f>
        <v>1</v>
      </c>
      <c r="Q79" s="358">
        <f>+'10 Year Average'!H79</f>
        <v>85296729.86093314</v>
      </c>
      <c r="S79" s="353">
        <f>+'20 Year Trend'!A79</f>
        <v>39934</v>
      </c>
      <c r="T79" s="359">
        <f>+'20 Year Trend'!B79</f>
        <v>80591893.384615391</v>
      </c>
      <c r="U79" s="355">
        <f>+'20 Year Trend'!C79</f>
        <v>170.1</v>
      </c>
      <c r="V79" s="355">
        <f>+'20 Year Trend'!D79</f>
        <v>0</v>
      </c>
      <c r="W79" s="356">
        <f>+'20 Year Trend'!E79</f>
        <v>8.6999999999999994E-2</v>
      </c>
      <c r="X79" s="357">
        <f>+'20 Year Trend'!F79</f>
        <v>31</v>
      </c>
      <c r="Y79" s="357">
        <f>+'20 Year Trend'!G79</f>
        <v>1</v>
      </c>
      <c r="Z79" s="358">
        <f>+'20 Year Trend'!H79</f>
        <v>85296729.86093314</v>
      </c>
    </row>
    <row r="80" spans="1:26" x14ac:dyDescent="0.2">
      <c r="A80" s="353">
        <f>+'Purchased Power Model '!A80</f>
        <v>39965</v>
      </c>
      <c r="B80" s="359">
        <f>+'Purchased Power Model '!B80</f>
        <v>84198050.923076928</v>
      </c>
      <c r="C80" s="355">
        <f>+'Purchased Power Model '!C80</f>
        <v>57.9</v>
      </c>
      <c r="D80" s="355">
        <f>+'Purchased Power Model '!D80</f>
        <v>26.3</v>
      </c>
      <c r="E80" s="356">
        <f>+'Purchased Power Model '!E80</f>
        <v>8.6999999999999994E-2</v>
      </c>
      <c r="F80" s="357">
        <f>+'Purchased Power Model '!F80</f>
        <v>30</v>
      </c>
      <c r="G80" s="357">
        <f>+'Purchased Power Model '!G80</f>
        <v>0</v>
      </c>
      <c r="H80" s="358">
        <f>+'Purchased Power Model '!H80</f>
        <v>88796663.710494101</v>
      </c>
      <c r="J80" s="353">
        <f>+'10 Year Average'!A80</f>
        <v>39965</v>
      </c>
      <c r="K80" s="359">
        <f>+'10 Year Average'!B80</f>
        <v>84198050.923076928</v>
      </c>
      <c r="L80" s="355">
        <f>+'10 Year Average'!C80</f>
        <v>57.9</v>
      </c>
      <c r="M80" s="355">
        <f>+'10 Year Average'!D80</f>
        <v>26.3</v>
      </c>
      <c r="N80" s="356">
        <f>+'10 Year Average'!E80</f>
        <v>8.6999999999999994E-2</v>
      </c>
      <c r="O80" s="357">
        <f>+'10 Year Average'!F80</f>
        <v>30</v>
      </c>
      <c r="P80" s="357">
        <f>+'10 Year Average'!G80</f>
        <v>0</v>
      </c>
      <c r="Q80" s="358">
        <f>+'10 Year Average'!H80</f>
        <v>88796663.710494101</v>
      </c>
      <c r="S80" s="353">
        <f>+'20 Year Trend'!A80</f>
        <v>39965</v>
      </c>
      <c r="T80" s="359">
        <f>+'20 Year Trend'!B80</f>
        <v>84198050.923076928</v>
      </c>
      <c r="U80" s="355">
        <f>+'20 Year Trend'!C80</f>
        <v>57.9</v>
      </c>
      <c r="V80" s="355">
        <f>+'20 Year Trend'!D80</f>
        <v>26.3</v>
      </c>
      <c r="W80" s="356">
        <f>+'20 Year Trend'!E80</f>
        <v>8.6999999999999994E-2</v>
      </c>
      <c r="X80" s="357">
        <f>+'20 Year Trend'!F80</f>
        <v>30</v>
      </c>
      <c r="Y80" s="357">
        <f>+'20 Year Trend'!G80</f>
        <v>0</v>
      </c>
      <c r="Z80" s="358">
        <f>+'20 Year Trend'!H80</f>
        <v>88796663.710494101</v>
      </c>
    </row>
    <row r="81" spans="1:26" x14ac:dyDescent="0.2">
      <c r="A81" s="353">
        <f>+'Purchased Power Model '!A81</f>
        <v>39995</v>
      </c>
      <c r="B81" s="359">
        <f>+'Purchased Power Model '!B81</f>
        <v>87831701.059230775</v>
      </c>
      <c r="C81" s="355">
        <f>+'Purchased Power Model '!C81</f>
        <v>16.8</v>
      </c>
      <c r="D81" s="355">
        <f>+'Purchased Power Model '!D81</f>
        <v>25.6</v>
      </c>
      <c r="E81" s="356">
        <f>+'Purchased Power Model '!E81</f>
        <v>9.1999999999999998E-2</v>
      </c>
      <c r="F81" s="357">
        <f>+'Purchased Power Model '!F81</f>
        <v>31</v>
      </c>
      <c r="G81" s="357">
        <f>+'Purchased Power Model '!G81</f>
        <v>0</v>
      </c>
      <c r="H81" s="358">
        <f>+'Purchased Power Model '!H81</f>
        <v>89238815.621757329</v>
      </c>
      <c r="J81" s="353">
        <f>+'10 Year Average'!A81</f>
        <v>39995</v>
      </c>
      <c r="K81" s="359">
        <f>+'10 Year Average'!B81</f>
        <v>87831701.059230775</v>
      </c>
      <c r="L81" s="355">
        <f>+'10 Year Average'!C81</f>
        <v>16.8</v>
      </c>
      <c r="M81" s="355">
        <f>+'10 Year Average'!D81</f>
        <v>25.6</v>
      </c>
      <c r="N81" s="356">
        <f>+'10 Year Average'!E81</f>
        <v>9.1999999999999998E-2</v>
      </c>
      <c r="O81" s="357">
        <f>+'10 Year Average'!F81</f>
        <v>31</v>
      </c>
      <c r="P81" s="357">
        <f>+'10 Year Average'!G81</f>
        <v>0</v>
      </c>
      <c r="Q81" s="358">
        <f>+'10 Year Average'!H81</f>
        <v>89238815.621757329</v>
      </c>
      <c r="S81" s="353">
        <f>+'20 Year Trend'!A81</f>
        <v>39995</v>
      </c>
      <c r="T81" s="359">
        <f>+'20 Year Trend'!B81</f>
        <v>87831701.059230775</v>
      </c>
      <c r="U81" s="355">
        <f>+'20 Year Trend'!C81</f>
        <v>16.8</v>
      </c>
      <c r="V81" s="355">
        <f>+'20 Year Trend'!D81</f>
        <v>25.6</v>
      </c>
      <c r="W81" s="356">
        <f>+'20 Year Trend'!E81</f>
        <v>9.1999999999999998E-2</v>
      </c>
      <c r="X81" s="357">
        <f>+'20 Year Trend'!F81</f>
        <v>31</v>
      </c>
      <c r="Y81" s="357">
        <f>+'20 Year Trend'!G81</f>
        <v>0</v>
      </c>
      <c r="Z81" s="358">
        <f>+'20 Year Trend'!H81</f>
        <v>89238815.621757329</v>
      </c>
    </row>
    <row r="82" spans="1:26" x14ac:dyDescent="0.2">
      <c r="A82" s="353">
        <f>+'Purchased Power Model '!A82</f>
        <v>40026</v>
      </c>
      <c r="B82" s="359">
        <f>+'Purchased Power Model '!B82</f>
        <v>97879755</v>
      </c>
      <c r="C82" s="355">
        <f>+'Purchased Power Model '!C82</f>
        <v>13.1</v>
      </c>
      <c r="D82" s="355">
        <f>+'Purchased Power Model '!D82</f>
        <v>77.7</v>
      </c>
      <c r="E82" s="356">
        <f>+'Purchased Power Model '!E82</f>
        <v>9.1999999999999998E-2</v>
      </c>
      <c r="F82" s="357">
        <f>+'Purchased Power Model '!F82</f>
        <v>31</v>
      </c>
      <c r="G82" s="357">
        <f>+'Purchased Power Model '!G82</f>
        <v>0</v>
      </c>
      <c r="H82" s="358">
        <f>+'Purchased Power Model '!H82</f>
        <v>96629497.631671712</v>
      </c>
      <c r="J82" s="353">
        <f>+'10 Year Average'!A82</f>
        <v>40026</v>
      </c>
      <c r="K82" s="359">
        <f>+'10 Year Average'!B82</f>
        <v>97879755</v>
      </c>
      <c r="L82" s="355">
        <f>+'10 Year Average'!C82</f>
        <v>13.1</v>
      </c>
      <c r="M82" s="355">
        <f>+'10 Year Average'!D82</f>
        <v>77.7</v>
      </c>
      <c r="N82" s="356">
        <f>+'10 Year Average'!E82</f>
        <v>9.1999999999999998E-2</v>
      </c>
      <c r="O82" s="357">
        <f>+'10 Year Average'!F82</f>
        <v>31</v>
      </c>
      <c r="P82" s="357">
        <f>+'10 Year Average'!G82</f>
        <v>0</v>
      </c>
      <c r="Q82" s="358">
        <f>+'10 Year Average'!H82</f>
        <v>96629497.631671712</v>
      </c>
      <c r="S82" s="353">
        <f>+'20 Year Trend'!A82</f>
        <v>40026</v>
      </c>
      <c r="T82" s="359">
        <f>+'20 Year Trend'!B82</f>
        <v>97879755</v>
      </c>
      <c r="U82" s="355">
        <f>+'20 Year Trend'!C82</f>
        <v>13.1</v>
      </c>
      <c r="V82" s="355">
        <f>+'20 Year Trend'!D82</f>
        <v>77.7</v>
      </c>
      <c r="W82" s="356">
        <f>+'20 Year Trend'!E82</f>
        <v>9.1999999999999998E-2</v>
      </c>
      <c r="X82" s="357">
        <f>+'20 Year Trend'!F82</f>
        <v>31</v>
      </c>
      <c r="Y82" s="357">
        <f>+'20 Year Trend'!G82</f>
        <v>0</v>
      </c>
      <c r="Z82" s="358">
        <f>+'20 Year Trend'!H82</f>
        <v>96629497.631671712</v>
      </c>
    </row>
    <row r="83" spans="1:26" x14ac:dyDescent="0.2">
      <c r="A83" s="353">
        <f>+'Purchased Power Model '!A83</f>
        <v>40057</v>
      </c>
      <c r="B83" s="359">
        <f>+'Purchased Power Model '!B83</f>
        <v>83907661.687692314</v>
      </c>
      <c r="C83" s="355">
        <f>+'Purchased Power Model '!C83</f>
        <v>64.8</v>
      </c>
      <c r="D83" s="355">
        <f>+'Purchased Power Model '!D83</f>
        <v>9</v>
      </c>
      <c r="E83" s="356">
        <f>+'Purchased Power Model '!E83</f>
        <v>9.1999999999999998E-2</v>
      </c>
      <c r="F83" s="357">
        <f>+'Purchased Power Model '!F83</f>
        <v>30</v>
      </c>
      <c r="G83" s="357">
        <f>+'Purchased Power Model '!G83</f>
        <v>1</v>
      </c>
      <c r="H83" s="358">
        <f>+'Purchased Power Model '!H83</f>
        <v>78936097.692267492</v>
      </c>
      <c r="J83" s="353">
        <f>+'10 Year Average'!A83</f>
        <v>40057</v>
      </c>
      <c r="K83" s="359">
        <f>+'10 Year Average'!B83</f>
        <v>83907661.687692314</v>
      </c>
      <c r="L83" s="355">
        <f>+'10 Year Average'!C83</f>
        <v>64.8</v>
      </c>
      <c r="M83" s="355">
        <f>+'10 Year Average'!D83</f>
        <v>9</v>
      </c>
      <c r="N83" s="356">
        <f>+'10 Year Average'!E83</f>
        <v>9.1999999999999998E-2</v>
      </c>
      <c r="O83" s="357">
        <f>+'10 Year Average'!F83</f>
        <v>30</v>
      </c>
      <c r="P83" s="357">
        <f>+'10 Year Average'!G83</f>
        <v>1</v>
      </c>
      <c r="Q83" s="358">
        <f>+'10 Year Average'!H83</f>
        <v>78936097.692267492</v>
      </c>
      <c r="S83" s="353">
        <f>+'20 Year Trend'!A83</f>
        <v>40057</v>
      </c>
      <c r="T83" s="359">
        <f>+'20 Year Trend'!B83</f>
        <v>83907661.687692314</v>
      </c>
      <c r="U83" s="355">
        <f>+'20 Year Trend'!C83</f>
        <v>64.8</v>
      </c>
      <c r="V83" s="355">
        <f>+'20 Year Trend'!D83</f>
        <v>9</v>
      </c>
      <c r="W83" s="356">
        <f>+'20 Year Trend'!E83</f>
        <v>9.1999999999999998E-2</v>
      </c>
      <c r="X83" s="357">
        <f>+'20 Year Trend'!F83</f>
        <v>30</v>
      </c>
      <c r="Y83" s="357">
        <f>+'20 Year Trend'!G83</f>
        <v>1</v>
      </c>
      <c r="Z83" s="358">
        <f>+'20 Year Trend'!H83</f>
        <v>78936097.692267492</v>
      </c>
    </row>
    <row r="84" spans="1:26" x14ac:dyDescent="0.2">
      <c r="A84" s="353">
        <f>+'Purchased Power Model '!A84</f>
        <v>40087</v>
      </c>
      <c r="B84" s="359">
        <f>+'Purchased Power Model '!B84</f>
        <v>88097164.336923078</v>
      </c>
      <c r="C84" s="355">
        <f>+'Purchased Power Model '!C84</f>
        <v>287.89999999999998</v>
      </c>
      <c r="D84" s="355">
        <f>+'Purchased Power Model '!D84</f>
        <v>0</v>
      </c>
      <c r="E84" s="356">
        <f>+'Purchased Power Model '!E84</f>
        <v>9.9000000000000005E-2</v>
      </c>
      <c r="F84" s="357">
        <f>+'Purchased Power Model '!F84</f>
        <v>31</v>
      </c>
      <c r="G84" s="357">
        <f>+'Purchased Power Model '!G84</f>
        <v>1</v>
      </c>
      <c r="H84" s="358">
        <f>+'Purchased Power Model '!H84</f>
        <v>88567576.345645592</v>
      </c>
      <c r="J84" s="353">
        <f>+'10 Year Average'!A84</f>
        <v>40087</v>
      </c>
      <c r="K84" s="359">
        <f>+'10 Year Average'!B84</f>
        <v>88097164.336923078</v>
      </c>
      <c r="L84" s="355">
        <f>+'10 Year Average'!C84</f>
        <v>287.89999999999998</v>
      </c>
      <c r="M84" s="355">
        <f>+'10 Year Average'!D84</f>
        <v>0</v>
      </c>
      <c r="N84" s="356">
        <f>+'10 Year Average'!E84</f>
        <v>9.9000000000000005E-2</v>
      </c>
      <c r="O84" s="357">
        <f>+'10 Year Average'!F84</f>
        <v>31</v>
      </c>
      <c r="P84" s="357">
        <f>+'10 Year Average'!G84</f>
        <v>1</v>
      </c>
      <c r="Q84" s="358">
        <f>+'10 Year Average'!H84</f>
        <v>88567576.345645592</v>
      </c>
      <c r="S84" s="353">
        <f>+'20 Year Trend'!A84</f>
        <v>40087</v>
      </c>
      <c r="T84" s="359">
        <f>+'20 Year Trend'!B84</f>
        <v>88097164.336923078</v>
      </c>
      <c r="U84" s="355">
        <f>+'20 Year Trend'!C84</f>
        <v>287.89999999999998</v>
      </c>
      <c r="V84" s="355">
        <f>+'20 Year Trend'!D84</f>
        <v>0</v>
      </c>
      <c r="W84" s="356">
        <f>+'20 Year Trend'!E84</f>
        <v>9.9000000000000005E-2</v>
      </c>
      <c r="X84" s="357">
        <f>+'20 Year Trend'!F84</f>
        <v>31</v>
      </c>
      <c r="Y84" s="357">
        <f>+'20 Year Trend'!G84</f>
        <v>1</v>
      </c>
      <c r="Z84" s="358">
        <f>+'20 Year Trend'!H84</f>
        <v>88567576.345645592</v>
      </c>
    </row>
    <row r="85" spans="1:26" x14ac:dyDescent="0.2">
      <c r="A85" s="353">
        <f>+'Purchased Power Model '!A85</f>
        <v>40118</v>
      </c>
      <c r="B85" s="359">
        <f>+'Purchased Power Model '!B85</f>
        <v>89873866.688461557</v>
      </c>
      <c r="C85" s="355">
        <f>+'Purchased Power Model '!C85</f>
        <v>347.4</v>
      </c>
      <c r="D85" s="355">
        <f>+'Purchased Power Model '!D85</f>
        <v>0</v>
      </c>
      <c r="E85" s="356">
        <f>+'Purchased Power Model '!E85</f>
        <v>9.9000000000000005E-2</v>
      </c>
      <c r="F85" s="357">
        <f>+'Purchased Power Model '!F85</f>
        <v>30</v>
      </c>
      <c r="G85" s="357">
        <f>+'Purchased Power Model '!G85</f>
        <v>1</v>
      </c>
      <c r="H85" s="358">
        <f>+'Purchased Power Model '!H85</f>
        <v>88151783.52001664</v>
      </c>
      <c r="J85" s="353">
        <f>+'10 Year Average'!A85</f>
        <v>40118</v>
      </c>
      <c r="K85" s="359">
        <f>+'10 Year Average'!B85</f>
        <v>89873866.688461557</v>
      </c>
      <c r="L85" s="355">
        <f>+'10 Year Average'!C85</f>
        <v>347.4</v>
      </c>
      <c r="M85" s="355">
        <f>+'10 Year Average'!D85</f>
        <v>0</v>
      </c>
      <c r="N85" s="356">
        <f>+'10 Year Average'!E85</f>
        <v>9.9000000000000005E-2</v>
      </c>
      <c r="O85" s="357">
        <f>+'10 Year Average'!F85</f>
        <v>30</v>
      </c>
      <c r="P85" s="357">
        <f>+'10 Year Average'!G85</f>
        <v>1</v>
      </c>
      <c r="Q85" s="358">
        <f>+'10 Year Average'!H85</f>
        <v>88151783.52001664</v>
      </c>
      <c r="S85" s="353">
        <f>+'20 Year Trend'!A85</f>
        <v>40118</v>
      </c>
      <c r="T85" s="359">
        <f>+'20 Year Trend'!B85</f>
        <v>89873866.688461557</v>
      </c>
      <c r="U85" s="355">
        <f>+'20 Year Trend'!C85</f>
        <v>347.4</v>
      </c>
      <c r="V85" s="355">
        <f>+'20 Year Trend'!D85</f>
        <v>0</v>
      </c>
      <c r="W85" s="356">
        <f>+'20 Year Trend'!E85</f>
        <v>9.9000000000000005E-2</v>
      </c>
      <c r="X85" s="357">
        <f>+'20 Year Trend'!F85</f>
        <v>30</v>
      </c>
      <c r="Y85" s="357">
        <f>+'20 Year Trend'!G85</f>
        <v>1</v>
      </c>
      <c r="Z85" s="358">
        <f>+'20 Year Trend'!H85</f>
        <v>88151783.52001664</v>
      </c>
    </row>
    <row r="86" spans="1:26" x14ac:dyDescent="0.2">
      <c r="A86" s="353">
        <f>+'Purchased Power Model '!A86</f>
        <v>40148</v>
      </c>
      <c r="B86" s="359">
        <f>+'Purchased Power Model '!B86</f>
        <v>109709991.43076923</v>
      </c>
      <c r="C86" s="355">
        <f>+'Purchased Power Model '!C86</f>
        <v>619.1</v>
      </c>
      <c r="D86" s="355">
        <f>+'Purchased Power Model '!D86</f>
        <v>0</v>
      </c>
      <c r="E86" s="356">
        <f>+'Purchased Power Model '!E86</f>
        <v>9.9000000000000005E-2</v>
      </c>
      <c r="F86" s="357">
        <f>+'Purchased Power Model '!F86</f>
        <v>31</v>
      </c>
      <c r="G86" s="357">
        <f>+'Purchased Power Model '!G86</f>
        <v>0</v>
      </c>
      <c r="H86" s="358">
        <f>+'Purchased Power Model '!H86</f>
        <v>108922136.11791554</v>
      </c>
      <c r="J86" s="353">
        <f>+'10 Year Average'!A86</f>
        <v>40148</v>
      </c>
      <c r="K86" s="359">
        <f>+'10 Year Average'!B86</f>
        <v>109709991.43076923</v>
      </c>
      <c r="L86" s="355">
        <f>+'10 Year Average'!C86</f>
        <v>619.1</v>
      </c>
      <c r="M86" s="355">
        <f>+'10 Year Average'!D86</f>
        <v>0</v>
      </c>
      <c r="N86" s="356">
        <f>+'10 Year Average'!E86</f>
        <v>9.9000000000000005E-2</v>
      </c>
      <c r="O86" s="357">
        <f>+'10 Year Average'!F86</f>
        <v>31</v>
      </c>
      <c r="P86" s="357">
        <f>+'10 Year Average'!G86</f>
        <v>0</v>
      </c>
      <c r="Q86" s="358">
        <f>+'10 Year Average'!H86</f>
        <v>108922136.11791554</v>
      </c>
      <c r="S86" s="353">
        <f>+'20 Year Trend'!A86</f>
        <v>40148</v>
      </c>
      <c r="T86" s="359">
        <f>+'20 Year Trend'!B86</f>
        <v>109709991.43076923</v>
      </c>
      <c r="U86" s="355">
        <f>+'20 Year Trend'!C86</f>
        <v>619.1</v>
      </c>
      <c r="V86" s="355">
        <f>+'20 Year Trend'!D86</f>
        <v>0</v>
      </c>
      <c r="W86" s="356">
        <f>+'20 Year Trend'!E86</f>
        <v>9.9000000000000005E-2</v>
      </c>
      <c r="X86" s="357">
        <f>+'20 Year Trend'!F86</f>
        <v>31</v>
      </c>
      <c r="Y86" s="357">
        <f>+'20 Year Trend'!G86</f>
        <v>0</v>
      </c>
      <c r="Z86" s="358">
        <f>+'20 Year Trend'!H86</f>
        <v>108922136.11791554</v>
      </c>
    </row>
    <row r="87" spans="1:26" x14ac:dyDescent="0.2">
      <c r="A87" s="353">
        <f>+'Purchased Power Model '!A87</f>
        <v>40179</v>
      </c>
      <c r="B87" s="359">
        <f>+'Purchased Power Model '!B87</f>
        <v>114148404.02769232</v>
      </c>
      <c r="C87" s="355">
        <f>+'Purchased Power Model '!C87</f>
        <v>699.9</v>
      </c>
      <c r="D87" s="355">
        <f>+'Purchased Power Model '!D87</f>
        <v>0</v>
      </c>
      <c r="E87" s="356">
        <f>+'Purchased Power Model '!E87</f>
        <v>0.10300000000000001</v>
      </c>
      <c r="F87" s="357">
        <f>+'Purchased Power Model '!F87</f>
        <v>31</v>
      </c>
      <c r="G87" s="357">
        <f>+'Purchased Power Model '!G87</f>
        <v>0</v>
      </c>
      <c r="H87" s="358">
        <f>+'Purchased Power Model '!H87</f>
        <v>111684391.10482481</v>
      </c>
      <c r="J87" s="353">
        <f>+'10 Year Average'!A87</f>
        <v>40179</v>
      </c>
      <c r="K87" s="359">
        <f>+'10 Year Average'!B87</f>
        <v>114148404.02769232</v>
      </c>
      <c r="L87" s="355">
        <f>+'10 Year Average'!C87</f>
        <v>699.9</v>
      </c>
      <c r="M87" s="355">
        <f>+'10 Year Average'!D87</f>
        <v>0</v>
      </c>
      <c r="N87" s="356">
        <f>+'10 Year Average'!E87</f>
        <v>0.10300000000000001</v>
      </c>
      <c r="O87" s="357">
        <f>+'10 Year Average'!F87</f>
        <v>31</v>
      </c>
      <c r="P87" s="357">
        <f>+'10 Year Average'!G87</f>
        <v>0</v>
      </c>
      <c r="Q87" s="358">
        <f>+'10 Year Average'!H87</f>
        <v>111684391.10482481</v>
      </c>
      <c r="S87" s="353">
        <f>+'20 Year Trend'!A87</f>
        <v>40179</v>
      </c>
      <c r="T87" s="359">
        <f>+'20 Year Trend'!B87</f>
        <v>114148404.02769232</v>
      </c>
      <c r="U87" s="355">
        <f>+'20 Year Trend'!C87</f>
        <v>699.9</v>
      </c>
      <c r="V87" s="355">
        <f>+'20 Year Trend'!D87</f>
        <v>0</v>
      </c>
      <c r="W87" s="356">
        <f>+'20 Year Trend'!E87</f>
        <v>0.10300000000000001</v>
      </c>
      <c r="X87" s="357">
        <f>+'20 Year Trend'!F87</f>
        <v>31</v>
      </c>
      <c r="Y87" s="357">
        <f>+'20 Year Trend'!G87</f>
        <v>0</v>
      </c>
      <c r="Z87" s="358">
        <f>+'20 Year Trend'!H87</f>
        <v>111684391.10482481</v>
      </c>
    </row>
    <row r="88" spans="1:26" x14ac:dyDescent="0.2">
      <c r="A88" s="353">
        <f>+'Purchased Power Model '!A88</f>
        <v>40210</v>
      </c>
      <c r="B88" s="359">
        <f>+'Purchased Power Model '!B88</f>
        <v>100280891.65769231</v>
      </c>
      <c r="C88" s="355">
        <f>+'Purchased Power Model '!C88</f>
        <v>583.79999999999995</v>
      </c>
      <c r="D88" s="355">
        <f>+'Purchased Power Model '!D88</f>
        <v>0</v>
      </c>
      <c r="E88" s="356">
        <f>+'Purchased Power Model '!E88</f>
        <v>0.10300000000000001</v>
      </c>
      <c r="F88" s="357">
        <f>+'Purchased Power Model '!F88</f>
        <v>28</v>
      </c>
      <c r="G88" s="357">
        <f>+'Purchased Power Model '!G88</f>
        <v>0</v>
      </c>
      <c r="H88" s="358">
        <f>+'Purchased Power Model '!H88</f>
        <v>98577545.669397682</v>
      </c>
      <c r="J88" s="353">
        <f>+'10 Year Average'!A88</f>
        <v>40210</v>
      </c>
      <c r="K88" s="359">
        <f>+'10 Year Average'!B88</f>
        <v>100280891.65769231</v>
      </c>
      <c r="L88" s="355">
        <f>+'10 Year Average'!C88</f>
        <v>583.79999999999995</v>
      </c>
      <c r="M88" s="355">
        <f>+'10 Year Average'!D88</f>
        <v>0</v>
      </c>
      <c r="N88" s="356">
        <f>+'10 Year Average'!E88</f>
        <v>0.10300000000000001</v>
      </c>
      <c r="O88" s="357">
        <f>+'10 Year Average'!F88</f>
        <v>28</v>
      </c>
      <c r="P88" s="357">
        <f>+'10 Year Average'!G88</f>
        <v>0</v>
      </c>
      <c r="Q88" s="358">
        <f>+'10 Year Average'!H88</f>
        <v>98577545.669397682</v>
      </c>
      <c r="S88" s="353">
        <f>+'20 Year Trend'!A88</f>
        <v>40210</v>
      </c>
      <c r="T88" s="359">
        <f>+'20 Year Trend'!B88</f>
        <v>100280891.65769231</v>
      </c>
      <c r="U88" s="355">
        <f>+'20 Year Trend'!C88</f>
        <v>583.79999999999995</v>
      </c>
      <c r="V88" s="355">
        <f>+'20 Year Trend'!D88</f>
        <v>0</v>
      </c>
      <c r="W88" s="356">
        <f>+'20 Year Trend'!E88</f>
        <v>0.10300000000000001</v>
      </c>
      <c r="X88" s="357">
        <f>+'20 Year Trend'!F88</f>
        <v>28</v>
      </c>
      <c r="Y88" s="357">
        <f>+'20 Year Trend'!G88</f>
        <v>0</v>
      </c>
      <c r="Z88" s="358">
        <f>+'20 Year Trend'!H88</f>
        <v>98577545.669397682</v>
      </c>
    </row>
    <row r="89" spans="1:26" x14ac:dyDescent="0.2">
      <c r="A89" s="353">
        <f>+'Purchased Power Model '!A89</f>
        <v>40238</v>
      </c>
      <c r="B89" s="359">
        <f>+'Purchased Power Model '!B89</f>
        <v>95443611.384615391</v>
      </c>
      <c r="C89" s="355">
        <f>+'Purchased Power Model '!C89</f>
        <v>411</v>
      </c>
      <c r="D89" s="355">
        <f>+'Purchased Power Model '!D89</f>
        <v>0</v>
      </c>
      <c r="E89" s="356">
        <f>+'Purchased Power Model '!E89</f>
        <v>0.10300000000000001</v>
      </c>
      <c r="F89" s="357">
        <f>+'Purchased Power Model '!F89</f>
        <v>31</v>
      </c>
      <c r="G89" s="357">
        <f>+'Purchased Power Model '!G89</f>
        <v>1</v>
      </c>
      <c r="H89" s="358">
        <f>+'Purchased Power Model '!H89</f>
        <v>93032667.21967724</v>
      </c>
      <c r="J89" s="353">
        <f>+'10 Year Average'!A89</f>
        <v>40238</v>
      </c>
      <c r="K89" s="359">
        <f>+'10 Year Average'!B89</f>
        <v>95443611.384615391</v>
      </c>
      <c r="L89" s="355">
        <f>+'10 Year Average'!C89</f>
        <v>411</v>
      </c>
      <c r="M89" s="355">
        <f>+'10 Year Average'!D89</f>
        <v>0</v>
      </c>
      <c r="N89" s="356">
        <f>+'10 Year Average'!E89</f>
        <v>0.10300000000000001</v>
      </c>
      <c r="O89" s="357">
        <f>+'10 Year Average'!F89</f>
        <v>31</v>
      </c>
      <c r="P89" s="357">
        <f>+'10 Year Average'!G89</f>
        <v>1</v>
      </c>
      <c r="Q89" s="358">
        <f>+'10 Year Average'!H89</f>
        <v>93032667.21967724</v>
      </c>
      <c r="S89" s="353">
        <f>+'20 Year Trend'!A89</f>
        <v>40238</v>
      </c>
      <c r="T89" s="359">
        <f>+'20 Year Trend'!B89</f>
        <v>95443611.384615391</v>
      </c>
      <c r="U89" s="355">
        <f>+'20 Year Trend'!C89</f>
        <v>411</v>
      </c>
      <c r="V89" s="355">
        <f>+'20 Year Trend'!D89</f>
        <v>0</v>
      </c>
      <c r="W89" s="356">
        <f>+'20 Year Trend'!E89</f>
        <v>0.10300000000000001</v>
      </c>
      <c r="X89" s="357">
        <f>+'20 Year Trend'!F89</f>
        <v>31</v>
      </c>
      <c r="Y89" s="357">
        <f>+'20 Year Trend'!G89</f>
        <v>1</v>
      </c>
      <c r="Z89" s="358">
        <f>+'20 Year Trend'!H89</f>
        <v>93032667.21967724</v>
      </c>
    </row>
    <row r="90" spans="1:26" x14ac:dyDescent="0.2">
      <c r="A90" s="353">
        <f>+'Purchased Power Model '!A90</f>
        <v>40269</v>
      </c>
      <c r="B90" s="359">
        <f>+'Purchased Power Model '!B90</f>
        <v>80941805.90538463</v>
      </c>
      <c r="C90" s="355">
        <f>+'Purchased Power Model '!C90</f>
        <v>244</v>
      </c>
      <c r="D90" s="355">
        <f>+'Purchased Power Model '!D90</f>
        <v>0</v>
      </c>
      <c r="E90" s="356">
        <f>+'Purchased Power Model '!E90</f>
        <v>9.9000000000000005E-2</v>
      </c>
      <c r="F90" s="357">
        <f>+'Purchased Power Model '!F90</f>
        <v>30</v>
      </c>
      <c r="G90" s="357">
        <f>+'Purchased Power Model '!G90</f>
        <v>1</v>
      </c>
      <c r="H90" s="358">
        <f>+'Purchased Power Model '!H90</f>
        <v>83989295.795939699</v>
      </c>
      <c r="J90" s="353">
        <f>+'10 Year Average'!A90</f>
        <v>40269</v>
      </c>
      <c r="K90" s="359">
        <f>+'10 Year Average'!B90</f>
        <v>80941805.90538463</v>
      </c>
      <c r="L90" s="355">
        <f>+'10 Year Average'!C90</f>
        <v>244</v>
      </c>
      <c r="M90" s="355">
        <f>+'10 Year Average'!D90</f>
        <v>0</v>
      </c>
      <c r="N90" s="356">
        <f>+'10 Year Average'!E90</f>
        <v>9.9000000000000005E-2</v>
      </c>
      <c r="O90" s="357">
        <f>+'10 Year Average'!F90</f>
        <v>30</v>
      </c>
      <c r="P90" s="357">
        <f>+'10 Year Average'!G90</f>
        <v>1</v>
      </c>
      <c r="Q90" s="358">
        <f>+'10 Year Average'!H90</f>
        <v>83989295.795939699</v>
      </c>
      <c r="S90" s="353">
        <f>+'20 Year Trend'!A90</f>
        <v>40269</v>
      </c>
      <c r="T90" s="359">
        <f>+'20 Year Trend'!B90</f>
        <v>80941805.90538463</v>
      </c>
      <c r="U90" s="355">
        <f>+'20 Year Trend'!C90</f>
        <v>244</v>
      </c>
      <c r="V90" s="355">
        <f>+'20 Year Trend'!D90</f>
        <v>0</v>
      </c>
      <c r="W90" s="356">
        <f>+'20 Year Trend'!E90</f>
        <v>9.9000000000000005E-2</v>
      </c>
      <c r="X90" s="357">
        <f>+'20 Year Trend'!F90</f>
        <v>30</v>
      </c>
      <c r="Y90" s="357">
        <f>+'20 Year Trend'!G90</f>
        <v>1</v>
      </c>
      <c r="Z90" s="358">
        <f>+'20 Year Trend'!H90</f>
        <v>83989295.795939699</v>
      </c>
    </row>
    <row r="91" spans="1:26" x14ac:dyDescent="0.2">
      <c r="A91" s="353">
        <f>+'Purchased Power Model '!A91</f>
        <v>40299</v>
      </c>
      <c r="B91" s="359">
        <f>+'Purchased Power Model '!B91</f>
        <v>87418768.25846155</v>
      </c>
      <c r="C91" s="355">
        <f>+'Purchased Power Model '!C91</f>
        <v>121.7</v>
      </c>
      <c r="D91" s="355">
        <f>+'Purchased Power Model '!D91</f>
        <v>23.2</v>
      </c>
      <c r="E91" s="356">
        <f>+'Purchased Power Model '!E91</f>
        <v>9.9000000000000005E-2</v>
      </c>
      <c r="F91" s="357">
        <f>+'Purchased Power Model '!F91</f>
        <v>31</v>
      </c>
      <c r="G91" s="357">
        <f>+'Purchased Power Model '!G91</f>
        <v>1</v>
      </c>
      <c r="H91" s="358">
        <f>+'Purchased Power Model '!H91</f>
        <v>85234379.650115386</v>
      </c>
      <c r="J91" s="353">
        <f>+'10 Year Average'!A91</f>
        <v>40299</v>
      </c>
      <c r="K91" s="359">
        <f>+'10 Year Average'!B91</f>
        <v>87418768.25846155</v>
      </c>
      <c r="L91" s="355">
        <f>+'10 Year Average'!C91</f>
        <v>121.7</v>
      </c>
      <c r="M91" s="355">
        <f>+'10 Year Average'!D91</f>
        <v>23.2</v>
      </c>
      <c r="N91" s="356">
        <f>+'10 Year Average'!E91</f>
        <v>9.9000000000000005E-2</v>
      </c>
      <c r="O91" s="357">
        <f>+'10 Year Average'!F91</f>
        <v>31</v>
      </c>
      <c r="P91" s="357">
        <f>+'10 Year Average'!G91</f>
        <v>1</v>
      </c>
      <c r="Q91" s="358">
        <f>+'10 Year Average'!H91</f>
        <v>85234379.650115386</v>
      </c>
      <c r="S91" s="353">
        <f>+'20 Year Trend'!A91</f>
        <v>40299</v>
      </c>
      <c r="T91" s="359">
        <f>+'20 Year Trend'!B91</f>
        <v>87418768.25846155</v>
      </c>
      <c r="U91" s="355">
        <f>+'20 Year Trend'!C91</f>
        <v>121.7</v>
      </c>
      <c r="V91" s="355">
        <f>+'20 Year Trend'!D91</f>
        <v>23.2</v>
      </c>
      <c r="W91" s="356">
        <f>+'20 Year Trend'!E91</f>
        <v>9.9000000000000005E-2</v>
      </c>
      <c r="X91" s="357">
        <f>+'20 Year Trend'!F91</f>
        <v>31</v>
      </c>
      <c r="Y91" s="357">
        <f>+'20 Year Trend'!G91</f>
        <v>1</v>
      </c>
      <c r="Z91" s="358">
        <f>+'20 Year Trend'!H91</f>
        <v>85234379.650115386</v>
      </c>
    </row>
    <row r="92" spans="1:26" x14ac:dyDescent="0.2">
      <c r="A92" s="353">
        <f>+'Purchased Power Model '!A92</f>
        <v>40330</v>
      </c>
      <c r="B92" s="359">
        <f>+'Purchased Power Model '!B92</f>
        <v>89087288.937692314</v>
      </c>
      <c r="C92" s="355">
        <f>+'Purchased Power Model '!C92</f>
        <v>19.399999999999999</v>
      </c>
      <c r="D92" s="355">
        <f>+'Purchased Power Model '!D92</f>
        <v>46.6</v>
      </c>
      <c r="E92" s="356">
        <f>+'Purchased Power Model '!E92</f>
        <v>9.9000000000000005E-2</v>
      </c>
      <c r="F92" s="357">
        <f>+'Purchased Power Model '!F92</f>
        <v>30</v>
      </c>
      <c r="G92" s="357">
        <f>+'Purchased Power Model '!G92</f>
        <v>0</v>
      </c>
      <c r="H92" s="358">
        <f>+'Purchased Power Model '!H92</f>
        <v>88713177.264573753</v>
      </c>
      <c r="J92" s="353">
        <f>+'10 Year Average'!A92</f>
        <v>40330</v>
      </c>
      <c r="K92" s="359">
        <f>+'10 Year Average'!B92</f>
        <v>89087288.937692314</v>
      </c>
      <c r="L92" s="355">
        <f>+'10 Year Average'!C92</f>
        <v>19.399999999999999</v>
      </c>
      <c r="M92" s="355">
        <f>+'10 Year Average'!D92</f>
        <v>46.6</v>
      </c>
      <c r="N92" s="356">
        <f>+'10 Year Average'!E92</f>
        <v>9.9000000000000005E-2</v>
      </c>
      <c r="O92" s="357">
        <f>+'10 Year Average'!F92</f>
        <v>30</v>
      </c>
      <c r="P92" s="357">
        <f>+'10 Year Average'!G92</f>
        <v>0</v>
      </c>
      <c r="Q92" s="358">
        <f>+'10 Year Average'!H92</f>
        <v>88713177.264573753</v>
      </c>
      <c r="S92" s="353">
        <f>+'20 Year Trend'!A92</f>
        <v>40330</v>
      </c>
      <c r="T92" s="359">
        <f>+'20 Year Trend'!B92</f>
        <v>89087288.937692314</v>
      </c>
      <c r="U92" s="355">
        <f>+'20 Year Trend'!C92</f>
        <v>19.399999999999999</v>
      </c>
      <c r="V92" s="355">
        <f>+'20 Year Trend'!D92</f>
        <v>46.6</v>
      </c>
      <c r="W92" s="356">
        <f>+'20 Year Trend'!E92</f>
        <v>9.9000000000000005E-2</v>
      </c>
      <c r="X92" s="357">
        <f>+'20 Year Trend'!F92</f>
        <v>30</v>
      </c>
      <c r="Y92" s="357">
        <f>+'20 Year Trend'!G92</f>
        <v>0</v>
      </c>
      <c r="Z92" s="358">
        <f>+'20 Year Trend'!H92</f>
        <v>88713177.264573753</v>
      </c>
    </row>
    <row r="93" spans="1:26" x14ac:dyDescent="0.2">
      <c r="A93" s="353">
        <f>+'Purchased Power Model '!A93</f>
        <v>40360</v>
      </c>
      <c r="B93" s="359">
        <f>+'Purchased Power Model '!B93</f>
        <v>107904059.08</v>
      </c>
      <c r="C93" s="355">
        <f>+'Purchased Power Model '!C93</f>
        <v>3.5</v>
      </c>
      <c r="D93" s="355">
        <f>+'Purchased Power Model '!D93</f>
        <v>124</v>
      </c>
      <c r="E93" s="356">
        <f>+'Purchased Power Model '!E93</f>
        <v>0.10400000000000001</v>
      </c>
      <c r="F93" s="357">
        <f>+'Purchased Power Model '!F93</f>
        <v>31</v>
      </c>
      <c r="G93" s="357">
        <f>+'Purchased Power Model '!G93</f>
        <v>0</v>
      </c>
      <c r="H93" s="358">
        <f>+'Purchased Power Model '!H93</f>
        <v>101471993.61349142</v>
      </c>
      <c r="J93" s="353">
        <f>+'10 Year Average'!A93</f>
        <v>40360</v>
      </c>
      <c r="K93" s="359">
        <f>+'10 Year Average'!B93</f>
        <v>107904059.08</v>
      </c>
      <c r="L93" s="355">
        <f>+'10 Year Average'!C93</f>
        <v>3.5</v>
      </c>
      <c r="M93" s="355">
        <f>+'10 Year Average'!D93</f>
        <v>124</v>
      </c>
      <c r="N93" s="356">
        <f>+'10 Year Average'!E93</f>
        <v>0.10400000000000001</v>
      </c>
      <c r="O93" s="357">
        <f>+'10 Year Average'!F93</f>
        <v>31</v>
      </c>
      <c r="P93" s="357">
        <f>+'10 Year Average'!G93</f>
        <v>0</v>
      </c>
      <c r="Q93" s="358">
        <f>+'10 Year Average'!H93</f>
        <v>101471993.61349142</v>
      </c>
      <c r="S93" s="353">
        <f>+'20 Year Trend'!A93</f>
        <v>40360</v>
      </c>
      <c r="T93" s="359">
        <f>+'20 Year Trend'!B93</f>
        <v>107904059.08</v>
      </c>
      <c r="U93" s="355">
        <f>+'20 Year Trend'!C93</f>
        <v>3.5</v>
      </c>
      <c r="V93" s="355">
        <f>+'20 Year Trend'!D93</f>
        <v>124</v>
      </c>
      <c r="W93" s="356">
        <f>+'20 Year Trend'!E93</f>
        <v>0.10400000000000001</v>
      </c>
      <c r="X93" s="357">
        <f>+'20 Year Trend'!F93</f>
        <v>31</v>
      </c>
      <c r="Y93" s="357">
        <f>+'20 Year Trend'!G93</f>
        <v>0</v>
      </c>
      <c r="Z93" s="358">
        <f>+'20 Year Trend'!H93</f>
        <v>101471993.61349142</v>
      </c>
    </row>
    <row r="94" spans="1:26" x14ac:dyDescent="0.2">
      <c r="A94" s="353">
        <f>+'Purchased Power Model '!A94</f>
        <v>40391</v>
      </c>
      <c r="B94" s="359">
        <f>+'Purchased Power Model '!B94</f>
        <v>102274426.19461538</v>
      </c>
      <c r="C94" s="355">
        <f>+'Purchased Power Model '!C94</f>
        <v>3.2</v>
      </c>
      <c r="D94" s="355">
        <f>+'Purchased Power Model '!D94</f>
        <v>96.8</v>
      </c>
      <c r="E94" s="356">
        <f>+'Purchased Power Model '!E94</f>
        <v>0.10400000000000001</v>
      </c>
      <c r="F94" s="357">
        <f>+'Purchased Power Model '!F94</f>
        <v>31</v>
      </c>
      <c r="G94" s="357">
        <f>+'Purchased Power Model '!G94</f>
        <v>0</v>
      </c>
      <c r="H94" s="358">
        <f>+'Purchased Power Model '!H94</f>
        <v>97523680.076638371</v>
      </c>
      <c r="J94" s="353">
        <f>+'10 Year Average'!A94</f>
        <v>40391</v>
      </c>
      <c r="K94" s="359">
        <f>+'10 Year Average'!B94</f>
        <v>102274426.19461538</v>
      </c>
      <c r="L94" s="355">
        <f>+'10 Year Average'!C94</f>
        <v>3.2</v>
      </c>
      <c r="M94" s="355">
        <f>+'10 Year Average'!D94</f>
        <v>96.8</v>
      </c>
      <c r="N94" s="356">
        <f>+'10 Year Average'!E94</f>
        <v>0.10400000000000001</v>
      </c>
      <c r="O94" s="357">
        <f>+'10 Year Average'!F94</f>
        <v>31</v>
      </c>
      <c r="P94" s="357">
        <f>+'10 Year Average'!G94</f>
        <v>0</v>
      </c>
      <c r="Q94" s="358">
        <f>+'10 Year Average'!H94</f>
        <v>97523680.076638371</v>
      </c>
      <c r="S94" s="353">
        <f>+'20 Year Trend'!A94</f>
        <v>40391</v>
      </c>
      <c r="T94" s="359">
        <f>+'20 Year Trend'!B94</f>
        <v>102274426.19461538</v>
      </c>
      <c r="U94" s="355">
        <f>+'20 Year Trend'!C94</f>
        <v>3.2</v>
      </c>
      <c r="V94" s="355">
        <f>+'20 Year Trend'!D94</f>
        <v>96.8</v>
      </c>
      <c r="W94" s="356">
        <f>+'20 Year Trend'!E94</f>
        <v>0.10400000000000001</v>
      </c>
      <c r="X94" s="357">
        <f>+'20 Year Trend'!F94</f>
        <v>31</v>
      </c>
      <c r="Y94" s="357">
        <f>+'20 Year Trend'!G94</f>
        <v>0</v>
      </c>
      <c r="Z94" s="358">
        <f>+'20 Year Trend'!H94</f>
        <v>97523680.076638371</v>
      </c>
    </row>
    <row r="95" spans="1:26" x14ac:dyDescent="0.2">
      <c r="A95" s="353">
        <f>+'Purchased Power Model '!A95</f>
        <v>40422</v>
      </c>
      <c r="B95" s="359">
        <f>+'Purchased Power Model '!B95</f>
        <v>83491002.500769228</v>
      </c>
      <c r="C95" s="355">
        <f>+'Purchased Power Model '!C95</f>
        <v>85.5</v>
      </c>
      <c r="D95" s="355">
        <f>+'Purchased Power Model '!D95</f>
        <v>18.5</v>
      </c>
      <c r="E95" s="356">
        <f>+'Purchased Power Model '!E95</f>
        <v>0.10400000000000001</v>
      </c>
      <c r="F95" s="357">
        <f>+'Purchased Power Model '!F95</f>
        <v>30</v>
      </c>
      <c r="G95" s="357">
        <f>+'Purchased Power Model '!G95</f>
        <v>1</v>
      </c>
      <c r="H95" s="358">
        <f>+'Purchased Power Model '!H95</f>
        <v>79672858.85705696</v>
      </c>
      <c r="J95" s="353">
        <f>+'10 Year Average'!A95</f>
        <v>40422</v>
      </c>
      <c r="K95" s="359">
        <f>+'10 Year Average'!B95</f>
        <v>83491002.500769228</v>
      </c>
      <c r="L95" s="355">
        <f>+'10 Year Average'!C95</f>
        <v>85.5</v>
      </c>
      <c r="M95" s="355">
        <f>+'10 Year Average'!D95</f>
        <v>18.5</v>
      </c>
      <c r="N95" s="356">
        <f>+'10 Year Average'!E95</f>
        <v>0.10400000000000001</v>
      </c>
      <c r="O95" s="357">
        <f>+'10 Year Average'!F95</f>
        <v>30</v>
      </c>
      <c r="P95" s="357">
        <f>+'10 Year Average'!G95</f>
        <v>1</v>
      </c>
      <c r="Q95" s="358">
        <f>+'10 Year Average'!H95</f>
        <v>79672858.85705696</v>
      </c>
      <c r="S95" s="353">
        <f>+'20 Year Trend'!A95</f>
        <v>40422</v>
      </c>
      <c r="T95" s="359">
        <f>+'20 Year Trend'!B95</f>
        <v>83491002.500769228</v>
      </c>
      <c r="U95" s="355">
        <f>+'20 Year Trend'!C95</f>
        <v>85.5</v>
      </c>
      <c r="V95" s="355">
        <f>+'20 Year Trend'!D95</f>
        <v>18.5</v>
      </c>
      <c r="W95" s="356">
        <f>+'20 Year Trend'!E95</f>
        <v>0.10400000000000001</v>
      </c>
      <c r="X95" s="357">
        <f>+'20 Year Trend'!F95</f>
        <v>30</v>
      </c>
      <c r="Y95" s="357">
        <f>+'20 Year Trend'!G95</f>
        <v>1</v>
      </c>
      <c r="Z95" s="358">
        <f>+'20 Year Trend'!H95</f>
        <v>79672858.85705696</v>
      </c>
    </row>
    <row r="96" spans="1:26" x14ac:dyDescent="0.2">
      <c r="A96" s="353">
        <f>+'Purchased Power Model '!A96</f>
        <v>40452</v>
      </c>
      <c r="B96" s="359">
        <f>+'Purchased Power Model '!B96</f>
        <v>84900189.230769232</v>
      </c>
      <c r="C96" s="355">
        <f>+'Purchased Power Model '!C96</f>
        <v>247.8</v>
      </c>
      <c r="D96" s="355">
        <f>+'Purchased Power Model '!D96</f>
        <v>0</v>
      </c>
      <c r="E96" s="356">
        <f>+'Purchased Power Model '!E96</f>
        <v>9.3000000000000013E-2</v>
      </c>
      <c r="F96" s="357">
        <f>+'Purchased Power Model '!F96</f>
        <v>31</v>
      </c>
      <c r="G96" s="357">
        <f>+'Purchased Power Model '!G96</f>
        <v>1</v>
      </c>
      <c r="H96" s="358">
        <f>+'Purchased Power Model '!H96</f>
        <v>87688969.053121537</v>
      </c>
      <c r="J96" s="353">
        <f>+'10 Year Average'!A96</f>
        <v>40452</v>
      </c>
      <c r="K96" s="359">
        <f>+'10 Year Average'!B96</f>
        <v>84900189.230769232</v>
      </c>
      <c r="L96" s="355">
        <f>+'10 Year Average'!C96</f>
        <v>247.8</v>
      </c>
      <c r="M96" s="355">
        <f>+'10 Year Average'!D96</f>
        <v>0</v>
      </c>
      <c r="N96" s="356">
        <f>+'10 Year Average'!E96</f>
        <v>9.3000000000000013E-2</v>
      </c>
      <c r="O96" s="357">
        <f>+'10 Year Average'!F96</f>
        <v>31</v>
      </c>
      <c r="P96" s="357">
        <f>+'10 Year Average'!G96</f>
        <v>1</v>
      </c>
      <c r="Q96" s="358">
        <f>+'10 Year Average'!H96</f>
        <v>87688969.053121537</v>
      </c>
      <c r="S96" s="353">
        <f>+'20 Year Trend'!A96</f>
        <v>40452</v>
      </c>
      <c r="T96" s="359">
        <f>+'20 Year Trend'!B96</f>
        <v>84900189.230769232</v>
      </c>
      <c r="U96" s="355">
        <f>+'20 Year Trend'!C96</f>
        <v>247.8</v>
      </c>
      <c r="V96" s="355">
        <f>+'20 Year Trend'!D96</f>
        <v>0</v>
      </c>
      <c r="W96" s="356">
        <f>+'20 Year Trend'!E96</f>
        <v>9.3000000000000013E-2</v>
      </c>
      <c r="X96" s="357">
        <f>+'20 Year Trend'!F96</f>
        <v>31</v>
      </c>
      <c r="Y96" s="357">
        <f>+'20 Year Trend'!G96</f>
        <v>1</v>
      </c>
      <c r="Z96" s="358">
        <f>+'20 Year Trend'!H96</f>
        <v>87688969.053121537</v>
      </c>
    </row>
    <row r="97" spans="1:26" x14ac:dyDescent="0.2">
      <c r="A97" s="353">
        <f>+'Purchased Power Model '!A97</f>
        <v>40483</v>
      </c>
      <c r="B97" s="359">
        <f>+'Purchased Power Model '!B97</f>
        <v>91736751.63692309</v>
      </c>
      <c r="C97" s="355">
        <f>+'Purchased Power Model '!C97</f>
        <v>389.2</v>
      </c>
      <c r="D97" s="355">
        <f>+'Purchased Power Model '!D97</f>
        <v>0</v>
      </c>
      <c r="E97" s="356">
        <f>+'Purchased Power Model '!E97</f>
        <v>9.3000000000000013E-2</v>
      </c>
      <c r="F97" s="357">
        <f>+'Purchased Power Model '!F97</f>
        <v>30</v>
      </c>
      <c r="G97" s="357">
        <f>+'Purchased Power Model '!G97</f>
        <v>1</v>
      </c>
      <c r="H97" s="358">
        <f>+'Purchased Power Model '!H97</f>
        <v>90570156.349367842</v>
      </c>
      <c r="J97" s="353">
        <f>+'10 Year Average'!A97</f>
        <v>40483</v>
      </c>
      <c r="K97" s="359">
        <f>+'10 Year Average'!B97</f>
        <v>91736751.63692309</v>
      </c>
      <c r="L97" s="355">
        <f>+'10 Year Average'!C97</f>
        <v>389.2</v>
      </c>
      <c r="M97" s="355">
        <f>+'10 Year Average'!D97</f>
        <v>0</v>
      </c>
      <c r="N97" s="356">
        <f>+'10 Year Average'!E97</f>
        <v>9.3000000000000013E-2</v>
      </c>
      <c r="O97" s="357">
        <f>+'10 Year Average'!F97</f>
        <v>30</v>
      </c>
      <c r="P97" s="357">
        <f>+'10 Year Average'!G97</f>
        <v>1</v>
      </c>
      <c r="Q97" s="358">
        <f>+'10 Year Average'!H97</f>
        <v>90570156.349367842</v>
      </c>
      <c r="S97" s="353">
        <f>+'20 Year Trend'!A97</f>
        <v>40483</v>
      </c>
      <c r="T97" s="359">
        <f>+'20 Year Trend'!B97</f>
        <v>91736751.63692309</v>
      </c>
      <c r="U97" s="355">
        <f>+'20 Year Trend'!C97</f>
        <v>389.2</v>
      </c>
      <c r="V97" s="355">
        <f>+'20 Year Trend'!D97</f>
        <v>0</v>
      </c>
      <c r="W97" s="356">
        <f>+'20 Year Trend'!E97</f>
        <v>9.3000000000000013E-2</v>
      </c>
      <c r="X97" s="357">
        <f>+'20 Year Trend'!F97</f>
        <v>30</v>
      </c>
      <c r="Y97" s="357">
        <f>+'20 Year Trend'!G97</f>
        <v>1</v>
      </c>
      <c r="Z97" s="358">
        <f>+'20 Year Trend'!H97</f>
        <v>90570156.349367842</v>
      </c>
    </row>
    <row r="98" spans="1:26" x14ac:dyDescent="0.2">
      <c r="A98" s="353">
        <f>+'Purchased Power Model '!A98</f>
        <v>40513</v>
      </c>
      <c r="B98" s="359">
        <f>+'Purchased Power Model '!B98</f>
        <v>110862133</v>
      </c>
      <c r="C98" s="355">
        <f>+'Purchased Power Model '!C98</f>
        <v>628.70000000000005</v>
      </c>
      <c r="D98" s="355">
        <f>+'Purchased Power Model '!D98</f>
        <v>0</v>
      </c>
      <c r="E98" s="356">
        <f>+'Purchased Power Model '!E98</f>
        <v>9.3000000000000013E-2</v>
      </c>
      <c r="F98" s="357">
        <f>+'Purchased Power Model '!F98</f>
        <v>31</v>
      </c>
      <c r="G98" s="357">
        <f>+'Purchased Power Model '!G98</f>
        <v>0</v>
      </c>
      <c r="H98" s="358">
        <f>+'Purchased Power Model '!H98</f>
        <v>110044260.35234143</v>
      </c>
      <c r="J98" s="353">
        <f>+'10 Year Average'!A98</f>
        <v>40513</v>
      </c>
      <c r="K98" s="359">
        <f>+'10 Year Average'!B98</f>
        <v>110862133</v>
      </c>
      <c r="L98" s="355">
        <f>+'10 Year Average'!C98</f>
        <v>628.70000000000005</v>
      </c>
      <c r="M98" s="355">
        <f>+'10 Year Average'!D98</f>
        <v>0</v>
      </c>
      <c r="N98" s="356">
        <f>+'10 Year Average'!E98</f>
        <v>9.3000000000000013E-2</v>
      </c>
      <c r="O98" s="357">
        <f>+'10 Year Average'!F98</f>
        <v>31</v>
      </c>
      <c r="P98" s="357">
        <f>+'10 Year Average'!G98</f>
        <v>0</v>
      </c>
      <c r="Q98" s="358">
        <f>+'10 Year Average'!H98</f>
        <v>110044260.35234143</v>
      </c>
      <c r="S98" s="353">
        <f>+'20 Year Trend'!A98</f>
        <v>40513</v>
      </c>
      <c r="T98" s="359">
        <f>+'20 Year Trend'!B98</f>
        <v>110862133</v>
      </c>
      <c r="U98" s="355">
        <f>+'20 Year Trend'!C98</f>
        <v>628.70000000000005</v>
      </c>
      <c r="V98" s="355">
        <f>+'20 Year Trend'!D98</f>
        <v>0</v>
      </c>
      <c r="W98" s="356">
        <f>+'20 Year Trend'!E98</f>
        <v>9.3000000000000013E-2</v>
      </c>
      <c r="X98" s="357">
        <f>+'20 Year Trend'!F98</f>
        <v>31</v>
      </c>
      <c r="Y98" s="357">
        <f>+'20 Year Trend'!G98</f>
        <v>0</v>
      </c>
      <c r="Z98" s="358">
        <f>+'20 Year Trend'!H98</f>
        <v>110044260.35234143</v>
      </c>
    </row>
    <row r="99" spans="1:26" x14ac:dyDescent="0.2">
      <c r="A99" s="353">
        <f>+'Purchased Power Model '!A99</f>
        <v>40544</v>
      </c>
      <c r="B99" s="359">
        <f>+'Purchased Power Model '!B99</f>
        <v>113644387.32076925</v>
      </c>
      <c r="C99" s="355">
        <f>+'Purchased Power Model '!C99</f>
        <v>760.9</v>
      </c>
      <c r="D99" s="355">
        <f>+'Purchased Power Model '!D99</f>
        <v>0</v>
      </c>
      <c r="E99" s="356">
        <f>+'Purchased Power Model '!E99</f>
        <v>8.6999999999999994E-2</v>
      </c>
      <c r="F99" s="357">
        <f>+'Purchased Power Model '!F99</f>
        <v>31</v>
      </c>
      <c r="G99" s="357">
        <f>+'Purchased Power Model '!G99</f>
        <v>0</v>
      </c>
      <c r="H99" s="358">
        <f>+'Purchased Power Model '!H99</f>
        <v>116101790.72769414</v>
      </c>
      <c r="J99" s="353">
        <f>+'10 Year Average'!A99</f>
        <v>40544</v>
      </c>
      <c r="K99" s="359">
        <f>+'10 Year Average'!B99</f>
        <v>113644387.32076925</v>
      </c>
      <c r="L99" s="355">
        <f>+'10 Year Average'!C99</f>
        <v>760.9</v>
      </c>
      <c r="M99" s="355">
        <f>+'10 Year Average'!D99</f>
        <v>0</v>
      </c>
      <c r="N99" s="356">
        <f>+'10 Year Average'!E99</f>
        <v>8.6999999999999994E-2</v>
      </c>
      <c r="O99" s="357">
        <f>+'10 Year Average'!F99</f>
        <v>31</v>
      </c>
      <c r="P99" s="357">
        <f>+'10 Year Average'!G99</f>
        <v>0</v>
      </c>
      <c r="Q99" s="358">
        <f>+'10 Year Average'!H99</f>
        <v>116101790.72769414</v>
      </c>
      <c r="S99" s="353">
        <f>+'20 Year Trend'!A99</f>
        <v>40544</v>
      </c>
      <c r="T99" s="359">
        <f>+'20 Year Trend'!B99</f>
        <v>113644387.32076925</v>
      </c>
      <c r="U99" s="355">
        <f>+'20 Year Trend'!C99</f>
        <v>760.9</v>
      </c>
      <c r="V99" s="355">
        <f>+'20 Year Trend'!D99</f>
        <v>0</v>
      </c>
      <c r="W99" s="356">
        <f>+'20 Year Trend'!E99</f>
        <v>8.6999999999999994E-2</v>
      </c>
      <c r="X99" s="357">
        <f>+'20 Year Trend'!F99</f>
        <v>31</v>
      </c>
      <c r="Y99" s="357">
        <f>+'20 Year Trend'!G99</f>
        <v>0</v>
      </c>
      <c r="Z99" s="358">
        <f>+'20 Year Trend'!H99</f>
        <v>116101790.72769414</v>
      </c>
    </row>
    <row r="100" spans="1:26" x14ac:dyDescent="0.2">
      <c r="A100" s="353">
        <f>+'Purchased Power Model '!A100</f>
        <v>40575</v>
      </c>
      <c r="B100" s="359">
        <f>+'Purchased Power Model '!B100</f>
        <v>100561048.38461539</v>
      </c>
      <c r="C100" s="355">
        <f>+'Purchased Power Model '!C100</f>
        <v>634.19999999999993</v>
      </c>
      <c r="D100" s="355">
        <f>+'Purchased Power Model '!D100</f>
        <v>0</v>
      </c>
      <c r="E100" s="356">
        <f>+'Purchased Power Model '!E100</f>
        <v>8.6999999999999994E-2</v>
      </c>
      <c r="F100" s="357">
        <f>+'Purchased Power Model '!F100</f>
        <v>28</v>
      </c>
      <c r="G100" s="357">
        <f>+'Purchased Power Model '!G100</f>
        <v>0</v>
      </c>
      <c r="H100" s="358">
        <f>+'Purchased Power Model '!H100</f>
        <v>102568229.91629781</v>
      </c>
      <c r="J100" s="353">
        <f>+'10 Year Average'!A100</f>
        <v>40575</v>
      </c>
      <c r="K100" s="359">
        <f>+'10 Year Average'!B100</f>
        <v>100561048.38461539</v>
      </c>
      <c r="L100" s="355">
        <f>+'10 Year Average'!C100</f>
        <v>634.19999999999993</v>
      </c>
      <c r="M100" s="355">
        <f>+'10 Year Average'!D100</f>
        <v>0</v>
      </c>
      <c r="N100" s="356">
        <f>+'10 Year Average'!E100</f>
        <v>8.6999999999999994E-2</v>
      </c>
      <c r="O100" s="357">
        <f>+'10 Year Average'!F100</f>
        <v>28</v>
      </c>
      <c r="P100" s="357">
        <f>+'10 Year Average'!G100</f>
        <v>0</v>
      </c>
      <c r="Q100" s="358">
        <f>+'10 Year Average'!H100</f>
        <v>102568229.91629781</v>
      </c>
      <c r="S100" s="353">
        <f>+'20 Year Trend'!A100</f>
        <v>40575</v>
      </c>
      <c r="T100" s="359">
        <f>+'20 Year Trend'!B100</f>
        <v>100561048.38461539</v>
      </c>
      <c r="U100" s="355">
        <f>+'20 Year Trend'!C100</f>
        <v>634.19999999999993</v>
      </c>
      <c r="V100" s="355">
        <f>+'20 Year Trend'!D100</f>
        <v>0</v>
      </c>
      <c r="W100" s="356">
        <f>+'20 Year Trend'!E100</f>
        <v>8.6999999999999994E-2</v>
      </c>
      <c r="X100" s="357">
        <f>+'20 Year Trend'!F100</f>
        <v>28</v>
      </c>
      <c r="Y100" s="357">
        <f>+'20 Year Trend'!G100</f>
        <v>0</v>
      </c>
      <c r="Z100" s="358">
        <f>+'20 Year Trend'!H100</f>
        <v>102568229.91629781</v>
      </c>
    </row>
    <row r="101" spans="1:26" x14ac:dyDescent="0.2">
      <c r="A101" s="353">
        <f>+'Purchased Power Model '!A101</f>
        <v>40603</v>
      </c>
      <c r="B101" s="359">
        <f>+'Purchased Power Model '!B101</f>
        <v>102613396.81846155</v>
      </c>
      <c r="C101" s="355">
        <f>+'Purchased Power Model '!C101</f>
        <v>559.80000000000007</v>
      </c>
      <c r="D101" s="355">
        <f>+'Purchased Power Model '!D101</f>
        <v>0</v>
      </c>
      <c r="E101" s="356">
        <f>+'Purchased Power Model '!E101</f>
        <v>8.6999999999999994E-2</v>
      </c>
      <c r="F101" s="357">
        <f>+'Purchased Power Model '!F101</f>
        <v>31</v>
      </c>
      <c r="G101" s="357">
        <f>+'Purchased Power Model '!G101</f>
        <v>1</v>
      </c>
      <c r="H101" s="358">
        <f>+'Purchased Power Model '!H101</f>
        <v>100984558.35293299</v>
      </c>
      <c r="J101" s="353">
        <f>+'10 Year Average'!A101</f>
        <v>40603</v>
      </c>
      <c r="K101" s="359">
        <f>+'10 Year Average'!B101</f>
        <v>102613396.81846155</v>
      </c>
      <c r="L101" s="355">
        <f>+'10 Year Average'!C101</f>
        <v>559.80000000000007</v>
      </c>
      <c r="M101" s="355">
        <f>+'10 Year Average'!D101</f>
        <v>0</v>
      </c>
      <c r="N101" s="356">
        <f>+'10 Year Average'!E101</f>
        <v>8.6999999999999994E-2</v>
      </c>
      <c r="O101" s="357">
        <f>+'10 Year Average'!F101</f>
        <v>31</v>
      </c>
      <c r="P101" s="357">
        <f>+'10 Year Average'!G101</f>
        <v>1</v>
      </c>
      <c r="Q101" s="358">
        <f>+'10 Year Average'!H101</f>
        <v>100984558.35293299</v>
      </c>
      <c r="S101" s="353">
        <f>+'20 Year Trend'!A101</f>
        <v>40603</v>
      </c>
      <c r="T101" s="359">
        <f>+'20 Year Trend'!B101</f>
        <v>102613396.81846155</v>
      </c>
      <c r="U101" s="355">
        <f>+'20 Year Trend'!C101</f>
        <v>559.80000000000007</v>
      </c>
      <c r="V101" s="355">
        <f>+'20 Year Trend'!D101</f>
        <v>0</v>
      </c>
      <c r="W101" s="356">
        <f>+'20 Year Trend'!E101</f>
        <v>8.6999999999999994E-2</v>
      </c>
      <c r="X101" s="357">
        <f>+'20 Year Trend'!F101</f>
        <v>31</v>
      </c>
      <c r="Y101" s="357">
        <f>+'20 Year Trend'!G101</f>
        <v>1</v>
      </c>
      <c r="Z101" s="358">
        <f>+'20 Year Trend'!H101</f>
        <v>100984558.35293299</v>
      </c>
    </row>
    <row r="102" spans="1:26" x14ac:dyDescent="0.2">
      <c r="A102" s="353">
        <f>+'Purchased Power Model '!A102</f>
        <v>40634</v>
      </c>
      <c r="B102" s="359">
        <f>+'Purchased Power Model '!B102</f>
        <v>87015565.163076922</v>
      </c>
      <c r="C102" s="355">
        <f>+'Purchased Power Model '!C102</f>
        <v>350.79999999999995</v>
      </c>
      <c r="D102" s="355">
        <f>+'Purchased Power Model '!D102</f>
        <v>0</v>
      </c>
      <c r="E102" s="356">
        <f>+'Purchased Power Model '!E102</f>
        <v>9.3000000000000013E-2</v>
      </c>
      <c r="F102" s="357">
        <f>+'Purchased Power Model '!F102</f>
        <v>30</v>
      </c>
      <c r="G102" s="357">
        <f>+'Purchased Power Model '!G102</f>
        <v>1</v>
      </c>
      <c r="H102" s="358">
        <f>+'Purchased Power Model '!H102</f>
        <v>89024319.515668094</v>
      </c>
      <c r="J102" s="353">
        <f>+'10 Year Average'!A102</f>
        <v>40634</v>
      </c>
      <c r="K102" s="359">
        <f>+'10 Year Average'!B102</f>
        <v>87015565.163076922</v>
      </c>
      <c r="L102" s="355">
        <f>+'10 Year Average'!C102</f>
        <v>350.79999999999995</v>
      </c>
      <c r="M102" s="355">
        <f>+'10 Year Average'!D102</f>
        <v>0</v>
      </c>
      <c r="N102" s="356">
        <f>+'10 Year Average'!E102</f>
        <v>9.3000000000000013E-2</v>
      </c>
      <c r="O102" s="357">
        <f>+'10 Year Average'!F102</f>
        <v>30</v>
      </c>
      <c r="P102" s="357">
        <f>+'10 Year Average'!G102</f>
        <v>1</v>
      </c>
      <c r="Q102" s="358">
        <f>+'10 Year Average'!H102</f>
        <v>89024319.515668094</v>
      </c>
      <c r="S102" s="353">
        <f>+'20 Year Trend'!A102</f>
        <v>40634</v>
      </c>
      <c r="T102" s="359">
        <f>+'20 Year Trend'!B102</f>
        <v>87015565.163076922</v>
      </c>
      <c r="U102" s="355">
        <f>+'20 Year Trend'!C102</f>
        <v>350.79999999999995</v>
      </c>
      <c r="V102" s="355">
        <f>+'20 Year Trend'!D102</f>
        <v>0</v>
      </c>
      <c r="W102" s="356">
        <f>+'20 Year Trend'!E102</f>
        <v>9.3000000000000013E-2</v>
      </c>
      <c r="X102" s="357">
        <f>+'20 Year Trend'!F102</f>
        <v>30</v>
      </c>
      <c r="Y102" s="357">
        <f>+'20 Year Trend'!G102</f>
        <v>1</v>
      </c>
      <c r="Z102" s="358">
        <f>+'20 Year Trend'!H102</f>
        <v>89024319.515668094</v>
      </c>
    </row>
    <row r="103" spans="1:26" x14ac:dyDescent="0.2">
      <c r="A103" s="353">
        <f>+'Purchased Power Model '!A103</f>
        <v>40664</v>
      </c>
      <c r="B103" s="359">
        <f>+'Purchased Power Model '!B103</f>
        <v>82921009.75</v>
      </c>
      <c r="C103" s="355">
        <f>+'Purchased Power Model '!C103</f>
        <v>157.69999999999996</v>
      </c>
      <c r="D103" s="355">
        <f>+'Purchased Power Model '!D103</f>
        <v>2.8</v>
      </c>
      <c r="E103" s="356">
        <f>+'Purchased Power Model '!E103</f>
        <v>9.3000000000000013E-2</v>
      </c>
      <c r="F103" s="357">
        <f>+'Purchased Power Model '!F103</f>
        <v>31</v>
      </c>
      <c r="G103" s="357">
        <f>+'Purchased Power Model '!G103</f>
        <v>1</v>
      </c>
      <c r="H103" s="358">
        <f>+'Purchased Power Model '!H103</f>
        <v>84467089.192767546</v>
      </c>
      <c r="J103" s="353">
        <f>+'10 Year Average'!A103</f>
        <v>40664</v>
      </c>
      <c r="K103" s="359">
        <f>+'10 Year Average'!B103</f>
        <v>82921009.75</v>
      </c>
      <c r="L103" s="355">
        <f>+'10 Year Average'!C103</f>
        <v>157.69999999999996</v>
      </c>
      <c r="M103" s="355">
        <f>+'10 Year Average'!D103</f>
        <v>2.8</v>
      </c>
      <c r="N103" s="356">
        <f>+'10 Year Average'!E103</f>
        <v>9.3000000000000013E-2</v>
      </c>
      <c r="O103" s="357">
        <f>+'10 Year Average'!F103</f>
        <v>31</v>
      </c>
      <c r="P103" s="357">
        <f>+'10 Year Average'!G103</f>
        <v>1</v>
      </c>
      <c r="Q103" s="358">
        <f>+'10 Year Average'!H103</f>
        <v>84467089.192767546</v>
      </c>
      <c r="S103" s="353">
        <f>+'20 Year Trend'!A103</f>
        <v>40664</v>
      </c>
      <c r="T103" s="359">
        <f>+'20 Year Trend'!B103</f>
        <v>82921009.75</v>
      </c>
      <c r="U103" s="355">
        <f>+'20 Year Trend'!C103</f>
        <v>157.69999999999996</v>
      </c>
      <c r="V103" s="355">
        <f>+'20 Year Trend'!D103</f>
        <v>2.8</v>
      </c>
      <c r="W103" s="356">
        <f>+'20 Year Trend'!E103</f>
        <v>9.3000000000000013E-2</v>
      </c>
      <c r="X103" s="357">
        <f>+'20 Year Trend'!F103</f>
        <v>31</v>
      </c>
      <c r="Y103" s="357">
        <f>+'20 Year Trend'!G103</f>
        <v>1</v>
      </c>
      <c r="Z103" s="358">
        <f>+'20 Year Trend'!H103</f>
        <v>84467089.192767546</v>
      </c>
    </row>
    <row r="104" spans="1:26" x14ac:dyDescent="0.2">
      <c r="A104" s="353">
        <f>+'Purchased Power Model '!A104</f>
        <v>40695</v>
      </c>
      <c r="B104" s="359">
        <f>+'Purchased Power Model '!B104</f>
        <v>88149132.009230778</v>
      </c>
      <c r="C104" s="355">
        <f>+'Purchased Power Model '!C104</f>
        <v>26.699999999999996</v>
      </c>
      <c r="D104" s="355">
        <f>+'Purchased Power Model '!D104</f>
        <v>36.900000000000006</v>
      </c>
      <c r="E104" s="356">
        <f>+'Purchased Power Model '!E104</f>
        <v>9.3000000000000013E-2</v>
      </c>
      <c r="F104" s="357">
        <f>+'Purchased Power Model '!F104</f>
        <v>30</v>
      </c>
      <c r="G104" s="357">
        <f>+'Purchased Power Model '!G104</f>
        <v>0</v>
      </c>
      <c r="H104" s="358">
        <f>+'Purchased Power Model '!H104</f>
        <v>88338980.848209575</v>
      </c>
      <c r="J104" s="353">
        <f>+'10 Year Average'!A104</f>
        <v>40695</v>
      </c>
      <c r="K104" s="359">
        <f>+'10 Year Average'!B104</f>
        <v>88149132.009230778</v>
      </c>
      <c r="L104" s="355">
        <f>+'10 Year Average'!C104</f>
        <v>26.699999999999996</v>
      </c>
      <c r="M104" s="355">
        <f>+'10 Year Average'!D104</f>
        <v>36.900000000000006</v>
      </c>
      <c r="N104" s="356">
        <f>+'10 Year Average'!E104</f>
        <v>9.3000000000000013E-2</v>
      </c>
      <c r="O104" s="357">
        <f>+'10 Year Average'!F104</f>
        <v>30</v>
      </c>
      <c r="P104" s="357">
        <f>+'10 Year Average'!G104</f>
        <v>0</v>
      </c>
      <c r="Q104" s="358">
        <f>+'10 Year Average'!H104</f>
        <v>88338980.848209575</v>
      </c>
      <c r="S104" s="353">
        <f>+'20 Year Trend'!A104</f>
        <v>40695</v>
      </c>
      <c r="T104" s="359">
        <f>+'20 Year Trend'!B104</f>
        <v>88149132.009230778</v>
      </c>
      <c r="U104" s="355">
        <f>+'20 Year Trend'!C104</f>
        <v>26.699999999999996</v>
      </c>
      <c r="V104" s="355">
        <f>+'20 Year Trend'!D104</f>
        <v>36.900000000000006</v>
      </c>
      <c r="W104" s="356">
        <f>+'20 Year Trend'!E104</f>
        <v>9.3000000000000013E-2</v>
      </c>
      <c r="X104" s="357">
        <f>+'20 Year Trend'!F104</f>
        <v>30</v>
      </c>
      <c r="Y104" s="357">
        <f>+'20 Year Trend'!G104</f>
        <v>0</v>
      </c>
      <c r="Z104" s="358">
        <f>+'20 Year Trend'!H104</f>
        <v>88338980.848209575</v>
      </c>
    </row>
    <row r="105" spans="1:26" x14ac:dyDescent="0.2">
      <c r="A105" s="353">
        <f>+'Purchased Power Model '!A105</f>
        <v>40725</v>
      </c>
      <c r="B105" s="359">
        <f>+'Purchased Power Model '!B105</f>
        <v>108927664.71923079</v>
      </c>
      <c r="C105" s="355">
        <f>+'Purchased Power Model '!C105</f>
        <v>0.2</v>
      </c>
      <c r="D105" s="355">
        <f>+'Purchased Power Model '!D105</f>
        <v>141.19999999999999</v>
      </c>
      <c r="E105" s="356">
        <f>+'Purchased Power Model '!E105</f>
        <v>7.2000000000000008E-2</v>
      </c>
      <c r="F105" s="357">
        <f>+'Purchased Power Model '!F105</f>
        <v>31</v>
      </c>
      <c r="G105" s="357">
        <f>+'Purchased Power Model '!G105</f>
        <v>0</v>
      </c>
      <c r="H105" s="358">
        <f>+'Purchased Power Model '!H105</f>
        <v>107751785.91186549</v>
      </c>
      <c r="J105" s="353">
        <f>+'10 Year Average'!A105</f>
        <v>40725</v>
      </c>
      <c r="K105" s="359">
        <f>+'10 Year Average'!B105</f>
        <v>108927664.71923079</v>
      </c>
      <c r="L105" s="355">
        <f>+'10 Year Average'!C105</f>
        <v>0.2</v>
      </c>
      <c r="M105" s="355">
        <f>+'10 Year Average'!D105</f>
        <v>141.19999999999999</v>
      </c>
      <c r="N105" s="356">
        <f>+'10 Year Average'!E105</f>
        <v>7.2000000000000008E-2</v>
      </c>
      <c r="O105" s="357">
        <f>+'10 Year Average'!F105</f>
        <v>31</v>
      </c>
      <c r="P105" s="357">
        <f>+'10 Year Average'!G105</f>
        <v>0</v>
      </c>
      <c r="Q105" s="358">
        <f>+'10 Year Average'!H105</f>
        <v>107751785.91186549</v>
      </c>
      <c r="S105" s="353">
        <f>+'20 Year Trend'!A105</f>
        <v>40725</v>
      </c>
      <c r="T105" s="359">
        <f>+'20 Year Trend'!B105</f>
        <v>108927664.71923079</v>
      </c>
      <c r="U105" s="355">
        <f>+'20 Year Trend'!C105</f>
        <v>0.2</v>
      </c>
      <c r="V105" s="355">
        <f>+'20 Year Trend'!D105</f>
        <v>141.19999999999999</v>
      </c>
      <c r="W105" s="356">
        <f>+'20 Year Trend'!E105</f>
        <v>7.2000000000000008E-2</v>
      </c>
      <c r="X105" s="357">
        <f>+'20 Year Trend'!F105</f>
        <v>31</v>
      </c>
      <c r="Y105" s="357">
        <f>+'20 Year Trend'!G105</f>
        <v>0</v>
      </c>
      <c r="Z105" s="358">
        <f>+'20 Year Trend'!H105</f>
        <v>107751785.91186549</v>
      </c>
    </row>
    <row r="106" spans="1:26" x14ac:dyDescent="0.2">
      <c r="A106" s="353">
        <f>+'Purchased Power Model '!A106</f>
        <v>40756</v>
      </c>
      <c r="B106" s="359">
        <f>+'Purchased Power Model '!B106</f>
        <v>100307973.92692308</v>
      </c>
      <c r="C106" s="355">
        <f>+'Purchased Power Model '!C106</f>
        <v>3.7</v>
      </c>
      <c r="D106" s="355">
        <f>+'Purchased Power Model '!D106</f>
        <v>80.499999999999957</v>
      </c>
      <c r="E106" s="356">
        <f>+'Purchased Power Model '!E106</f>
        <v>7.2000000000000008E-2</v>
      </c>
      <c r="F106" s="357">
        <f>+'Purchased Power Model '!F106</f>
        <v>31</v>
      </c>
      <c r="G106" s="357">
        <f>+'Purchased Power Model '!G106</f>
        <v>0</v>
      </c>
      <c r="H106" s="358">
        <f>+'Purchased Power Model '!H106</f>
        <v>99108507.245476365</v>
      </c>
      <c r="J106" s="353">
        <f>+'10 Year Average'!A106</f>
        <v>40756</v>
      </c>
      <c r="K106" s="359">
        <f>+'10 Year Average'!B106</f>
        <v>100307973.92692308</v>
      </c>
      <c r="L106" s="355">
        <f>+'10 Year Average'!C106</f>
        <v>3.7</v>
      </c>
      <c r="M106" s="355">
        <f>+'10 Year Average'!D106</f>
        <v>80.499999999999957</v>
      </c>
      <c r="N106" s="356">
        <f>+'10 Year Average'!E106</f>
        <v>7.2000000000000008E-2</v>
      </c>
      <c r="O106" s="357">
        <f>+'10 Year Average'!F106</f>
        <v>31</v>
      </c>
      <c r="P106" s="357">
        <f>+'10 Year Average'!G106</f>
        <v>0</v>
      </c>
      <c r="Q106" s="358">
        <f>+'10 Year Average'!H106</f>
        <v>99108507.245476365</v>
      </c>
      <c r="S106" s="353">
        <f>+'20 Year Trend'!A106</f>
        <v>40756</v>
      </c>
      <c r="T106" s="359">
        <f>+'20 Year Trend'!B106</f>
        <v>100307973.92692308</v>
      </c>
      <c r="U106" s="355">
        <f>+'20 Year Trend'!C106</f>
        <v>3.7</v>
      </c>
      <c r="V106" s="355">
        <f>+'20 Year Trend'!D106</f>
        <v>80.499999999999957</v>
      </c>
      <c r="W106" s="356">
        <f>+'20 Year Trend'!E106</f>
        <v>7.2000000000000008E-2</v>
      </c>
      <c r="X106" s="357">
        <f>+'20 Year Trend'!F106</f>
        <v>31</v>
      </c>
      <c r="Y106" s="357">
        <f>+'20 Year Trend'!G106</f>
        <v>0</v>
      </c>
      <c r="Z106" s="358">
        <f>+'20 Year Trend'!H106</f>
        <v>99108507.245476365</v>
      </c>
    </row>
    <row r="107" spans="1:26" x14ac:dyDescent="0.2">
      <c r="A107" s="353">
        <f>+'Purchased Power Model '!A107</f>
        <v>40787</v>
      </c>
      <c r="B107" s="359">
        <f>+'Purchased Power Model '!B107</f>
        <v>85805170.040769234</v>
      </c>
      <c r="C107" s="355">
        <f>+'Purchased Power Model '!C107</f>
        <v>48.900000000000006</v>
      </c>
      <c r="D107" s="355">
        <f>+'Purchased Power Model '!D107</f>
        <v>34.6</v>
      </c>
      <c r="E107" s="356">
        <f>+'Purchased Power Model '!E107</f>
        <v>7.2000000000000008E-2</v>
      </c>
      <c r="F107" s="357">
        <f>+'Purchased Power Model '!F107</f>
        <v>30</v>
      </c>
      <c r="G107" s="357">
        <f>+'Purchased Power Model '!G107</f>
        <v>1</v>
      </c>
      <c r="H107" s="358">
        <f>+'Purchased Power Model '!H107</f>
        <v>84452934.733734667</v>
      </c>
      <c r="J107" s="353">
        <f>+'10 Year Average'!A107</f>
        <v>40787</v>
      </c>
      <c r="K107" s="359">
        <f>+'10 Year Average'!B107</f>
        <v>85805170.040769234</v>
      </c>
      <c r="L107" s="355">
        <f>+'10 Year Average'!C107</f>
        <v>48.900000000000006</v>
      </c>
      <c r="M107" s="355">
        <f>+'10 Year Average'!D107</f>
        <v>34.6</v>
      </c>
      <c r="N107" s="356">
        <f>+'10 Year Average'!E107</f>
        <v>7.2000000000000008E-2</v>
      </c>
      <c r="O107" s="357">
        <f>+'10 Year Average'!F107</f>
        <v>30</v>
      </c>
      <c r="P107" s="357">
        <f>+'10 Year Average'!G107</f>
        <v>1</v>
      </c>
      <c r="Q107" s="358">
        <f>+'10 Year Average'!H107</f>
        <v>84452934.733734667</v>
      </c>
      <c r="S107" s="353">
        <f>+'20 Year Trend'!A107</f>
        <v>40787</v>
      </c>
      <c r="T107" s="359">
        <f>+'20 Year Trend'!B107</f>
        <v>85805170.040769234</v>
      </c>
      <c r="U107" s="355">
        <f>+'20 Year Trend'!C107</f>
        <v>48.900000000000006</v>
      </c>
      <c r="V107" s="355">
        <f>+'20 Year Trend'!D107</f>
        <v>34.6</v>
      </c>
      <c r="W107" s="356">
        <f>+'20 Year Trend'!E107</f>
        <v>7.2000000000000008E-2</v>
      </c>
      <c r="X107" s="357">
        <f>+'20 Year Trend'!F107</f>
        <v>30</v>
      </c>
      <c r="Y107" s="357">
        <f>+'20 Year Trend'!G107</f>
        <v>1</v>
      </c>
      <c r="Z107" s="358">
        <f>+'20 Year Trend'!H107</f>
        <v>84452934.733734667</v>
      </c>
    </row>
    <row r="108" spans="1:26" x14ac:dyDescent="0.2">
      <c r="A108" s="353">
        <f>+'Purchased Power Model '!A108</f>
        <v>40817</v>
      </c>
      <c r="B108" s="359">
        <f>+'Purchased Power Model '!B108</f>
        <v>85767949.723076925</v>
      </c>
      <c r="C108" s="355">
        <f>+'Purchased Power Model '!C108</f>
        <v>225.29999999999998</v>
      </c>
      <c r="D108" s="355">
        <f>+'Purchased Power Model '!D108</f>
        <v>0</v>
      </c>
      <c r="E108" s="356">
        <f>+'Purchased Power Model '!E108</f>
        <v>7.2000000000000008E-2</v>
      </c>
      <c r="F108" s="357">
        <f>+'Purchased Power Model '!F108</f>
        <v>31</v>
      </c>
      <c r="G108" s="357">
        <f>+'Purchased Power Model '!G108</f>
        <v>1</v>
      </c>
      <c r="H108" s="358">
        <f>+'Purchased Power Model '!H108</f>
        <v>89358032.874378905</v>
      </c>
      <c r="J108" s="353">
        <f>+'10 Year Average'!A108</f>
        <v>40817</v>
      </c>
      <c r="K108" s="359">
        <f>+'10 Year Average'!B108</f>
        <v>85767949.723076925</v>
      </c>
      <c r="L108" s="355">
        <f>+'10 Year Average'!C108</f>
        <v>225.29999999999998</v>
      </c>
      <c r="M108" s="355">
        <f>+'10 Year Average'!D108</f>
        <v>0</v>
      </c>
      <c r="N108" s="356">
        <f>+'10 Year Average'!E108</f>
        <v>7.2000000000000008E-2</v>
      </c>
      <c r="O108" s="357">
        <f>+'10 Year Average'!F108</f>
        <v>31</v>
      </c>
      <c r="P108" s="357">
        <f>+'10 Year Average'!G108</f>
        <v>1</v>
      </c>
      <c r="Q108" s="358">
        <f>+'10 Year Average'!H108</f>
        <v>89358032.874378905</v>
      </c>
      <c r="S108" s="353">
        <f>+'20 Year Trend'!A108</f>
        <v>40817</v>
      </c>
      <c r="T108" s="359">
        <f>+'20 Year Trend'!B108</f>
        <v>85767949.723076925</v>
      </c>
      <c r="U108" s="355">
        <f>+'20 Year Trend'!C108</f>
        <v>225.29999999999998</v>
      </c>
      <c r="V108" s="355">
        <f>+'20 Year Trend'!D108</f>
        <v>0</v>
      </c>
      <c r="W108" s="356">
        <f>+'20 Year Trend'!E108</f>
        <v>7.2000000000000008E-2</v>
      </c>
      <c r="X108" s="357">
        <f>+'20 Year Trend'!F108</f>
        <v>31</v>
      </c>
      <c r="Y108" s="357">
        <f>+'20 Year Trend'!G108</f>
        <v>1</v>
      </c>
      <c r="Z108" s="358">
        <f>+'20 Year Trend'!H108</f>
        <v>89358032.874378905</v>
      </c>
    </row>
    <row r="109" spans="1:26" x14ac:dyDescent="0.2">
      <c r="A109" s="353">
        <f>+'Purchased Power Model '!A109</f>
        <v>40848</v>
      </c>
      <c r="B109" s="359">
        <f>+'Purchased Power Model '!B109</f>
        <v>89407468.154615387</v>
      </c>
      <c r="C109" s="355">
        <f>+'Purchased Power Model '!C109</f>
        <v>349.69999999999993</v>
      </c>
      <c r="D109" s="355">
        <f>+'Purchased Power Model '!D109</f>
        <v>0</v>
      </c>
      <c r="E109" s="356">
        <f>+'Purchased Power Model '!E109</f>
        <v>7.2000000000000008E-2</v>
      </c>
      <c r="F109" s="357">
        <f>+'Purchased Power Model '!F109</f>
        <v>30</v>
      </c>
      <c r="G109" s="357">
        <f>+'Purchased Power Model '!G109</f>
        <v>1</v>
      </c>
      <c r="H109" s="358">
        <f>+'Purchased Power Model '!H109</f>
        <v>91554865.32237272</v>
      </c>
      <c r="J109" s="353">
        <f>+'10 Year Average'!A109</f>
        <v>40848</v>
      </c>
      <c r="K109" s="359">
        <f>+'10 Year Average'!B109</f>
        <v>89407468.154615387</v>
      </c>
      <c r="L109" s="355">
        <f>+'10 Year Average'!C109</f>
        <v>349.69999999999993</v>
      </c>
      <c r="M109" s="355">
        <f>+'10 Year Average'!D109</f>
        <v>0</v>
      </c>
      <c r="N109" s="356">
        <f>+'10 Year Average'!E109</f>
        <v>7.2000000000000008E-2</v>
      </c>
      <c r="O109" s="357">
        <f>+'10 Year Average'!F109</f>
        <v>30</v>
      </c>
      <c r="P109" s="357">
        <f>+'10 Year Average'!G109</f>
        <v>1</v>
      </c>
      <c r="Q109" s="358">
        <f>+'10 Year Average'!H109</f>
        <v>91554865.32237272</v>
      </c>
      <c r="S109" s="353">
        <f>+'20 Year Trend'!A109</f>
        <v>40848</v>
      </c>
      <c r="T109" s="359">
        <f>+'20 Year Trend'!B109</f>
        <v>89407468.154615387</v>
      </c>
      <c r="U109" s="355">
        <f>+'20 Year Trend'!C109</f>
        <v>349.69999999999993</v>
      </c>
      <c r="V109" s="355">
        <f>+'20 Year Trend'!D109</f>
        <v>0</v>
      </c>
      <c r="W109" s="356">
        <f>+'20 Year Trend'!E109</f>
        <v>7.2000000000000008E-2</v>
      </c>
      <c r="X109" s="357">
        <f>+'20 Year Trend'!F109</f>
        <v>30</v>
      </c>
      <c r="Y109" s="357">
        <f>+'20 Year Trend'!G109</f>
        <v>1</v>
      </c>
      <c r="Z109" s="358">
        <f>+'20 Year Trend'!H109</f>
        <v>91554865.32237272</v>
      </c>
    </row>
    <row r="110" spans="1:26" x14ac:dyDescent="0.2">
      <c r="A110" s="353">
        <f>+'Purchased Power Model '!A110</f>
        <v>40878</v>
      </c>
      <c r="B110" s="359">
        <f>+'Purchased Power Model '!B110</f>
        <v>103511621.38461539</v>
      </c>
      <c r="C110" s="355">
        <f>+'Purchased Power Model '!C110</f>
        <v>531.20000000000005</v>
      </c>
      <c r="D110" s="355">
        <f>+'Purchased Power Model '!D110</f>
        <v>0</v>
      </c>
      <c r="E110" s="356">
        <f>+'Purchased Power Model '!E110</f>
        <v>7.2000000000000008E-2</v>
      </c>
      <c r="F110" s="357">
        <f>+'Purchased Power Model '!F110</f>
        <v>31</v>
      </c>
      <c r="G110" s="357">
        <f>+'Purchased Power Model '!G110</f>
        <v>0</v>
      </c>
      <c r="H110" s="358">
        <f>+'Purchased Power Model '!H110</f>
        <v>108694111.60777897</v>
      </c>
      <c r="J110" s="353">
        <f>+'10 Year Average'!A110</f>
        <v>40878</v>
      </c>
      <c r="K110" s="359">
        <f>+'10 Year Average'!B110</f>
        <v>103511621.38461539</v>
      </c>
      <c r="L110" s="355">
        <f>+'10 Year Average'!C110</f>
        <v>531.20000000000005</v>
      </c>
      <c r="M110" s="355">
        <f>+'10 Year Average'!D110</f>
        <v>0</v>
      </c>
      <c r="N110" s="356">
        <f>+'10 Year Average'!E110</f>
        <v>7.2000000000000008E-2</v>
      </c>
      <c r="O110" s="357">
        <f>+'10 Year Average'!F110</f>
        <v>31</v>
      </c>
      <c r="P110" s="357">
        <f>+'10 Year Average'!G110</f>
        <v>0</v>
      </c>
      <c r="Q110" s="358">
        <f>+'10 Year Average'!H110</f>
        <v>108694111.60777897</v>
      </c>
      <c r="S110" s="353">
        <f>+'20 Year Trend'!A110</f>
        <v>40878</v>
      </c>
      <c r="T110" s="359">
        <f>+'20 Year Trend'!B110</f>
        <v>103511621.38461539</v>
      </c>
      <c r="U110" s="355">
        <f>+'20 Year Trend'!C110</f>
        <v>531.20000000000005</v>
      </c>
      <c r="V110" s="355">
        <f>+'20 Year Trend'!D110</f>
        <v>0</v>
      </c>
      <c r="W110" s="356">
        <f>+'20 Year Trend'!E110</f>
        <v>7.2000000000000008E-2</v>
      </c>
      <c r="X110" s="357">
        <f>+'20 Year Trend'!F110</f>
        <v>31</v>
      </c>
      <c r="Y110" s="357">
        <f>+'20 Year Trend'!G110</f>
        <v>0</v>
      </c>
      <c r="Z110" s="358">
        <f>+'20 Year Trend'!H110</f>
        <v>108694111.60777897</v>
      </c>
    </row>
    <row r="111" spans="1:26" x14ac:dyDescent="0.2">
      <c r="A111" s="353">
        <f>+'Purchased Power Model '!A111</f>
        <v>40909</v>
      </c>
      <c r="B111" s="359">
        <f>+'Purchased Power Model '!B111</f>
        <v>107982172.33461541</v>
      </c>
      <c r="C111" s="355">
        <f>+'Purchased Power Model '!C111</f>
        <v>611</v>
      </c>
      <c r="D111" s="355">
        <f>+'Purchased Power Model '!D111</f>
        <v>0</v>
      </c>
      <c r="E111" s="356">
        <f>+'Purchased Power Model '!E111</f>
        <v>0.08</v>
      </c>
      <c r="F111" s="357">
        <f>+'Purchased Power Model '!F111</f>
        <v>31</v>
      </c>
      <c r="G111" s="357">
        <f>+'Purchased Power Model '!G111</f>
        <v>0</v>
      </c>
      <c r="H111" s="358">
        <f>+'Purchased Power Model '!H111</f>
        <v>110925667.07647668</v>
      </c>
      <c r="J111" s="353">
        <f>+'10 Year Average'!A111</f>
        <v>40909</v>
      </c>
      <c r="K111" s="359">
        <f>+'10 Year Average'!B111</f>
        <v>107982172.33461541</v>
      </c>
      <c r="L111" s="355">
        <f>+'10 Year Average'!C111</f>
        <v>611</v>
      </c>
      <c r="M111" s="355">
        <f>+'10 Year Average'!D111</f>
        <v>0</v>
      </c>
      <c r="N111" s="356">
        <f>+'10 Year Average'!E111</f>
        <v>0.08</v>
      </c>
      <c r="O111" s="357">
        <f>+'10 Year Average'!F111</f>
        <v>31</v>
      </c>
      <c r="P111" s="357">
        <f>+'10 Year Average'!G111</f>
        <v>0</v>
      </c>
      <c r="Q111" s="358">
        <f>+'10 Year Average'!H111</f>
        <v>110925667.07647668</v>
      </c>
      <c r="S111" s="353">
        <f>+'20 Year Trend'!A111</f>
        <v>40909</v>
      </c>
      <c r="T111" s="359">
        <f>+'20 Year Trend'!B111</f>
        <v>107982172.33461541</v>
      </c>
      <c r="U111" s="355">
        <f>+'20 Year Trend'!C111</f>
        <v>611</v>
      </c>
      <c r="V111" s="355">
        <f>+'20 Year Trend'!D111</f>
        <v>0</v>
      </c>
      <c r="W111" s="356">
        <f>+'20 Year Trend'!E111</f>
        <v>0.08</v>
      </c>
      <c r="X111" s="357">
        <f>+'20 Year Trend'!F111</f>
        <v>31</v>
      </c>
      <c r="Y111" s="357">
        <f>+'20 Year Trend'!G111</f>
        <v>0</v>
      </c>
      <c r="Z111" s="358">
        <f>+'20 Year Trend'!H111</f>
        <v>110925667.07647668</v>
      </c>
    </row>
    <row r="112" spans="1:26" x14ac:dyDescent="0.2">
      <c r="A112" s="353">
        <f>+'Purchased Power Model '!A112</f>
        <v>40940</v>
      </c>
      <c r="B112" s="359">
        <f>+'Purchased Power Model '!B112</f>
        <v>97310518.529230773</v>
      </c>
      <c r="C112" s="355">
        <f>+'Purchased Power Model '!C112</f>
        <v>536.20000000000005</v>
      </c>
      <c r="D112" s="355">
        <f>+'Purchased Power Model '!D112</f>
        <v>0</v>
      </c>
      <c r="E112" s="356">
        <f>+'Purchased Power Model '!E112</f>
        <v>0.08</v>
      </c>
      <c r="F112" s="357">
        <f>+'Purchased Power Model '!F112</f>
        <v>29</v>
      </c>
      <c r="G112" s="357">
        <f>+'Purchased Power Model '!G112</f>
        <v>0</v>
      </c>
      <c r="H112" s="358">
        <f>+'Purchased Power Model '!H112</f>
        <v>102292436.15514034</v>
      </c>
      <c r="J112" s="353">
        <f>+'10 Year Average'!A112</f>
        <v>40940</v>
      </c>
      <c r="K112" s="359">
        <f>+'10 Year Average'!B112</f>
        <v>97310518.529230773</v>
      </c>
      <c r="L112" s="355">
        <f>+'10 Year Average'!C112</f>
        <v>536.20000000000005</v>
      </c>
      <c r="M112" s="355">
        <f>+'10 Year Average'!D112</f>
        <v>0</v>
      </c>
      <c r="N112" s="356">
        <f>+'10 Year Average'!E112</f>
        <v>0.08</v>
      </c>
      <c r="O112" s="357">
        <f>+'10 Year Average'!F112</f>
        <v>29</v>
      </c>
      <c r="P112" s="357">
        <f>+'10 Year Average'!G112</f>
        <v>0</v>
      </c>
      <c r="Q112" s="358">
        <f>+'10 Year Average'!H112</f>
        <v>102292436.15514034</v>
      </c>
      <c r="S112" s="353">
        <f>+'20 Year Trend'!A112</f>
        <v>40940</v>
      </c>
      <c r="T112" s="359">
        <f>+'20 Year Trend'!B112</f>
        <v>97310518.529230773</v>
      </c>
      <c r="U112" s="355">
        <f>+'20 Year Trend'!C112</f>
        <v>536.20000000000005</v>
      </c>
      <c r="V112" s="355">
        <f>+'20 Year Trend'!D112</f>
        <v>0</v>
      </c>
      <c r="W112" s="356">
        <f>+'20 Year Trend'!E112</f>
        <v>0.08</v>
      </c>
      <c r="X112" s="357">
        <f>+'20 Year Trend'!F112</f>
        <v>29</v>
      </c>
      <c r="Y112" s="357">
        <f>+'20 Year Trend'!G112</f>
        <v>0</v>
      </c>
      <c r="Z112" s="358">
        <f>+'20 Year Trend'!H112</f>
        <v>102292436.15514034</v>
      </c>
    </row>
    <row r="113" spans="1:26" x14ac:dyDescent="0.2">
      <c r="A113" s="353">
        <f>+'Purchased Power Model '!A113</f>
        <v>40969</v>
      </c>
      <c r="B113" s="359">
        <f>+'Purchased Power Model '!B113</f>
        <v>92940593.720769227</v>
      </c>
      <c r="C113" s="355">
        <f>+'Purchased Power Model '!C113</f>
        <v>399.39999999999992</v>
      </c>
      <c r="D113" s="355">
        <f>+'Purchased Power Model '!D113</f>
        <v>0</v>
      </c>
      <c r="E113" s="356">
        <f>+'Purchased Power Model '!E113</f>
        <v>0.08</v>
      </c>
      <c r="F113" s="357">
        <f>+'Purchased Power Model '!F113</f>
        <v>31</v>
      </c>
      <c r="G113" s="357">
        <f>+'Purchased Power Model '!G113</f>
        <v>1</v>
      </c>
      <c r="H113" s="358">
        <f>+'Purchased Power Model '!H113</f>
        <v>95385744.94250074</v>
      </c>
      <c r="J113" s="353">
        <f>+'10 Year Average'!A113</f>
        <v>40969</v>
      </c>
      <c r="K113" s="359">
        <f>+'10 Year Average'!B113</f>
        <v>92940593.720769227</v>
      </c>
      <c r="L113" s="355">
        <f>+'10 Year Average'!C113</f>
        <v>399.39999999999992</v>
      </c>
      <c r="M113" s="355">
        <f>+'10 Year Average'!D113</f>
        <v>0</v>
      </c>
      <c r="N113" s="356">
        <f>+'10 Year Average'!E113</f>
        <v>0.08</v>
      </c>
      <c r="O113" s="357">
        <f>+'10 Year Average'!F113</f>
        <v>31</v>
      </c>
      <c r="P113" s="357">
        <f>+'10 Year Average'!G113</f>
        <v>1</v>
      </c>
      <c r="Q113" s="358">
        <f>+'10 Year Average'!H113</f>
        <v>95385744.94250074</v>
      </c>
      <c r="S113" s="353">
        <f>+'20 Year Trend'!A113</f>
        <v>40969</v>
      </c>
      <c r="T113" s="359">
        <f>+'20 Year Trend'!B113</f>
        <v>92940593.720769227</v>
      </c>
      <c r="U113" s="355">
        <f>+'20 Year Trend'!C113</f>
        <v>399.39999999999992</v>
      </c>
      <c r="V113" s="355">
        <f>+'20 Year Trend'!D113</f>
        <v>0</v>
      </c>
      <c r="W113" s="356">
        <f>+'20 Year Trend'!E113</f>
        <v>0.08</v>
      </c>
      <c r="X113" s="357">
        <f>+'20 Year Trend'!F113</f>
        <v>31</v>
      </c>
      <c r="Y113" s="357">
        <f>+'20 Year Trend'!G113</f>
        <v>1</v>
      </c>
      <c r="Z113" s="358">
        <f>+'20 Year Trend'!H113</f>
        <v>95385744.94250074</v>
      </c>
    </row>
    <row r="114" spans="1:26" x14ac:dyDescent="0.2">
      <c r="A114" s="353">
        <f>+'Purchased Power Model '!A114</f>
        <v>41000</v>
      </c>
      <c r="B114" s="359">
        <f>+'Purchased Power Model '!B114</f>
        <v>84061512.170000002</v>
      </c>
      <c r="C114" s="355">
        <f>+'Purchased Power Model '!C114</f>
        <v>336.89999999999992</v>
      </c>
      <c r="D114" s="355">
        <f>+'Purchased Power Model '!D114</f>
        <v>0</v>
      </c>
      <c r="E114" s="356">
        <f>+'Purchased Power Model '!E114</f>
        <v>8.4000000000000005E-2</v>
      </c>
      <c r="F114" s="357">
        <f>+'Purchased Power Model '!F114</f>
        <v>30</v>
      </c>
      <c r="G114" s="357">
        <f>+'Purchased Power Model '!G114</f>
        <v>1</v>
      </c>
      <c r="H114" s="358">
        <f>+'Purchased Power Model '!H114</f>
        <v>89568256.325804234</v>
      </c>
      <c r="J114" s="353">
        <f>+'10 Year Average'!A114</f>
        <v>41000</v>
      </c>
      <c r="K114" s="359">
        <f>+'10 Year Average'!B114</f>
        <v>84061512.170000002</v>
      </c>
      <c r="L114" s="355">
        <f>+'10 Year Average'!C114</f>
        <v>336.89999999999992</v>
      </c>
      <c r="M114" s="355">
        <f>+'10 Year Average'!D114</f>
        <v>0</v>
      </c>
      <c r="N114" s="356">
        <f>+'10 Year Average'!E114</f>
        <v>8.4000000000000005E-2</v>
      </c>
      <c r="O114" s="357">
        <f>+'10 Year Average'!F114</f>
        <v>30</v>
      </c>
      <c r="P114" s="357">
        <f>+'10 Year Average'!G114</f>
        <v>1</v>
      </c>
      <c r="Q114" s="358">
        <f>+'10 Year Average'!H114</f>
        <v>89568256.325804234</v>
      </c>
      <c r="S114" s="353">
        <f>+'20 Year Trend'!A114</f>
        <v>41000</v>
      </c>
      <c r="T114" s="359">
        <f>+'20 Year Trend'!B114</f>
        <v>84061512.170000002</v>
      </c>
      <c r="U114" s="355">
        <f>+'20 Year Trend'!C114</f>
        <v>336.89999999999992</v>
      </c>
      <c r="V114" s="355">
        <f>+'20 Year Trend'!D114</f>
        <v>0</v>
      </c>
      <c r="W114" s="356">
        <f>+'20 Year Trend'!E114</f>
        <v>8.4000000000000005E-2</v>
      </c>
      <c r="X114" s="357">
        <f>+'20 Year Trend'!F114</f>
        <v>30</v>
      </c>
      <c r="Y114" s="357">
        <f>+'20 Year Trend'!G114</f>
        <v>1</v>
      </c>
      <c r="Z114" s="358">
        <f>+'20 Year Trend'!H114</f>
        <v>89568256.325804234</v>
      </c>
    </row>
    <row r="115" spans="1:26" x14ac:dyDescent="0.2">
      <c r="A115" s="353">
        <f>+'Purchased Power Model '!A115</f>
        <v>41030</v>
      </c>
      <c r="B115" s="359">
        <f>+'Purchased Power Model '!B115</f>
        <v>84298340.921818167</v>
      </c>
      <c r="C115" s="355">
        <f>+'Purchased Power Model '!C115</f>
        <v>109.30000000000001</v>
      </c>
      <c r="D115" s="355">
        <f>+'Purchased Power Model '!D115</f>
        <v>21.8</v>
      </c>
      <c r="E115" s="356">
        <f>+'Purchased Power Model '!E115</f>
        <v>8.4000000000000005E-2</v>
      </c>
      <c r="F115" s="357">
        <f>+'Purchased Power Model '!F115</f>
        <v>31</v>
      </c>
      <c r="G115" s="357">
        <f>+'Purchased Power Model '!G115</f>
        <v>1</v>
      </c>
      <c r="H115" s="358">
        <f>+'Purchased Power Model '!H115</f>
        <v>86371765.31987676</v>
      </c>
      <c r="J115" s="353">
        <f>+'10 Year Average'!A115</f>
        <v>41030</v>
      </c>
      <c r="K115" s="359">
        <f>+'10 Year Average'!B115</f>
        <v>84298340.921818167</v>
      </c>
      <c r="L115" s="355">
        <f>+'10 Year Average'!C115</f>
        <v>109.30000000000001</v>
      </c>
      <c r="M115" s="355">
        <f>+'10 Year Average'!D115</f>
        <v>21.8</v>
      </c>
      <c r="N115" s="356">
        <f>+'10 Year Average'!E115</f>
        <v>8.4000000000000005E-2</v>
      </c>
      <c r="O115" s="357">
        <f>+'10 Year Average'!F115</f>
        <v>31</v>
      </c>
      <c r="P115" s="357">
        <f>+'10 Year Average'!G115</f>
        <v>1</v>
      </c>
      <c r="Q115" s="358">
        <f>+'10 Year Average'!H115</f>
        <v>86371765.31987676</v>
      </c>
      <c r="S115" s="353">
        <f>+'20 Year Trend'!A115</f>
        <v>41030</v>
      </c>
      <c r="T115" s="359">
        <f>+'20 Year Trend'!B115</f>
        <v>84298340.921818167</v>
      </c>
      <c r="U115" s="355">
        <f>+'20 Year Trend'!C115</f>
        <v>109.30000000000001</v>
      </c>
      <c r="V115" s="355">
        <f>+'20 Year Trend'!D115</f>
        <v>21.8</v>
      </c>
      <c r="W115" s="356">
        <f>+'20 Year Trend'!E115</f>
        <v>8.4000000000000005E-2</v>
      </c>
      <c r="X115" s="357">
        <f>+'20 Year Trend'!F115</f>
        <v>31</v>
      </c>
      <c r="Y115" s="357">
        <f>+'20 Year Trend'!G115</f>
        <v>1</v>
      </c>
      <c r="Z115" s="358">
        <f>+'20 Year Trend'!H115</f>
        <v>86371765.31987676</v>
      </c>
    </row>
    <row r="116" spans="1:26" x14ac:dyDescent="0.2">
      <c r="A116" s="353">
        <f>+'Purchased Power Model '!A116</f>
        <v>41061</v>
      </c>
      <c r="B116" s="359">
        <f>+'Purchased Power Model '!B116</f>
        <v>93187121.853636354</v>
      </c>
      <c r="C116" s="355">
        <f>+'Purchased Power Model '!C116</f>
        <v>28.2</v>
      </c>
      <c r="D116" s="355">
        <f>+'Purchased Power Model '!D116</f>
        <v>64.3</v>
      </c>
      <c r="E116" s="356">
        <f>+'Purchased Power Model '!E116</f>
        <v>8.4000000000000005E-2</v>
      </c>
      <c r="F116" s="357">
        <f>+'Purchased Power Model '!F116</f>
        <v>30</v>
      </c>
      <c r="G116" s="357">
        <f>+'Purchased Power Model '!G116</f>
        <v>0</v>
      </c>
      <c r="H116" s="358">
        <f>+'Purchased Power Model '!H116</f>
        <v>93468042.241930321</v>
      </c>
      <c r="J116" s="353">
        <f>+'10 Year Average'!A116</f>
        <v>41061</v>
      </c>
      <c r="K116" s="359">
        <f>+'10 Year Average'!B116</f>
        <v>93187121.853636354</v>
      </c>
      <c r="L116" s="355">
        <f>+'10 Year Average'!C116</f>
        <v>28.2</v>
      </c>
      <c r="M116" s="355">
        <f>+'10 Year Average'!D116</f>
        <v>64.3</v>
      </c>
      <c r="N116" s="356">
        <f>+'10 Year Average'!E116</f>
        <v>8.4000000000000005E-2</v>
      </c>
      <c r="O116" s="357">
        <f>+'10 Year Average'!F116</f>
        <v>30</v>
      </c>
      <c r="P116" s="357">
        <f>+'10 Year Average'!G116</f>
        <v>0</v>
      </c>
      <c r="Q116" s="358">
        <f>+'10 Year Average'!H116</f>
        <v>93468042.241930321</v>
      </c>
      <c r="S116" s="353">
        <f>+'20 Year Trend'!A116</f>
        <v>41061</v>
      </c>
      <c r="T116" s="359">
        <f>+'20 Year Trend'!B116</f>
        <v>93187121.853636354</v>
      </c>
      <c r="U116" s="355">
        <f>+'20 Year Trend'!C116</f>
        <v>28.2</v>
      </c>
      <c r="V116" s="355">
        <f>+'20 Year Trend'!D116</f>
        <v>64.3</v>
      </c>
      <c r="W116" s="356">
        <f>+'20 Year Trend'!E116</f>
        <v>8.4000000000000005E-2</v>
      </c>
      <c r="X116" s="357">
        <f>+'20 Year Trend'!F116</f>
        <v>30</v>
      </c>
      <c r="Y116" s="357">
        <f>+'20 Year Trend'!G116</f>
        <v>0</v>
      </c>
      <c r="Z116" s="358">
        <f>+'20 Year Trend'!H116</f>
        <v>93468042.241930321</v>
      </c>
    </row>
    <row r="117" spans="1:26" x14ac:dyDescent="0.2">
      <c r="A117" s="353">
        <f>+'Purchased Power Model '!A117</f>
        <v>41091</v>
      </c>
      <c r="B117" s="359">
        <f>+'Purchased Power Model '!B117</f>
        <v>110767074.55090907</v>
      </c>
      <c r="C117" s="355">
        <f>+'Purchased Power Model '!C117</f>
        <v>0</v>
      </c>
      <c r="D117" s="355">
        <f>+'Purchased Power Model '!D117</f>
        <v>155.30000000000001</v>
      </c>
      <c r="E117" s="356">
        <f>+'Purchased Power Model '!E117</f>
        <v>9.3000000000000013E-2</v>
      </c>
      <c r="F117" s="357">
        <f>+'Purchased Power Model '!F117</f>
        <v>31</v>
      </c>
      <c r="G117" s="357">
        <f>+'Purchased Power Model '!G117</f>
        <v>0</v>
      </c>
      <c r="H117" s="358">
        <f>+'Purchased Power Model '!H117</f>
        <v>107209382.72268109</v>
      </c>
      <c r="J117" s="353">
        <f>+'10 Year Average'!A117</f>
        <v>41091</v>
      </c>
      <c r="K117" s="359">
        <f>+'10 Year Average'!B117</f>
        <v>110767074.55090907</v>
      </c>
      <c r="L117" s="355">
        <f>+'10 Year Average'!C117</f>
        <v>0</v>
      </c>
      <c r="M117" s="355">
        <f>+'10 Year Average'!D117</f>
        <v>155.30000000000001</v>
      </c>
      <c r="N117" s="356">
        <f>+'10 Year Average'!E117</f>
        <v>9.3000000000000013E-2</v>
      </c>
      <c r="O117" s="357">
        <f>+'10 Year Average'!F117</f>
        <v>31</v>
      </c>
      <c r="P117" s="357">
        <f>+'10 Year Average'!G117</f>
        <v>0</v>
      </c>
      <c r="Q117" s="358">
        <f>+'10 Year Average'!H117</f>
        <v>107209382.72268109</v>
      </c>
      <c r="S117" s="353">
        <f>+'20 Year Trend'!A117</f>
        <v>41091</v>
      </c>
      <c r="T117" s="359">
        <f>+'20 Year Trend'!B117</f>
        <v>110767074.55090907</v>
      </c>
      <c r="U117" s="355">
        <f>+'20 Year Trend'!C117</f>
        <v>0</v>
      </c>
      <c r="V117" s="355">
        <f>+'20 Year Trend'!D117</f>
        <v>155.30000000000001</v>
      </c>
      <c r="W117" s="356">
        <f>+'20 Year Trend'!E117</f>
        <v>9.3000000000000013E-2</v>
      </c>
      <c r="X117" s="357">
        <f>+'20 Year Trend'!F117</f>
        <v>31</v>
      </c>
      <c r="Y117" s="357">
        <f>+'20 Year Trend'!G117</f>
        <v>0</v>
      </c>
      <c r="Z117" s="358">
        <f>+'20 Year Trend'!H117</f>
        <v>107209382.72268109</v>
      </c>
    </row>
    <row r="118" spans="1:26" x14ac:dyDescent="0.2">
      <c r="A118" s="353">
        <f>+'Purchased Power Model '!A118</f>
        <v>41122</v>
      </c>
      <c r="B118" s="359">
        <f>+'Purchased Power Model '!B118</f>
        <v>101373951.59181817</v>
      </c>
      <c r="C118" s="355">
        <f>+'Purchased Power Model '!C118</f>
        <v>4.4000000000000004</v>
      </c>
      <c r="D118" s="355">
        <f>+'Purchased Power Model '!D118</f>
        <v>102.79999999999998</v>
      </c>
      <c r="E118" s="356">
        <f>+'Purchased Power Model '!E118</f>
        <v>9.3000000000000013E-2</v>
      </c>
      <c r="F118" s="357">
        <f>+'Purchased Power Model '!F118</f>
        <v>31</v>
      </c>
      <c r="G118" s="357">
        <f>+'Purchased Power Model '!G118</f>
        <v>0</v>
      </c>
      <c r="H118" s="358">
        <f>+'Purchased Power Model '!H118</f>
        <v>99788994.19642137</v>
      </c>
      <c r="J118" s="353">
        <f>+'10 Year Average'!A118</f>
        <v>41122</v>
      </c>
      <c r="K118" s="359">
        <f>+'10 Year Average'!B118</f>
        <v>101373951.59181817</v>
      </c>
      <c r="L118" s="355">
        <f>+'10 Year Average'!C118</f>
        <v>4.4000000000000004</v>
      </c>
      <c r="M118" s="355">
        <f>+'10 Year Average'!D118</f>
        <v>102.79999999999998</v>
      </c>
      <c r="N118" s="356">
        <f>+'10 Year Average'!E118</f>
        <v>9.3000000000000013E-2</v>
      </c>
      <c r="O118" s="357">
        <f>+'10 Year Average'!F118</f>
        <v>31</v>
      </c>
      <c r="P118" s="357">
        <f>+'10 Year Average'!G118</f>
        <v>0</v>
      </c>
      <c r="Q118" s="358">
        <f>+'10 Year Average'!H118</f>
        <v>99788994.19642137</v>
      </c>
      <c r="S118" s="353">
        <f>+'20 Year Trend'!A118</f>
        <v>41122</v>
      </c>
      <c r="T118" s="359">
        <f>+'20 Year Trend'!B118</f>
        <v>101373951.59181817</v>
      </c>
      <c r="U118" s="355">
        <f>+'20 Year Trend'!C118</f>
        <v>4.4000000000000004</v>
      </c>
      <c r="V118" s="355">
        <f>+'20 Year Trend'!D118</f>
        <v>102.79999999999998</v>
      </c>
      <c r="W118" s="356">
        <f>+'20 Year Trend'!E118</f>
        <v>9.3000000000000013E-2</v>
      </c>
      <c r="X118" s="357">
        <f>+'20 Year Trend'!F118</f>
        <v>31</v>
      </c>
      <c r="Y118" s="357">
        <f>+'20 Year Trend'!G118</f>
        <v>0</v>
      </c>
      <c r="Z118" s="358">
        <f>+'20 Year Trend'!H118</f>
        <v>99788994.19642137</v>
      </c>
    </row>
    <row r="119" spans="1:26" x14ac:dyDescent="0.2">
      <c r="A119" s="353">
        <f>+'Purchased Power Model '!A119</f>
        <v>41153</v>
      </c>
      <c r="B119" s="359">
        <f>+'Purchased Power Model '!B119</f>
        <v>85023139.218181819</v>
      </c>
      <c r="C119" s="355">
        <f>+'Purchased Power Model '!C119</f>
        <v>84</v>
      </c>
      <c r="D119" s="355">
        <f>+'Purchased Power Model '!D119</f>
        <v>24.400000000000002</v>
      </c>
      <c r="E119" s="356">
        <f>+'Purchased Power Model '!E119</f>
        <v>9.3000000000000013E-2</v>
      </c>
      <c r="F119" s="357">
        <f>+'Purchased Power Model '!F119</f>
        <v>30</v>
      </c>
      <c r="G119" s="357">
        <f>+'Purchased Power Model '!G119</f>
        <v>1</v>
      </c>
      <c r="H119" s="358">
        <f>+'Purchased Power Model '!H119</f>
        <v>81815009.866063863</v>
      </c>
      <c r="J119" s="353">
        <f>+'10 Year Average'!A119</f>
        <v>41153</v>
      </c>
      <c r="K119" s="359">
        <f>+'10 Year Average'!B119</f>
        <v>85023139.218181819</v>
      </c>
      <c r="L119" s="355">
        <f>+'10 Year Average'!C119</f>
        <v>84</v>
      </c>
      <c r="M119" s="355">
        <f>+'10 Year Average'!D119</f>
        <v>24.400000000000002</v>
      </c>
      <c r="N119" s="356">
        <f>+'10 Year Average'!E119</f>
        <v>9.3000000000000013E-2</v>
      </c>
      <c r="O119" s="357">
        <f>+'10 Year Average'!F119</f>
        <v>30</v>
      </c>
      <c r="P119" s="357">
        <f>+'10 Year Average'!G119</f>
        <v>1</v>
      </c>
      <c r="Q119" s="358">
        <f>+'10 Year Average'!H119</f>
        <v>81815009.866063863</v>
      </c>
      <c r="S119" s="353">
        <f>+'20 Year Trend'!A119</f>
        <v>41153</v>
      </c>
      <c r="T119" s="359">
        <f>+'20 Year Trend'!B119</f>
        <v>85023139.218181819</v>
      </c>
      <c r="U119" s="355">
        <f>+'20 Year Trend'!C119</f>
        <v>84</v>
      </c>
      <c r="V119" s="355">
        <f>+'20 Year Trend'!D119</f>
        <v>24.400000000000002</v>
      </c>
      <c r="W119" s="356">
        <f>+'20 Year Trend'!E119</f>
        <v>9.3000000000000013E-2</v>
      </c>
      <c r="X119" s="357">
        <f>+'20 Year Trend'!F119</f>
        <v>30</v>
      </c>
      <c r="Y119" s="357">
        <f>+'20 Year Trend'!G119</f>
        <v>1</v>
      </c>
      <c r="Z119" s="358">
        <f>+'20 Year Trend'!H119</f>
        <v>81815009.866063863</v>
      </c>
    </row>
    <row r="120" spans="1:26" x14ac:dyDescent="0.2">
      <c r="A120" s="353">
        <f>+'Purchased Power Model '!A120</f>
        <v>41183</v>
      </c>
      <c r="B120" s="359">
        <f>+'Purchased Power Model '!B120</f>
        <v>85295690.281818166</v>
      </c>
      <c r="C120" s="355">
        <f>+'Purchased Power Model '!C120</f>
        <v>228.99999999999994</v>
      </c>
      <c r="D120" s="355">
        <f>+'Purchased Power Model '!D120</f>
        <v>0</v>
      </c>
      <c r="E120" s="356">
        <f>+'Purchased Power Model '!E120</f>
        <v>9.4E-2</v>
      </c>
      <c r="F120" s="357">
        <f>+'Purchased Power Model '!F120</f>
        <v>31</v>
      </c>
      <c r="G120" s="357">
        <f>+'Purchased Power Model '!G120</f>
        <v>1</v>
      </c>
      <c r="H120" s="358">
        <f>+'Purchased Power Model '!H120</f>
        <v>86809542.265622526</v>
      </c>
      <c r="J120" s="353">
        <f>+'10 Year Average'!A120</f>
        <v>41183</v>
      </c>
      <c r="K120" s="359">
        <f>+'10 Year Average'!B120</f>
        <v>85295690.281818166</v>
      </c>
      <c r="L120" s="355">
        <f>+'10 Year Average'!C120</f>
        <v>228.99999999999994</v>
      </c>
      <c r="M120" s="355">
        <f>+'10 Year Average'!D120</f>
        <v>0</v>
      </c>
      <c r="N120" s="356">
        <f>+'10 Year Average'!E120</f>
        <v>9.4E-2</v>
      </c>
      <c r="O120" s="357">
        <f>+'10 Year Average'!F120</f>
        <v>31</v>
      </c>
      <c r="P120" s="357">
        <f>+'10 Year Average'!G120</f>
        <v>1</v>
      </c>
      <c r="Q120" s="358">
        <f>+'10 Year Average'!H120</f>
        <v>86809542.265622526</v>
      </c>
      <c r="S120" s="353">
        <f>+'20 Year Trend'!A120</f>
        <v>41183</v>
      </c>
      <c r="T120" s="359">
        <f>+'20 Year Trend'!B120</f>
        <v>85295690.281818166</v>
      </c>
      <c r="U120" s="355">
        <f>+'20 Year Trend'!C120</f>
        <v>228.99999999999994</v>
      </c>
      <c r="V120" s="355">
        <f>+'20 Year Trend'!D120</f>
        <v>0</v>
      </c>
      <c r="W120" s="356">
        <f>+'20 Year Trend'!E120</f>
        <v>9.4E-2</v>
      </c>
      <c r="X120" s="357">
        <f>+'20 Year Trend'!F120</f>
        <v>31</v>
      </c>
      <c r="Y120" s="357">
        <f>+'20 Year Trend'!G120</f>
        <v>1</v>
      </c>
      <c r="Z120" s="358">
        <f>+'20 Year Trend'!H120</f>
        <v>86809542.265622526</v>
      </c>
    </row>
    <row r="121" spans="1:26" x14ac:dyDescent="0.2">
      <c r="A121" s="353">
        <f>+'Purchased Power Model '!A121</f>
        <v>41214</v>
      </c>
      <c r="B121" s="359">
        <f>+'Purchased Power Model '!B121</f>
        <v>91679199.734545454</v>
      </c>
      <c r="C121" s="355">
        <f>+'Purchased Power Model '!C121</f>
        <v>427.89999999999992</v>
      </c>
      <c r="D121" s="355">
        <f>+'Purchased Power Model '!D121</f>
        <v>0</v>
      </c>
      <c r="E121" s="356">
        <f>+'Purchased Power Model '!E121</f>
        <v>9.4E-2</v>
      </c>
      <c r="F121" s="357">
        <f>+'Purchased Power Model '!F121</f>
        <v>30</v>
      </c>
      <c r="G121" s="357">
        <f>+'Purchased Power Model '!G121</f>
        <v>1</v>
      </c>
      <c r="H121" s="358">
        <f>+'Purchased Power Model '!H121</f>
        <v>92005459.195664048</v>
      </c>
      <c r="J121" s="353">
        <f>+'10 Year Average'!A121</f>
        <v>41214</v>
      </c>
      <c r="K121" s="359">
        <f>+'10 Year Average'!B121</f>
        <v>91679199.734545454</v>
      </c>
      <c r="L121" s="355">
        <f>+'10 Year Average'!C121</f>
        <v>427.89999999999992</v>
      </c>
      <c r="M121" s="355">
        <f>+'10 Year Average'!D121</f>
        <v>0</v>
      </c>
      <c r="N121" s="356">
        <f>+'10 Year Average'!E121</f>
        <v>9.4E-2</v>
      </c>
      <c r="O121" s="357">
        <f>+'10 Year Average'!F121</f>
        <v>30</v>
      </c>
      <c r="P121" s="357">
        <f>+'10 Year Average'!G121</f>
        <v>1</v>
      </c>
      <c r="Q121" s="358">
        <f>+'10 Year Average'!H121</f>
        <v>92005459.195664048</v>
      </c>
      <c r="S121" s="353">
        <f>+'20 Year Trend'!A121</f>
        <v>41214</v>
      </c>
      <c r="T121" s="359">
        <f>+'20 Year Trend'!B121</f>
        <v>91679199.734545454</v>
      </c>
      <c r="U121" s="355">
        <f>+'20 Year Trend'!C121</f>
        <v>427.89999999999992</v>
      </c>
      <c r="V121" s="355">
        <f>+'20 Year Trend'!D121</f>
        <v>0</v>
      </c>
      <c r="W121" s="356">
        <f>+'20 Year Trend'!E121</f>
        <v>9.4E-2</v>
      </c>
      <c r="X121" s="357">
        <f>+'20 Year Trend'!F121</f>
        <v>30</v>
      </c>
      <c r="Y121" s="357">
        <f>+'20 Year Trend'!G121</f>
        <v>1</v>
      </c>
      <c r="Z121" s="358">
        <f>+'20 Year Trend'!H121</f>
        <v>92005459.195664048</v>
      </c>
    </row>
    <row r="122" spans="1:26" ht="13.5" thickBot="1" x14ac:dyDescent="0.25">
      <c r="A122" s="361">
        <f>+'Purchased Power Model '!A122</f>
        <v>41244</v>
      </c>
      <c r="B122" s="462">
        <f>+'Purchased Power Model '!B122</f>
        <v>102292637.76363637</v>
      </c>
      <c r="C122" s="363">
        <f>+'Purchased Power Model '!C122</f>
        <v>451.09999999999997</v>
      </c>
      <c r="D122" s="363">
        <f>+'Purchased Power Model '!D122</f>
        <v>0</v>
      </c>
      <c r="E122" s="364">
        <f>+'Purchased Power Model '!E122</f>
        <v>9.4E-2</v>
      </c>
      <c r="F122" s="365">
        <f>+'Purchased Power Model '!F122</f>
        <v>31</v>
      </c>
      <c r="G122" s="365">
        <f>+'Purchased Power Model '!G122</f>
        <v>0</v>
      </c>
      <c r="H122" s="366">
        <f>+'Purchased Power Model '!H122</f>
        <v>102772154.15881324</v>
      </c>
      <c r="J122" s="361">
        <f>+'10 Year Average'!A122</f>
        <v>41244</v>
      </c>
      <c r="K122" s="462">
        <f>+'10 Year Average'!B122</f>
        <v>102292637.76363637</v>
      </c>
      <c r="L122" s="363">
        <f>+'10 Year Average'!C122</f>
        <v>451.09999999999997</v>
      </c>
      <c r="M122" s="363">
        <f>+'10 Year Average'!D122</f>
        <v>0</v>
      </c>
      <c r="N122" s="364">
        <f>+'10 Year Average'!E122</f>
        <v>9.4E-2</v>
      </c>
      <c r="O122" s="365">
        <f>+'10 Year Average'!F122</f>
        <v>31</v>
      </c>
      <c r="P122" s="365">
        <f>+'10 Year Average'!G122</f>
        <v>0</v>
      </c>
      <c r="Q122" s="366">
        <f>+'10 Year Average'!H122</f>
        <v>102772154.15881324</v>
      </c>
      <c r="S122" s="361">
        <f>+'20 Year Trend'!A122</f>
        <v>41244</v>
      </c>
      <c r="T122" s="462">
        <f>+'20 Year Trend'!B122</f>
        <v>102292637.76363637</v>
      </c>
      <c r="U122" s="363">
        <f>+'20 Year Trend'!C122</f>
        <v>451.09999999999997</v>
      </c>
      <c r="V122" s="363">
        <f>+'20 Year Trend'!D122</f>
        <v>0</v>
      </c>
      <c r="W122" s="364">
        <f>+'20 Year Trend'!E122</f>
        <v>9.4E-2</v>
      </c>
      <c r="X122" s="365">
        <f>+'20 Year Trend'!F122</f>
        <v>31</v>
      </c>
      <c r="Y122" s="365">
        <f>+'20 Year Trend'!G122</f>
        <v>0</v>
      </c>
      <c r="Z122" s="366">
        <f>+'20 Year Trend'!H122</f>
        <v>102772154.15881324</v>
      </c>
    </row>
    <row r="123" spans="1:26" x14ac:dyDescent="0.2">
      <c r="A123" s="353">
        <f>+'Purchased Power Model '!A123</f>
        <v>41275</v>
      </c>
      <c r="B123" s="359">
        <f>+'Purchased Power Model '!B123</f>
        <v>107376383.33333334</v>
      </c>
      <c r="C123" s="355">
        <f>+'Purchased Power Model '!C123</f>
        <v>615.40000000000009</v>
      </c>
      <c r="D123" s="355">
        <f>+'Purchased Power Model '!D123</f>
        <v>0</v>
      </c>
      <c r="E123" s="356">
        <f>+'Purchased Power Model '!E123</f>
        <v>8.4000000000000005E-2</v>
      </c>
      <c r="F123" s="357">
        <f>+'Purchased Power Model '!F123</f>
        <v>31</v>
      </c>
      <c r="G123" s="357">
        <f>+'Purchased Power Model '!G123</f>
        <v>0</v>
      </c>
      <c r="H123" s="358">
        <f>+'Purchased Power Model '!H123</f>
        <v>110612350.86300415</v>
      </c>
      <c r="J123" s="353">
        <f>+'10 Year Average'!A123</f>
        <v>41275</v>
      </c>
      <c r="K123" s="359">
        <f>+'10 Year Average'!B123</f>
        <v>107376383.33333334</v>
      </c>
      <c r="L123" s="355">
        <f>+'10 Year Average'!C123</f>
        <v>615.40000000000009</v>
      </c>
      <c r="M123" s="355">
        <f>+'10 Year Average'!D123</f>
        <v>0</v>
      </c>
      <c r="N123" s="356">
        <f>+'10 Year Average'!E123</f>
        <v>8.4000000000000005E-2</v>
      </c>
      <c r="O123" s="357">
        <f>+'10 Year Average'!F123</f>
        <v>31</v>
      </c>
      <c r="P123" s="357">
        <f>+'10 Year Average'!G123</f>
        <v>0</v>
      </c>
      <c r="Q123" s="358">
        <f>+'10 Year Average'!H123</f>
        <v>110612350.86300415</v>
      </c>
      <c r="S123" s="353">
        <f>+'20 Year Trend'!A123</f>
        <v>41275</v>
      </c>
      <c r="T123" s="359">
        <f>+'20 Year Trend'!B123</f>
        <v>107376383.33333334</v>
      </c>
      <c r="U123" s="355">
        <f>+'20 Year Trend'!C123</f>
        <v>615.40000000000009</v>
      </c>
      <c r="V123" s="355">
        <f>+'20 Year Trend'!D123</f>
        <v>0</v>
      </c>
      <c r="W123" s="356">
        <f>+'20 Year Trend'!E123</f>
        <v>8.4000000000000005E-2</v>
      </c>
      <c r="X123" s="357">
        <f>+'20 Year Trend'!F123</f>
        <v>31</v>
      </c>
      <c r="Y123" s="357">
        <f>+'20 Year Trend'!G123</f>
        <v>0</v>
      </c>
      <c r="Z123" s="358">
        <f>+'20 Year Trend'!H123</f>
        <v>110612350.86300415</v>
      </c>
    </row>
    <row r="124" spans="1:26" x14ac:dyDescent="0.2">
      <c r="A124" s="353">
        <f>+'Purchased Power Model '!A124</f>
        <v>41306</v>
      </c>
      <c r="B124" s="359">
        <f>+'Purchased Power Model '!B124</f>
        <v>98702891.666666672</v>
      </c>
      <c r="C124" s="355">
        <f>+'Purchased Power Model '!C124</f>
        <v>611.5</v>
      </c>
      <c r="D124" s="355">
        <f>+'Purchased Power Model '!D124</f>
        <v>0</v>
      </c>
      <c r="E124" s="356">
        <f>+'Purchased Power Model '!E124</f>
        <v>8.4000000000000005E-2</v>
      </c>
      <c r="F124" s="357">
        <f>+'Purchased Power Model '!F124</f>
        <v>28</v>
      </c>
      <c r="G124" s="357">
        <f>+'Purchased Power Model '!G124</f>
        <v>0</v>
      </c>
      <c r="H124" s="358">
        <f>+'Purchased Power Model '!H124</f>
        <v>102022247.42604348</v>
      </c>
      <c r="J124" s="353">
        <f>+'10 Year Average'!A124</f>
        <v>41306</v>
      </c>
      <c r="K124" s="359">
        <f>+'10 Year Average'!B124</f>
        <v>98702891.666666672</v>
      </c>
      <c r="L124" s="355">
        <f>+'10 Year Average'!C124</f>
        <v>611.5</v>
      </c>
      <c r="M124" s="355">
        <f>+'10 Year Average'!D124</f>
        <v>0</v>
      </c>
      <c r="N124" s="356">
        <f>+'10 Year Average'!E124</f>
        <v>8.4000000000000005E-2</v>
      </c>
      <c r="O124" s="357">
        <f>+'10 Year Average'!F124</f>
        <v>28</v>
      </c>
      <c r="P124" s="357">
        <f>+'10 Year Average'!G124</f>
        <v>0</v>
      </c>
      <c r="Q124" s="358">
        <f>+'10 Year Average'!H124</f>
        <v>102022247.42604348</v>
      </c>
      <c r="S124" s="353">
        <f>+'20 Year Trend'!A124</f>
        <v>41306</v>
      </c>
      <c r="T124" s="359">
        <f>+'20 Year Trend'!B124</f>
        <v>98702891.666666672</v>
      </c>
      <c r="U124" s="355">
        <f>+'20 Year Trend'!C124</f>
        <v>611.5</v>
      </c>
      <c r="V124" s="355">
        <f>+'20 Year Trend'!D124</f>
        <v>0</v>
      </c>
      <c r="W124" s="356">
        <f>+'20 Year Trend'!E124</f>
        <v>8.4000000000000005E-2</v>
      </c>
      <c r="X124" s="357">
        <f>+'20 Year Trend'!F124</f>
        <v>28</v>
      </c>
      <c r="Y124" s="357">
        <f>+'20 Year Trend'!G124</f>
        <v>0</v>
      </c>
      <c r="Z124" s="358">
        <f>+'20 Year Trend'!H124</f>
        <v>102022247.42604348</v>
      </c>
    </row>
    <row r="125" spans="1:26" x14ac:dyDescent="0.2">
      <c r="A125" s="353">
        <f>+'Purchased Power Model '!A125</f>
        <v>41334</v>
      </c>
      <c r="B125" s="359">
        <f>+'Purchased Power Model '!B125</f>
        <v>98851083.333333343</v>
      </c>
      <c r="C125" s="355">
        <f>+'Purchased Power Model '!C125</f>
        <v>545</v>
      </c>
      <c r="D125" s="355">
        <f>+'Purchased Power Model '!D125</f>
        <v>0</v>
      </c>
      <c r="E125" s="356">
        <f>+'Purchased Power Model '!E125</f>
        <v>8.4000000000000005E-2</v>
      </c>
      <c r="F125" s="357">
        <f>+'Purchased Power Model '!F125</f>
        <v>31</v>
      </c>
      <c r="G125" s="357">
        <f>+'Purchased Power Model '!G125</f>
        <v>1</v>
      </c>
      <c r="H125" s="358">
        <f>+'Purchased Power Model '!H125</f>
        <v>100756599.58627835</v>
      </c>
      <c r="J125" s="353">
        <f>+'10 Year Average'!A125</f>
        <v>41334</v>
      </c>
      <c r="K125" s="359">
        <f>+'10 Year Average'!B125</f>
        <v>98851083.333333343</v>
      </c>
      <c r="L125" s="355">
        <f>+'10 Year Average'!C125</f>
        <v>545</v>
      </c>
      <c r="M125" s="355">
        <f>+'10 Year Average'!D125</f>
        <v>0</v>
      </c>
      <c r="N125" s="356">
        <f>+'10 Year Average'!E125</f>
        <v>8.4000000000000005E-2</v>
      </c>
      <c r="O125" s="357">
        <f>+'10 Year Average'!F125</f>
        <v>31</v>
      </c>
      <c r="P125" s="357">
        <f>+'10 Year Average'!G125</f>
        <v>1</v>
      </c>
      <c r="Q125" s="358">
        <f>+'10 Year Average'!H125</f>
        <v>100756599.58627835</v>
      </c>
      <c r="S125" s="353">
        <f>+'20 Year Trend'!A125</f>
        <v>41334</v>
      </c>
      <c r="T125" s="359">
        <f>+'20 Year Trend'!B125</f>
        <v>98851083.333333343</v>
      </c>
      <c r="U125" s="355">
        <f>+'20 Year Trend'!C125</f>
        <v>545</v>
      </c>
      <c r="V125" s="355">
        <f>+'20 Year Trend'!D125</f>
        <v>0</v>
      </c>
      <c r="W125" s="356">
        <f>+'20 Year Trend'!E125</f>
        <v>8.4000000000000005E-2</v>
      </c>
      <c r="X125" s="357">
        <f>+'20 Year Trend'!F125</f>
        <v>31</v>
      </c>
      <c r="Y125" s="357">
        <f>+'20 Year Trend'!G125</f>
        <v>1</v>
      </c>
      <c r="Z125" s="358">
        <f>+'20 Year Trend'!H125</f>
        <v>100756599.58627835</v>
      </c>
    </row>
    <row r="126" spans="1:26" x14ac:dyDescent="0.2">
      <c r="A126" s="353">
        <f>+'Purchased Power Model '!A126</f>
        <v>41365</v>
      </c>
      <c r="B126" s="359">
        <f>+'Purchased Power Model '!B126</f>
        <v>87330008.333333343</v>
      </c>
      <c r="C126" s="355">
        <f>+'Purchased Power Model '!C126</f>
        <v>366.49999999999994</v>
      </c>
      <c r="D126" s="355">
        <f>+'Purchased Power Model '!D126</f>
        <v>0</v>
      </c>
      <c r="E126" s="356">
        <f>+'Purchased Power Model '!E126</f>
        <v>7.0999999999999994E-2</v>
      </c>
      <c r="F126" s="357">
        <f>+'Purchased Power Model '!F126</f>
        <v>30</v>
      </c>
      <c r="G126" s="357">
        <f>+'Purchased Power Model '!G126</f>
        <v>1</v>
      </c>
      <c r="H126" s="358">
        <f>+'Purchased Power Model '!H126</f>
        <v>92353779.774783194</v>
      </c>
      <c r="J126" s="353">
        <f>+'10 Year Average'!A126</f>
        <v>41365</v>
      </c>
      <c r="K126" s="359">
        <f>+'10 Year Average'!B126</f>
        <v>87330008.333333343</v>
      </c>
      <c r="L126" s="355">
        <f>+'10 Year Average'!C126</f>
        <v>366.49999999999994</v>
      </c>
      <c r="M126" s="355">
        <f>+'10 Year Average'!D126</f>
        <v>0</v>
      </c>
      <c r="N126" s="356">
        <f>+'10 Year Average'!E126</f>
        <v>7.0999999999999994E-2</v>
      </c>
      <c r="O126" s="357">
        <f>+'10 Year Average'!F126</f>
        <v>30</v>
      </c>
      <c r="P126" s="357">
        <f>+'10 Year Average'!G126</f>
        <v>1</v>
      </c>
      <c r="Q126" s="358">
        <f>+'10 Year Average'!H126</f>
        <v>92353779.774783194</v>
      </c>
      <c r="S126" s="353">
        <f>+'20 Year Trend'!A126</f>
        <v>41365</v>
      </c>
      <c r="T126" s="359">
        <f>+'20 Year Trend'!B126</f>
        <v>87330008.333333343</v>
      </c>
      <c r="U126" s="355">
        <f>+'20 Year Trend'!C126</f>
        <v>366.49999999999994</v>
      </c>
      <c r="V126" s="355">
        <f>+'20 Year Trend'!D126</f>
        <v>0</v>
      </c>
      <c r="W126" s="356">
        <f>+'20 Year Trend'!E126</f>
        <v>7.0999999999999994E-2</v>
      </c>
      <c r="X126" s="357">
        <f>+'20 Year Trend'!F126</f>
        <v>30</v>
      </c>
      <c r="Y126" s="357">
        <f>+'20 Year Trend'!G126</f>
        <v>1</v>
      </c>
      <c r="Z126" s="358">
        <f>+'20 Year Trend'!H126</f>
        <v>92353779.774783194</v>
      </c>
    </row>
    <row r="127" spans="1:26" x14ac:dyDescent="0.2">
      <c r="A127" s="353">
        <f>+'Purchased Power Model '!A127</f>
        <v>41395</v>
      </c>
      <c r="B127" s="359">
        <f>+'Purchased Power Model '!B127</f>
        <v>81913958.333333343</v>
      </c>
      <c r="C127" s="355">
        <f>+'Purchased Power Model '!C127</f>
        <v>133.4</v>
      </c>
      <c r="D127" s="355">
        <f>+'Purchased Power Model '!D127</f>
        <v>3</v>
      </c>
      <c r="E127" s="356">
        <f>+'Purchased Power Model '!E127</f>
        <v>7.0999999999999994E-2</v>
      </c>
      <c r="F127" s="357">
        <f>+'Purchased Power Model '!F127</f>
        <v>31</v>
      </c>
      <c r="G127" s="357">
        <f>+'Purchased Power Model '!G127</f>
        <v>1</v>
      </c>
      <c r="H127" s="358">
        <f>+'Purchased Power Model '!H127</f>
        <v>86215245.666925222</v>
      </c>
      <c r="J127" s="353">
        <f>+'10 Year Average'!A127</f>
        <v>41395</v>
      </c>
      <c r="K127" s="359">
        <f>+'10 Year Average'!B127</f>
        <v>81913958.333333343</v>
      </c>
      <c r="L127" s="355">
        <f>+'10 Year Average'!C127</f>
        <v>133.4</v>
      </c>
      <c r="M127" s="355">
        <f>+'10 Year Average'!D127</f>
        <v>3</v>
      </c>
      <c r="N127" s="356">
        <f>+'10 Year Average'!E127</f>
        <v>7.0999999999999994E-2</v>
      </c>
      <c r="O127" s="357">
        <f>+'10 Year Average'!F127</f>
        <v>31</v>
      </c>
      <c r="P127" s="357">
        <f>+'10 Year Average'!G127</f>
        <v>1</v>
      </c>
      <c r="Q127" s="358">
        <f>+'10 Year Average'!H127</f>
        <v>86215245.666925222</v>
      </c>
      <c r="S127" s="353">
        <f>+'20 Year Trend'!A127</f>
        <v>41395</v>
      </c>
      <c r="T127" s="359">
        <f>+'20 Year Trend'!B127</f>
        <v>81913958.333333343</v>
      </c>
      <c r="U127" s="355">
        <f>+'20 Year Trend'!C127</f>
        <v>133.4</v>
      </c>
      <c r="V127" s="355">
        <f>+'20 Year Trend'!D127</f>
        <v>3</v>
      </c>
      <c r="W127" s="356">
        <f>+'20 Year Trend'!E127</f>
        <v>7.0999999999999994E-2</v>
      </c>
      <c r="X127" s="357">
        <f>+'20 Year Trend'!F127</f>
        <v>31</v>
      </c>
      <c r="Y127" s="357">
        <f>+'20 Year Trend'!G127</f>
        <v>1</v>
      </c>
      <c r="Z127" s="358">
        <f>+'20 Year Trend'!H127</f>
        <v>86215245.666925222</v>
      </c>
    </row>
    <row r="128" spans="1:26" x14ac:dyDescent="0.2">
      <c r="A128" s="353">
        <f>+'Purchased Power Model '!A128</f>
        <v>41426</v>
      </c>
      <c r="B128" s="359">
        <f>+'Purchased Power Model '!B128</f>
        <v>86391933.333333343</v>
      </c>
      <c r="C128" s="355">
        <f>+'Purchased Power Model '!C128</f>
        <v>42.900000000000006</v>
      </c>
      <c r="D128" s="355">
        <f>+'Purchased Power Model '!D128</f>
        <v>32.200000000000003</v>
      </c>
      <c r="E128" s="356">
        <f>+'Purchased Power Model '!E128</f>
        <v>7.0999999999999994E-2</v>
      </c>
      <c r="F128" s="357">
        <f>+'Purchased Power Model '!F128</f>
        <v>30</v>
      </c>
      <c r="G128" s="357">
        <f>+'Purchased Power Model '!G128</f>
        <v>0</v>
      </c>
      <c r="H128" s="358">
        <f>+'Purchased Power Model '!H128</f>
        <v>91008410.645987555</v>
      </c>
      <c r="J128" s="353">
        <f>+'10 Year Average'!A128</f>
        <v>41426</v>
      </c>
      <c r="K128" s="359">
        <f>+'10 Year Average'!B128</f>
        <v>86391933.333333343</v>
      </c>
      <c r="L128" s="355">
        <f>+'10 Year Average'!C128</f>
        <v>42.900000000000006</v>
      </c>
      <c r="M128" s="355">
        <f>+'10 Year Average'!D128</f>
        <v>32.200000000000003</v>
      </c>
      <c r="N128" s="356">
        <f>+'10 Year Average'!E128</f>
        <v>7.0999999999999994E-2</v>
      </c>
      <c r="O128" s="357">
        <f>+'10 Year Average'!F128</f>
        <v>30</v>
      </c>
      <c r="P128" s="357">
        <f>+'10 Year Average'!G128</f>
        <v>0</v>
      </c>
      <c r="Q128" s="358">
        <f>+'10 Year Average'!H128</f>
        <v>91008410.645987555</v>
      </c>
      <c r="S128" s="353">
        <f>+'20 Year Trend'!A128</f>
        <v>41426</v>
      </c>
      <c r="T128" s="359">
        <f>+'20 Year Trend'!B128</f>
        <v>86391933.333333343</v>
      </c>
      <c r="U128" s="355">
        <f>+'20 Year Trend'!C128</f>
        <v>42.900000000000006</v>
      </c>
      <c r="V128" s="355">
        <f>+'20 Year Trend'!D128</f>
        <v>32.200000000000003</v>
      </c>
      <c r="W128" s="356">
        <f>+'20 Year Trend'!E128</f>
        <v>7.0999999999999994E-2</v>
      </c>
      <c r="X128" s="357">
        <f>+'20 Year Trend'!F128</f>
        <v>30</v>
      </c>
      <c r="Y128" s="357">
        <f>+'20 Year Trend'!G128</f>
        <v>0</v>
      </c>
      <c r="Z128" s="358">
        <f>+'20 Year Trend'!H128</f>
        <v>91008410.645987555</v>
      </c>
    </row>
    <row r="129" spans="1:26" x14ac:dyDescent="0.2">
      <c r="A129" s="353">
        <f>+'Purchased Power Model '!A129</f>
        <v>41456</v>
      </c>
      <c r="B129" s="359">
        <f>+'Purchased Power Model '!B129</f>
        <v>104037066.66666667</v>
      </c>
      <c r="C129" s="355">
        <f>+'Purchased Power Model '!C129</f>
        <v>4.4000000000000004</v>
      </c>
      <c r="D129" s="355">
        <f>+'Purchased Power Model '!D129</f>
        <v>109.99999999999999</v>
      </c>
      <c r="E129" s="356">
        <f>+'Purchased Power Model '!E129</f>
        <v>6.3E-2</v>
      </c>
      <c r="F129" s="357">
        <f>+'Purchased Power Model '!F129</f>
        <v>31</v>
      </c>
      <c r="G129" s="357">
        <f>+'Purchased Power Model '!G129</f>
        <v>0</v>
      </c>
      <c r="H129" s="358">
        <f>+'Purchased Power Model '!H129</f>
        <v>104509264.33169988</v>
      </c>
      <c r="J129" s="353">
        <f>+'10 Year Average'!A129</f>
        <v>41456</v>
      </c>
      <c r="K129" s="359">
        <f>+'10 Year Average'!B129</f>
        <v>104037066.66666667</v>
      </c>
      <c r="L129" s="355">
        <f>+'10 Year Average'!C129</f>
        <v>4.4000000000000004</v>
      </c>
      <c r="M129" s="355">
        <f>+'10 Year Average'!D129</f>
        <v>109.99999999999999</v>
      </c>
      <c r="N129" s="356">
        <f>+'10 Year Average'!E129</f>
        <v>6.3E-2</v>
      </c>
      <c r="O129" s="357">
        <f>+'10 Year Average'!F129</f>
        <v>31</v>
      </c>
      <c r="P129" s="357">
        <f>+'10 Year Average'!G129</f>
        <v>0</v>
      </c>
      <c r="Q129" s="358">
        <f>+'10 Year Average'!H129</f>
        <v>104509264.33169988</v>
      </c>
      <c r="S129" s="353">
        <f>+'20 Year Trend'!A129</f>
        <v>41456</v>
      </c>
      <c r="T129" s="359">
        <f>+'20 Year Trend'!B129</f>
        <v>104037066.66666667</v>
      </c>
      <c r="U129" s="355">
        <f>+'20 Year Trend'!C129</f>
        <v>4.4000000000000004</v>
      </c>
      <c r="V129" s="355">
        <f>+'20 Year Trend'!D129</f>
        <v>109.99999999999999</v>
      </c>
      <c r="W129" s="356">
        <f>+'20 Year Trend'!E129</f>
        <v>6.3E-2</v>
      </c>
      <c r="X129" s="357">
        <f>+'20 Year Trend'!F129</f>
        <v>31</v>
      </c>
      <c r="Y129" s="357">
        <f>+'20 Year Trend'!G129</f>
        <v>0</v>
      </c>
      <c r="Z129" s="358">
        <f>+'20 Year Trend'!H129</f>
        <v>104509264.33169988</v>
      </c>
    </row>
    <row r="130" spans="1:26" x14ac:dyDescent="0.2">
      <c r="A130" s="353">
        <f>+'Purchased Power Model '!A130</f>
        <v>41487</v>
      </c>
      <c r="B130" s="359">
        <f>+'Purchased Power Model '!B130</f>
        <v>95663441.666666672</v>
      </c>
      <c r="C130" s="355">
        <f>+'Purchased Power Model '!C130</f>
        <v>11</v>
      </c>
      <c r="D130" s="355">
        <f>+'Purchased Power Model '!D130</f>
        <v>57.899999999999991</v>
      </c>
      <c r="E130" s="356">
        <f>+'Purchased Power Model '!E130</f>
        <v>6.3E-2</v>
      </c>
      <c r="F130" s="357">
        <f>+'Purchased Power Model '!F130</f>
        <v>31</v>
      </c>
      <c r="G130" s="357">
        <f>+'Purchased Power Model '!G130</f>
        <v>0</v>
      </c>
      <c r="H130" s="358">
        <f>+'Purchased Power Model '!H130</f>
        <v>97235325.207663849</v>
      </c>
      <c r="J130" s="353">
        <f>+'10 Year Average'!A130</f>
        <v>41487</v>
      </c>
      <c r="K130" s="359">
        <f>+'10 Year Average'!B130</f>
        <v>95663441.666666672</v>
      </c>
      <c r="L130" s="355">
        <f>+'10 Year Average'!C130</f>
        <v>11</v>
      </c>
      <c r="M130" s="355">
        <f>+'10 Year Average'!D130</f>
        <v>57.899999999999991</v>
      </c>
      <c r="N130" s="356">
        <f>+'10 Year Average'!E130</f>
        <v>6.3E-2</v>
      </c>
      <c r="O130" s="357">
        <f>+'10 Year Average'!F130</f>
        <v>31</v>
      </c>
      <c r="P130" s="357">
        <f>+'10 Year Average'!G130</f>
        <v>0</v>
      </c>
      <c r="Q130" s="358">
        <f>+'10 Year Average'!H130</f>
        <v>97235325.207663849</v>
      </c>
      <c r="S130" s="353">
        <f>+'20 Year Trend'!A130</f>
        <v>41487</v>
      </c>
      <c r="T130" s="359">
        <f>+'20 Year Trend'!B130</f>
        <v>95663441.666666672</v>
      </c>
      <c r="U130" s="355">
        <f>+'20 Year Trend'!C130</f>
        <v>11</v>
      </c>
      <c r="V130" s="355">
        <f>+'20 Year Trend'!D130</f>
        <v>57.899999999999991</v>
      </c>
      <c r="W130" s="356">
        <f>+'20 Year Trend'!E130</f>
        <v>6.3E-2</v>
      </c>
      <c r="X130" s="357">
        <f>+'20 Year Trend'!F130</f>
        <v>31</v>
      </c>
      <c r="Y130" s="357">
        <f>+'20 Year Trend'!G130</f>
        <v>0</v>
      </c>
      <c r="Z130" s="358">
        <f>+'20 Year Trend'!H130</f>
        <v>97235325.207663849</v>
      </c>
    </row>
    <row r="131" spans="1:26" x14ac:dyDescent="0.2">
      <c r="A131" s="353">
        <f>+'Purchased Power Model '!A131</f>
        <v>41518</v>
      </c>
      <c r="B131" s="359">
        <f>+'Purchased Power Model '!B131</f>
        <v>83012108.333333343</v>
      </c>
      <c r="C131" s="355">
        <f>+'Purchased Power Model '!C131</f>
        <v>96.600000000000009</v>
      </c>
      <c r="D131" s="355">
        <f>+'Purchased Power Model '!D131</f>
        <v>15.700000000000001</v>
      </c>
      <c r="E131" s="356">
        <f>+'Purchased Power Model '!E131</f>
        <v>6.3E-2</v>
      </c>
      <c r="F131" s="357">
        <f>+'Purchased Power Model '!F131</f>
        <v>30</v>
      </c>
      <c r="G131" s="357">
        <f>+'Purchased Power Model '!G131</f>
        <v>1</v>
      </c>
      <c r="H131" s="358">
        <f>+'Purchased Power Model '!H131</f>
        <v>84741545.825753883</v>
      </c>
      <c r="J131" s="353">
        <f>+'10 Year Average'!A131</f>
        <v>41518</v>
      </c>
      <c r="K131" s="359">
        <f>+'10 Year Average'!B131</f>
        <v>83012108.333333343</v>
      </c>
      <c r="L131" s="355">
        <f>+'10 Year Average'!C131</f>
        <v>96.600000000000009</v>
      </c>
      <c r="M131" s="355">
        <f>+'10 Year Average'!D131</f>
        <v>15.700000000000001</v>
      </c>
      <c r="N131" s="356">
        <f>+'10 Year Average'!E131</f>
        <v>6.3E-2</v>
      </c>
      <c r="O131" s="357">
        <f>+'10 Year Average'!F131</f>
        <v>30</v>
      </c>
      <c r="P131" s="357">
        <f>+'10 Year Average'!G131</f>
        <v>1</v>
      </c>
      <c r="Q131" s="358">
        <f>+'10 Year Average'!H131</f>
        <v>84741545.825753883</v>
      </c>
      <c r="S131" s="353">
        <f>+'20 Year Trend'!A131</f>
        <v>41518</v>
      </c>
      <c r="T131" s="359">
        <f>+'20 Year Trend'!B131</f>
        <v>83012108.333333343</v>
      </c>
      <c r="U131" s="355">
        <f>+'20 Year Trend'!C131</f>
        <v>96.600000000000009</v>
      </c>
      <c r="V131" s="355">
        <f>+'20 Year Trend'!D131</f>
        <v>15.700000000000001</v>
      </c>
      <c r="W131" s="356">
        <f>+'20 Year Trend'!E131</f>
        <v>6.3E-2</v>
      </c>
      <c r="X131" s="357">
        <f>+'20 Year Trend'!F131</f>
        <v>30</v>
      </c>
      <c r="Y131" s="357">
        <f>+'20 Year Trend'!G131</f>
        <v>1</v>
      </c>
      <c r="Z131" s="358">
        <f>+'20 Year Trend'!H131</f>
        <v>84741545.825753883</v>
      </c>
    </row>
    <row r="132" spans="1:26" x14ac:dyDescent="0.2">
      <c r="A132" s="353">
        <f>+'Purchased Power Model '!A132</f>
        <v>41548</v>
      </c>
      <c r="B132" s="359">
        <f>+'Purchased Power Model '!B132</f>
        <v>84463400.000000015</v>
      </c>
      <c r="C132" s="355">
        <f>+'Purchased Power Model '!C132</f>
        <v>221</v>
      </c>
      <c r="D132" s="355">
        <f>+'Purchased Power Model '!D132</f>
        <v>3</v>
      </c>
      <c r="E132" s="356">
        <f>+'Purchased Power Model '!E132</f>
        <v>7.0000000000000007E-2</v>
      </c>
      <c r="F132" s="357">
        <f>+'Purchased Power Model '!F132</f>
        <v>31</v>
      </c>
      <c r="G132" s="357">
        <f>+'Purchased Power Model '!G132</f>
        <v>1</v>
      </c>
      <c r="H132" s="358">
        <f>+'Purchased Power Model '!H132</f>
        <v>89864296.781469613</v>
      </c>
      <c r="J132" s="353">
        <f>+'10 Year Average'!A132</f>
        <v>41548</v>
      </c>
      <c r="K132" s="359">
        <f>+'10 Year Average'!B132</f>
        <v>84463400.000000015</v>
      </c>
      <c r="L132" s="355">
        <f>+'10 Year Average'!C132</f>
        <v>221</v>
      </c>
      <c r="M132" s="355">
        <f>+'10 Year Average'!D132</f>
        <v>3</v>
      </c>
      <c r="N132" s="356">
        <f>+'10 Year Average'!E132</f>
        <v>7.0000000000000007E-2</v>
      </c>
      <c r="O132" s="357">
        <f>+'10 Year Average'!F132</f>
        <v>31</v>
      </c>
      <c r="P132" s="357">
        <f>+'10 Year Average'!G132</f>
        <v>1</v>
      </c>
      <c r="Q132" s="358">
        <f>+'10 Year Average'!H132</f>
        <v>89864296.781469613</v>
      </c>
      <c r="S132" s="353">
        <f>+'20 Year Trend'!A132</f>
        <v>41548</v>
      </c>
      <c r="T132" s="359">
        <f>+'20 Year Trend'!B132</f>
        <v>84463400.000000015</v>
      </c>
      <c r="U132" s="355">
        <f>+'20 Year Trend'!C132</f>
        <v>221</v>
      </c>
      <c r="V132" s="355">
        <f>+'20 Year Trend'!D132</f>
        <v>3</v>
      </c>
      <c r="W132" s="356">
        <f>+'20 Year Trend'!E132</f>
        <v>7.0000000000000007E-2</v>
      </c>
      <c r="X132" s="357">
        <f>+'20 Year Trend'!F132</f>
        <v>31</v>
      </c>
      <c r="Y132" s="357">
        <f>+'20 Year Trend'!G132</f>
        <v>1</v>
      </c>
      <c r="Z132" s="358">
        <f>+'20 Year Trend'!H132</f>
        <v>89864296.781469613</v>
      </c>
    </row>
    <row r="133" spans="1:26" x14ac:dyDescent="0.2">
      <c r="A133" s="353">
        <f>+'Purchased Power Model '!A133</f>
        <v>41579</v>
      </c>
      <c r="B133" s="359">
        <f>+'Purchased Power Model '!B133</f>
        <v>94249183.333333343</v>
      </c>
      <c r="C133" s="355">
        <f>+'Purchased Power Model '!C133</f>
        <v>458.6</v>
      </c>
      <c r="D133" s="355">
        <f>+'Purchased Power Model '!D133</f>
        <v>0</v>
      </c>
      <c r="E133" s="356">
        <f>+'Purchased Power Model '!E133</f>
        <v>7.0000000000000007E-2</v>
      </c>
      <c r="F133" s="357">
        <f>+'Purchased Power Model '!F133</f>
        <v>30</v>
      </c>
      <c r="G133" s="357">
        <f>+'Purchased Power Model '!G133</f>
        <v>1</v>
      </c>
      <c r="H133" s="358">
        <f>+'Purchased Power Model '!H133</f>
        <v>96183983.643276781</v>
      </c>
      <c r="J133" s="353">
        <f>+'10 Year Average'!A133</f>
        <v>41579</v>
      </c>
      <c r="K133" s="359">
        <f>+'10 Year Average'!B133</f>
        <v>94249183.333333343</v>
      </c>
      <c r="L133" s="355">
        <f>+'10 Year Average'!C133</f>
        <v>458.6</v>
      </c>
      <c r="M133" s="355">
        <f>+'10 Year Average'!D133</f>
        <v>0</v>
      </c>
      <c r="N133" s="356">
        <f>+'10 Year Average'!E133</f>
        <v>7.0000000000000007E-2</v>
      </c>
      <c r="O133" s="357">
        <f>+'10 Year Average'!F133</f>
        <v>30</v>
      </c>
      <c r="P133" s="357">
        <f>+'10 Year Average'!G133</f>
        <v>1</v>
      </c>
      <c r="Q133" s="358">
        <f>+'10 Year Average'!H133</f>
        <v>96183983.643276781</v>
      </c>
      <c r="S133" s="353">
        <f>+'20 Year Trend'!A133</f>
        <v>41579</v>
      </c>
      <c r="T133" s="359">
        <f>+'20 Year Trend'!B133</f>
        <v>94249183.333333343</v>
      </c>
      <c r="U133" s="355">
        <f>+'20 Year Trend'!C133</f>
        <v>458.6</v>
      </c>
      <c r="V133" s="355">
        <f>+'20 Year Trend'!D133</f>
        <v>0</v>
      </c>
      <c r="W133" s="356">
        <f>+'20 Year Trend'!E133</f>
        <v>7.0000000000000007E-2</v>
      </c>
      <c r="X133" s="357">
        <f>+'20 Year Trend'!F133</f>
        <v>30</v>
      </c>
      <c r="Y133" s="357">
        <f>+'20 Year Trend'!G133</f>
        <v>1</v>
      </c>
      <c r="Z133" s="358">
        <f>+'20 Year Trend'!H133</f>
        <v>96183983.643276781</v>
      </c>
    </row>
    <row r="134" spans="1:26" x14ac:dyDescent="0.2">
      <c r="A134" s="353">
        <f>+'Purchased Power Model '!A134</f>
        <v>41609</v>
      </c>
      <c r="B134" s="359">
        <f>+'Purchased Power Model '!B134</f>
        <v>108415583.33333334</v>
      </c>
      <c r="C134" s="355">
        <f>+'Purchased Power Model '!C134</f>
        <v>472.8</v>
      </c>
      <c r="D134" s="355">
        <f ca="1">+'Purchased Power Model '!D134</f>
        <v>0</v>
      </c>
      <c r="E134" s="356">
        <f>+'Purchased Power Model '!E134</f>
        <v>7.0000000000000007E-2</v>
      </c>
      <c r="F134" s="357">
        <f>+'Purchased Power Model '!F134</f>
        <v>31</v>
      </c>
      <c r="G134" s="357">
        <f>+'Purchased Power Model '!G134</f>
        <v>0</v>
      </c>
      <c r="H134" s="358">
        <f ca="1">+'Purchased Power Model '!H134</f>
        <v>106588373.09852758</v>
      </c>
      <c r="J134" s="353">
        <f>+'10 Year Average'!A134</f>
        <v>41609</v>
      </c>
      <c r="K134" s="359">
        <f>+'10 Year Average'!B134</f>
        <v>108415583.33333334</v>
      </c>
      <c r="L134" s="355">
        <f>+'10 Year Average'!C134</f>
        <v>472.8</v>
      </c>
      <c r="M134" s="355">
        <f ca="1">+'10 Year Average'!D134</f>
        <v>0</v>
      </c>
      <c r="N134" s="356">
        <f>+'10 Year Average'!E134</f>
        <v>7.0000000000000007E-2</v>
      </c>
      <c r="O134" s="357">
        <f>+'10 Year Average'!F134</f>
        <v>31</v>
      </c>
      <c r="P134" s="357">
        <f>+'10 Year Average'!G134</f>
        <v>0</v>
      </c>
      <c r="Q134" s="358">
        <f ca="1">+'10 Year Average'!H134</f>
        <v>106588373.09852758</v>
      </c>
      <c r="S134" s="353">
        <f>+'20 Year Trend'!A134</f>
        <v>41609</v>
      </c>
      <c r="T134" s="359">
        <f>+'20 Year Trend'!B134</f>
        <v>108415583.33333334</v>
      </c>
      <c r="U134" s="355">
        <f>+'20 Year Trend'!C134</f>
        <v>472.8</v>
      </c>
      <c r="V134" s="355">
        <f ca="1">+'20 Year Trend'!D134</f>
        <v>0</v>
      </c>
      <c r="W134" s="356">
        <f>+'20 Year Trend'!E134</f>
        <v>7.0000000000000007E-2</v>
      </c>
      <c r="X134" s="357">
        <f>+'20 Year Trend'!F134</f>
        <v>31</v>
      </c>
      <c r="Y134" s="357">
        <f>+'20 Year Trend'!G134</f>
        <v>0</v>
      </c>
      <c r="Z134" s="358">
        <f ca="1">+'20 Year Trend'!H134</f>
        <v>106588373.09852758</v>
      </c>
    </row>
    <row r="135" spans="1:26" x14ac:dyDescent="0.2">
      <c r="A135" s="353">
        <f>+'Purchased Power Model '!A135</f>
        <v>41640</v>
      </c>
      <c r="B135" s="360"/>
      <c r="C135" s="355">
        <f>+'Purchased Power Model '!C135</f>
        <v>771.3</v>
      </c>
      <c r="D135" s="355">
        <f>+'Purchased Power Model '!D135</f>
        <v>0</v>
      </c>
      <c r="E135" s="356">
        <f>+'Purchased Power Model '!E135</f>
        <v>7.0999869999999993E-2</v>
      </c>
      <c r="F135" s="357">
        <f>+'Purchased Power Model '!F135</f>
        <v>31</v>
      </c>
      <c r="G135" s="357">
        <f>+'Purchased Power Model '!G135</f>
        <v>0</v>
      </c>
      <c r="H135" s="358">
        <f>+'Purchased Power Model '!H135</f>
        <v>118482244.21223259</v>
      </c>
      <c r="J135" s="353">
        <f>+'10 Year Average'!A135</f>
        <v>41640</v>
      </c>
      <c r="K135" s="360"/>
      <c r="L135" s="355">
        <f>+'10 Year Average'!C135</f>
        <v>771.3</v>
      </c>
      <c r="M135" s="355">
        <f>+'10 Year Average'!D135</f>
        <v>0</v>
      </c>
      <c r="N135" s="356">
        <f>+'10 Year Average'!E135</f>
        <v>7.0999869999999993E-2</v>
      </c>
      <c r="O135" s="357">
        <f>+'10 Year Average'!F135</f>
        <v>31</v>
      </c>
      <c r="P135" s="357">
        <f>+'10 Year Average'!G135</f>
        <v>0</v>
      </c>
      <c r="Q135" s="358">
        <f>+'10 Year Average'!H135</f>
        <v>118482244.21223259</v>
      </c>
      <c r="S135" s="353">
        <f>+'20 Year Trend'!A135</f>
        <v>41640</v>
      </c>
      <c r="T135" s="360"/>
      <c r="U135" s="355">
        <f>+'20 Year Trend'!C135</f>
        <v>771.3</v>
      </c>
      <c r="V135" s="355">
        <f>+'20 Year Trend'!D135</f>
        <v>0</v>
      </c>
      <c r="W135" s="356">
        <f>+'20 Year Trend'!E135</f>
        <v>7.0999869999999993E-2</v>
      </c>
      <c r="X135" s="357">
        <f>+'20 Year Trend'!F135</f>
        <v>31</v>
      </c>
      <c r="Y135" s="357">
        <f>+'20 Year Trend'!G135</f>
        <v>0</v>
      </c>
      <c r="Z135" s="358">
        <f>+'20 Year Trend'!H135</f>
        <v>118482244.21223259</v>
      </c>
    </row>
    <row r="136" spans="1:26" x14ac:dyDescent="0.2">
      <c r="A136" s="353">
        <f>+'Purchased Power Model '!A136</f>
        <v>41671</v>
      </c>
      <c r="B136" s="360"/>
      <c r="C136" s="355">
        <f>+'Purchased Power Model '!C136</f>
        <v>690.84999999999991</v>
      </c>
      <c r="D136" s="355">
        <f>+'Purchased Power Model '!D136</f>
        <v>0</v>
      </c>
      <c r="E136" s="356">
        <f>+'Purchased Power Model '!E136</f>
        <v>7.0999869999999993E-2</v>
      </c>
      <c r="F136" s="357">
        <f>+'Purchased Power Model '!F136</f>
        <v>28</v>
      </c>
      <c r="G136" s="357">
        <f>+'Purchased Power Model '!G136</f>
        <v>0</v>
      </c>
      <c r="H136" s="358">
        <f>+'Purchased Power Model '!H136</f>
        <v>106810531.14975849</v>
      </c>
      <c r="J136" s="353">
        <f>+'10 Year Average'!A136</f>
        <v>41671</v>
      </c>
      <c r="K136" s="360"/>
      <c r="L136" s="355">
        <f>+'10 Year Average'!C136</f>
        <v>690.84999999999991</v>
      </c>
      <c r="M136" s="355">
        <f>+'10 Year Average'!D136</f>
        <v>0</v>
      </c>
      <c r="N136" s="356">
        <f>+'10 Year Average'!E136</f>
        <v>7.0999869999999993E-2</v>
      </c>
      <c r="O136" s="357">
        <f>+'10 Year Average'!F136</f>
        <v>28</v>
      </c>
      <c r="P136" s="357">
        <f>+'10 Year Average'!G136</f>
        <v>0</v>
      </c>
      <c r="Q136" s="358">
        <f>+'10 Year Average'!H136</f>
        <v>106810531.14975849</v>
      </c>
      <c r="S136" s="353">
        <f>+'20 Year Trend'!A136</f>
        <v>41671</v>
      </c>
      <c r="T136" s="360"/>
      <c r="U136" s="355">
        <f>+'20 Year Trend'!C136</f>
        <v>690.84999999999991</v>
      </c>
      <c r="V136" s="355">
        <f>+'20 Year Trend'!D136</f>
        <v>0</v>
      </c>
      <c r="W136" s="356">
        <f>+'20 Year Trend'!E136</f>
        <v>7.0999869999999993E-2</v>
      </c>
      <c r="X136" s="357">
        <f>+'20 Year Trend'!F136</f>
        <v>28</v>
      </c>
      <c r="Y136" s="357">
        <f>+'20 Year Trend'!G136</f>
        <v>0</v>
      </c>
      <c r="Z136" s="358">
        <f>+'20 Year Trend'!H136</f>
        <v>106810531.14975849</v>
      </c>
    </row>
    <row r="137" spans="1:26" x14ac:dyDescent="0.2">
      <c r="A137" s="353">
        <f>+'Purchased Power Model '!A137</f>
        <v>41699</v>
      </c>
      <c r="B137" s="360"/>
      <c r="C137" s="355">
        <f>+'Purchased Power Model '!C137</f>
        <v>677.95</v>
      </c>
      <c r="D137" s="355">
        <f>+'Purchased Power Model '!D137</f>
        <v>0</v>
      </c>
      <c r="E137" s="356">
        <f>+'Purchased Power Model '!E137</f>
        <v>7.0999869999999993E-2</v>
      </c>
      <c r="F137" s="357">
        <f>+'Purchased Power Model '!F137</f>
        <v>31</v>
      </c>
      <c r="G137" s="357">
        <f>+'Purchased Power Model '!G137</f>
        <v>1</v>
      </c>
      <c r="H137" s="358">
        <f>+'Purchased Power Model '!H137</f>
        <v>107702613.89036593</v>
      </c>
      <c r="J137" s="353">
        <f>+'10 Year Average'!A137</f>
        <v>41699</v>
      </c>
      <c r="K137" s="360"/>
      <c r="L137" s="355">
        <f>+'10 Year Average'!C137</f>
        <v>677.95</v>
      </c>
      <c r="M137" s="355">
        <f>+'10 Year Average'!D137</f>
        <v>0</v>
      </c>
      <c r="N137" s="356">
        <f>+'10 Year Average'!E137</f>
        <v>7.0999869999999993E-2</v>
      </c>
      <c r="O137" s="357">
        <f>+'10 Year Average'!F137</f>
        <v>31</v>
      </c>
      <c r="P137" s="357">
        <f>+'10 Year Average'!G137</f>
        <v>1</v>
      </c>
      <c r="Q137" s="358">
        <f>+'10 Year Average'!H137</f>
        <v>107702613.89036593</v>
      </c>
      <c r="S137" s="353">
        <f>+'20 Year Trend'!A137</f>
        <v>41699</v>
      </c>
      <c r="T137" s="360"/>
      <c r="U137" s="355">
        <f>+'20 Year Trend'!C137</f>
        <v>677.95</v>
      </c>
      <c r="V137" s="355">
        <f>+'20 Year Trend'!D137</f>
        <v>0</v>
      </c>
      <c r="W137" s="356">
        <f>+'20 Year Trend'!E137</f>
        <v>7.0999869999999993E-2</v>
      </c>
      <c r="X137" s="357">
        <f>+'20 Year Trend'!F137</f>
        <v>31</v>
      </c>
      <c r="Y137" s="357">
        <f>+'20 Year Trend'!G137</f>
        <v>1</v>
      </c>
      <c r="Z137" s="358">
        <f>+'20 Year Trend'!H137</f>
        <v>107702613.89036593</v>
      </c>
    </row>
    <row r="138" spans="1:26" x14ac:dyDescent="0.2">
      <c r="A138" s="353">
        <f>+'Purchased Power Model '!A138</f>
        <v>41730</v>
      </c>
      <c r="B138" s="360"/>
      <c r="C138" s="355">
        <f>+'Purchased Power Model '!C138</f>
        <v>371.2999999999999</v>
      </c>
      <c r="D138" s="355">
        <f>+'Purchased Power Model '!D138</f>
        <v>0</v>
      </c>
      <c r="E138" s="356">
        <f>+'Purchased Power Model '!E138</f>
        <v>7.2000069999999999E-2</v>
      </c>
      <c r="F138" s="357">
        <f>+'Purchased Power Model '!F138</f>
        <v>30</v>
      </c>
      <c r="G138" s="357">
        <f>+'Purchased Power Model '!G138</f>
        <v>1</v>
      </c>
      <c r="H138" s="358">
        <f>+'Purchased Power Model '!H138</f>
        <v>92424389.958570197</v>
      </c>
      <c r="J138" s="353">
        <f>+'10 Year Average'!A138</f>
        <v>41730</v>
      </c>
      <c r="K138" s="360"/>
      <c r="L138" s="355">
        <f>+'10 Year Average'!C138</f>
        <v>371.2999999999999</v>
      </c>
      <c r="M138" s="355">
        <f>+'10 Year Average'!D138</f>
        <v>0</v>
      </c>
      <c r="N138" s="356">
        <f>+'10 Year Average'!E138</f>
        <v>7.2000069999999999E-2</v>
      </c>
      <c r="O138" s="357">
        <f>+'10 Year Average'!F138</f>
        <v>30</v>
      </c>
      <c r="P138" s="357">
        <f>+'10 Year Average'!G138</f>
        <v>1</v>
      </c>
      <c r="Q138" s="358">
        <f>+'10 Year Average'!H138</f>
        <v>92424389.958570197</v>
      </c>
      <c r="S138" s="353">
        <f>+'20 Year Trend'!A138</f>
        <v>41730</v>
      </c>
      <c r="T138" s="360"/>
      <c r="U138" s="355">
        <f>+'20 Year Trend'!C138</f>
        <v>371.2999999999999</v>
      </c>
      <c r="V138" s="355">
        <f>+'20 Year Trend'!D138</f>
        <v>0</v>
      </c>
      <c r="W138" s="356">
        <f>+'20 Year Trend'!E138</f>
        <v>7.2000069999999999E-2</v>
      </c>
      <c r="X138" s="357">
        <f>+'20 Year Trend'!F138</f>
        <v>30</v>
      </c>
      <c r="Y138" s="357">
        <f>+'20 Year Trend'!G138</f>
        <v>1</v>
      </c>
      <c r="Z138" s="358">
        <f>+'20 Year Trend'!H138</f>
        <v>92424389.958570197</v>
      </c>
    </row>
    <row r="139" spans="1:26" x14ac:dyDescent="0.2">
      <c r="A139" s="353">
        <f>+'Purchased Power Model '!A139</f>
        <v>41760</v>
      </c>
      <c r="B139" s="360"/>
      <c r="C139" s="355">
        <f>+'Purchased Power Model '!C139</f>
        <v>160.49999999999994</v>
      </c>
      <c r="D139" s="355">
        <f>+'Purchased Power Model '!D139</f>
        <v>1.3</v>
      </c>
      <c r="E139" s="356">
        <f>+'Purchased Power Model '!E139</f>
        <v>7.2000069999999999E-2</v>
      </c>
      <c r="F139" s="357">
        <f>+'Purchased Power Model '!F139</f>
        <v>31</v>
      </c>
      <c r="G139" s="357">
        <f>+'Purchased Power Model '!G139</f>
        <v>1</v>
      </c>
      <c r="H139" s="358">
        <f>+'Purchased Power Model '!H139</f>
        <v>86937553.594037473</v>
      </c>
      <c r="J139" s="353">
        <f>+'10 Year Average'!A139</f>
        <v>41760</v>
      </c>
      <c r="K139" s="360"/>
      <c r="L139" s="355">
        <f>+'10 Year Average'!C139</f>
        <v>160.49999999999994</v>
      </c>
      <c r="M139" s="355">
        <f>+'10 Year Average'!D139</f>
        <v>1.3</v>
      </c>
      <c r="N139" s="356">
        <f>+'10 Year Average'!E139</f>
        <v>7.2000069999999999E-2</v>
      </c>
      <c r="O139" s="357">
        <f>+'10 Year Average'!F139</f>
        <v>31</v>
      </c>
      <c r="P139" s="357">
        <f>+'10 Year Average'!G139</f>
        <v>1</v>
      </c>
      <c r="Q139" s="358">
        <f>+'10 Year Average'!H139</f>
        <v>86937553.594037473</v>
      </c>
      <c r="S139" s="353">
        <f>+'20 Year Trend'!A139</f>
        <v>41760</v>
      </c>
      <c r="T139" s="360"/>
      <c r="U139" s="355">
        <f>+'20 Year Trend'!C139</f>
        <v>160.49999999999994</v>
      </c>
      <c r="V139" s="355">
        <f>+'20 Year Trend'!D139</f>
        <v>1.3</v>
      </c>
      <c r="W139" s="356">
        <f>+'20 Year Trend'!E139</f>
        <v>7.2000069999999999E-2</v>
      </c>
      <c r="X139" s="357">
        <f>+'20 Year Trend'!F139</f>
        <v>31</v>
      </c>
      <c r="Y139" s="357">
        <f>+'20 Year Trend'!G139</f>
        <v>1</v>
      </c>
      <c r="Z139" s="358">
        <f>+'20 Year Trend'!H139</f>
        <v>86937553.594037473</v>
      </c>
    </row>
    <row r="140" spans="1:26" x14ac:dyDescent="0.2">
      <c r="A140" s="353">
        <f>+'Purchased Power Model '!A140</f>
        <v>41791</v>
      </c>
      <c r="B140" s="360"/>
      <c r="C140" s="355">
        <f>+'Purchased Power Model '!C140</f>
        <v>26.9</v>
      </c>
      <c r="D140" s="355">
        <f>+'Purchased Power Model '!D140</f>
        <v>40.1</v>
      </c>
      <c r="E140" s="356">
        <f>+'Purchased Power Model '!E140</f>
        <v>7.2000069999999999E-2</v>
      </c>
      <c r="F140" s="357">
        <f>+'Purchased Power Model '!F140</f>
        <v>30</v>
      </c>
      <c r="G140" s="357">
        <f>+'Purchased Power Model '!G140</f>
        <v>0</v>
      </c>
      <c r="H140" s="358">
        <f>+'Purchased Power Model '!H140</f>
        <v>91384937.758973688</v>
      </c>
      <c r="J140" s="353">
        <f>+'10 Year Average'!A140</f>
        <v>41791</v>
      </c>
      <c r="K140" s="360"/>
      <c r="L140" s="355">
        <f>+'10 Year Average'!C140</f>
        <v>26.9</v>
      </c>
      <c r="M140" s="355">
        <f>+'10 Year Average'!D140</f>
        <v>40.1</v>
      </c>
      <c r="N140" s="356">
        <f>+'10 Year Average'!E140</f>
        <v>7.2000069999999999E-2</v>
      </c>
      <c r="O140" s="357">
        <f>+'10 Year Average'!F140</f>
        <v>30</v>
      </c>
      <c r="P140" s="357">
        <f>+'10 Year Average'!G140</f>
        <v>0</v>
      </c>
      <c r="Q140" s="358">
        <f>+'10 Year Average'!H140</f>
        <v>91384937.758973688</v>
      </c>
      <c r="S140" s="353">
        <f>+'20 Year Trend'!A140</f>
        <v>41791</v>
      </c>
      <c r="T140" s="360"/>
      <c r="U140" s="355">
        <f>+'20 Year Trend'!C140</f>
        <v>26.9</v>
      </c>
      <c r="V140" s="355">
        <f>+'20 Year Trend'!D140</f>
        <v>40.1</v>
      </c>
      <c r="W140" s="356">
        <f>+'20 Year Trend'!E140</f>
        <v>7.2000069999999999E-2</v>
      </c>
      <c r="X140" s="357">
        <f>+'20 Year Trend'!F140</f>
        <v>30</v>
      </c>
      <c r="Y140" s="357">
        <f>+'20 Year Trend'!G140</f>
        <v>0</v>
      </c>
      <c r="Z140" s="358">
        <f>+'20 Year Trend'!H140</f>
        <v>91384937.758973688</v>
      </c>
    </row>
    <row r="141" spans="1:26" x14ac:dyDescent="0.2">
      <c r="A141" s="353">
        <f>+'Purchased Power Model '!A141</f>
        <v>41821</v>
      </c>
      <c r="B141" s="360"/>
      <c r="C141" s="355">
        <f>+'Purchased Power Model '!C141</f>
        <v>9.5999999999999979</v>
      </c>
      <c r="D141" s="355">
        <f>+'Purchased Power Model '!D141</f>
        <v>54.599999999999994</v>
      </c>
      <c r="E141" s="356">
        <f>+'Purchased Power Model '!E141</f>
        <v>7.6999829999999991E-2</v>
      </c>
      <c r="F141" s="357">
        <f>+'Purchased Power Model '!F141</f>
        <v>31</v>
      </c>
      <c r="G141" s="357">
        <f>+'Purchased Power Model '!G141</f>
        <v>0</v>
      </c>
      <c r="H141" s="358">
        <f>+'Purchased Power Model '!H141</f>
        <v>94984877.562191591</v>
      </c>
      <c r="J141" s="353">
        <f>+'10 Year Average'!A141</f>
        <v>41821</v>
      </c>
      <c r="K141" s="360"/>
      <c r="L141" s="355">
        <f>+'10 Year Average'!C141</f>
        <v>9.5999999999999979</v>
      </c>
      <c r="M141" s="355">
        <f>+'10 Year Average'!D141</f>
        <v>54.599999999999994</v>
      </c>
      <c r="N141" s="356">
        <f>+'10 Year Average'!E141</f>
        <v>7.6999829999999991E-2</v>
      </c>
      <c r="O141" s="357">
        <f>+'10 Year Average'!F141</f>
        <v>31</v>
      </c>
      <c r="P141" s="357">
        <f>+'10 Year Average'!G141</f>
        <v>0</v>
      </c>
      <c r="Q141" s="358">
        <f>+'10 Year Average'!H141</f>
        <v>94984877.562191591</v>
      </c>
      <c r="S141" s="353">
        <f>+'20 Year Trend'!A141</f>
        <v>41821</v>
      </c>
      <c r="T141" s="360"/>
      <c r="U141" s="355">
        <f>+'20 Year Trend'!C141</f>
        <v>9.5999999999999979</v>
      </c>
      <c r="V141" s="355">
        <f>+'20 Year Trend'!D141</f>
        <v>54.599999999999994</v>
      </c>
      <c r="W141" s="356">
        <f>+'20 Year Trend'!E141</f>
        <v>7.6999829999999991E-2</v>
      </c>
      <c r="X141" s="357">
        <f>+'20 Year Trend'!F141</f>
        <v>31</v>
      </c>
      <c r="Y141" s="357">
        <f>+'20 Year Trend'!G141</f>
        <v>0</v>
      </c>
      <c r="Z141" s="358">
        <f>+'20 Year Trend'!H141</f>
        <v>94984877.562191591</v>
      </c>
    </row>
    <row r="142" spans="1:26" x14ac:dyDescent="0.2">
      <c r="A142" s="353">
        <f>+'Purchased Power Model '!A142</f>
        <v>41852</v>
      </c>
      <c r="B142" s="360"/>
      <c r="C142" s="355">
        <f>+'Purchased Power Model '!C142</f>
        <v>12.7</v>
      </c>
      <c r="D142" s="355">
        <f>+'Purchased Power Model '!D142</f>
        <v>58</v>
      </c>
      <c r="E142" s="356">
        <f>+'Purchased Power Model '!E142</f>
        <v>7.6999829999999991E-2</v>
      </c>
      <c r="F142" s="357">
        <f>+'Purchased Power Model '!F142</f>
        <v>31</v>
      </c>
      <c r="G142" s="357">
        <f>+'Purchased Power Model '!G142</f>
        <v>0</v>
      </c>
      <c r="H142" s="358">
        <f>+'Purchased Power Model '!H142</f>
        <v>95601701.26740253</v>
      </c>
      <c r="J142" s="353">
        <f>+'10 Year Average'!A142</f>
        <v>41852</v>
      </c>
      <c r="K142" s="360"/>
      <c r="L142" s="355">
        <f>+'10 Year Average'!C142</f>
        <v>12.7</v>
      </c>
      <c r="M142" s="355">
        <f>+'10 Year Average'!D142</f>
        <v>58</v>
      </c>
      <c r="N142" s="356">
        <f>+'10 Year Average'!E142</f>
        <v>7.6999829999999991E-2</v>
      </c>
      <c r="O142" s="357">
        <f>+'10 Year Average'!F142</f>
        <v>31</v>
      </c>
      <c r="P142" s="357">
        <f>+'10 Year Average'!G142</f>
        <v>0</v>
      </c>
      <c r="Q142" s="358">
        <f>+'10 Year Average'!H142</f>
        <v>95601701.26740253</v>
      </c>
      <c r="S142" s="353">
        <f>+'20 Year Trend'!A142</f>
        <v>41852</v>
      </c>
      <c r="T142" s="360"/>
      <c r="U142" s="355">
        <f>+'20 Year Trend'!C142</f>
        <v>12.7</v>
      </c>
      <c r="V142" s="355">
        <f>+'20 Year Trend'!D142</f>
        <v>58</v>
      </c>
      <c r="W142" s="356">
        <f>+'20 Year Trend'!E142</f>
        <v>7.6999829999999991E-2</v>
      </c>
      <c r="X142" s="357">
        <f>+'20 Year Trend'!F142</f>
        <v>31</v>
      </c>
      <c r="Y142" s="357">
        <f>+'20 Year Trend'!G142</f>
        <v>0</v>
      </c>
      <c r="Z142" s="358">
        <f>+'20 Year Trend'!H142</f>
        <v>95601701.26740253</v>
      </c>
    </row>
    <row r="143" spans="1:26" x14ac:dyDescent="0.2">
      <c r="A143" s="353">
        <f>+'Purchased Power Model '!A143</f>
        <v>41883</v>
      </c>
      <c r="B143" s="360"/>
      <c r="C143" s="355">
        <f>+'Purchased Power Model '!C143</f>
        <v>77.400000000000006</v>
      </c>
      <c r="D143" s="355">
        <f>+'Purchased Power Model '!D143</f>
        <v>22.5</v>
      </c>
      <c r="E143" s="356">
        <f>+'Purchased Power Model '!E143</f>
        <v>7.6999829999999991E-2</v>
      </c>
      <c r="F143" s="357">
        <f>+'Purchased Power Model '!F143</f>
        <v>30</v>
      </c>
      <c r="G143" s="357">
        <f>+'Purchased Power Model '!G143</f>
        <v>1</v>
      </c>
      <c r="H143" s="358">
        <f>+'Purchased Power Model '!H143</f>
        <v>83236155.69705829</v>
      </c>
      <c r="J143" s="353">
        <f>+'10 Year Average'!A143</f>
        <v>41883</v>
      </c>
      <c r="K143" s="360"/>
      <c r="L143" s="355">
        <f>+'10 Year Average'!C143</f>
        <v>77.400000000000006</v>
      </c>
      <c r="M143" s="355">
        <f>+'10 Year Average'!D143</f>
        <v>22.5</v>
      </c>
      <c r="N143" s="356">
        <f>+'10 Year Average'!E143</f>
        <v>7.6999829999999991E-2</v>
      </c>
      <c r="O143" s="357">
        <f>+'10 Year Average'!F143</f>
        <v>30</v>
      </c>
      <c r="P143" s="357">
        <f>+'10 Year Average'!G143</f>
        <v>1</v>
      </c>
      <c r="Q143" s="358">
        <f>+'10 Year Average'!H143</f>
        <v>83236155.69705829</v>
      </c>
      <c r="S143" s="353">
        <f>+'20 Year Trend'!A143</f>
        <v>41883</v>
      </c>
      <c r="T143" s="360"/>
      <c r="U143" s="355">
        <f>+'20 Year Trend'!C143</f>
        <v>77.400000000000006</v>
      </c>
      <c r="V143" s="355">
        <f>+'20 Year Trend'!D143</f>
        <v>22.5</v>
      </c>
      <c r="W143" s="356">
        <f>+'20 Year Trend'!E143</f>
        <v>7.6999829999999991E-2</v>
      </c>
      <c r="X143" s="357">
        <f>+'20 Year Trend'!F143</f>
        <v>30</v>
      </c>
      <c r="Y143" s="357">
        <f>+'20 Year Trend'!G143</f>
        <v>1</v>
      </c>
      <c r="Z143" s="358">
        <f>+'20 Year Trend'!H143</f>
        <v>83236155.69705829</v>
      </c>
    </row>
    <row r="144" spans="1:26" x14ac:dyDescent="0.2">
      <c r="A144" s="353">
        <f>+'Purchased Power Model '!A144</f>
        <v>41913</v>
      </c>
      <c r="B144" s="360"/>
      <c r="C144" s="355">
        <f>+'Purchased Power Model '!C144</f>
        <v>216.29999999999998</v>
      </c>
      <c r="D144" s="355">
        <f>+'Purchased Power Model '!D144</f>
        <v>0.5</v>
      </c>
      <c r="E144" s="356">
        <f>+'Purchased Power Model '!E144</f>
        <v>7.3406150000000003E-2</v>
      </c>
      <c r="F144" s="357">
        <f>+'Purchased Power Model '!F144</f>
        <v>31</v>
      </c>
      <c r="G144" s="357">
        <f>+'Purchased Power Model '!G144</f>
        <v>1</v>
      </c>
      <c r="H144" s="358">
        <f>+'Purchased Power Model '!H144</f>
        <v>88895675.429128215</v>
      </c>
      <c r="J144" s="353">
        <f>+'10 Year Average'!A144</f>
        <v>41913</v>
      </c>
      <c r="K144" s="360"/>
      <c r="L144" s="355">
        <f>+'10 Year Average'!C144</f>
        <v>216.29999999999998</v>
      </c>
      <c r="M144" s="355">
        <f>+'10 Year Average'!D144</f>
        <v>0.5</v>
      </c>
      <c r="N144" s="356">
        <f>+'10 Year Average'!E144</f>
        <v>7.3406150000000003E-2</v>
      </c>
      <c r="O144" s="357">
        <f>+'10 Year Average'!F144</f>
        <v>31</v>
      </c>
      <c r="P144" s="357">
        <f>+'10 Year Average'!G144</f>
        <v>1</v>
      </c>
      <c r="Q144" s="358">
        <f>+'10 Year Average'!H144</f>
        <v>88895675.429128215</v>
      </c>
      <c r="S144" s="353">
        <f>+'20 Year Trend'!A144</f>
        <v>41913</v>
      </c>
      <c r="T144" s="360"/>
      <c r="U144" s="355">
        <f>+'20 Year Trend'!C144</f>
        <v>216.29999999999998</v>
      </c>
      <c r="V144" s="355">
        <f>+'20 Year Trend'!D144</f>
        <v>0.5</v>
      </c>
      <c r="W144" s="356">
        <f>+'20 Year Trend'!E144</f>
        <v>7.3406150000000003E-2</v>
      </c>
      <c r="X144" s="357">
        <f>+'20 Year Trend'!F144</f>
        <v>31</v>
      </c>
      <c r="Y144" s="357">
        <f>+'20 Year Trend'!G144</f>
        <v>1</v>
      </c>
      <c r="Z144" s="358">
        <f>+'20 Year Trend'!H144</f>
        <v>88895675.429128215</v>
      </c>
    </row>
    <row r="145" spans="1:26" x14ac:dyDescent="0.2">
      <c r="A145" s="353">
        <f>+'Purchased Power Model '!A145</f>
        <v>41944</v>
      </c>
      <c r="B145" s="360"/>
      <c r="C145" s="355">
        <f>+'Purchased Power Model '!C145</f>
        <v>407.30000000000013</v>
      </c>
      <c r="D145" s="355">
        <f>+'Purchased Power Model '!D145</f>
        <v>0</v>
      </c>
      <c r="E145" s="356">
        <f>+'Purchased Power Model '!E145</f>
        <v>7.3406150000000003E-2</v>
      </c>
      <c r="F145" s="357">
        <f>+'Purchased Power Model '!F145</f>
        <v>30</v>
      </c>
      <c r="G145" s="357">
        <f>+'Purchased Power Model '!G145</f>
        <v>1</v>
      </c>
      <c r="H145" s="358">
        <f>+'Purchased Power Model '!H145</f>
        <v>93701211.343537152</v>
      </c>
      <c r="J145" s="353">
        <f>+'10 Year Average'!A145</f>
        <v>41944</v>
      </c>
      <c r="K145" s="360"/>
      <c r="L145" s="355">
        <f>+'10 Year Average'!C145</f>
        <v>407.30000000000013</v>
      </c>
      <c r="M145" s="355">
        <f>+'10 Year Average'!D145</f>
        <v>0</v>
      </c>
      <c r="N145" s="356">
        <f>+'10 Year Average'!E145</f>
        <v>7.3406150000000003E-2</v>
      </c>
      <c r="O145" s="357">
        <f>+'10 Year Average'!F145</f>
        <v>30</v>
      </c>
      <c r="P145" s="357">
        <f>+'10 Year Average'!G145</f>
        <v>1</v>
      </c>
      <c r="Q145" s="358">
        <f>+'10 Year Average'!H145</f>
        <v>93701211.343537152</v>
      </c>
      <c r="S145" s="353">
        <f>+'20 Year Trend'!A145</f>
        <v>41944</v>
      </c>
      <c r="T145" s="360"/>
      <c r="U145" s="355">
        <f>+'20 Year Trend'!C145</f>
        <v>407.30000000000013</v>
      </c>
      <c r="V145" s="355">
        <f>+'20 Year Trend'!D145</f>
        <v>0</v>
      </c>
      <c r="W145" s="356">
        <f>+'20 Year Trend'!E145</f>
        <v>7.3406150000000003E-2</v>
      </c>
      <c r="X145" s="357">
        <f>+'20 Year Trend'!F145</f>
        <v>30</v>
      </c>
      <c r="Y145" s="357">
        <f>+'20 Year Trend'!G145</f>
        <v>1</v>
      </c>
      <c r="Z145" s="358">
        <f>+'20 Year Trend'!H145</f>
        <v>93701211.343537152</v>
      </c>
    </row>
    <row r="146" spans="1:26" x14ac:dyDescent="0.2">
      <c r="A146" s="353">
        <f>+'Purchased Power Model '!A146</f>
        <v>41974</v>
      </c>
      <c r="B146" s="360"/>
      <c r="C146" s="355">
        <f>+'Purchased Power Model '!C146</f>
        <v>551.79999999999995</v>
      </c>
      <c r="D146" s="355">
        <f>+'Purchased Power Model '!D146</f>
        <v>0</v>
      </c>
      <c r="E146" s="356">
        <f>+'Purchased Power Model '!E146</f>
        <v>7.3406150000000003E-2</v>
      </c>
      <c r="F146" s="357">
        <f>+'Purchased Power Model '!F146</f>
        <v>31</v>
      </c>
      <c r="G146" s="357">
        <f>+'Purchased Power Model '!G146</f>
        <v>0</v>
      </c>
      <c r="H146" s="358">
        <f>+'Purchased Power Model '!H146</f>
        <v>109350979.42980561</v>
      </c>
      <c r="J146" s="353">
        <f>+'10 Year Average'!A146</f>
        <v>41974</v>
      </c>
      <c r="K146" s="360"/>
      <c r="L146" s="355">
        <f>+'10 Year Average'!C146</f>
        <v>551.79999999999995</v>
      </c>
      <c r="M146" s="355">
        <f>+'10 Year Average'!D146</f>
        <v>0</v>
      </c>
      <c r="N146" s="356">
        <f>+'10 Year Average'!E146</f>
        <v>7.3406150000000003E-2</v>
      </c>
      <c r="O146" s="357">
        <f>+'10 Year Average'!F146</f>
        <v>31</v>
      </c>
      <c r="P146" s="357">
        <f>+'10 Year Average'!G146</f>
        <v>0</v>
      </c>
      <c r="Q146" s="358">
        <f>+'10 Year Average'!H146</f>
        <v>109350979.42980561</v>
      </c>
      <c r="S146" s="353">
        <f>+'20 Year Trend'!A146</f>
        <v>41974</v>
      </c>
      <c r="T146" s="360"/>
      <c r="U146" s="355">
        <f>+'20 Year Trend'!C146</f>
        <v>551.79999999999995</v>
      </c>
      <c r="V146" s="355">
        <f>+'20 Year Trend'!D146</f>
        <v>0</v>
      </c>
      <c r="W146" s="356">
        <f>+'20 Year Trend'!E146</f>
        <v>7.3406150000000003E-2</v>
      </c>
      <c r="X146" s="357">
        <f>+'20 Year Trend'!F146</f>
        <v>31</v>
      </c>
      <c r="Y146" s="357">
        <f>+'20 Year Trend'!G146</f>
        <v>0</v>
      </c>
      <c r="Z146" s="358">
        <f>+'20 Year Trend'!H146</f>
        <v>109350979.42980561</v>
      </c>
    </row>
    <row r="147" spans="1:26" x14ac:dyDescent="0.2">
      <c r="A147" s="353">
        <f>+'Purchased Power Model '!A147</f>
        <v>42005</v>
      </c>
      <c r="B147" s="360"/>
      <c r="C147" s="355">
        <f>+'Purchased Power Model '!C147</f>
        <v>665.29813270224599</v>
      </c>
      <c r="D147" s="355">
        <f ca="1">+'Purchased Power Model '!D147</f>
        <v>0</v>
      </c>
      <c r="E147" s="356">
        <f>+'Purchased Power Model '!E147</f>
        <v>7.3406150000000003E-2</v>
      </c>
      <c r="F147" s="357">
        <f>+'Purchased Power Model '!F147</f>
        <v>31</v>
      </c>
      <c r="G147" s="357">
        <f>+'Purchased Power Model '!G147</f>
        <v>0</v>
      </c>
      <c r="H147" s="358">
        <f ca="1">+'Purchased Power Model '!H147</f>
        <v>113919979.27582839</v>
      </c>
      <c r="J147" s="353">
        <f>+'10 Year Average'!A147</f>
        <v>42005</v>
      </c>
      <c r="K147" s="360"/>
      <c r="L147" s="355">
        <f>+'10 Year Average'!C147</f>
        <v>711.94424771634988</v>
      </c>
      <c r="M147" s="355">
        <f>+'10 Year Average'!D147</f>
        <v>0</v>
      </c>
      <c r="N147" s="356">
        <f>+'10 Year Average'!E147</f>
        <v>7.3406150000000003E-2</v>
      </c>
      <c r="O147" s="357">
        <f>+'10 Year Average'!F147</f>
        <v>31</v>
      </c>
      <c r="P147" s="357">
        <f>+'10 Year Average'!G147</f>
        <v>0</v>
      </c>
      <c r="Q147" s="358">
        <f>+'10 Year Average'!H147</f>
        <v>115797773.09712517</v>
      </c>
      <c r="S147" s="353">
        <f>+'20 Year Trend'!A147</f>
        <v>42005</v>
      </c>
      <c r="T147" s="360"/>
      <c r="U147" s="355">
        <f>+'20 Year Trend'!C147</f>
        <v>650.1643613658066</v>
      </c>
      <c r="V147" s="355">
        <f>+'20 Year Trend'!D147</f>
        <v>0</v>
      </c>
      <c r="W147" s="356">
        <f>+'20 Year Trend'!E147</f>
        <v>7.3406150000000003E-2</v>
      </c>
      <c r="X147" s="357">
        <f>+'20 Year Trend'!F147</f>
        <v>31</v>
      </c>
      <c r="Y147" s="357">
        <f>+'20 Year Trend'!G147</f>
        <v>0</v>
      </c>
      <c r="Z147" s="358">
        <f>+'20 Year Trend'!H147</f>
        <v>113310751.64133209</v>
      </c>
    </row>
    <row r="148" spans="1:26" x14ac:dyDescent="0.2">
      <c r="A148" s="353">
        <f>+'Purchased Power Model '!A148</f>
        <v>42036</v>
      </c>
      <c r="B148" s="360"/>
      <c r="C148" s="355">
        <f>+'Purchased Power Model '!C148</f>
        <v>595.90459610702271</v>
      </c>
      <c r="D148" s="355">
        <f ca="1">+'Purchased Power Model '!D148</f>
        <v>0</v>
      </c>
      <c r="E148" s="356">
        <f>+'Purchased Power Model '!E148</f>
        <v>7.3406150000000003E-2</v>
      </c>
      <c r="F148" s="357">
        <f>+'Purchased Power Model '!F148</f>
        <v>28</v>
      </c>
      <c r="G148" s="357">
        <f>+'Purchased Power Model '!G148</f>
        <v>0</v>
      </c>
      <c r="H148" s="358">
        <f ca="1">+'Purchased Power Model '!H148</f>
        <v>102693357.05662401</v>
      </c>
      <c r="J148" s="353">
        <f>+'10 Year Average'!A148</f>
        <v>42036</v>
      </c>
      <c r="K148" s="360"/>
      <c r="L148" s="355">
        <f>+'10 Year Average'!C148</f>
        <v>637.68531509767968</v>
      </c>
      <c r="M148" s="355">
        <f>+'10 Year Average'!D148</f>
        <v>0</v>
      </c>
      <c r="N148" s="356">
        <f>+'10 Year Average'!E148</f>
        <v>7.3406150000000003E-2</v>
      </c>
      <c r="O148" s="357">
        <f>+'10 Year Average'!F148</f>
        <v>28</v>
      </c>
      <c r="P148" s="357">
        <f>+'10 Year Average'!G148</f>
        <v>0</v>
      </c>
      <c r="Q148" s="358">
        <f>+'10 Year Average'!H148</f>
        <v>104375288.68043172</v>
      </c>
      <c r="S148" s="353">
        <f>+'20 Year Trend'!A148</f>
        <v>42036</v>
      </c>
      <c r="T148" s="360"/>
      <c r="U148" s="355">
        <f>+'20 Year Trend'!C148</f>
        <v>582.34934402899967</v>
      </c>
      <c r="V148" s="355">
        <f>+'20 Year Trend'!D148</f>
        <v>0</v>
      </c>
      <c r="W148" s="356">
        <f>+'20 Year Trend'!E148</f>
        <v>7.3406150000000003E-2</v>
      </c>
      <c r="X148" s="357">
        <f>+'20 Year Trend'!F148</f>
        <v>28</v>
      </c>
      <c r="Y148" s="357">
        <f>+'20 Year Trend'!G148</f>
        <v>0</v>
      </c>
      <c r="Z148" s="358">
        <f>+'20 Year Trend'!H148</f>
        <v>102147674.55786638</v>
      </c>
    </row>
    <row r="149" spans="1:26" x14ac:dyDescent="0.2">
      <c r="A149" s="353">
        <f>+'Purchased Power Model '!A149</f>
        <v>42064</v>
      </c>
      <c r="B149" s="360"/>
      <c r="C149" s="355">
        <f>+'Purchased Power Model '!C149</f>
        <v>584.77747836832327</v>
      </c>
      <c r="D149" s="355">
        <f ca="1">+'Purchased Power Model '!D149</f>
        <v>0</v>
      </c>
      <c r="E149" s="356">
        <f>+'Purchased Power Model '!E149</f>
        <v>7.3406150000000003E-2</v>
      </c>
      <c r="F149" s="357">
        <f>+'Purchased Power Model '!F149</f>
        <v>31</v>
      </c>
      <c r="G149" s="357">
        <f>+'Purchased Power Model '!G149</f>
        <v>1</v>
      </c>
      <c r="H149" s="358">
        <f ca="1">+'Purchased Power Model '!H149</f>
        <v>103656809.24257863</v>
      </c>
      <c r="J149" s="353">
        <f>+'10 Year Average'!A149</f>
        <v>42064</v>
      </c>
      <c r="K149" s="360"/>
      <c r="L149" s="355">
        <f>+'10 Year Average'!C149</f>
        <v>625.77804063178985</v>
      </c>
      <c r="M149" s="355">
        <f>+'10 Year Average'!D149</f>
        <v>0</v>
      </c>
      <c r="N149" s="356">
        <f>+'10 Year Average'!E149</f>
        <v>7.3406150000000003E-2</v>
      </c>
      <c r="O149" s="357">
        <f>+'10 Year Average'!F149</f>
        <v>31</v>
      </c>
      <c r="P149" s="357">
        <f>+'10 Year Average'!G149</f>
        <v>1</v>
      </c>
      <c r="Q149" s="358">
        <f>+'10 Year Average'!H149</f>
        <v>105307334.74646577</v>
      </c>
      <c r="S149" s="353">
        <f>+'20 Year Trend'!A149</f>
        <v>42064</v>
      </c>
      <c r="T149" s="360"/>
      <c r="U149" s="355">
        <f>+'20 Year Trend'!C149</f>
        <v>571.47533876306056</v>
      </c>
      <c r="V149" s="355">
        <f>+'20 Year Trend'!D149</f>
        <v>0</v>
      </c>
      <c r="W149" s="356">
        <f>+'20 Year Trend'!E149</f>
        <v>7.3406150000000003E-2</v>
      </c>
      <c r="X149" s="357">
        <f>+'20 Year Trend'!F149</f>
        <v>31</v>
      </c>
      <c r="Y149" s="357">
        <f>+'20 Year Trend'!G149</f>
        <v>1</v>
      </c>
      <c r="Z149" s="358">
        <f>+'20 Year Trend'!H149</f>
        <v>103121316.08193196</v>
      </c>
    </row>
    <row r="150" spans="1:26" x14ac:dyDescent="0.2">
      <c r="A150" s="353">
        <f>+'Purchased Power Model '!A150</f>
        <v>42095</v>
      </c>
      <c r="B150" s="360"/>
      <c r="C150" s="355">
        <f>+'Purchased Power Model '!C150</f>
        <v>320.27122607590286</v>
      </c>
      <c r="D150" s="355">
        <f ca="1">+'Purchased Power Model '!D150</f>
        <v>0</v>
      </c>
      <c r="E150" s="356">
        <f>+'Purchased Power Model '!E150</f>
        <v>7.3406150000000003E-2</v>
      </c>
      <c r="F150" s="357">
        <f>+'Purchased Power Model '!F150</f>
        <v>30</v>
      </c>
      <c r="G150" s="357">
        <f>+'Purchased Power Model '!G150</f>
        <v>1</v>
      </c>
      <c r="H150" s="358">
        <f ca="1">+'Purchased Power Model '!H150</f>
        <v>90197766.439276785</v>
      </c>
      <c r="J150" s="353">
        <f>+'10 Year Average'!A150</f>
        <v>42095</v>
      </c>
      <c r="K150" s="360"/>
      <c r="L150" s="355">
        <f>+'10 Year Average'!C150</f>
        <v>342.72643482053763</v>
      </c>
      <c r="M150" s="355">
        <f>+'10 Year Average'!D150</f>
        <v>0</v>
      </c>
      <c r="N150" s="356">
        <f>+'10 Year Average'!E150</f>
        <v>7.3406150000000003E-2</v>
      </c>
      <c r="O150" s="357">
        <f>+'10 Year Average'!F150</f>
        <v>30</v>
      </c>
      <c r="P150" s="357">
        <f>+'10 Year Average'!G150</f>
        <v>1</v>
      </c>
      <c r="Q150" s="358">
        <f>+'10 Year Average'!H150</f>
        <v>91101727.084742233</v>
      </c>
      <c r="S150" s="353">
        <f>+'20 Year Trend'!A150</f>
        <v>42095</v>
      </c>
      <c r="T150" s="360"/>
      <c r="U150" s="355">
        <f>+'20 Year Trend'!C150</f>
        <v>312.98590350722668</v>
      </c>
      <c r="V150" s="355">
        <f>+'20 Year Trend'!D150</f>
        <v>0</v>
      </c>
      <c r="W150" s="356">
        <f>+'20 Year Trend'!E150</f>
        <v>7.3406150000000003E-2</v>
      </c>
      <c r="X150" s="357">
        <f>+'20 Year Trend'!F150</f>
        <v>30</v>
      </c>
      <c r="Y150" s="357">
        <f>+'20 Year Trend'!G150</f>
        <v>1</v>
      </c>
      <c r="Z150" s="358">
        <f>+'20 Year Trend'!H150</f>
        <v>89904487.273338139</v>
      </c>
    </row>
    <row r="151" spans="1:26" x14ac:dyDescent="0.2">
      <c r="A151" s="353">
        <f>+'Purchased Power Model '!A151</f>
        <v>42125</v>
      </c>
      <c r="B151" s="360"/>
      <c r="C151" s="355">
        <f>+'Purchased Power Model '!C151</f>
        <v>138.4420462838201</v>
      </c>
      <c r="D151" s="355">
        <f ca="1">+'Purchased Power Model '!D151</f>
        <v>1.8457952405410045</v>
      </c>
      <c r="E151" s="356">
        <f>+'Purchased Power Model '!E151</f>
        <v>7.3406150000000003E-2</v>
      </c>
      <c r="F151" s="357">
        <f>+'Purchased Power Model '!F151</f>
        <v>31</v>
      </c>
      <c r="G151" s="357">
        <f>+'Purchased Power Model '!G151</f>
        <v>1</v>
      </c>
      <c r="H151" s="358">
        <f ca="1">+'Purchased Power Model '!H151</f>
        <v>85956168.798148721</v>
      </c>
      <c r="J151" s="353">
        <f>+'10 Year Average'!A151</f>
        <v>42125</v>
      </c>
      <c r="K151" s="360"/>
      <c r="L151" s="355">
        <f>+'10 Year Average'!C151</f>
        <v>148.14864742444462</v>
      </c>
      <c r="M151" s="355">
        <f>+'10 Year Average'!D151</f>
        <v>1.6991073446327658</v>
      </c>
      <c r="N151" s="356">
        <f>+'10 Year Average'!E151</f>
        <v>7.3406150000000003E-2</v>
      </c>
      <c r="O151" s="357">
        <f>+'10 Year Average'!F151</f>
        <v>31</v>
      </c>
      <c r="P151" s="357">
        <f>+'10 Year Average'!G151</f>
        <v>1</v>
      </c>
      <c r="Q151" s="358">
        <f>+'10 Year Average'!H151</f>
        <v>86325691.482107192</v>
      </c>
      <c r="S151" s="353">
        <f>+'20 Year Trend'!A151</f>
        <v>42125</v>
      </c>
      <c r="T151" s="360"/>
      <c r="U151" s="355">
        <f>+'20 Year Trend'!C151</f>
        <v>135.29285621575511</v>
      </c>
      <c r="V151" s="355">
        <f>+'20 Year Trend'!D151</f>
        <v>1.8207074041034785</v>
      </c>
      <c r="W151" s="356">
        <f>+'20 Year Trend'!E151</f>
        <v>7.3406150000000003E-2</v>
      </c>
      <c r="X151" s="357">
        <f>+'20 Year Trend'!F151</f>
        <v>31</v>
      </c>
      <c r="Y151" s="357">
        <f>+'20 Year Trend'!G151</f>
        <v>1</v>
      </c>
      <c r="Z151" s="358">
        <f>+'20 Year Trend'!H151</f>
        <v>85825763.89932479</v>
      </c>
    </row>
    <row r="152" spans="1:26" x14ac:dyDescent="0.2">
      <c r="A152" s="353">
        <f>+'Purchased Power Model '!A152</f>
        <v>42156</v>
      </c>
      <c r="B152" s="360"/>
      <c r="C152" s="355">
        <f>+'Purchased Power Model '!C152</f>
        <v>23.203059470621568</v>
      </c>
      <c r="D152" s="355">
        <f ca="1">+'Purchased Power Model '!D152</f>
        <v>56.93568395822637</v>
      </c>
      <c r="E152" s="356">
        <f>+'Purchased Power Model '!E152</f>
        <v>7.3406150000000003E-2</v>
      </c>
      <c r="F152" s="357">
        <f>+'Purchased Power Model '!F152</f>
        <v>30</v>
      </c>
      <c r="G152" s="357">
        <f>+'Purchased Power Model '!G152</f>
        <v>0</v>
      </c>
      <c r="H152" s="358">
        <f ca="1">+'Purchased Power Model '!H152</f>
        <v>93500081.456473261</v>
      </c>
      <c r="J152" s="353">
        <f>+'10 Year Average'!A152</f>
        <v>42156</v>
      </c>
      <c r="K152" s="360"/>
      <c r="L152" s="355">
        <f>+'10 Year Average'!C152</f>
        <v>24.829897917243372</v>
      </c>
      <c r="M152" s="355">
        <f>+'10 Year Average'!D152</f>
        <v>52.410926553672233</v>
      </c>
      <c r="N152" s="356">
        <f>+'10 Year Average'!E152</f>
        <v>7.3406150000000003E-2</v>
      </c>
      <c r="O152" s="357">
        <f>+'10 Year Average'!F152</f>
        <v>30</v>
      </c>
      <c r="P152" s="357">
        <f>+'10 Year Average'!G152</f>
        <v>0</v>
      </c>
      <c r="Q152" s="358">
        <f>+'10 Year Average'!H152</f>
        <v>92910773.351749212</v>
      </c>
      <c r="S152" s="353">
        <f>+'20 Year Trend'!A152</f>
        <v>42156</v>
      </c>
      <c r="T152" s="360"/>
      <c r="U152" s="355">
        <f>+'20 Year Trend'!C152</f>
        <v>22.675251290989493</v>
      </c>
      <c r="V152" s="355">
        <f>+'20 Year Trend'!D152</f>
        <v>56.1618206958073</v>
      </c>
      <c r="W152" s="356">
        <f>+'20 Year Trend'!E152</f>
        <v>7.3406150000000003E-2</v>
      </c>
      <c r="X152" s="357">
        <f>+'20 Year Trend'!F152</f>
        <v>30</v>
      </c>
      <c r="Y152" s="357">
        <f>+'20 Year Trend'!G152</f>
        <v>0</v>
      </c>
      <c r="Z152" s="358">
        <f>+'20 Year Trend'!H152</f>
        <v>93366844.621817976</v>
      </c>
    </row>
    <row r="153" spans="1:26" x14ac:dyDescent="0.2">
      <c r="A153" s="353">
        <f>+'Purchased Power Model '!A153</f>
        <v>42186</v>
      </c>
      <c r="B153" s="360"/>
      <c r="C153" s="355">
        <f>+'Purchased Power Model '!C153</f>
        <v>8.2806457590322324</v>
      </c>
      <c r="D153" s="355">
        <f ca="1">+'Purchased Power Model '!D153</f>
        <v>77.523400102722178</v>
      </c>
      <c r="E153" s="356">
        <f>+'Purchased Power Model '!E153</f>
        <v>7.3406150000000003E-2</v>
      </c>
      <c r="F153" s="357">
        <f>+'Purchased Power Model '!F153</f>
        <v>31</v>
      </c>
      <c r="G153" s="357">
        <f>+'Purchased Power Model '!G153</f>
        <v>0</v>
      </c>
      <c r="H153" s="358">
        <f ca="1">+'Purchased Power Model '!H153</f>
        <v>98689739.84316282</v>
      </c>
      <c r="J153" s="353">
        <f>+'10 Year Average'!A153</f>
        <v>42186</v>
      </c>
      <c r="K153" s="360"/>
      <c r="L153" s="355">
        <f>+'10 Year Average'!C153</f>
        <v>8.8612275094994928</v>
      </c>
      <c r="M153" s="355">
        <f>+'10 Year Average'!D153</f>
        <v>71.362508474576146</v>
      </c>
      <c r="N153" s="356">
        <f>+'10 Year Average'!E153</f>
        <v>7.3406150000000003E-2</v>
      </c>
      <c r="O153" s="357">
        <f>+'10 Year Average'!F153</f>
        <v>31</v>
      </c>
      <c r="P153" s="357">
        <f>+'10 Year Average'!G153</f>
        <v>0</v>
      </c>
      <c r="Q153" s="358">
        <f>+'10 Year Average'!H153</f>
        <v>97821540.969941154</v>
      </c>
      <c r="S153" s="353">
        <f>+'20 Year Trend'!A153</f>
        <v>42186</v>
      </c>
      <c r="T153" s="360"/>
      <c r="U153" s="355">
        <f>+'20 Year Trend'!C153</f>
        <v>8.0922829886059144</v>
      </c>
      <c r="V153" s="355">
        <f>+'20 Year Trend'!D153</f>
        <v>76.469710972346093</v>
      </c>
      <c r="W153" s="356">
        <f>+'20 Year Trend'!E153</f>
        <v>7.3406150000000003E-2</v>
      </c>
      <c r="X153" s="357">
        <f>+'20 Year Trend'!F153</f>
        <v>31</v>
      </c>
      <c r="Y153" s="357">
        <f>+'20 Year Trend'!G153</f>
        <v>0</v>
      </c>
      <c r="Z153" s="358">
        <f>+'20 Year Trend'!H153</f>
        <v>98529672.895680413</v>
      </c>
    </row>
    <row r="154" spans="1:26" x14ac:dyDescent="0.2">
      <c r="A154" s="353">
        <f>+'Purchased Power Model '!A154</f>
        <v>42217</v>
      </c>
      <c r="B154" s="360"/>
      <c r="C154" s="355">
        <f>+'Purchased Power Model '!C154</f>
        <v>10.954604285386392</v>
      </c>
      <c r="D154" s="355">
        <f ca="1">+'Purchased Power Model '!D154</f>
        <v>82.350864577983273</v>
      </c>
      <c r="E154" s="356">
        <f>+'Purchased Power Model '!E154</f>
        <v>7.3406150000000003E-2</v>
      </c>
      <c r="F154" s="357">
        <f>+'Purchased Power Model '!F154</f>
        <v>31</v>
      </c>
      <c r="G154" s="357">
        <f>+'Purchased Power Model '!G154</f>
        <v>0</v>
      </c>
      <c r="H154" s="358">
        <f ca="1">+'Purchased Power Model '!H154</f>
        <v>99495987.679235995</v>
      </c>
      <c r="J154" s="353">
        <f>+'10 Year Average'!A154</f>
        <v>42217</v>
      </c>
      <c r="K154" s="360"/>
      <c r="L154" s="355">
        <f>+'10 Year Average'!C154</f>
        <v>11.722665559442037</v>
      </c>
      <c r="M154" s="355">
        <f>+'10 Year Average'!D154</f>
        <v>75.806327683615692</v>
      </c>
      <c r="N154" s="356">
        <f>+'10 Year Average'!E154</f>
        <v>7.3406150000000003E-2</v>
      </c>
      <c r="O154" s="357">
        <f>+'10 Year Average'!F154</f>
        <v>31</v>
      </c>
      <c r="P154" s="357">
        <f>+'10 Year Average'!G154</f>
        <v>0</v>
      </c>
      <c r="Q154" s="358">
        <f>+'10 Year Average'!H154</f>
        <v>98579816.947996944</v>
      </c>
      <c r="S154" s="353">
        <f>+'20 Year Trend'!A154</f>
        <v>42217</v>
      </c>
      <c r="T154" s="360"/>
      <c r="U154" s="355">
        <f>+'20 Year Trend'!C154</f>
        <v>10.705416037009909</v>
      </c>
      <c r="V154" s="355">
        <f>+'20 Year Trend'!D154</f>
        <v>81.231561106155198</v>
      </c>
      <c r="W154" s="356">
        <f>+'20 Year Trend'!E154</f>
        <v>7.3406150000000003E-2</v>
      </c>
      <c r="X154" s="357">
        <f>+'20 Year Trend'!F154</f>
        <v>31</v>
      </c>
      <c r="Y154" s="357">
        <f>+'20 Year Trend'!G154</f>
        <v>0</v>
      </c>
      <c r="Z154" s="358">
        <f>+'20 Year Trend'!H154</f>
        <v>99323976.778990269</v>
      </c>
    </row>
    <row r="155" spans="1:26" x14ac:dyDescent="0.2">
      <c r="A155" s="353">
        <f>+'Purchased Power Model '!A155</f>
        <v>42248</v>
      </c>
      <c r="B155" s="360"/>
      <c r="C155" s="355">
        <f>+'Purchased Power Model '!C155</f>
        <v>66.76270643219739</v>
      </c>
      <c r="D155" s="355">
        <f ca="1">+'Purchased Power Model '!D155</f>
        <v>31.946456086286616</v>
      </c>
      <c r="E155" s="356">
        <f>+'Purchased Power Model '!E155</f>
        <v>7.3406150000000003E-2</v>
      </c>
      <c r="F155" s="357">
        <f>+'Purchased Power Model '!F155</f>
        <v>30</v>
      </c>
      <c r="G155" s="357">
        <f>+'Purchased Power Model '!G155</f>
        <v>1</v>
      </c>
      <c r="H155" s="358">
        <f ca="1">+'Purchased Power Model '!H155</f>
        <v>84615603.103504628</v>
      </c>
      <c r="J155" s="353">
        <f>+'10 Year Average'!A155</f>
        <v>42248</v>
      </c>
      <c r="K155" s="360"/>
      <c r="L155" s="355">
        <f>+'10 Year Average'!C155</f>
        <v>71.443646795339674</v>
      </c>
      <c r="M155" s="355">
        <f>+'10 Year Average'!D155</f>
        <v>29.407627118644019</v>
      </c>
      <c r="N155" s="356">
        <f>+'10 Year Average'!E155</f>
        <v>7.3406150000000003E-2</v>
      </c>
      <c r="O155" s="357">
        <f>+'10 Year Average'!F155</f>
        <v>30</v>
      </c>
      <c r="P155" s="357">
        <f>+'10 Year Average'!G155</f>
        <v>1</v>
      </c>
      <c r="Q155" s="358">
        <f>+'10 Year Average'!H155</f>
        <v>84436634.244961396</v>
      </c>
      <c r="S155" s="353">
        <f>+'20 Year Trend'!A155</f>
        <v>42248</v>
      </c>
      <c r="T155" s="360"/>
      <c r="U155" s="355">
        <f>+'20 Year Trend'!C155</f>
        <v>65.244031595635207</v>
      </c>
      <c r="V155" s="355">
        <f>+'20 Year Trend'!D155</f>
        <v>31.512243532560205</v>
      </c>
      <c r="W155" s="356">
        <f>+'20 Year Trend'!E155</f>
        <v>7.3406150000000003E-2</v>
      </c>
      <c r="X155" s="357">
        <f>+'20 Year Trend'!F155</f>
        <v>30</v>
      </c>
      <c r="Y155" s="357">
        <f>+'20 Year Trend'!G155</f>
        <v>1</v>
      </c>
      <c r="Z155" s="358">
        <f>+'20 Year Trend'!H155</f>
        <v>84491630.185730055</v>
      </c>
    </row>
    <row r="156" spans="1:26" x14ac:dyDescent="0.2">
      <c r="A156" s="353">
        <f>+'Purchased Power Model '!A156</f>
        <v>42278</v>
      </c>
      <c r="B156" s="360"/>
      <c r="C156" s="355">
        <f>+'Purchased Power Model '!C156</f>
        <v>186.57329975819502</v>
      </c>
      <c r="D156" s="355">
        <f ca="1">+'Purchased Power Model '!D156</f>
        <v>0.70992124636192477</v>
      </c>
      <c r="E156" s="356">
        <f>+'Purchased Power Model '!E156</f>
        <v>7.3406150000000003E-2</v>
      </c>
      <c r="F156" s="357">
        <f>+'Purchased Power Model '!F156</f>
        <v>31</v>
      </c>
      <c r="G156" s="357">
        <f>+'Purchased Power Model '!G156</f>
        <v>1</v>
      </c>
      <c r="H156" s="358">
        <f ca="1">+'Purchased Power Model '!H156</f>
        <v>87729371.069509834</v>
      </c>
      <c r="J156" s="353">
        <f>+'10 Year Average'!A156</f>
        <v>42278</v>
      </c>
      <c r="K156" s="360"/>
      <c r="L156" s="355">
        <f>+'10 Year Average'!C156</f>
        <v>199.65453232341045</v>
      </c>
      <c r="M156" s="355">
        <f>+'10 Year Average'!D156</f>
        <v>0.65350282485875599</v>
      </c>
      <c r="N156" s="356">
        <f>+'10 Year Average'!E156</f>
        <v>7.3406150000000003E-2</v>
      </c>
      <c r="O156" s="357">
        <f>+'10 Year Average'!F156</f>
        <v>31</v>
      </c>
      <c r="P156" s="357">
        <f>+'10 Year Average'!G156</f>
        <v>1</v>
      </c>
      <c r="Q156" s="358">
        <f>+'10 Year Average'!H156</f>
        <v>88247806.790939152</v>
      </c>
      <c r="S156" s="353">
        <f>+'20 Year Trend'!A156</f>
        <v>42278</v>
      </c>
      <c r="T156" s="360"/>
      <c r="U156" s="355">
        <f>+'20 Year Trend'!C156</f>
        <v>182.32925108702705</v>
      </c>
      <c r="V156" s="355">
        <f>+'20 Year Trend'!D156</f>
        <v>0.70027207850133788</v>
      </c>
      <c r="W156" s="356">
        <f>+'20 Year Trend'!E156</f>
        <v>7.3406150000000003E-2</v>
      </c>
      <c r="X156" s="357">
        <f>+'20 Year Trend'!F156</f>
        <v>31</v>
      </c>
      <c r="Y156" s="357">
        <f>+'20 Year Trend'!G156</f>
        <v>1</v>
      </c>
      <c r="Z156" s="358">
        <f>+'20 Year Trend'!H156</f>
        <v>87557125.559823751</v>
      </c>
    </row>
    <row r="157" spans="1:26" x14ac:dyDescent="0.2">
      <c r="A157" s="353">
        <f>+'Purchased Power Model '!A157</f>
        <v>42309</v>
      </c>
      <c r="B157" s="360"/>
      <c r="C157" s="355">
        <f>+'Purchased Power Model '!C157</f>
        <v>351.32364767227392</v>
      </c>
      <c r="D157" s="355">
        <f ca="1">+'Purchased Power Model '!D157</f>
        <v>0</v>
      </c>
      <c r="E157" s="356">
        <f>+'Purchased Power Model '!E157</f>
        <v>7.3406150000000003E-2</v>
      </c>
      <c r="F157" s="357">
        <f>+'Purchased Power Model '!F157</f>
        <v>30</v>
      </c>
      <c r="G157" s="357">
        <f>+'Purchased Power Model '!G157</f>
        <v>1</v>
      </c>
      <c r="H157" s="358">
        <f ca="1">+'Purchased Power Model '!H157</f>
        <v>91447817.925715432</v>
      </c>
      <c r="J157" s="353">
        <f>+'10 Year Average'!A157</f>
        <v>42309</v>
      </c>
      <c r="K157" s="360"/>
      <c r="L157" s="355">
        <f>+'10 Year Average'!C157</f>
        <v>375.95603798116093</v>
      </c>
      <c r="M157" s="355">
        <f>+'10 Year Average'!D157</f>
        <v>0</v>
      </c>
      <c r="N157" s="356">
        <f>+'10 Year Average'!E157</f>
        <v>7.3406150000000003E-2</v>
      </c>
      <c r="O157" s="357">
        <f>+'10 Year Average'!F157</f>
        <v>30</v>
      </c>
      <c r="P157" s="357">
        <f>+'10 Year Average'!G157</f>
        <v>1</v>
      </c>
      <c r="Q157" s="358">
        <f>+'10 Year Average'!H157</f>
        <v>92439423.557005703</v>
      </c>
      <c r="S157" s="353">
        <f>+'20 Year Trend'!A157</f>
        <v>42309</v>
      </c>
      <c r="T157" s="360"/>
      <c r="U157" s="355">
        <f>+'20 Year Trend'!C157</f>
        <v>343.33196471449901</v>
      </c>
      <c r="V157" s="355">
        <f>+'20 Year Trend'!D157</f>
        <v>0</v>
      </c>
      <c r="W157" s="356">
        <f>+'20 Year Trend'!E157</f>
        <v>7.3406150000000003E-2</v>
      </c>
      <c r="X157" s="357">
        <f>+'20 Year Trend'!F157</f>
        <v>30</v>
      </c>
      <c r="Y157" s="357">
        <f>+'20 Year Trend'!G157</f>
        <v>1</v>
      </c>
      <c r="Z157" s="358">
        <f>+'20 Year Trend'!H157</f>
        <v>91126103.397606596</v>
      </c>
    </row>
    <row r="158" spans="1:26" x14ac:dyDescent="0.2">
      <c r="A158" s="353">
        <f>+'Purchased Power Model '!A158</f>
        <v>42339</v>
      </c>
      <c r="B158" s="360"/>
      <c r="C158" s="355">
        <f>+'Purchased Power Model '!C158</f>
        <v>475.96461769104019</v>
      </c>
      <c r="D158" s="355">
        <f ca="1">+'Purchased Power Model '!D158</f>
        <v>0</v>
      </c>
      <c r="E158" s="356">
        <f>+'Purchased Power Model '!E158</f>
        <v>7.3406150000000003E-2</v>
      </c>
      <c r="F158" s="357">
        <f>+'Purchased Power Model '!F158</f>
        <v>31</v>
      </c>
      <c r="G158" s="357">
        <f>+'Purchased Power Model '!G158</f>
        <v>0</v>
      </c>
      <c r="H158" s="358">
        <f ca="1">+'Purchased Power Model '!H158</f>
        <v>106298137.57379279</v>
      </c>
      <c r="J158" s="353">
        <f>+'10 Year Average'!A158</f>
        <v>42339</v>
      </c>
      <c r="K158" s="360"/>
      <c r="L158" s="355">
        <f>+'10 Year Average'!C158</f>
        <v>509.3359728897729</v>
      </c>
      <c r="M158" s="355">
        <f>+'10 Year Average'!D158</f>
        <v>0</v>
      </c>
      <c r="N158" s="356">
        <f>+'10 Year Average'!E158</f>
        <v>7.3406150000000003E-2</v>
      </c>
      <c r="O158" s="357">
        <f>+'10 Year Average'!F158</f>
        <v>31</v>
      </c>
      <c r="P158" s="357">
        <f>+'10 Year Average'!G158</f>
        <v>0</v>
      </c>
      <c r="Q158" s="358">
        <f>+'10 Year Average'!H158</f>
        <v>107641540.43985212</v>
      </c>
      <c r="S158" s="353">
        <f>+'20 Year Trend'!A158</f>
        <v>42339</v>
      </c>
      <c r="T158" s="360"/>
      <c r="U158" s="355">
        <f>+'20 Year Trend'!C158</f>
        <v>465.13768261591082</v>
      </c>
      <c r="V158" s="355">
        <f>+'20 Year Trend'!D158</f>
        <v>0</v>
      </c>
      <c r="W158" s="356">
        <f>+'20 Year Trend'!E158</f>
        <v>7.3406150000000003E-2</v>
      </c>
      <c r="X158" s="357">
        <f>+'20 Year Trend'!F158</f>
        <v>31</v>
      </c>
      <c r="Y158" s="357">
        <f>+'20 Year Trend'!G158</f>
        <v>0</v>
      </c>
      <c r="Z158" s="358">
        <f>+'20 Year Trend'!H158</f>
        <v>105862286.6614175</v>
      </c>
    </row>
    <row r="159" spans="1:26" x14ac:dyDescent="0.2">
      <c r="A159" s="353">
        <f>+'Purchased Power Model '!A159</f>
        <v>42370</v>
      </c>
      <c r="B159" s="360"/>
      <c r="C159" s="355">
        <f>+'Purchased Power Model '!C159</f>
        <v>663.68561281945165</v>
      </c>
      <c r="D159" s="355">
        <f ca="1">+'Purchased Power Model '!D159</f>
        <v>0</v>
      </c>
      <c r="E159" s="356">
        <f>+'Purchased Power Model '!E159</f>
        <v>7.3406150000000003E-2</v>
      </c>
      <c r="F159" s="357">
        <f>+'Purchased Power Model '!F159</f>
        <v>31</v>
      </c>
      <c r="G159" s="357">
        <f>+'Purchased Power Model '!G159</f>
        <v>0</v>
      </c>
      <c r="H159" s="358">
        <f ca="1">+'Purchased Power Model '!H159</f>
        <v>113855065.40525816</v>
      </c>
      <c r="J159" s="353">
        <f>+'10 Year Average'!A159</f>
        <v>42370</v>
      </c>
      <c r="K159" s="360"/>
      <c r="L159" s="355">
        <f>+'10 Year Average'!C159</f>
        <v>711.94424771634965</v>
      </c>
      <c r="M159" s="355">
        <f>+'10 Year Average'!D159</f>
        <v>0</v>
      </c>
      <c r="N159" s="356">
        <f>+'10 Year Average'!E159</f>
        <v>7.3406150000000003E-2</v>
      </c>
      <c r="O159" s="357">
        <f>+'10 Year Average'!F159</f>
        <v>31</v>
      </c>
      <c r="P159" s="357">
        <f>+'10 Year Average'!G159</f>
        <v>0</v>
      </c>
      <c r="Q159" s="358">
        <f>+'10 Year Average'!H159</f>
        <v>115797773.09712517</v>
      </c>
      <c r="S159" s="353">
        <f>+'20 Year Trend'!A159</f>
        <v>42370</v>
      </c>
      <c r="T159" s="360"/>
      <c r="U159" s="355">
        <f>+'20 Year Trend'!C159</f>
        <v>650.1643613658066</v>
      </c>
      <c r="V159" s="355">
        <f>+'20 Year Trend'!D159</f>
        <v>0</v>
      </c>
      <c r="W159" s="356">
        <f>+'20 Year Trend'!E159</f>
        <v>7.3406150000000003E-2</v>
      </c>
      <c r="X159" s="357">
        <f>+'20 Year Trend'!F159</f>
        <v>31</v>
      </c>
      <c r="Y159" s="357">
        <f>+'20 Year Trend'!G159</f>
        <v>0</v>
      </c>
      <c r="Z159" s="358">
        <f>+'20 Year Trend'!H159</f>
        <v>113310751.64133209</v>
      </c>
    </row>
    <row r="160" spans="1:26" x14ac:dyDescent="0.2">
      <c r="A160" s="353">
        <f>+'Purchased Power Model '!A160</f>
        <v>42401</v>
      </c>
      <c r="B160" s="360"/>
      <c r="C160" s="355">
        <f>+'Purchased Power Model '!C160</f>
        <v>594.4602691771272</v>
      </c>
      <c r="D160" s="355">
        <f ca="1">+'Purchased Power Model '!D160</f>
        <v>0</v>
      </c>
      <c r="E160" s="356">
        <f>+'Purchased Power Model '!E160</f>
        <v>7.3406150000000003E-2</v>
      </c>
      <c r="F160" s="357">
        <f>+'Purchased Power Model '!F160</f>
        <v>29</v>
      </c>
      <c r="G160" s="357">
        <f>+'Purchased Power Model '!G160</f>
        <v>0</v>
      </c>
      <c r="H160" s="358">
        <f ca="1">+'Purchased Power Model '!H160</f>
        <v>105446248.78425813</v>
      </c>
      <c r="J160" s="353">
        <f>+'10 Year Average'!A160</f>
        <v>42401</v>
      </c>
      <c r="K160" s="360"/>
      <c r="L160" s="355">
        <f>+'10 Year Average'!C160</f>
        <v>637.68531509767956</v>
      </c>
      <c r="M160" s="355">
        <f>+'10 Year Average'!D160</f>
        <v>0</v>
      </c>
      <c r="N160" s="356">
        <f>+'10 Year Average'!E160</f>
        <v>7.3406150000000003E-2</v>
      </c>
      <c r="O160" s="357">
        <f>+'10 Year Average'!F160</f>
        <v>29</v>
      </c>
      <c r="P160" s="357">
        <f>+'10 Year Average'!G160</f>
        <v>0</v>
      </c>
      <c r="Q160" s="358">
        <f>+'10 Year Average'!H160</f>
        <v>107186323.4749444</v>
      </c>
      <c r="S160" s="353">
        <f>+'20 Year Trend'!A160</f>
        <v>42401</v>
      </c>
      <c r="T160" s="360"/>
      <c r="U160" s="355">
        <f>+'20 Year Trend'!C160</f>
        <v>582.34934402899978</v>
      </c>
      <c r="V160" s="355">
        <f>+'20 Year Trend'!D160</f>
        <v>0</v>
      </c>
      <c r="W160" s="356">
        <f>+'20 Year Trend'!E160</f>
        <v>7.3406150000000003E-2</v>
      </c>
      <c r="X160" s="357">
        <f>+'20 Year Trend'!F160</f>
        <v>29</v>
      </c>
      <c r="Y160" s="357">
        <f>+'20 Year Trend'!G160</f>
        <v>0</v>
      </c>
      <c r="Z160" s="358">
        <f>+'20 Year Trend'!H160</f>
        <v>104958709.35237905</v>
      </c>
    </row>
    <row r="161" spans="1:26" x14ac:dyDescent="0.2">
      <c r="A161" s="353">
        <f>+'Purchased Power Model '!A161</f>
        <v>42430</v>
      </c>
      <c r="B161" s="360"/>
      <c r="C161" s="355">
        <f>+'Purchased Power Model '!C161</f>
        <v>583.36012084914728</v>
      </c>
      <c r="D161" s="355">
        <f ca="1">+'Purchased Power Model '!D161</f>
        <v>0</v>
      </c>
      <c r="E161" s="356">
        <f>+'Purchased Power Model '!E161</f>
        <v>7.3406150000000003E-2</v>
      </c>
      <c r="F161" s="357">
        <f>+'Purchased Power Model '!F161</f>
        <v>31</v>
      </c>
      <c r="G161" s="357">
        <f>+'Purchased Power Model '!G161</f>
        <v>1</v>
      </c>
      <c r="H161" s="358">
        <f ca="1">+'Purchased Power Model '!H161</f>
        <v>103599751.86081654</v>
      </c>
      <c r="J161" s="353">
        <f>+'10 Year Average'!A161</f>
        <v>42430</v>
      </c>
      <c r="K161" s="360"/>
      <c r="L161" s="355">
        <f>+'10 Year Average'!C161</f>
        <v>625.77804063178974</v>
      </c>
      <c r="M161" s="355">
        <f>+'10 Year Average'!D161</f>
        <v>0</v>
      </c>
      <c r="N161" s="356">
        <f>+'10 Year Average'!E161</f>
        <v>7.3406150000000003E-2</v>
      </c>
      <c r="O161" s="357">
        <f>+'10 Year Average'!F161</f>
        <v>31</v>
      </c>
      <c r="P161" s="357">
        <f>+'10 Year Average'!G161</f>
        <v>1</v>
      </c>
      <c r="Q161" s="358">
        <f>+'10 Year Average'!H161</f>
        <v>105307334.74646577</v>
      </c>
      <c r="S161" s="353">
        <f>+'20 Year Trend'!A161</f>
        <v>42430</v>
      </c>
      <c r="T161" s="360"/>
      <c r="U161" s="355">
        <f>+'20 Year Trend'!C161</f>
        <v>571.47533876306068</v>
      </c>
      <c r="V161" s="355">
        <f>+'20 Year Trend'!D161</f>
        <v>0</v>
      </c>
      <c r="W161" s="356">
        <f>+'20 Year Trend'!E161</f>
        <v>7.3406150000000003E-2</v>
      </c>
      <c r="X161" s="357">
        <f>+'20 Year Trend'!F161</f>
        <v>31</v>
      </c>
      <c r="Y161" s="357">
        <f>+'20 Year Trend'!G161</f>
        <v>1</v>
      </c>
      <c r="Z161" s="358">
        <f>+'20 Year Trend'!H161</f>
        <v>103121316.08193198</v>
      </c>
    </row>
    <row r="162" spans="1:26" x14ac:dyDescent="0.2">
      <c r="A162" s="353">
        <f>+'Purchased Power Model '!A162</f>
        <v>42461</v>
      </c>
      <c r="B162" s="360"/>
      <c r="C162" s="355">
        <f>+'Purchased Power Model '!C162</f>
        <v>319.49496699061632</v>
      </c>
      <c r="D162" s="355">
        <f ca="1">+'Purchased Power Model '!D162</f>
        <v>0</v>
      </c>
      <c r="E162" s="356">
        <f>+'Purchased Power Model '!E162</f>
        <v>7.3406150000000003E-2</v>
      </c>
      <c r="F162" s="357">
        <f>+'Purchased Power Model '!F162</f>
        <v>30</v>
      </c>
      <c r="G162" s="357">
        <f>+'Purchased Power Model '!G162</f>
        <v>1</v>
      </c>
      <c r="H162" s="358">
        <f ca="1">+'Purchased Power Model '!H162</f>
        <v>90166517.22348173</v>
      </c>
      <c r="J162" s="353">
        <f>+'10 Year Average'!A162</f>
        <v>42461</v>
      </c>
      <c r="K162" s="360"/>
      <c r="L162" s="355">
        <f>+'10 Year Average'!C162</f>
        <v>342.72643482053758</v>
      </c>
      <c r="M162" s="355">
        <f>+'10 Year Average'!D162</f>
        <v>0</v>
      </c>
      <c r="N162" s="356">
        <f>+'10 Year Average'!E162</f>
        <v>7.3406150000000003E-2</v>
      </c>
      <c r="O162" s="357">
        <f>+'10 Year Average'!F162</f>
        <v>30</v>
      </c>
      <c r="P162" s="357">
        <f>+'10 Year Average'!G162</f>
        <v>1</v>
      </c>
      <c r="Q162" s="358">
        <f>+'10 Year Average'!H162</f>
        <v>91101727.084742233</v>
      </c>
      <c r="S162" s="353">
        <f>+'20 Year Trend'!A162</f>
        <v>42461</v>
      </c>
      <c r="T162" s="360"/>
      <c r="U162" s="355">
        <f>+'20 Year Trend'!C162</f>
        <v>312.98590350722668</v>
      </c>
      <c r="V162" s="355">
        <f>+'20 Year Trend'!D162</f>
        <v>0</v>
      </c>
      <c r="W162" s="356">
        <f>+'20 Year Trend'!E162</f>
        <v>7.3406150000000003E-2</v>
      </c>
      <c r="X162" s="357">
        <f>+'20 Year Trend'!F162</f>
        <v>30</v>
      </c>
      <c r="Y162" s="357">
        <f>+'20 Year Trend'!G162</f>
        <v>1</v>
      </c>
      <c r="Z162" s="358">
        <f>+'20 Year Trend'!H162</f>
        <v>89904487.273338139</v>
      </c>
    </row>
    <row r="163" spans="1:26" x14ac:dyDescent="0.2">
      <c r="A163" s="353">
        <f>+'Purchased Power Model '!A163</f>
        <v>42491</v>
      </c>
      <c r="B163" s="360"/>
      <c r="C163" s="355">
        <f>+'Purchased Power Model '!C163</f>
        <v>138.10649663882012</v>
      </c>
      <c r="D163" s="355">
        <f ca="1">+'Purchased Power Model '!D163</f>
        <v>1.8640104434172213</v>
      </c>
      <c r="E163" s="356">
        <f>+'Purchased Power Model '!E163</f>
        <v>7.3406150000000003E-2</v>
      </c>
      <c r="F163" s="357">
        <f>+'Purchased Power Model '!F163</f>
        <v>31</v>
      </c>
      <c r="G163" s="357">
        <f>+'Purchased Power Model '!G163</f>
        <v>1</v>
      </c>
      <c r="H163" s="358">
        <f ca="1">+'Purchased Power Model '!H163</f>
        <v>85945296.860928088</v>
      </c>
      <c r="J163" s="353">
        <f>+'10 Year Average'!A163</f>
        <v>42491</v>
      </c>
      <c r="K163" s="360"/>
      <c r="L163" s="355">
        <f>+'10 Year Average'!C163</f>
        <v>148.14864742444459</v>
      </c>
      <c r="M163" s="355">
        <f>+'10 Year Average'!D163</f>
        <v>1.699107344632766</v>
      </c>
      <c r="N163" s="356">
        <f>+'10 Year Average'!E163</f>
        <v>7.3406150000000003E-2</v>
      </c>
      <c r="O163" s="357">
        <f>+'10 Year Average'!F163</f>
        <v>31</v>
      </c>
      <c r="P163" s="357">
        <f>+'10 Year Average'!G163</f>
        <v>1</v>
      </c>
      <c r="Q163" s="358">
        <f>+'10 Year Average'!H163</f>
        <v>86325691.482107192</v>
      </c>
      <c r="S163" s="353">
        <f>+'20 Year Trend'!A163</f>
        <v>42491</v>
      </c>
      <c r="T163" s="360"/>
      <c r="U163" s="355">
        <f>+'20 Year Trend'!C163</f>
        <v>135.29285621575514</v>
      </c>
      <c r="V163" s="355">
        <f>+'20 Year Trend'!D163</f>
        <v>1.8207074041034785</v>
      </c>
      <c r="W163" s="356">
        <f>+'20 Year Trend'!E163</f>
        <v>7.3406150000000003E-2</v>
      </c>
      <c r="X163" s="357">
        <f>+'20 Year Trend'!F163</f>
        <v>31</v>
      </c>
      <c r="Y163" s="357">
        <f>+'20 Year Trend'!G163</f>
        <v>1</v>
      </c>
      <c r="Z163" s="358">
        <f>+'20 Year Trend'!H163</f>
        <v>85825763.89932479</v>
      </c>
    </row>
    <row r="164" spans="1:26" x14ac:dyDescent="0.2">
      <c r="A164" s="353">
        <f>+'Purchased Power Model '!A164</f>
        <v>42522</v>
      </c>
      <c r="B164" s="360"/>
      <c r="C164" s="355">
        <f>+'Purchased Power Model '!C164</f>
        <v>23.146820931989172</v>
      </c>
      <c r="D164" s="355">
        <f ca="1">+'Purchased Power Model '!D164</f>
        <v>57.497552908485055</v>
      </c>
      <c r="E164" s="356">
        <f>+'Purchased Power Model '!E164</f>
        <v>7.3406150000000003E-2</v>
      </c>
      <c r="F164" s="357">
        <f>+'Purchased Power Model '!F164</f>
        <v>30</v>
      </c>
      <c r="G164" s="357">
        <f>+'Purchased Power Model '!G164</f>
        <v>0</v>
      </c>
      <c r="H164" s="358">
        <f ca="1">+'Purchased Power Model '!H164</f>
        <v>93579128.139875799</v>
      </c>
      <c r="J164" s="353">
        <f>+'10 Year Average'!A164</f>
        <v>42522</v>
      </c>
      <c r="K164" s="360"/>
      <c r="L164" s="355">
        <f>+'10 Year Average'!C164</f>
        <v>24.829897917243368</v>
      </c>
      <c r="M164" s="355">
        <f>+'10 Year Average'!D164</f>
        <v>52.41092655367224</v>
      </c>
      <c r="N164" s="356">
        <f>+'10 Year Average'!E164</f>
        <v>7.3406150000000003E-2</v>
      </c>
      <c r="O164" s="357">
        <f>+'10 Year Average'!F164</f>
        <v>30</v>
      </c>
      <c r="P164" s="357">
        <f>+'10 Year Average'!G164</f>
        <v>0</v>
      </c>
      <c r="Q164" s="358">
        <f>+'10 Year Average'!H164</f>
        <v>92910773.351749212</v>
      </c>
      <c r="S164" s="353">
        <f>+'20 Year Trend'!A164</f>
        <v>42522</v>
      </c>
      <c r="T164" s="360"/>
      <c r="U164" s="355">
        <f>+'20 Year Trend'!C164</f>
        <v>22.675251290989497</v>
      </c>
      <c r="V164" s="355">
        <f>+'20 Year Trend'!D164</f>
        <v>56.1618206958073</v>
      </c>
      <c r="W164" s="356">
        <f>+'20 Year Trend'!E164</f>
        <v>7.3406150000000003E-2</v>
      </c>
      <c r="X164" s="357">
        <f>+'20 Year Trend'!F164</f>
        <v>30</v>
      </c>
      <c r="Y164" s="357">
        <f>+'20 Year Trend'!G164</f>
        <v>0</v>
      </c>
      <c r="Z164" s="358">
        <f>+'20 Year Trend'!H164</f>
        <v>93366844.621817976</v>
      </c>
    </row>
    <row r="165" spans="1:26" x14ac:dyDescent="0.2">
      <c r="A165" s="353">
        <f>+'Purchased Power Model '!A165</f>
        <v>42552</v>
      </c>
      <c r="B165" s="360"/>
      <c r="C165" s="355">
        <f>+'Purchased Power Model '!C165</f>
        <v>8.2605754998920471</v>
      </c>
      <c r="D165" s="355">
        <f ca="1">+'Purchased Power Model '!D165</f>
        <v>78.288438623523277</v>
      </c>
      <c r="E165" s="356">
        <f>+'Purchased Power Model '!E165</f>
        <v>7.3406150000000003E-2</v>
      </c>
      <c r="F165" s="357">
        <f>+'Purchased Power Model '!F165</f>
        <v>31</v>
      </c>
      <c r="G165" s="357">
        <f>+'Purchased Power Model '!G165</f>
        <v>0</v>
      </c>
      <c r="H165" s="358">
        <f ca="1">+'Purchased Power Model '!H165</f>
        <v>98799644.122780263</v>
      </c>
      <c r="J165" s="353">
        <f>+'10 Year Average'!A165</f>
        <v>42552</v>
      </c>
      <c r="K165" s="360"/>
      <c r="L165" s="355">
        <f>+'10 Year Average'!C165</f>
        <v>8.861227509499491</v>
      </c>
      <c r="M165" s="355">
        <f>+'10 Year Average'!D165</f>
        <v>71.362508474576146</v>
      </c>
      <c r="N165" s="356">
        <f>+'10 Year Average'!E165</f>
        <v>7.3406150000000003E-2</v>
      </c>
      <c r="O165" s="357">
        <f>+'10 Year Average'!F165</f>
        <v>31</v>
      </c>
      <c r="P165" s="357">
        <f>+'10 Year Average'!G165</f>
        <v>0</v>
      </c>
      <c r="Q165" s="358">
        <f>+'10 Year Average'!H165</f>
        <v>97821540.969941154</v>
      </c>
      <c r="S165" s="353">
        <f>+'20 Year Trend'!A165</f>
        <v>42552</v>
      </c>
      <c r="T165" s="360"/>
      <c r="U165" s="355">
        <f>+'20 Year Trend'!C165</f>
        <v>8.0922829886059144</v>
      </c>
      <c r="V165" s="355">
        <f>+'20 Year Trend'!D165</f>
        <v>76.469710972346093</v>
      </c>
      <c r="W165" s="356">
        <f>+'20 Year Trend'!E165</f>
        <v>7.3406150000000003E-2</v>
      </c>
      <c r="X165" s="357">
        <f>+'20 Year Trend'!F165</f>
        <v>31</v>
      </c>
      <c r="Y165" s="357">
        <f>+'20 Year Trend'!G165</f>
        <v>0</v>
      </c>
      <c r="Z165" s="358">
        <f>+'20 Year Trend'!H165</f>
        <v>98529672.895680413</v>
      </c>
    </row>
    <row r="166" spans="1:26" x14ac:dyDescent="0.2">
      <c r="A166" s="353">
        <f>+'Purchased Power Model '!A166</f>
        <v>42583</v>
      </c>
      <c r="B166" s="360"/>
      <c r="C166" s="355">
        <f>+'Purchased Power Model '!C166</f>
        <v>10.92805300506552</v>
      </c>
      <c r="D166" s="355">
        <f ca="1">+'Purchased Power Model '!D166</f>
        <v>83.163542860152944</v>
      </c>
      <c r="E166" s="356">
        <f>+'Purchased Power Model '!E166</f>
        <v>7.3406150000000003E-2</v>
      </c>
      <c r="F166" s="357">
        <f>+'Purchased Power Model '!F166</f>
        <v>31</v>
      </c>
      <c r="G166" s="357">
        <f>+'Purchased Power Model '!G166</f>
        <v>0</v>
      </c>
      <c r="H166" s="358">
        <f ca="1">+'Purchased Power Model '!H166</f>
        <v>99612525.226030365</v>
      </c>
      <c r="J166" s="353">
        <f>+'10 Year Average'!A166</f>
        <v>42583</v>
      </c>
      <c r="K166" s="360"/>
      <c r="L166" s="355">
        <f>+'10 Year Average'!C166</f>
        <v>11.722665559442033</v>
      </c>
      <c r="M166" s="355">
        <f>+'10 Year Average'!D166</f>
        <v>75.806327683615706</v>
      </c>
      <c r="N166" s="356">
        <f>+'10 Year Average'!E166</f>
        <v>7.3406150000000003E-2</v>
      </c>
      <c r="O166" s="357">
        <f>+'10 Year Average'!F166</f>
        <v>31</v>
      </c>
      <c r="P166" s="357">
        <f>+'10 Year Average'!G166</f>
        <v>0</v>
      </c>
      <c r="Q166" s="358">
        <f>+'10 Year Average'!H166</f>
        <v>98579816.947996944</v>
      </c>
      <c r="S166" s="353">
        <f>+'20 Year Trend'!A166</f>
        <v>42583</v>
      </c>
      <c r="T166" s="360"/>
      <c r="U166" s="355">
        <f>+'20 Year Trend'!C166</f>
        <v>10.705416037009911</v>
      </c>
      <c r="V166" s="355">
        <f>+'20 Year Trend'!D166</f>
        <v>81.231561106155198</v>
      </c>
      <c r="W166" s="356">
        <f>+'20 Year Trend'!E166</f>
        <v>7.3406150000000003E-2</v>
      </c>
      <c r="X166" s="357">
        <f>+'20 Year Trend'!F166</f>
        <v>31</v>
      </c>
      <c r="Y166" s="357">
        <f>+'20 Year Trend'!G166</f>
        <v>0</v>
      </c>
      <c r="Z166" s="358">
        <f>+'20 Year Trend'!H166</f>
        <v>99323976.778990269</v>
      </c>
    </row>
    <row r="167" spans="1:26" x14ac:dyDescent="0.2">
      <c r="A167" s="353">
        <f>+'Purchased Power Model '!A167</f>
        <v>42614</v>
      </c>
      <c r="B167" s="360"/>
      <c r="C167" s="355">
        <f>+'Purchased Power Model '!C167</f>
        <v>66.600889967879638</v>
      </c>
      <c r="D167" s="355">
        <f ca="1">+'Purchased Power Model '!D167</f>
        <v>32.261719212990371</v>
      </c>
      <c r="E167" s="356">
        <f>+'Purchased Power Model '!E167</f>
        <v>7.3406150000000003E-2</v>
      </c>
      <c r="F167" s="357">
        <f>+'Purchased Power Model '!F167</f>
        <v>30</v>
      </c>
      <c r="G167" s="357">
        <f>+'Purchased Power Model '!G167</f>
        <v>1</v>
      </c>
      <c r="H167" s="358">
        <f ca="1">+'Purchased Power Model '!H167</f>
        <v>84654712.165057853</v>
      </c>
      <c r="J167" s="353">
        <f>+'10 Year Average'!A167</f>
        <v>42614</v>
      </c>
      <c r="K167" s="360"/>
      <c r="L167" s="355">
        <f>+'10 Year Average'!C167</f>
        <v>71.44364679533966</v>
      </c>
      <c r="M167" s="355">
        <f>+'10 Year Average'!D167</f>
        <v>29.407627118644019</v>
      </c>
      <c r="N167" s="356">
        <f>+'10 Year Average'!E167</f>
        <v>7.3406150000000003E-2</v>
      </c>
      <c r="O167" s="357">
        <f>+'10 Year Average'!F167</f>
        <v>30</v>
      </c>
      <c r="P167" s="357">
        <f>+'10 Year Average'!G167</f>
        <v>1</v>
      </c>
      <c r="Q167" s="358">
        <f>+'10 Year Average'!H167</f>
        <v>84436634.244961396</v>
      </c>
      <c r="S167" s="353">
        <f>+'20 Year Trend'!A167</f>
        <v>42614</v>
      </c>
      <c r="T167" s="360"/>
      <c r="U167" s="355">
        <f>+'20 Year Trend'!C167</f>
        <v>65.244031595635207</v>
      </c>
      <c r="V167" s="355">
        <f>+'20 Year Trend'!D167</f>
        <v>31.512243532560205</v>
      </c>
      <c r="W167" s="356">
        <f>+'20 Year Trend'!E167</f>
        <v>7.3406150000000003E-2</v>
      </c>
      <c r="X167" s="357">
        <f>+'20 Year Trend'!F167</f>
        <v>30</v>
      </c>
      <c r="Y167" s="357">
        <f>+'20 Year Trend'!G167</f>
        <v>1</v>
      </c>
      <c r="Z167" s="358">
        <f>+'20 Year Trend'!H167</f>
        <v>84491630.185730055</v>
      </c>
    </row>
    <row r="168" spans="1:26" x14ac:dyDescent="0.2">
      <c r="A168" s="353">
        <f>+'Purchased Power Model '!A168</f>
        <v>42644</v>
      </c>
      <c r="B168" s="360"/>
      <c r="C168" s="355">
        <f>+'Purchased Power Model '!C168</f>
        <v>186.1210917319427</v>
      </c>
      <c r="D168" s="355">
        <f ca="1">+'Purchased Power Model '!D168</f>
        <v>0.71692709362200813</v>
      </c>
      <c r="E168" s="356">
        <f>+'Purchased Power Model '!E168</f>
        <v>7.3406150000000003E-2</v>
      </c>
      <c r="F168" s="357">
        <f>+'Purchased Power Model '!F168</f>
        <v>31</v>
      </c>
      <c r="G168" s="357">
        <f>+'Purchased Power Model '!G168</f>
        <v>1</v>
      </c>
      <c r="H168" s="358">
        <f ca="1">+'Purchased Power Model '!H168</f>
        <v>87712180.755712435</v>
      </c>
      <c r="J168" s="353">
        <f>+'10 Year Average'!A168</f>
        <v>42644</v>
      </c>
      <c r="K168" s="360"/>
      <c r="L168" s="355">
        <f>+'10 Year Average'!C168</f>
        <v>199.65453232341042</v>
      </c>
      <c r="M168" s="355">
        <f>+'10 Year Average'!D168</f>
        <v>0.65350282485875599</v>
      </c>
      <c r="N168" s="356">
        <f>+'10 Year Average'!E168</f>
        <v>7.3406150000000003E-2</v>
      </c>
      <c r="O168" s="357">
        <f>+'10 Year Average'!F168</f>
        <v>31</v>
      </c>
      <c r="P168" s="357">
        <f>+'10 Year Average'!G168</f>
        <v>1</v>
      </c>
      <c r="Q168" s="358">
        <f>+'10 Year Average'!H168</f>
        <v>88247806.790939152</v>
      </c>
      <c r="S168" s="353">
        <f>+'20 Year Trend'!A168</f>
        <v>42644</v>
      </c>
      <c r="T168" s="360"/>
      <c r="U168" s="355">
        <f>+'20 Year Trend'!C168</f>
        <v>182.32925108702707</v>
      </c>
      <c r="V168" s="355">
        <f>+'20 Year Trend'!D168</f>
        <v>0.70027207850133788</v>
      </c>
      <c r="W168" s="356">
        <f>+'20 Year Trend'!E168</f>
        <v>7.3406150000000003E-2</v>
      </c>
      <c r="X168" s="357">
        <f>+'20 Year Trend'!F168</f>
        <v>31</v>
      </c>
      <c r="Y168" s="357">
        <f>+'20 Year Trend'!G168</f>
        <v>1</v>
      </c>
      <c r="Z168" s="358">
        <f>+'20 Year Trend'!H168</f>
        <v>87557125.559823751</v>
      </c>
    </row>
    <row r="169" spans="1:26" x14ac:dyDescent="0.2">
      <c r="A169" s="353">
        <f>+'Purchased Power Model '!A169</f>
        <v>42675</v>
      </c>
      <c r="B169" s="360"/>
      <c r="C169" s="355">
        <f>+'Purchased Power Model '!C169</f>
        <v>350.47212511521167</v>
      </c>
      <c r="D169" s="355">
        <f ca="1">+'Purchased Power Model '!D169</f>
        <v>0</v>
      </c>
      <c r="E169" s="356">
        <f>+'Purchased Power Model '!E169</f>
        <v>7.3406150000000003E-2</v>
      </c>
      <c r="F169" s="357">
        <f>+'Purchased Power Model '!F169</f>
        <v>30</v>
      </c>
      <c r="G169" s="357">
        <f>+'Purchased Power Model '!G169</f>
        <v>1</v>
      </c>
      <c r="H169" s="358">
        <f ca="1">+'Purchased Power Model '!H169</f>
        <v>91413538.890990615</v>
      </c>
      <c r="J169" s="353">
        <f>+'10 Year Average'!A169</f>
        <v>42675</v>
      </c>
      <c r="K169" s="360"/>
      <c r="L169" s="355">
        <f>+'10 Year Average'!C169</f>
        <v>375.95603798116082</v>
      </c>
      <c r="M169" s="355">
        <f>+'10 Year Average'!D169</f>
        <v>0</v>
      </c>
      <c r="N169" s="356">
        <f>+'10 Year Average'!E169</f>
        <v>7.3406150000000003E-2</v>
      </c>
      <c r="O169" s="357">
        <f>+'10 Year Average'!F169</f>
        <v>30</v>
      </c>
      <c r="P169" s="357">
        <f>+'10 Year Average'!G169</f>
        <v>1</v>
      </c>
      <c r="Q169" s="358">
        <f>+'10 Year Average'!H169</f>
        <v>92439423.557005703</v>
      </c>
      <c r="S169" s="353">
        <f>+'20 Year Trend'!A169</f>
        <v>42675</v>
      </c>
      <c r="T169" s="360"/>
      <c r="U169" s="355">
        <f>+'20 Year Trend'!C169</f>
        <v>343.33196471449907</v>
      </c>
      <c r="V169" s="355">
        <f>+'20 Year Trend'!D169</f>
        <v>0</v>
      </c>
      <c r="W169" s="356">
        <f>+'20 Year Trend'!E169</f>
        <v>7.3406150000000003E-2</v>
      </c>
      <c r="X169" s="357">
        <f>+'20 Year Trend'!F169</f>
        <v>30</v>
      </c>
      <c r="Y169" s="357">
        <f>+'20 Year Trend'!G169</f>
        <v>1</v>
      </c>
      <c r="Z169" s="358">
        <f>+'20 Year Trend'!H169</f>
        <v>91126103.397606611</v>
      </c>
    </row>
    <row r="170" spans="1:26" x14ac:dyDescent="0.2">
      <c r="A170" s="353">
        <f>+'Purchased Power Model '!A170</f>
        <v>42705</v>
      </c>
      <c r="B170" s="360"/>
      <c r="C170" s="355">
        <f>+'Purchased Power Model '!C170</f>
        <v>474.81099592087827</v>
      </c>
      <c r="D170" s="355">
        <f ca="1">+'Purchased Power Model '!D170</f>
        <v>0</v>
      </c>
      <c r="E170" s="356">
        <f>+'Purchased Power Model '!E170</f>
        <v>7.3406150000000003E-2</v>
      </c>
      <c r="F170" s="357">
        <f>+'Purchased Power Model '!F170</f>
        <v>31</v>
      </c>
      <c r="G170" s="357">
        <f>+'Purchased Power Model '!G170</f>
        <v>0</v>
      </c>
      <c r="H170" s="358">
        <f ca="1">+'Purchased Power Model '!H170</f>
        <v>106251697.18253043</v>
      </c>
      <c r="J170" s="353">
        <f>+'10 Year Average'!A170</f>
        <v>42705</v>
      </c>
      <c r="K170" s="360"/>
      <c r="L170" s="355">
        <f>+'10 Year Average'!C170</f>
        <v>509.33597288977279</v>
      </c>
      <c r="M170" s="355">
        <f>+'10 Year Average'!D170</f>
        <v>0</v>
      </c>
      <c r="N170" s="356">
        <f>+'10 Year Average'!E170</f>
        <v>7.3406150000000003E-2</v>
      </c>
      <c r="O170" s="357">
        <f>+'10 Year Average'!F170</f>
        <v>31</v>
      </c>
      <c r="P170" s="357">
        <f>+'10 Year Average'!G170</f>
        <v>0</v>
      </c>
      <c r="Q170" s="358">
        <f>+'10 Year Average'!H170</f>
        <v>107641540.43985212</v>
      </c>
      <c r="S170" s="353">
        <f>+'20 Year Trend'!A170</f>
        <v>42705</v>
      </c>
      <c r="T170" s="360"/>
      <c r="U170" s="355">
        <f>+'20 Year Trend'!C170</f>
        <v>465.13768261591093</v>
      </c>
      <c r="V170" s="355">
        <f>+'20 Year Trend'!D170</f>
        <v>0</v>
      </c>
      <c r="W170" s="356">
        <f>+'20 Year Trend'!E170</f>
        <v>7.3406150000000003E-2</v>
      </c>
      <c r="X170" s="357">
        <f>+'20 Year Trend'!F170</f>
        <v>31</v>
      </c>
      <c r="Y170" s="357">
        <f>+'20 Year Trend'!G170</f>
        <v>0</v>
      </c>
      <c r="Z170" s="358">
        <f>+'20 Year Trend'!H170</f>
        <v>105862286.66141751</v>
      </c>
    </row>
    <row r="171" spans="1:26" x14ac:dyDescent="0.2">
      <c r="A171" s="353">
        <f>+'Purchased Power Model '!A171</f>
        <v>42736</v>
      </c>
      <c r="B171" s="360"/>
      <c r="C171" s="355">
        <f>+'Purchased Power Model '!C171</f>
        <v>662.07309293665651</v>
      </c>
      <c r="D171" s="355">
        <f ca="1">+'Purchased Power Model '!D171</f>
        <v>0</v>
      </c>
      <c r="E171" s="356">
        <f>+'Purchased Power Model '!E171</f>
        <v>7.3406150000000003E-2</v>
      </c>
      <c r="F171" s="357">
        <f>+'Purchased Power Model '!F171</f>
        <v>31</v>
      </c>
      <c r="G171" s="357">
        <f>+'Purchased Power Model '!G171</f>
        <v>0</v>
      </c>
      <c r="H171" s="358">
        <f ca="1">+'Purchased Power Model '!H171</f>
        <v>113790151.53468791</v>
      </c>
      <c r="J171" s="353">
        <f>+'10 Year Average'!A171</f>
        <v>42736</v>
      </c>
      <c r="K171" s="360"/>
      <c r="L171" s="355">
        <f>+'10 Year Average'!C171</f>
        <v>711.94424771634965</v>
      </c>
      <c r="M171" s="355">
        <f>+'10 Year Average'!D171</f>
        <v>0</v>
      </c>
      <c r="N171" s="356">
        <f>+'10 Year Average'!E171</f>
        <v>7.3406150000000003E-2</v>
      </c>
      <c r="O171" s="357">
        <f>+'10 Year Average'!F171</f>
        <v>31</v>
      </c>
      <c r="P171" s="357">
        <f>+'10 Year Average'!G171</f>
        <v>0</v>
      </c>
      <c r="Q171" s="358">
        <f>+'10 Year Average'!H171</f>
        <v>115797773.09712517</v>
      </c>
      <c r="S171" s="353">
        <f>+'20 Year Trend'!A171</f>
        <v>42736</v>
      </c>
      <c r="T171" s="360"/>
      <c r="U171" s="355">
        <f>+'20 Year Trend'!C171</f>
        <v>650.1643613658066</v>
      </c>
      <c r="V171" s="355">
        <f>+'20 Year Trend'!D171</f>
        <v>0</v>
      </c>
      <c r="W171" s="356">
        <f>+'20 Year Trend'!E171</f>
        <v>7.3406150000000003E-2</v>
      </c>
      <c r="X171" s="357">
        <f>+'20 Year Trend'!F171</f>
        <v>31</v>
      </c>
      <c r="Y171" s="357">
        <f>+'20 Year Trend'!G171</f>
        <v>0</v>
      </c>
      <c r="Z171" s="358">
        <f>+'20 Year Trend'!H171</f>
        <v>113310751.64133209</v>
      </c>
    </row>
    <row r="172" spans="1:26" x14ac:dyDescent="0.2">
      <c r="A172" s="353">
        <f>+'Purchased Power Model '!A172</f>
        <v>42767</v>
      </c>
      <c r="B172" s="360"/>
      <c r="C172" s="355">
        <f>+'Purchased Power Model '!C172</f>
        <v>593.0159422472309</v>
      </c>
      <c r="D172" s="355">
        <f ca="1">+'Purchased Power Model '!D172</f>
        <v>0</v>
      </c>
      <c r="E172" s="356">
        <f>+'Purchased Power Model '!E172</f>
        <v>7.3406150000000003E-2</v>
      </c>
      <c r="F172" s="357">
        <f>+'Purchased Power Model '!F172</f>
        <v>28</v>
      </c>
      <c r="G172" s="357">
        <f>+'Purchased Power Model '!G172</f>
        <v>0</v>
      </c>
      <c r="H172" s="358">
        <f ca="1">+'Purchased Power Model '!H172</f>
        <v>102577070.92286685</v>
      </c>
      <c r="J172" s="353">
        <f>+'10 Year Average'!A172</f>
        <v>42767</v>
      </c>
      <c r="K172" s="360"/>
      <c r="L172" s="355">
        <f>+'10 Year Average'!C172</f>
        <v>637.68531509767956</v>
      </c>
      <c r="M172" s="355">
        <f>+'10 Year Average'!D172</f>
        <v>0</v>
      </c>
      <c r="N172" s="356">
        <f>+'10 Year Average'!E172</f>
        <v>7.3406150000000003E-2</v>
      </c>
      <c r="O172" s="357">
        <f>+'10 Year Average'!F172</f>
        <v>28</v>
      </c>
      <c r="P172" s="357">
        <f>+'10 Year Average'!G172</f>
        <v>0</v>
      </c>
      <c r="Q172" s="358">
        <f>+'10 Year Average'!H172</f>
        <v>104375288.68043172</v>
      </c>
      <c r="S172" s="353">
        <f>+'20 Year Trend'!A172</f>
        <v>42767</v>
      </c>
      <c r="T172" s="360"/>
      <c r="U172" s="355">
        <f>+'20 Year Trend'!C172</f>
        <v>582.34934402899978</v>
      </c>
      <c r="V172" s="355">
        <f>+'20 Year Trend'!D172</f>
        <v>0</v>
      </c>
      <c r="W172" s="356">
        <f>+'20 Year Trend'!E172</f>
        <v>7.3406150000000003E-2</v>
      </c>
      <c r="X172" s="357">
        <f>+'20 Year Trend'!F172</f>
        <v>28</v>
      </c>
      <c r="Y172" s="357">
        <f>+'20 Year Trend'!G172</f>
        <v>0</v>
      </c>
      <c r="Z172" s="358">
        <f>+'20 Year Trend'!H172</f>
        <v>102147674.55786638</v>
      </c>
    </row>
    <row r="173" spans="1:26" x14ac:dyDescent="0.2">
      <c r="A173" s="353">
        <f>+'Purchased Power Model '!A173</f>
        <v>42795</v>
      </c>
      <c r="B173" s="360"/>
      <c r="C173" s="355">
        <f>+'Purchased Power Model '!C173</f>
        <v>581.9427633299706</v>
      </c>
      <c r="D173" s="355">
        <f ca="1">+'Purchased Power Model '!D173</f>
        <v>0</v>
      </c>
      <c r="E173" s="356">
        <f>+'Purchased Power Model '!E173</f>
        <v>7.3406150000000003E-2</v>
      </c>
      <c r="F173" s="357">
        <f>+'Purchased Power Model '!F173</f>
        <v>31</v>
      </c>
      <c r="G173" s="357">
        <f>+'Purchased Power Model '!G173</f>
        <v>1</v>
      </c>
      <c r="H173" s="358">
        <f ca="1">+'Purchased Power Model '!H173</f>
        <v>103542694.47905445</v>
      </c>
      <c r="J173" s="353">
        <f>+'10 Year Average'!A173</f>
        <v>42795</v>
      </c>
      <c r="K173" s="360"/>
      <c r="L173" s="355">
        <f>+'10 Year Average'!C173</f>
        <v>625.77804063178974</v>
      </c>
      <c r="M173" s="355">
        <f>+'10 Year Average'!D173</f>
        <v>0</v>
      </c>
      <c r="N173" s="356">
        <f>+'10 Year Average'!E173</f>
        <v>7.3406150000000003E-2</v>
      </c>
      <c r="O173" s="357">
        <f>+'10 Year Average'!F173</f>
        <v>31</v>
      </c>
      <c r="P173" s="357">
        <f>+'10 Year Average'!G173</f>
        <v>1</v>
      </c>
      <c r="Q173" s="358">
        <f>+'10 Year Average'!H173</f>
        <v>105307334.74646577</v>
      </c>
      <c r="S173" s="353">
        <f>+'20 Year Trend'!A173</f>
        <v>42795</v>
      </c>
      <c r="T173" s="360"/>
      <c r="U173" s="355">
        <f>+'20 Year Trend'!C173</f>
        <v>571.47533876306068</v>
      </c>
      <c r="V173" s="355">
        <f>+'20 Year Trend'!D173</f>
        <v>0</v>
      </c>
      <c r="W173" s="356">
        <f>+'20 Year Trend'!E173</f>
        <v>7.3406150000000003E-2</v>
      </c>
      <c r="X173" s="357">
        <f>+'20 Year Trend'!F173</f>
        <v>31</v>
      </c>
      <c r="Y173" s="357">
        <f>+'20 Year Trend'!G173</f>
        <v>1</v>
      </c>
      <c r="Z173" s="358">
        <f>+'20 Year Trend'!H173</f>
        <v>103121316.08193198</v>
      </c>
    </row>
    <row r="174" spans="1:26" x14ac:dyDescent="0.2">
      <c r="A174" s="353">
        <f>+'Purchased Power Model '!A174</f>
        <v>42826</v>
      </c>
      <c r="B174" s="360"/>
      <c r="C174" s="355">
        <f>+'Purchased Power Model '!C174</f>
        <v>318.71870790532938</v>
      </c>
      <c r="D174" s="355">
        <f ca="1">+'Purchased Power Model '!D174</f>
        <v>0</v>
      </c>
      <c r="E174" s="356">
        <f>+'Purchased Power Model '!E174</f>
        <v>7.3406150000000003E-2</v>
      </c>
      <c r="F174" s="357">
        <f>+'Purchased Power Model '!F174</f>
        <v>30</v>
      </c>
      <c r="G174" s="357">
        <f>+'Purchased Power Model '!G174</f>
        <v>1</v>
      </c>
      <c r="H174" s="358">
        <f ca="1">+'Purchased Power Model '!H174</f>
        <v>90135268.00768666</v>
      </c>
      <c r="J174" s="353">
        <f>+'10 Year Average'!A174</f>
        <v>42826</v>
      </c>
      <c r="K174" s="360"/>
      <c r="L174" s="355">
        <f>+'10 Year Average'!C174</f>
        <v>342.72643482053758</v>
      </c>
      <c r="M174" s="355">
        <f>+'10 Year Average'!D174</f>
        <v>0</v>
      </c>
      <c r="N174" s="356">
        <f>+'10 Year Average'!E174</f>
        <v>7.3406150000000003E-2</v>
      </c>
      <c r="O174" s="357">
        <f>+'10 Year Average'!F174</f>
        <v>30</v>
      </c>
      <c r="P174" s="357">
        <f>+'10 Year Average'!G174</f>
        <v>1</v>
      </c>
      <c r="Q174" s="358">
        <f>+'10 Year Average'!H174</f>
        <v>91101727.084742233</v>
      </c>
      <c r="S174" s="353">
        <f>+'20 Year Trend'!A174</f>
        <v>42826</v>
      </c>
      <c r="T174" s="360"/>
      <c r="U174" s="355">
        <f>+'20 Year Trend'!C174</f>
        <v>312.98590350722668</v>
      </c>
      <c r="V174" s="355">
        <f>+'20 Year Trend'!D174</f>
        <v>0</v>
      </c>
      <c r="W174" s="356">
        <f>+'20 Year Trend'!E174</f>
        <v>7.3406150000000003E-2</v>
      </c>
      <c r="X174" s="357">
        <f>+'20 Year Trend'!F174</f>
        <v>30</v>
      </c>
      <c r="Y174" s="357">
        <f>+'20 Year Trend'!G174</f>
        <v>1</v>
      </c>
      <c r="Z174" s="358">
        <f>+'20 Year Trend'!H174</f>
        <v>89904487.273338139</v>
      </c>
    </row>
    <row r="175" spans="1:26" x14ac:dyDescent="0.2">
      <c r="A175" s="353">
        <f>+'Purchased Power Model '!A175</f>
        <v>42856</v>
      </c>
      <c r="B175" s="360"/>
      <c r="C175" s="355">
        <f>+'Purchased Power Model '!C175</f>
        <v>137.77094699381996</v>
      </c>
      <c r="D175" s="355">
        <f ca="1">+'Purchased Power Model '!D175</f>
        <v>1.8822256462934444</v>
      </c>
      <c r="E175" s="356">
        <f>+'Purchased Power Model '!E175</f>
        <v>7.3406150000000003E-2</v>
      </c>
      <c r="F175" s="357">
        <f>+'Purchased Power Model '!F175</f>
        <v>31</v>
      </c>
      <c r="G175" s="357">
        <f>+'Purchased Power Model '!G175</f>
        <v>1</v>
      </c>
      <c r="H175" s="358">
        <f ca="1">+'Purchased Power Model '!H175</f>
        <v>85934424.923707455</v>
      </c>
      <c r="J175" s="353">
        <f>+'10 Year Average'!A175</f>
        <v>42856</v>
      </c>
      <c r="K175" s="360"/>
      <c r="L175" s="355">
        <f>+'10 Year Average'!C175</f>
        <v>148.14864742444459</v>
      </c>
      <c r="M175" s="355">
        <f>+'10 Year Average'!D175</f>
        <v>1.699107344632766</v>
      </c>
      <c r="N175" s="356">
        <f>+'10 Year Average'!E175</f>
        <v>7.3406150000000003E-2</v>
      </c>
      <c r="O175" s="357">
        <f>+'10 Year Average'!F175</f>
        <v>31</v>
      </c>
      <c r="P175" s="357">
        <f>+'10 Year Average'!G175</f>
        <v>1</v>
      </c>
      <c r="Q175" s="358">
        <f>+'10 Year Average'!H175</f>
        <v>86325691.482107192</v>
      </c>
      <c r="S175" s="353">
        <f>+'20 Year Trend'!A175</f>
        <v>42856</v>
      </c>
      <c r="T175" s="360"/>
      <c r="U175" s="355">
        <f>+'20 Year Trend'!C175</f>
        <v>135.29285621575514</v>
      </c>
      <c r="V175" s="355">
        <f>+'20 Year Trend'!D175</f>
        <v>1.8207074041034785</v>
      </c>
      <c r="W175" s="356">
        <f>+'20 Year Trend'!E175</f>
        <v>7.3406150000000003E-2</v>
      </c>
      <c r="X175" s="357">
        <f>+'20 Year Trend'!F175</f>
        <v>31</v>
      </c>
      <c r="Y175" s="357">
        <f>+'20 Year Trend'!G175</f>
        <v>1</v>
      </c>
      <c r="Z175" s="358">
        <f>+'20 Year Trend'!H175</f>
        <v>85825763.89932479</v>
      </c>
    </row>
    <row r="176" spans="1:26" x14ac:dyDescent="0.2">
      <c r="A176" s="353">
        <f>+'Purchased Power Model '!A176</f>
        <v>42887</v>
      </c>
      <c r="B176" s="360"/>
      <c r="C176" s="355">
        <f>+'Purchased Power Model '!C176</f>
        <v>23.090582393356748</v>
      </c>
      <c r="D176" s="355">
        <f ca="1">+'Purchased Power Model '!D176</f>
        <v>58.059421858743939</v>
      </c>
      <c r="E176" s="356">
        <f>+'Purchased Power Model '!E176</f>
        <v>7.3406150000000003E-2</v>
      </c>
      <c r="F176" s="357">
        <f>+'Purchased Power Model '!F176</f>
        <v>30</v>
      </c>
      <c r="G176" s="357">
        <f>+'Purchased Power Model '!G176</f>
        <v>0</v>
      </c>
      <c r="H176" s="358">
        <f ca="1">+'Purchased Power Model '!H176</f>
        <v>93658174.823278368</v>
      </c>
      <c r="J176" s="353">
        <f>+'10 Year Average'!A176</f>
        <v>42887</v>
      </c>
      <c r="K176" s="360"/>
      <c r="L176" s="355">
        <f>+'10 Year Average'!C176</f>
        <v>24.829897917243368</v>
      </c>
      <c r="M176" s="355">
        <f>+'10 Year Average'!D176</f>
        <v>52.41092655367224</v>
      </c>
      <c r="N176" s="356">
        <f>+'10 Year Average'!E176</f>
        <v>7.3406150000000003E-2</v>
      </c>
      <c r="O176" s="357">
        <f>+'10 Year Average'!F176</f>
        <v>30</v>
      </c>
      <c r="P176" s="357">
        <f>+'10 Year Average'!G176</f>
        <v>0</v>
      </c>
      <c r="Q176" s="358">
        <f>+'10 Year Average'!H176</f>
        <v>92910773.351749212</v>
      </c>
      <c r="S176" s="353">
        <f>+'20 Year Trend'!A176</f>
        <v>42887</v>
      </c>
      <c r="T176" s="360"/>
      <c r="U176" s="355">
        <f>+'20 Year Trend'!C176</f>
        <v>22.675251290989497</v>
      </c>
      <c r="V176" s="355">
        <f>+'20 Year Trend'!D176</f>
        <v>56.1618206958073</v>
      </c>
      <c r="W176" s="356">
        <f>+'20 Year Trend'!E176</f>
        <v>7.3406150000000003E-2</v>
      </c>
      <c r="X176" s="357">
        <f>+'20 Year Trend'!F176</f>
        <v>30</v>
      </c>
      <c r="Y176" s="357">
        <f>+'20 Year Trend'!G176</f>
        <v>0</v>
      </c>
      <c r="Z176" s="358">
        <f>+'20 Year Trend'!H176</f>
        <v>93366844.621817976</v>
      </c>
    </row>
    <row r="177" spans="1:26" x14ac:dyDescent="0.2">
      <c r="A177" s="353">
        <f>+'Purchased Power Model '!A177</f>
        <v>42917</v>
      </c>
      <c r="B177" s="360"/>
      <c r="C177" s="355">
        <f>+'Purchased Power Model '!C177</f>
        <v>8.2405052407518511</v>
      </c>
      <c r="D177" s="355">
        <f ca="1">+'Purchased Power Model '!D177</f>
        <v>79.053477144324646</v>
      </c>
      <c r="E177" s="356">
        <f>+'Purchased Power Model '!E177</f>
        <v>7.3406150000000003E-2</v>
      </c>
      <c r="F177" s="357">
        <f>+'Purchased Power Model '!F177</f>
        <v>31</v>
      </c>
      <c r="G177" s="357">
        <f>+'Purchased Power Model '!G177</f>
        <v>0</v>
      </c>
      <c r="H177" s="358">
        <f ca="1">+'Purchased Power Model '!H177</f>
        <v>98909548.402397752</v>
      </c>
      <c r="J177" s="353">
        <f>+'10 Year Average'!A177</f>
        <v>42917</v>
      </c>
      <c r="K177" s="360"/>
      <c r="L177" s="355">
        <f>+'10 Year Average'!C177</f>
        <v>8.861227509499491</v>
      </c>
      <c r="M177" s="355">
        <f>+'10 Year Average'!D177</f>
        <v>71.362508474576146</v>
      </c>
      <c r="N177" s="356">
        <f>+'10 Year Average'!E177</f>
        <v>7.3406150000000003E-2</v>
      </c>
      <c r="O177" s="357">
        <f>+'10 Year Average'!F177</f>
        <v>31</v>
      </c>
      <c r="P177" s="357">
        <f>+'10 Year Average'!G177</f>
        <v>0</v>
      </c>
      <c r="Q177" s="358">
        <f>+'10 Year Average'!H177</f>
        <v>97821540.969941154</v>
      </c>
      <c r="S177" s="353">
        <f>+'20 Year Trend'!A177</f>
        <v>42917</v>
      </c>
      <c r="T177" s="360"/>
      <c r="U177" s="355">
        <f>+'20 Year Trend'!C177</f>
        <v>8.0922829886059144</v>
      </c>
      <c r="V177" s="355">
        <f>+'20 Year Trend'!D177</f>
        <v>76.469710972346093</v>
      </c>
      <c r="W177" s="356">
        <f>+'20 Year Trend'!E177</f>
        <v>7.3406150000000003E-2</v>
      </c>
      <c r="X177" s="357">
        <f>+'20 Year Trend'!F177</f>
        <v>31</v>
      </c>
      <c r="Y177" s="357">
        <f>+'20 Year Trend'!G177</f>
        <v>0</v>
      </c>
      <c r="Z177" s="358">
        <f>+'20 Year Trend'!H177</f>
        <v>98529672.895680413</v>
      </c>
    </row>
    <row r="178" spans="1:26" x14ac:dyDescent="0.2">
      <c r="A178" s="353">
        <f>+'Purchased Power Model '!A178</f>
        <v>42948</v>
      </c>
      <c r="B178" s="360"/>
      <c r="C178" s="355">
        <f>+'Purchased Power Model '!C178</f>
        <v>10.901501724744636</v>
      </c>
      <c r="D178" s="355">
        <f ca="1">+'Purchased Power Model '!D178</f>
        <v>83.976221142322899</v>
      </c>
      <c r="E178" s="356">
        <f>+'Purchased Power Model '!E178</f>
        <v>7.3406150000000003E-2</v>
      </c>
      <c r="F178" s="357">
        <f>+'Purchased Power Model '!F178</f>
        <v>31</v>
      </c>
      <c r="G178" s="357">
        <f>+'Purchased Power Model '!G178</f>
        <v>0</v>
      </c>
      <c r="H178" s="358">
        <f ca="1">+'Purchased Power Model '!H178</f>
        <v>99729062.772824794</v>
      </c>
      <c r="J178" s="353">
        <f>+'10 Year Average'!A178</f>
        <v>42948</v>
      </c>
      <c r="K178" s="360"/>
      <c r="L178" s="355">
        <f>+'10 Year Average'!C178</f>
        <v>11.722665559442033</v>
      </c>
      <c r="M178" s="355">
        <f>+'10 Year Average'!D178</f>
        <v>75.806327683615706</v>
      </c>
      <c r="N178" s="356">
        <f>+'10 Year Average'!E178</f>
        <v>7.3406150000000003E-2</v>
      </c>
      <c r="O178" s="357">
        <f>+'10 Year Average'!F178</f>
        <v>31</v>
      </c>
      <c r="P178" s="357">
        <f>+'10 Year Average'!G178</f>
        <v>0</v>
      </c>
      <c r="Q178" s="358">
        <f>+'10 Year Average'!H178</f>
        <v>98579816.947996944</v>
      </c>
      <c r="S178" s="353">
        <f>+'20 Year Trend'!A178</f>
        <v>42948</v>
      </c>
      <c r="T178" s="360"/>
      <c r="U178" s="355">
        <f>+'20 Year Trend'!C178</f>
        <v>10.705416037009911</v>
      </c>
      <c r="V178" s="355">
        <f>+'20 Year Trend'!D178</f>
        <v>81.231561106155198</v>
      </c>
      <c r="W178" s="356">
        <f>+'20 Year Trend'!E178</f>
        <v>7.3406150000000003E-2</v>
      </c>
      <c r="X178" s="357">
        <f>+'20 Year Trend'!F178</f>
        <v>31</v>
      </c>
      <c r="Y178" s="357">
        <f>+'20 Year Trend'!G178</f>
        <v>0</v>
      </c>
      <c r="Z178" s="358">
        <f>+'20 Year Trend'!H178</f>
        <v>99323976.778990269</v>
      </c>
    </row>
    <row r="179" spans="1:26" x14ac:dyDescent="0.2">
      <c r="A179" s="353">
        <f>+'Purchased Power Model '!A179</f>
        <v>42979</v>
      </c>
      <c r="B179" s="360"/>
      <c r="C179" s="355">
        <f>+'Purchased Power Model '!C179</f>
        <v>66.439073503561801</v>
      </c>
      <c r="D179" s="355">
        <f ca="1">+'Purchased Power Model '!D179</f>
        <v>32.576982339694233</v>
      </c>
      <c r="E179" s="356">
        <f>+'Purchased Power Model '!E179</f>
        <v>7.3406150000000003E-2</v>
      </c>
      <c r="F179" s="357">
        <f>+'Purchased Power Model '!F179</f>
        <v>30</v>
      </c>
      <c r="G179" s="357">
        <f>+'Purchased Power Model '!G179</f>
        <v>1</v>
      </c>
      <c r="H179" s="358">
        <f ca="1">+'Purchased Power Model '!H179</f>
        <v>84693821.226611093</v>
      </c>
      <c r="J179" s="353">
        <f>+'10 Year Average'!A179</f>
        <v>42979</v>
      </c>
      <c r="K179" s="360"/>
      <c r="L179" s="355">
        <f>+'10 Year Average'!C179</f>
        <v>71.44364679533966</v>
      </c>
      <c r="M179" s="355">
        <f>+'10 Year Average'!D179</f>
        <v>29.407627118644019</v>
      </c>
      <c r="N179" s="356">
        <f>+'10 Year Average'!E179</f>
        <v>7.3406150000000003E-2</v>
      </c>
      <c r="O179" s="357">
        <f>+'10 Year Average'!F179</f>
        <v>30</v>
      </c>
      <c r="P179" s="357">
        <f>+'10 Year Average'!G179</f>
        <v>1</v>
      </c>
      <c r="Q179" s="358">
        <f>+'10 Year Average'!H179</f>
        <v>84436634.244961396</v>
      </c>
      <c r="S179" s="353">
        <f>+'20 Year Trend'!A179</f>
        <v>42979</v>
      </c>
      <c r="T179" s="360"/>
      <c r="U179" s="355">
        <f>+'20 Year Trend'!C179</f>
        <v>65.244031595635207</v>
      </c>
      <c r="V179" s="355">
        <f>+'20 Year Trend'!D179</f>
        <v>31.512243532560205</v>
      </c>
      <c r="W179" s="356">
        <f>+'20 Year Trend'!E179</f>
        <v>7.3406150000000003E-2</v>
      </c>
      <c r="X179" s="357">
        <f>+'20 Year Trend'!F179</f>
        <v>30</v>
      </c>
      <c r="Y179" s="357">
        <f>+'20 Year Trend'!G179</f>
        <v>1</v>
      </c>
      <c r="Z179" s="358">
        <f>+'20 Year Trend'!H179</f>
        <v>84491630.185730055</v>
      </c>
    </row>
    <row r="180" spans="1:26" x14ac:dyDescent="0.2">
      <c r="A180" s="353">
        <f>+'Purchased Power Model '!A180</f>
        <v>43009</v>
      </c>
      <c r="B180" s="360"/>
      <c r="C180" s="355">
        <f>+'Purchased Power Model '!C180</f>
        <v>185.66888370569015</v>
      </c>
      <c r="D180" s="355">
        <f ca="1">+'Purchased Power Model '!D180</f>
        <v>0.72393294088209392</v>
      </c>
      <c r="E180" s="356">
        <f>+'Purchased Power Model '!E180</f>
        <v>7.3406150000000003E-2</v>
      </c>
      <c r="F180" s="357">
        <f>+'Purchased Power Model '!F180</f>
        <v>31</v>
      </c>
      <c r="G180" s="357">
        <f>+'Purchased Power Model '!G180</f>
        <v>1</v>
      </c>
      <c r="H180" s="358">
        <f ca="1">+'Purchased Power Model '!H180</f>
        <v>87694990.44191502</v>
      </c>
      <c r="J180" s="353">
        <f>+'10 Year Average'!A180</f>
        <v>43009</v>
      </c>
      <c r="K180" s="360"/>
      <c r="L180" s="355">
        <f>+'10 Year Average'!C180</f>
        <v>199.65453232341042</v>
      </c>
      <c r="M180" s="355">
        <f>+'10 Year Average'!D180</f>
        <v>0.65350282485875599</v>
      </c>
      <c r="N180" s="356">
        <f>+'10 Year Average'!E180</f>
        <v>7.3406150000000003E-2</v>
      </c>
      <c r="O180" s="357">
        <f>+'10 Year Average'!F180</f>
        <v>31</v>
      </c>
      <c r="P180" s="357">
        <f>+'10 Year Average'!G180</f>
        <v>1</v>
      </c>
      <c r="Q180" s="358">
        <f>+'10 Year Average'!H180</f>
        <v>88247806.790939152</v>
      </c>
      <c r="S180" s="353">
        <f>+'20 Year Trend'!A180</f>
        <v>43009</v>
      </c>
      <c r="T180" s="360"/>
      <c r="U180" s="355">
        <f>+'20 Year Trend'!C180</f>
        <v>182.32925108702707</v>
      </c>
      <c r="V180" s="355">
        <f>+'20 Year Trend'!D180</f>
        <v>0.70027207850133788</v>
      </c>
      <c r="W180" s="356">
        <f>+'20 Year Trend'!E180</f>
        <v>7.3406150000000003E-2</v>
      </c>
      <c r="X180" s="357">
        <f>+'20 Year Trend'!F180</f>
        <v>31</v>
      </c>
      <c r="Y180" s="357">
        <f>+'20 Year Trend'!G180</f>
        <v>1</v>
      </c>
      <c r="Z180" s="358">
        <f>+'20 Year Trend'!H180</f>
        <v>87557125.559823751</v>
      </c>
    </row>
    <row r="181" spans="1:26" x14ac:dyDescent="0.2">
      <c r="A181" s="353">
        <f>+'Purchased Power Model '!A181</f>
        <v>43040</v>
      </c>
      <c r="B181" s="360"/>
      <c r="C181" s="355">
        <f>+'Purchased Power Model '!C181</f>
        <v>349.62060255814896</v>
      </c>
      <c r="D181" s="355">
        <f ca="1">+'Purchased Power Model '!D181</f>
        <v>0</v>
      </c>
      <c r="E181" s="356">
        <f>+'Purchased Power Model '!E181</f>
        <v>7.3406150000000003E-2</v>
      </c>
      <c r="F181" s="357">
        <f>+'Purchased Power Model '!F181</f>
        <v>30</v>
      </c>
      <c r="G181" s="357">
        <f>+'Purchased Power Model '!G181</f>
        <v>1</v>
      </c>
      <c r="H181" s="358">
        <f ca="1">+'Purchased Power Model '!H181</f>
        <v>91379259.856265783</v>
      </c>
      <c r="J181" s="353">
        <f>+'10 Year Average'!A181</f>
        <v>43040</v>
      </c>
      <c r="K181" s="360"/>
      <c r="L181" s="355">
        <f>+'10 Year Average'!C181</f>
        <v>375.95603798116082</v>
      </c>
      <c r="M181" s="355">
        <f>+'10 Year Average'!D181</f>
        <v>0</v>
      </c>
      <c r="N181" s="356">
        <f>+'10 Year Average'!E181</f>
        <v>7.3406150000000003E-2</v>
      </c>
      <c r="O181" s="357">
        <f>+'10 Year Average'!F181</f>
        <v>30</v>
      </c>
      <c r="P181" s="357">
        <f>+'10 Year Average'!G181</f>
        <v>1</v>
      </c>
      <c r="Q181" s="358">
        <f>+'10 Year Average'!H181</f>
        <v>92439423.557005703</v>
      </c>
      <c r="S181" s="353">
        <f>+'20 Year Trend'!A181</f>
        <v>43040</v>
      </c>
      <c r="T181" s="360"/>
      <c r="U181" s="355">
        <f>+'20 Year Trend'!C181</f>
        <v>343.33196471449907</v>
      </c>
      <c r="V181" s="355">
        <f>+'20 Year Trend'!D181</f>
        <v>0</v>
      </c>
      <c r="W181" s="356">
        <f>+'20 Year Trend'!E181</f>
        <v>7.3406150000000003E-2</v>
      </c>
      <c r="X181" s="357">
        <f>+'20 Year Trend'!F181</f>
        <v>30</v>
      </c>
      <c r="Y181" s="357">
        <f>+'20 Year Trend'!G181</f>
        <v>1</v>
      </c>
      <c r="Z181" s="358">
        <f>+'20 Year Trend'!H181</f>
        <v>91126103.397606611</v>
      </c>
    </row>
    <row r="182" spans="1:26" ht="13.5" thickBot="1" x14ac:dyDescent="0.25">
      <c r="A182" s="361">
        <f>+'Purchased Power Model '!A182</f>
        <v>43070</v>
      </c>
      <c r="B182" s="362"/>
      <c r="C182" s="363">
        <f>+'Purchased Power Model '!C182</f>
        <v>473.65737415071578</v>
      </c>
      <c r="D182" s="363">
        <f ca="1">+'Purchased Power Model '!D182</f>
        <v>0</v>
      </c>
      <c r="E182" s="364">
        <f>+'Purchased Power Model '!E182</f>
        <v>7.3406150000000003E-2</v>
      </c>
      <c r="F182" s="365">
        <f>+'Purchased Power Model '!F182</f>
        <v>31</v>
      </c>
      <c r="G182" s="365">
        <f>+'Purchased Power Model '!G182</f>
        <v>0</v>
      </c>
      <c r="H182" s="366">
        <f ca="1">+'Purchased Power Model '!H182</f>
        <v>106205256.79126805</v>
      </c>
      <c r="J182" s="361">
        <f>+'10 Year Average'!A182</f>
        <v>43070</v>
      </c>
      <c r="K182" s="362"/>
      <c r="L182" s="363">
        <f>+'10 Year Average'!C182</f>
        <v>509.33597288977279</v>
      </c>
      <c r="M182" s="363">
        <f>+'10 Year Average'!D182</f>
        <v>0</v>
      </c>
      <c r="N182" s="364">
        <f>+'10 Year Average'!E182</f>
        <v>7.3406150000000003E-2</v>
      </c>
      <c r="O182" s="365">
        <f>+'10 Year Average'!F182</f>
        <v>31</v>
      </c>
      <c r="P182" s="365">
        <f>+'10 Year Average'!G182</f>
        <v>0</v>
      </c>
      <c r="Q182" s="366">
        <f>+'10 Year Average'!H182</f>
        <v>107641540.43985212</v>
      </c>
      <c r="S182" s="361">
        <f>+'20 Year Trend'!A182</f>
        <v>43070</v>
      </c>
      <c r="T182" s="362"/>
      <c r="U182" s="363">
        <f>+'20 Year Trend'!C182</f>
        <v>465.13768261591093</v>
      </c>
      <c r="V182" s="363">
        <f>+'20 Year Trend'!D182</f>
        <v>0</v>
      </c>
      <c r="W182" s="364">
        <f>+'20 Year Trend'!E182</f>
        <v>7.3406150000000003E-2</v>
      </c>
      <c r="X182" s="365">
        <f>+'20 Year Trend'!F182</f>
        <v>31</v>
      </c>
      <c r="Y182" s="365">
        <f>+'20 Year Trend'!G182</f>
        <v>0</v>
      </c>
      <c r="Z182" s="366">
        <f>+'20 Year Trend'!H182</f>
        <v>105862286.66141751</v>
      </c>
    </row>
    <row r="183" spans="1:26" x14ac:dyDescent="0.2">
      <c r="A183" s="353">
        <f>+'Purchased Power Model '!A183</f>
        <v>43101</v>
      </c>
      <c r="B183" s="360"/>
      <c r="C183" s="355">
        <f>+'Purchased Power Model '!C183</f>
        <v>660.46057305386228</v>
      </c>
      <c r="D183" s="355">
        <f ca="1">+'Purchased Power Model '!D183</f>
        <v>0</v>
      </c>
      <c r="E183" s="356">
        <f>+'Purchased Power Model '!E183</f>
        <v>7.3406150000000003E-2</v>
      </c>
      <c r="F183" s="357">
        <f>+'Purchased Power Model '!F183</f>
        <v>31</v>
      </c>
      <c r="G183" s="357">
        <f>+'Purchased Power Model '!G183</f>
        <v>0</v>
      </c>
      <c r="H183" s="358">
        <f ca="1">+'Purchased Power Model '!H183</f>
        <v>113725237.66411768</v>
      </c>
      <c r="J183" s="353">
        <f>+'10 Year Average'!A183</f>
        <v>43101</v>
      </c>
      <c r="K183" s="360"/>
      <c r="L183" s="355">
        <f>+'10 Year Average'!C183</f>
        <v>711.94424771634965</v>
      </c>
      <c r="M183" s="355">
        <f>+'10 Year Average'!D183</f>
        <v>0</v>
      </c>
      <c r="N183" s="356">
        <f>+'10 Year Average'!E183</f>
        <v>7.3406150000000003E-2</v>
      </c>
      <c r="O183" s="357">
        <f>+'10 Year Average'!F183</f>
        <v>31</v>
      </c>
      <c r="P183" s="357">
        <f>+'10 Year Average'!G183</f>
        <v>0</v>
      </c>
      <c r="Q183" s="358">
        <f>+'10 Year Average'!H183</f>
        <v>115797773.09712517</v>
      </c>
      <c r="S183" s="353">
        <f>+'20 Year Trend'!A183</f>
        <v>43101</v>
      </c>
      <c r="T183" s="360"/>
      <c r="U183" s="355">
        <f>+'20 Year Trend'!C183</f>
        <v>650.1643613658066</v>
      </c>
      <c r="V183" s="355">
        <f>+'20 Year Trend'!D183</f>
        <v>0</v>
      </c>
      <c r="W183" s="356">
        <f>+'20 Year Trend'!E183</f>
        <v>7.3406150000000003E-2</v>
      </c>
      <c r="X183" s="357">
        <f>+'20 Year Trend'!F183</f>
        <v>31</v>
      </c>
      <c r="Y183" s="357">
        <f>+'20 Year Trend'!G183</f>
        <v>0</v>
      </c>
      <c r="Z183" s="358">
        <f>+'20 Year Trend'!H183</f>
        <v>113310751.64133209</v>
      </c>
    </row>
    <row r="184" spans="1:26" x14ac:dyDescent="0.2">
      <c r="A184" s="353">
        <f>+'Purchased Power Model '!A184</f>
        <v>43132</v>
      </c>
      <c r="B184" s="360"/>
      <c r="C184" s="355">
        <f>+'Purchased Power Model '!C184</f>
        <v>591.57161531733539</v>
      </c>
      <c r="D184" s="355">
        <f ca="1">+'Purchased Power Model '!D184</f>
        <v>0</v>
      </c>
      <c r="E184" s="356">
        <f>+'Purchased Power Model '!E184</f>
        <v>7.3406150000000003E-2</v>
      </c>
      <c r="F184" s="357">
        <f>+'Purchased Power Model '!F184</f>
        <v>28</v>
      </c>
      <c r="G184" s="357">
        <f>+'Purchased Power Model '!G184</f>
        <v>0</v>
      </c>
      <c r="H184" s="358">
        <f ca="1">+'Purchased Power Model '!H184</f>
        <v>102518927.85598828</v>
      </c>
      <c r="J184" s="353">
        <f>+'10 Year Average'!A184</f>
        <v>43132</v>
      </c>
      <c r="K184" s="360"/>
      <c r="L184" s="355">
        <f>+'10 Year Average'!C184</f>
        <v>637.68531509767956</v>
      </c>
      <c r="M184" s="355">
        <f>+'10 Year Average'!D184</f>
        <v>0</v>
      </c>
      <c r="N184" s="356">
        <f>+'10 Year Average'!E184</f>
        <v>7.3406150000000003E-2</v>
      </c>
      <c r="O184" s="357">
        <f>+'10 Year Average'!F184</f>
        <v>28</v>
      </c>
      <c r="P184" s="357">
        <f>+'10 Year Average'!G184</f>
        <v>0</v>
      </c>
      <c r="Q184" s="358">
        <f>+'10 Year Average'!H184</f>
        <v>104375288.68043172</v>
      </c>
      <c r="S184" s="353">
        <f>+'20 Year Trend'!A184</f>
        <v>43132</v>
      </c>
      <c r="T184" s="360"/>
      <c r="U184" s="355">
        <f>+'20 Year Trend'!C184</f>
        <v>582.34934402899978</v>
      </c>
      <c r="V184" s="355">
        <f>+'20 Year Trend'!D184</f>
        <v>0</v>
      </c>
      <c r="W184" s="356">
        <f>+'20 Year Trend'!E184</f>
        <v>7.3406150000000003E-2</v>
      </c>
      <c r="X184" s="357">
        <f>+'20 Year Trend'!F184</f>
        <v>28</v>
      </c>
      <c r="Y184" s="357">
        <f>+'20 Year Trend'!G184</f>
        <v>0</v>
      </c>
      <c r="Z184" s="358">
        <f>+'20 Year Trend'!H184</f>
        <v>102147674.55786638</v>
      </c>
    </row>
    <row r="185" spans="1:26" x14ac:dyDescent="0.2">
      <c r="A185" s="353">
        <f>+'Purchased Power Model '!A185</f>
        <v>43160</v>
      </c>
      <c r="B185" s="360"/>
      <c r="C185" s="355">
        <f>+'Purchased Power Model '!C185</f>
        <v>580.52540581079472</v>
      </c>
      <c r="D185" s="355">
        <f ca="1">+'Purchased Power Model '!D185</f>
        <v>0</v>
      </c>
      <c r="E185" s="356">
        <f>+'Purchased Power Model '!E185</f>
        <v>7.3406150000000003E-2</v>
      </c>
      <c r="F185" s="357">
        <f>+'Purchased Power Model '!F185</f>
        <v>31</v>
      </c>
      <c r="G185" s="357">
        <f>+'Purchased Power Model '!G185</f>
        <v>1</v>
      </c>
      <c r="H185" s="358">
        <f ca="1">+'Purchased Power Model '!H185</f>
        <v>103485637.09729238</v>
      </c>
      <c r="J185" s="353">
        <f>+'10 Year Average'!A185</f>
        <v>43160</v>
      </c>
      <c r="K185" s="360"/>
      <c r="L185" s="355">
        <f>+'10 Year Average'!C185</f>
        <v>625.77804063178974</v>
      </c>
      <c r="M185" s="355">
        <f>+'10 Year Average'!D185</f>
        <v>0</v>
      </c>
      <c r="N185" s="356">
        <f>+'10 Year Average'!E185</f>
        <v>7.3406150000000003E-2</v>
      </c>
      <c r="O185" s="357">
        <f>+'10 Year Average'!F185</f>
        <v>31</v>
      </c>
      <c r="P185" s="357">
        <f>+'10 Year Average'!G185</f>
        <v>1</v>
      </c>
      <c r="Q185" s="358">
        <f>+'10 Year Average'!H185</f>
        <v>105307334.74646577</v>
      </c>
      <c r="S185" s="353">
        <f>+'20 Year Trend'!A185</f>
        <v>43160</v>
      </c>
      <c r="T185" s="360"/>
      <c r="U185" s="355">
        <f>+'20 Year Trend'!C185</f>
        <v>571.47533876306068</v>
      </c>
      <c r="V185" s="355">
        <f>+'20 Year Trend'!D185</f>
        <v>0</v>
      </c>
      <c r="W185" s="356">
        <f>+'20 Year Trend'!E185</f>
        <v>7.3406150000000003E-2</v>
      </c>
      <c r="X185" s="357">
        <f>+'20 Year Trend'!F185</f>
        <v>31</v>
      </c>
      <c r="Y185" s="357">
        <f>+'20 Year Trend'!G185</f>
        <v>1</v>
      </c>
      <c r="Z185" s="358">
        <f>+'20 Year Trend'!H185</f>
        <v>103121316.08193198</v>
      </c>
    </row>
    <row r="186" spans="1:26" x14ac:dyDescent="0.2">
      <c r="A186" s="353">
        <f>+'Purchased Power Model '!A186</f>
        <v>43191</v>
      </c>
      <c r="B186" s="360"/>
      <c r="C186" s="355">
        <f>+'Purchased Power Model '!C186</f>
        <v>317.94244882004284</v>
      </c>
      <c r="D186" s="355">
        <f ca="1">+'Purchased Power Model '!D186</f>
        <v>0</v>
      </c>
      <c r="E186" s="356">
        <f>+'Purchased Power Model '!E186</f>
        <v>7.3406150000000003E-2</v>
      </c>
      <c r="F186" s="357">
        <f>+'Purchased Power Model '!F186</f>
        <v>30</v>
      </c>
      <c r="G186" s="357">
        <f>+'Purchased Power Model '!G186</f>
        <v>1</v>
      </c>
      <c r="H186" s="358">
        <f ca="1">+'Purchased Power Model '!H186</f>
        <v>90104018.791891605</v>
      </c>
      <c r="J186" s="353">
        <f>+'10 Year Average'!A186</f>
        <v>43191</v>
      </c>
      <c r="K186" s="360"/>
      <c r="L186" s="355">
        <f>+'10 Year Average'!C186</f>
        <v>342.72643482053758</v>
      </c>
      <c r="M186" s="355">
        <f>+'10 Year Average'!D186</f>
        <v>0</v>
      </c>
      <c r="N186" s="356">
        <f>+'10 Year Average'!E186</f>
        <v>7.3406150000000003E-2</v>
      </c>
      <c r="O186" s="357">
        <f>+'10 Year Average'!F186</f>
        <v>30</v>
      </c>
      <c r="P186" s="357">
        <f>+'10 Year Average'!G186</f>
        <v>1</v>
      </c>
      <c r="Q186" s="358">
        <f>+'10 Year Average'!H186</f>
        <v>91101727.084742233</v>
      </c>
      <c r="S186" s="353">
        <f>+'20 Year Trend'!A186</f>
        <v>43191</v>
      </c>
      <c r="T186" s="360"/>
      <c r="U186" s="355">
        <f>+'20 Year Trend'!C186</f>
        <v>312.98590350722668</v>
      </c>
      <c r="V186" s="355">
        <f>+'20 Year Trend'!D186</f>
        <v>0</v>
      </c>
      <c r="W186" s="356">
        <f>+'20 Year Trend'!E186</f>
        <v>7.3406150000000003E-2</v>
      </c>
      <c r="X186" s="357">
        <f>+'20 Year Trend'!F186</f>
        <v>30</v>
      </c>
      <c r="Y186" s="357">
        <f>+'20 Year Trend'!G186</f>
        <v>1</v>
      </c>
      <c r="Z186" s="358">
        <f>+'20 Year Trend'!H186</f>
        <v>89904487.273338139</v>
      </c>
    </row>
    <row r="187" spans="1:26" x14ac:dyDescent="0.2">
      <c r="A187" s="353">
        <f>+'Purchased Power Model '!A187</f>
        <v>43221</v>
      </c>
      <c r="B187" s="360"/>
      <c r="C187" s="355">
        <f>+'Purchased Power Model '!C187</f>
        <v>137.43539734882</v>
      </c>
      <c r="D187" s="355">
        <f ca="1">+'Purchased Power Model '!D187</f>
        <v>1.9004408491696605</v>
      </c>
      <c r="E187" s="356">
        <f>+'Purchased Power Model '!E187</f>
        <v>7.3406150000000003E-2</v>
      </c>
      <c r="F187" s="357">
        <f>+'Purchased Power Model '!F187</f>
        <v>31</v>
      </c>
      <c r="G187" s="357">
        <f>+'Purchased Power Model '!G187</f>
        <v>1</v>
      </c>
      <c r="H187" s="358">
        <f ca="1">+'Purchased Power Model '!H187</f>
        <v>85923552.986486822</v>
      </c>
      <c r="J187" s="353">
        <f>+'10 Year Average'!A187</f>
        <v>43221</v>
      </c>
      <c r="K187" s="360"/>
      <c r="L187" s="355">
        <f>+'10 Year Average'!C187</f>
        <v>148.14864742444459</v>
      </c>
      <c r="M187" s="355">
        <f>+'10 Year Average'!D187</f>
        <v>1.699107344632766</v>
      </c>
      <c r="N187" s="356">
        <f>+'10 Year Average'!E187</f>
        <v>7.3406150000000003E-2</v>
      </c>
      <c r="O187" s="357">
        <f>+'10 Year Average'!F187</f>
        <v>31</v>
      </c>
      <c r="P187" s="357">
        <f>+'10 Year Average'!G187</f>
        <v>1</v>
      </c>
      <c r="Q187" s="358">
        <f>+'10 Year Average'!H187</f>
        <v>86325691.482107192</v>
      </c>
      <c r="S187" s="353">
        <f>+'20 Year Trend'!A187</f>
        <v>43221</v>
      </c>
      <c r="T187" s="360"/>
      <c r="U187" s="355">
        <f>+'20 Year Trend'!C187</f>
        <v>135.29285621575514</v>
      </c>
      <c r="V187" s="355">
        <f>+'20 Year Trend'!D187</f>
        <v>1.8207074041034785</v>
      </c>
      <c r="W187" s="356">
        <f>+'20 Year Trend'!E187</f>
        <v>7.3406150000000003E-2</v>
      </c>
      <c r="X187" s="357">
        <f>+'20 Year Trend'!F187</f>
        <v>31</v>
      </c>
      <c r="Y187" s="357">
        <f>+'20 Year Trend'!G187</f>
        <v>1</v>
      </c>
      <c r="Z187" s="358">
        <f>+'20 Year Trend'!H187</f>
        <v>85825763.89932479</v>
      </c>
    </row>
    <row r="188" spans="1:26" x14ac:dyDescent="0.2">
      <c r="A188" s="353">
        <f>+'Purchased Power Model '!A188</f>
        <v>43252</v>
      </c>
      <c r="B188" s="360"/>
      <c r="C188" s="355">
        <f>+'Purchased Power Model '!C188</f>
        <v>23.034343854724352</v>
      </c>
      <c r="D188" s="355">
        <f ca="1">+'Purchased Power Model '!D188</f>
        <v>58.621290809002602</v>
      </c>
      <c r="E188" s="356">
        <f>+'Purchased Power Model '!E188</f>
        <v>7.3406150000000003E-2</v>
      </c>
      <c r="F188" s="357">
        <f>+'Purchased Power Model '!F188</f>
        <v>30</v>
      </c>
      <c r="G188" s="357">
        <f>+'Purchased Power Model '!G188</f>
        <v>0</v>
      </c>
      <c r="H188" s="358">
        <f ca="1">+'Purchased Power Model '!H188</f>
        <v>93737221.506680906</v>
      </c>
      <c r="J188" s="353">
        <f>+'10 Year Average'!A188</f>
        <v>43252</v>
      </c>
      <c r="K188" s="360"/>
      <c r="L188" s="355">
        <f>+'10 Year Average'!C188</f>
        <v>24.829897917243368</v>
      </c>
      <c r="M188" s="355">
        <f>+'10 Year Average'!D188</f>
        <v>52.41092655367224</v>
      </c>
      <c r="N188" s="356">
        <f>+'10 Year Average'!E188</f>
        <v>7.3406150000000003E-2</v>
      </c>
      <c r="O188" s="357">
        <f>+'10 Year Average'!F188</f>
        <v>30</v>
      </c>
      <c r="P188" s="357">
        <f>+'10 Year Average'!G188</f>
        <v>0</v>
      </c>
      <c r="Q188" s="358">
        <f>+'10 Year Average'!H188</f>
        <v>92910773.351749212</v>
      </c>
      <c r="S188" s="353">
        <f>+'20 Year Trend'!A188</f>
        <v>43252</v>
      </c>
      <c r="T188" s="360"/>
      <c r="U188" s="355">
        <f>+'20 Year Trend'!C188</f>
        <v>22.675251290989497</v>
      </c>
      <c r="V188" s="355">
        <f>+'20 Year Trend'!D188</f>
        <v>56.1618206958073</v>
      </c>
      <c r="W188" s="356">
        <f>+'20 Year Trend'!E188</f>
        <v>7.3406150000000003E-2</v>
      </c>
      <c r="X188" s="357">
        <f>+'20 Year Trend'!F188</f>
        <v>30</v>
      </c>
      <c r="Y188" s="357">
        <f>+'20 Year Trend'!G188</f>
        <v>0</v>
      </c>
      <c r="Z188" s="358">
        <f>+'20 Year Trend'!H188</f>
        <v>93366844.621817976</v>
      </c>
    </row>
    <row r="189" spans="1:26" x14ac:dyDescent="0.2">
      <c r="A189" s="353">
        <f>+'Purchased Power Model '!A189</f>
        <v>43282</v>
      </c>
      <c r="B189" s="360"/>
      <c r="C189" s="355">
        <f>+'Purchased Power Model '!C189</f>
        <v>8.2204349816116657</v>
      </c>
      <c r="D189" s="355">
        <f ca="1">+'Purchased Power Model '!D189</f>
        <v>79.81851566512573</v>
      </c>
      <c r="E189" s="356">
        <f>+'Purchased Power Model '!E189</f>
        <v>7.3406150000000003E-2</v>
      </c>
      <c r="F189" s="357">
        <f>+'Purchased Power Model '!F189</f>
        <v>31</v>
      </c>
      <c r="G189" s="357">
        <f>+'Purchased Power Model '!G189</f>
        <v>0</v>
      </c>
      <c r="H189" s="358">
        <f ca="1">+'Purchased Power Model '!H189</f>
        <v>99019452.682015181</v>
      </c>
      <c r="J189" s="353">
        <f>+'10 Year Average'!A189</f>
        <v>43282</v>
      </c>
      <c r="K189" s="360"/>
      <c r="L189" s="355">
        <f>+'10 Year Average'!C189</f>
        <v>8.861227509499491</v>
      </c>
      <c r="M189" s="355">
        <f>+'10 Year Average'!D189</f>
        <v>71.362508474576146</v>
      </c>
      <c r="N189" s="356">
        <f>+'10 Year Average'!E189</f>
        <v>7.3406150000000003E-2</v>
      </c>
      <c r="O189" s="357">
        <f>+'10 Year Average'!F189</f>
        <v>31</v>
      </c>
      <c r="P189" s="357">
        <f>+'10 Year Average'!G189</f>
        <v>0</v>
      </c>
      <c r="Q189" s="358">
        <f>+'10 Year Average'!H189</f>
        <v>97821540.969941154</v>
      </c>
      <c r="S189" s="353">
        <f>+'20 Year Trend'!A189</f>
        <v>43282</v>
      </c>
      <c r="T189" s="360"/>
      <c r="U189" s="355">
        <f>+'20 Year Trend'!C189</f>
        <v>8.0922829886059144</v>
      </c>
      <c r="V189" s="355">
        <f>+'20 Year Trend'!D189</f>
        <v>76.469710972346093</v>
      </c>
      <c r="W189" s="356">
        <f>+'20 Year Trend'!E189</f>
        <v>7.3406150000000003E-2</v>
      </c>
      <c r="X189" s="357">
        <f>+'20 Year Trend'!F189</f>
        <v>31</v>
      </c>
      <c r="Y189" s="357">
        <f>+'20 Year Trend'!G189</f>
        <v>0</v>
      </c>
      <c r="Z189" s="358">
        <f>+'20 Year Trend'!H189</f>
        <v>98529672.895680413</v>
      </c>
    </row>
    <row r="190" spans="1:26" x14ac:dyDescent="0.2">
      <c r="A190" s="353">
        <f>+'Purchased Power Model '!A190</f>
        <v>43313</v>
      </c>
      <c r="B190" s="360"/>
      <c r="C190" s="355">
        <f>+'Purchased Power Model '!C190</f>
        <v>10.874950444423765</v>
      </c>
      <c r="D190" s="355">
        <f ca="1">+'Purchased Power Model '!D190</f>
        <v>84.788899424492527</v>
      </c>
      <c r="E190" s="356">
        <f>+'Purchased Power Model '!E190</f>
        <v>7.3406150000000003E-2</v>
      </c>
      <c r="F190" s="357">
        <f>+'Purchased Power Model '!F190</f>
        <v>31</v>
      </c>
      <c r="G190" s="357">
        <f>+'Purchased Power Model '!G190</f>
        <v>0</v>
      </c>
      <c r="H190" s="358">
        <f ca="1">+'Purchased Power Model '!H190</f>
        <v>99845600.319619164</v>
      </c>
      <c r="J190" s="353">
        <f>+'10 Year Average'!A190</f>
        <v>43313</v>
      </c>
      <c r="K190" s="360"/>
      <c r="L190" s="355">
        <f>+'10 Year Average'!C190</f>
        <v>11.722665559442033</v>
      </c>
      <c r="M190" s="355">
        <f>+'10 Year Average'!D190</f>
        <v>75.806327683615706</v>
      </c>
      <c r="N190" s="356">
        <f>+'10 Year Average'!E190</f>
        <v>7.3406150000000003E-2</v>
      </c>
      <c r="O190" s="357">
        <f>+'10 Year Average'!F190</f>
        <v>31</v>
      </c>
      <c r="P190" s="357">
        <f>+'10 Year Average'!G190</f>
        <v>0</v>
      </c>
      <c r="Q190" s="358">
        <f>+'10 Year Average'!H190</f>
        <v>98579816.947996944</v>
      </c>
      <c r="S190" s="353">
        <f>+'20 Year Trend'!A190</f>
        <v>43313</v>
      </c>
      <c r="T190" s="360"/>
      <c r="U190" s="355">
        <f>+'20 Year Trend'!C190</f>
        <v>10.705416037009911</v>
      </c>
      <c r="V190" s="355">
        <f>+'20 Year Trend'!D190</f>
        <v>81.231561106155198</v>
      </c>
      <c r="W190" s="356">
        <f>+'20 Year Trend'!E190</f>
        <v>7.3406150000000003E-2</v>
      </c>
      <c r="X190" s="357">
        <f>+'20 Year Trend'!F190</f>
        <v>31</v>
      </c>
      <c r="Y190" s="357">
        <f>+'20 Year Trend'!G190</f>
        <v>0</v>
      </c>
      <c r="Z190" s="358">
        <f>+'20 Year Trend'!H190</f>
        <v>99323976.778990269</v>
      </c>
    </row>
    <row r="191" spans="1:26" x14ac:dyDescent="0.2">
      <c r="A191" s="353">
        <f>+'Purchased Power Model '!A191</f>
        <v>43344</v>
      </c>
      <c r="B191" s="360"/>
      <c r="C191" s="355">
        <f>+'Purchased Power Model '!C191</f>
        <v>66.277257039244049</v>
      </c>
      <c r="D191" s="355">
        <f ca="1">+'Purchased Power Model '!D191</f>
        <v>32.892245466397974</v>
      </c>
      <c r="E191" s="356">
        <f>+'Purchased Power Model '!E191</f>
        <v>7.3406150000000003E-2</v>
      </c>
      <c r="F191" s="357">
        <f>+'Purchased Power Model '!F191</f>
        <v>30</v>
      </c>
      <c r="G191" s="357">
        <f>+'Purchased Power Model '!G191</f>
        <v>1</v>
      </c>
      <c r="H191" s="358">
        <f ca="1">+'Purchased Power Model '!H191</f>
        <v>84732930.288164303</v>
      </c>
      <c r="J191" s="353">
        <f>+'10 Year Average'!A191</f>
        <v>43344</v>
      </c>
      <c r="K191" s="360"/>
      <c r="L191" s="355">
        <f>+'10 Year Average'!C191</f>
        <v>71.44364679533966</v>
      </c>
      <c r="M191" s="355">
        <f>+'10 Year Average'!D191</f>
        <v>29.407627118644019</v>
      </c>
      <c r="N191" s="356">
        <f>+'10 Year Average'!E191</f>
        <v>7.3406150000000003E-2</v>
      </c>
      <c r="O191" s="357">
        <f>+'10 Year Average'!F191</f>
        <v>30</v>
      </c>
      <c r="P191" s="357">
        <f>+'10 Year Average'!G191</f>
        <v>1</v>
      </c>
      <c r="Q191" s="358">
        <f>+'10 Year Average'!H191</f>
        <v>84436634.244961396</v>
      </c>
      <c r="S191" s="353">
        <f>+'20 Year Trend'!A191</f>
        <v>43344</v>
      </c>
      <c r="T191" s="360"/>
      <c r="U191" s="355">
        <f>+'20 Year Trend'!C191</f>
        <v>65.244031595635207</v>
      </c>
      <c r="V191" s="355">
        <f>+'20 Year Trend'!D191</f>
        <v>31.512243532560205</v>
      </c>
      <c r="W191" s="356">
        <f>+'20 Year Trend'!E191</f>
        <v>7.3406150000000003E-2</v>
      </c>
      <c r="X191" s="357">
        <f>+'20 Year Trend'!F191</f>
        <v>30</v>
      </c>
      <c r="Y191" s="357">
        <f>+'20 Year Trend'!G191</f>
        <v>1</v>
      </c>
      <c r="Z191" s="358">
        <f>+'20 Year Trend'!H191</f>
        <v>84491630.185730055</v>
      </c>
    </row>
    <row r="192" spans="1:26" x14ac:dyDescent="0.2">
      <c r="A192" s="353">
        <f>+'Purchased Power Model '!A192</f>
        <v>43374</v>
      </c>
      <c r="B192" s="360"/>
      <c r="C192" s="355">
        <f>+'Purchased Power Model '!C192</f>
        <v>185.21667567943786</v>
      </c>
      <c r="D192" s="355">
        <f ca="1">+'Purchased Power Model '!D192</f>
        <v>0.73093878814217705</v>
      </c>
      <c r="E192" s="356">
        <f>+'Purchased Power Model '!E192</f>
        <v>7.3406150000000003E-2</v>
      </c>
      <c r="F192" s="357">
        <f>+'Purchased Power Model '!F192</f>
        <v>31</v>
      </c>
      <c r="G192" s="357">
        <f>+'Purchased Power Model '!G192</f>
        <v>1</v>
      </c>
      <c r="H192" s="358">
        <f ca="1">+'Purchased Power Model '!H192</f>
        <v>87677800.128117621</v>
      </c>
      <c r="J192" s="353">
        <f>+'10 Year Average'!A192</f>
        <v>43374</v>
      </c>
      <c r="K192" s="360"/>
      <c r="L192" s="355">
        <f>+'10 Year Average'!C192</f>
        <v>199.65453232341042</v>
      </c>
      <c r="M192" s="355">
        <f>+'10 Year Average'!D192</f>
        <v>0.65350282485875599</v>
      </c>
      <c r="N192" s="356">
        <f>+'10 Year Average'!E192</f>
        <v>7.3406150000000003E-2</v>
      </c>
      <c r="O192" s="357">
        <f>+'10 Year Average'!F192</f>
        <v>31</v>
      </c>
      <c r="P192" s="357">
        <f>+'10 Year Average'!G192</f>
        <v>1</v>
      </c>
      <c r="Q192" s="358">
        <f>+'10 Year Average'!H192</f>
        <v>88247806.790939152</v>
      </c>
      <c r="S192" s="353">
        <f>+'20 Year Trend'!A192</f>
        <v>43374</v>
      </c>
      <c r="T192" s="360"/>
      <c r="U192" s="355">
        <f>+'20 Year Trend'!C192</f>
        <v>182.32925108702707</v>
      </c>
      <c r="V192" s="355">
        <f>+'20 Year Trend'!D192</f>
        <v>0.70027207850133788</v>
      </c>
      <c r="W192" s="356">
        <f>+'20 Year Trend'!E192</f>
        <v>7.3406150000000003E-2</v>
      </c>
      <c r="X192" s="357">
        <f>+'20 Year Trend'!F192</f>
        <v>31</v>
      </c>
      <c r="Y192" s="357">
        <f>+'20 Year Trend'!G192</f>
        <v>1</v>
      </c>
      <c r="Z192" s="358">
        <f>+'20 Year Trend'!H192</f>
        <v>87557125.559823751</v>
      </c>
    </row>
    <row r="193" spans="1:26" x14ac:dyDescent="0.2">
      <c r="A193" s="353">
        <f>+'Purchased Power Model '!A193</f>
        <v>43405</v>
      </c>
      <c r="B193" s="360"/>
      <c r="C193" s="355">
        <f>+'Purchased Power Model '!C193</f>
        <v>348.76908000108671</v>
      </c>
      <c r="D193" s="355">
        <f ca="1">+'Purchased Power Model '!D193</f>
        <v>0</v>
      </c>
      <c r="E193" s="356">
        <f>+'Purchased Power Model '!E193</f>
        <v>7.3406150000000003E-2</v>
      </c>
      <c r="F193" s="357">
        <f>+'Purchased Power Model '!F193</f>
        <v>30</v>
      </c>
      <c r="G193" s="357">
        <f>+'Purchased Power Model '!G193</f>
        <v>1</v>
      </c>
      <c r="H193" s="358">
        <f ca="1">+'Purchased Power Model '!H193</f>
        <v>91344980.821540952</v>
      </c>
      <c r="J193" s="353">
        <f>+'10 Year Average'!A193</f>
        <v>43405</v>
      </c>
      <c r="K193" s="360"/>
      <c r="L193" s="355">
        <f>+'10 Year Average'!C193</f>
        <v>375.95603798116082</v>
      </c>
      <c r="M193" s="355">
        <f>+'10 Year Average'!D193</f>
        <v>0</v>
      </c>
      <c r="N193" s="356">
        <f>+'10 Year Average'!E193</f>
        <v>7.3406150000000003E-2</v>
      </c>
      <c r="O193" s="357">
        <f>+'10 Year Average'!F193</f>
        <v>30</v>
      </c>
      <c r="P193" s="357">
        <f>+'10 Year Average'!G193</f>
        <v>1</v>
      </c>
      <c r="Q193" s="358">
        <f>+'10 Year Average'!H193</f>
        <v>92439423.557005703</v>
      </c>
      <c r="S193" s="353">
        <f>+'20 Year Trend'!A193</f>
        <v>43405</v>
      </c>
      <c r="T193" s="360"/>
      <c r="U193" s="355">
        <f>+'20 Year Trend'!C193</f>
        <v>343.33196471449907</v>
      </c>
      <c r="V193" s="355">
        <f>+'20 Year Trend'!D193</f>
        <v>0</v>
      </c>
      <c r="W193" s="356">
        <f>+'20 Year Trend'!E193</f>
        <v>7.3406150000000003E-2</v>
      </c>
      <c r="X193" s="357">
        <f>+'20 Year Trend'!F193</f>
        <v>30</v>
      </c>
      <c r="Y193" s="357">
        <f>+'20 Year Trend'!G193</f>
        <v>1</v>
      </c>
      <c r="Z193" s="358">
        <f>+'20 Year Trend'!H193</f>
        <v>91126103.397606611</v>
      </c>
    </row>
    <row r="194" spans="1:26" x14ac:dyDescent="0.2">
      <c r="A194" s="353">
        <f>+'Purchased Power Model '!A194</f>
        <v>43435</v>
      </c>
      <c r="B194" s="360"/>
      <c r="C194" s="355">
        <f>+'Purchased Power Model '!C194</f>
        <v>472.50375238055386</v>
      </c>
      <c r="D194" s="355">
        <f ca="1">+'Purchased Power Model '!D194</f>
        <v>0</v>
      </c>
      <c r="E194" s="356">
        <f>+'Purchased Power Model '!E194</f>
        <v>7.3406150000000003E-2</v>
      </c>
      <c r="F194" s="357">
        <f>+'Purchased Power Model '!F194</f>
        <v>31</v>
      </c>
      <c r="G194" s="357">
        <f>+'Purchased Power Model '!G194</f>
        <v>0</v>
      </c>
      <c r="H194" s="358">
        <f ca="1">+'Purchased Power Model '!H194</f>
        <v>106158816.40000571</v>
      </c>
      <c r="J194" s="353">
        <f>+'10 Year Average'!A194</f>
        <v>43435</v>
      </c>
      <c r="K194" s="360"/>
      <c r="L194" s="355">
        <f>+'10 Year Average'!C194</f>
        <v>509.33597288977279</v>
      </c>
      <c r="M194" s="355">
        <f>+'10 Year Average'!D194</f>
        <v>0</v>
      </c>
      <c r="N194" s="356">
        <f>+'10 Year Average'!E194</f>
        <v>7.3406150000000003E-2</v>
      </c>
      <c r="O194" s="357">
        <f>+'10 Year Average'!F194</f>
        <v>31</v>
      </c>
      <c r="P194" s="357">
        <f>+'10 Year Average'!G194</f>
        <v>0</v>
      </c>
      <c r="Q194" s="358">
        <f>+'10 Year Average'!H194</f>
        <v>107641540.43985212</v>
      </c>
      <c r="S194" s="353">
        <f>+'20 Year Trend'!A194</f>
        <v>43435</v>
      </c>
      <c r="T194" s="360"/>
      <c r="U194" s="355">
        <f>+'20 Year Trend'!C194</f>
        <v>465.13768261591093</v>
      </c>
      <c r="V194" s="355">
        <f>+'20 Year Trend'!D194</f>
        <v>0</v>
      </c>
      <c r="W194" s="356">
        <f>+'20 Year Trend'!E194</f>
        <v>7.3406150000000003E-2</v>
      </c>
      <c r="X194" s="357">
        <f>+'20 Year Trend'!F194</f>
        <v>31</v>
      </c>
      <c r="Y194" s="357">
        <f>+'20 Year Trend'!G194</f>
        <v>0</v>
      </c>
      <c r="Z194" s="358">
        <f>+'20 Year Trend'!H194</f>
        <v>105862286.66141751</v>
      </c>
    </row>
    <row r="195" spans="1:26" x14ac:dyDescent="0.2">
      <c r="A195" s="353">
        <f>+'Purchased Power Model '!A195</f>
        <v>43466</v>
      </c>
      <c r="B195" s="360"/>
      <c r="C195" s="355">
        <f>+'Purchased Power Model '!C195</f>
        <v>658.84805317106725</v>
      </c>
      <c r="D195" s="355">
        <f ca="1">+'Purchased Power Model '!D195</f>
        <v>0</v>
      </c>
      <c r="E195" s="356">
        <f>+'Purchased Power Model '!E195</f>
        <v>7.3406150000000003E-2</v>
      </c>
      <c r="F195" s="357">
        <f>+'Purchased Power Model '!F195</f>
        <v>31</v>
      </c>
      <c r="G195" s="357">
        <f>+'Purchased Power Model '!G195</f>
        <v>0</v>
      </c>
      <c r="H195" s="358">
        <f ca="1">+'Purchased Power Model '!H195</f>
        <v>113660323.79354742</v>
      </c>
      <c r="J195" s="353">
        <f>+'10 Year Average'!A195</f>
        <v>43466</v>
      </c>
      <c r="K195" s="360"/>
      <c r="L195" s="355">
        <f>+'10 Year Average'!C195</f>
        <v>711.94424771634965</v>
      </c>
      <c r="M195" s="355">
        <f>+'10 Year Average'!D195</f>
        <v>0</v>
      </c>
      <c r="N195" s="356">
        <f>+'10 Year Average'!E195</f>
        <v>7.3406150000000003E-2</v>
      </c>
      <c r="O195" s="357">
        <f>+'10 Year Average'!F195</f>
        <v>31</v>
      </c>
      <c r="P195" s="357">
        <f>+'10 Year Average'!G195</f>
        <v>0</v>
      </c>
      <c r="Q195" s="358">
        <f>+'10 Year Average'!H195</f>
        <v>115797773.09712517</v>
      </c>
      <c r="S195" s="353">
        <f>+'20 Year Trend'!A195</f>
        <v>43466</v>
      </c>
      <c r="T195" s="360"/>
      <c r="U195" s="355">
        <f>+'20 Year Trend'!C195</f>
        <v>650.1643613658066</v>
      </c>
      <c r="V195" s="355">
        <f>+'20 Year Trend'!D195</f>
        <v>0</v>
      </c>
      <c r="W195" s="356">
        <f>+'20 Year Trend'!E195</f>
        <v>7.3406150000000003E-2</v>
      </c>
      <c r="X195" s="357">
        <f>+'20 Year Trend'!F195</f>
        <v>31</v>
      </c>
      <c r="Y195" s="357">
        <f>+'20 Year Trend'!G195</f>
        <v>0</v>
      </c>
      <c r="Z195" s="358">
        <f>+'20 Year Trend'!H195</f>
        <v>113310751.64133209</v>
      </c>
    </row>
    <row r="196" spans="1:26" x14ac:dyDescent="0.2">
      <c r="A196" s="353">
        <f>+'Purchased Power Model '!A196</f>
        <v>43497</v>
      </c>
      <c r="B196" s="360"/>
      <c r="C196" s="355">
        <f>+'Purchased Power Model '!C196</f>
        <v>590.12728838743919</v>
      </c>
      <c r="D196" s="355">
        <f ca="1">+'Purchased Power Model '!D196</f>
        <v>0</v>
      </c>
      <c r="E196" s="356">
        <f>+'Purchased Power Model '!E196</f>
        <v>7.3406150000000003E-2</v>
      </c>
      <c r="F196" s="357">
        <f>+'Purchased Power Model '!F196</f>
        <v>28</v>
      </c>
      <c r="G196" s="357">
        <f>+'Purchased Power Model '!G196</f>
        <v>0</v>
      </c>
      <c r="H196" s="358">
        <f ca="1">+'Purchased Power Model '!H196</f>
        <v>102460784.78910968</v>
      </c>
      <c r="J196" s="353">
        <f>+'10 Year Average'!A196</f>
        <v>43497</v>
      </c>
      <c r="K196" s="360"/>
      <c r="L196" s="355">
        <f>+'10 Year Average'!C196</f>
        <v>637.68531509767956</v>
      </c>
      <c r="M196" s="355">
        <f>+'10 Year Average'!D196</f>
        <v>0</v>
      </c>
      <c r="N196" s="356">
        <f>+'10 Year Average'!E196</f>
        <v>7.3406150000000003E-2</v>
      </c>
      <c r="O196" s="357">
        <f>+'10 Year Average'!F196</f>
        <v>28</v>
      </c>
      <c r="P196" s="357">
        <f>+'10 Year Average'!G196</f>
        <v>0</v>
      </c>
      <c r="Q196" s="358">
        <f>+'10 Year Average'!H196</f>
        <v>104375288.68043172</v>
      </c>
      <c r="S196" s="353">
        <f>+'20 Year Trend'!A196</f>
        <v>43497</v>
      </c>
      <c r="T196" s="360"/>
      <c r="U196" s="355">
        <f>+'20 Year Trend'!C196</f>
        <v>582.34934402899978</v>
      </c>
      <c r="V196" s="355">
        <f>+'20 Year Trend'!D196</f>
        <v>0</v>
      </c>
      <c r="W196" s="356">
        <f>+'20 Year Trend'!E196</f>
        <v>7.3406150000000003E-2</v>
      </c>
      <c r="X196" s="357">
        <f>+'20 Year Trend'!F196</f>
        <v>28</v>
      </c>
      <c r="Y196" s="357">
        <f>+'20 Year Trend'!G196</f>
        <v>0</v>
      </c>
      <c r="Z196" s="358">
        <f>+'20 Year Trend'!H196</f>
        <v>102147674.55786638</v>
      </c>
    </row>
    <row r="197" spans="1:26" x14ac:dyDescent="0.2">
      <c r="A197" s="353">
        <f>+'Purchased Power Model '!A197</f>
        <v>43525</v>
      </c>
      <c r="B197" s="360"/>
      <c r="C197" s="355">
        <f>+'Purchased Power Model '!C197</f>
        <v>579.10804829161816</v>
      </c>
      <c r="D197" s="355">
        <f ca="1">+'Purchased Power Model '!D197</f>
        <v>0</v>
      </c>
      <c r="E197" s="356">
        <f>+'Purchased Power Model '!E197</f>
        <v>7.3406150000000003E-2</v>
      </c>
      <c r="F197" s="357">
        <f>+'Purchased Power Model '!F197</f>
        <v>31</v>
      </c>
      <c r="G197" s="357">
        <f>+'Purchased Power Model '!G197</f>
        <v>1</v>
      </c>
      <c r="H197" s="358">
        <f ca="1">+'Purchased Power Model '!H197</f>
        <v>103428579.71553028</v>
      </c>
      <c r="J197" s="353">
        <f>+'10 Year Average'!A197</f>
        <v>43525</v>
      </c>
      <c r="K197" s="360"/>
      <c r="L197" s="355">
        <f>+'10 Year Average'!C197</f>
        <v>625.77804063178974</v>
      </c>
      <c r="M197" s="355">
        <f>+'10 Year Average'!D197</f>
        <v>0</v>
      </c>
      <c r="N197" s="356">
        <f>+'10 Year Average'!E197</f>
        <v>7.3406150000000003E-2</v>
      </c>
      <c r="O197" s="357">
        <f>+'10 Year Average'!F197</f>
        <v>31</v>
      </c>
      <c r="P197" s="357">
        <f>+'10 Year Average'!G197</f>
        <v>1</v>
      </c>
      <c r="Q197" s="358">
        <f>+'10 Year Average'!H197</f>
        <v>105307334.74646577</v>
      </c>
      <c r="S197" s="353">
        <f>+'20 Year Trend'!A197</f>
        <v>43525</v>
      </c>
      <c r="T197" s="360"/>
      <c r="U197" s="355">
        <f>+'20 Year Trend'!C197</f>
        <v>571.47533876306068</v>
      </c>
      <c r="V197" s="355">
        <f>+'20 Year Trend'!D197</f>
        <v>0</v>
      </c>
      <c r="W197" s="356">
        <f>+'20 Year Trend'!E197</f>
        <v>7.3406150000000003E-2</v>
      </c>
      <c r="X197" s="357">
        <f>+'20 Year Trend'!F197</f>
        <v>31</v>
      </c>
      <c r="Y197" s="357">
        <f>+'20 Year Trend'!G197</f>
        <v>1</v>
      </c>
      <c r="Z197" s="358">
        <f>+'20 Year Trend'!H197</f>
        <v>103121316.08193198</v>
      </c>
    </row>
    <row r="198" spans="1:26" x14ac:dyDescent="0.2">
      <c r="A198" s="353">
        <f>+'Purchased Power Model '!A198</f>
        <v>43556</v>
      </c>
      <c r="B198" s="360"/>
      <c r="C198" s="355">
        <f>+'Purchased Power Model '!C198</f>
        <v>317.1661897347559</v>
      </c>
      <c r="D198" s="355">
        <f ca="1">+'Purchased Power Model '!D198</f>
        <v>0</v>
      </c>
      <c r="E198" s="356">
        <f>+'Purchased Power Model '!E198</f>
        <v>7.3406150000000003E-2</v>
      </c>
      <c r="F198" s="357">
        <f>+'Purchased Power Model '!F198</f>
        <v>30</v>
      </c>
      <c r="G198" s="357">
        <f>+'Purchased Power Model '!G198</f>
        <v>1</v>
      </c>
      <c r="H198" s="358">
        <f ca="1">+'Purchased Power Model '!H198</f>
        <v>90072769.576096535</v>
      </c>
      <c r="J198" s="353">
        <f>+'10 Year Average'!A198</f>
        <v>43556</v>
      </c>
      <c r="K198" s="360"/>
      <c r="L198" s="355">
        <f>+'10 Year Average'!C198</f>
        <v>342.72643482053758</v>
      </c>
      <c r="M198" s="355">
        <f>+'10 Year Average'!D198</f>
        <v>0</v>
      </c>
      <c r="N198" s="356">
        <f>+'10 Year Average'!E198</f>
        <v>7.3406150000000003E-2</v>
      </c>
      <c r="O198" s="357">
        <f>+'10 Year Average'!F198</f>
        <v>30</v>
      </c>
      <c r="P198" s="357">
        <f>+'10 Year Average'!G198</f>
        <v>1</v>
      </c>
      <c r="Q198" s="358">
        <f>+'10 Year Average'!H198</f>
        <v>91101727.084742233</v>
      </c>
      <c r="S198" s="353">
        <f>+'20 Year Trend'!A198</f>
        <v>43556</v>
      </c>
      <c r="T198" s="360"/>
      <c r="U198" s="355">
        <f>+'20 Year Trend'!C198</f>
        <v>312.98590350722668</v>
      </c>
      <c r="V198" s="355">
        <f>+'20 Year Trend'!D198</f>
        <v>0</v>
      </c>
      <c r="W198" s="356">
        <f>+'20 Year Trend'!E198</f>
        <v>7.3406150000000003E-2</v>
      </c>
      <c r="X198" s="357">
        <f>+'20 Year Trend'!F198</f>
        <v>30</v>
      </c>
      <c r="Y198" s="357">
        <f>+'20 Year Trend'!G198</f>
        <v>1</v>
      </c>
      <c r="Z198" s="358">
        <f>+'20 Year Trend'!H198</f>
        <v>89904487.273338139</v>
      </c>
    </row>
    <row r="199" spans="1:26" x14ac:dyDescent="0.2">
      <c r="A199" s="353">
        <f>+'Purchased Power Model '!A199</f>
        <v>43586</v>
      </c>
      <c r="B199" s="360"/>
      <c r="C199" s="355">
        <f>+'Purchased Power Model '!C199</f>
        <v>137.09984770381988</v>
      </c>
      <c r="D199" s="355">
        <f ca="1">+'Purchased Power Model '!D199</f>
        <v>1.9186560520458842</v>
      </c>
      <c r="E199" s="356">
        <f>+'Purchased Power Model '!E199</f>
        <v>7.3406150000000003E-2</v>
      </c>
      <c r="F199" s="357">
        <f>+'Purchased Power Model '!F199</f>
        <v>31</v>
      </c>
      <c r="G199" s="357">
        <f>+'Purchased Power Model '!G199</f>
        <v>1</v>
      </c>
      <c r="H199" s="358">
        <f ca="1">+'Purchased Power Model '!H199</f>
        <v>85912681.049266189</v>
      </c>
      <c r="J199" s="353">
        <f>+'10 Year Average'!A199</f>
        <v>43586</v>
      </c>
      <c r="K199" s="360"/>
      <c r="L199" s="355">
        <f>+'10 Year Average'!C199</f>
        <v>148.14864742444459</v>
      </c>
      <c r="M199" s="355">
        <f>+'10 Year Average'!D199</f>
        <v>1.699107344632766</v>
      </c>
      <c r="N199" s="356">
        <f>+'10 Year Average'!E199</f>
        <v>7.3406150000000003E-2</v>
      </c>
      <c r="O199" s="357">
        <f>+'10 Year Average'!F199</f>
        <v>31</v>
      </c>
      <c r="P199" s="357">
        <f>+'10 Year Average'!G199</f>
        <v>1</v>
      </c>
      <c r="Q199" s="358">
        <f>+'10 Year Average'!H199</f>
        <v>86325691.482107192</v>
      </c>
      <c r="S199" s="353">
        <f>+'20 Year Trend'!A199</f>
        <v>43586</v>
      </c>
      <c r="T199" s="360"/>
      <c r="U199" s="355">
        <f>+'20 Year Trend'!C199</f>
        <v>135.29285621575514</v>
      </c>
      <c r="V199" s="355">
        <f>+'20 Year Trend'!D199</f>
        <v>1.8207074041034785</v>
      </c>
      <c r="W199" s="356">
        <f>+'20 Year Trend'!E199</f>
        <v>7.3406150000000003E-2</v>
      </c>
      <c r="X199" s="357">
        <f>+'20 Year Trend'!F199</f>
        <v>31</v>
      </c>
      <c r="Y199" s="357">
        <f>+'20 Year Trend'!G199</f>
        <v>1</v>
      </c>
      <c r="Z199" s="358">
        <f>+'20 Year Trend'!H199</f>
        <v>85825763.89932479</v>
      </c>
    </row>
    <row r="200" spans="1:26" x14ac:dyDescent="0.2">
      <c r="A200" s="353">
        <f>+'Purchased Power Model '!A200</f>
        <v>43617</v>
      </c>
      <c r="B200" s="360"/>
      <c r="C200" s="355">
        <f>+'Purchased Power Model '!C200</f>
        <v>22.978105316091931</v>
      </c>
      <c r="D200" s="355">
        <f ca="1">+'Purchased Power Model '!D200</f>
        <v>59.1831597592615</v>
      </c>
      <c r="E200" s="356">
        <f>+'Purchased Power Model '!E200</f>
        <v>7.3406150000000003E-2</v>
      </c>
      <c r="F200" s="357">
        <f>+'Purchased Power Model '!F200</f>
        <v>30</v>
      </c>
      <c r="G200" s="357">
        <f>+'Purchased Power Model '!G200</f>
        <v>0</v>
      </c>
      <c r="H200" s="358">
        <f ca="1">+'Purchased Power Model '!H200</f>
        <v>93816268.190083489</v>
      </c>
      <c r="J200" s="353">
        <f>+'10 Year Average'!A200</f>
        <v>43617</v>
      </c>
      <c r="K200" s="360"/>
      <c r="L200" s="355">
        <f>+'10 Year Average'!C200</f>
        <v>24.829897917243368</v>
      </c>
      <c r="M200" s="355">
        <f>+'10 Year Average'!D200</f>
        <v>52.41092655367224</v>
      </c>
      <c r="N200" s="356">
        <f>+'10 Year Average'!E200</f>
        <v>7.3406150000000003E-2</v>
      </c>
      <c r="O200" s="357">
        <f>+'10 Year Average'!F200</f>
        <v>30</v>
      </c>
      <c r="P200" s="357">
        <f>+'10 Year Average'!G200</f>
        <v>0</v>
      </c>
      <c r="Q200" s="358">
        <f>+'10 Year Average'!H200</f>
        <v>92910773.351749212</v>
      </c>
      <c r="S200" s="353">
        <f>+'20 Year Trend'!A200</f>
        <v>43617</v>
      </c>
      <c r="T200" s="360"/>
      <c r="U200" s="355">
        <f>+'20 Year Trend'!C200</f>
        <v>22.675251290989497</v>
      </c>
      <c r="V200" s="355">
        <f>+'20 Year Trend'!D200</f>
        <v>56.1618206958073</v>
      </c>
      <c r="W200" s="356">
        <f>+'20 Year Trend'!E200</f>
        <v>7.3406150000000003E-2</v>
      </c>
      <c r="X200" s="357">
        <f>+'20 Year Trend'!F200</f>
        <v>30</v>
      </c>
      <c r="Y200" s="357">
        <f>+'20 Year Trend'!G200</f>
        <v>0</v>
      </c>
      <c r="Z200" s="358">
        <f>+'20 Year Trend'!H200</f>
        <v>93366844.621817976</v>
      </c>
    </row>
    <row r="201" spans="1:26" x14ac:dyDescent="0.2">
      <c r="A201" s="353">
        <f>+'Purchased Power Model '!A201</f>
        <v>43647</v>
      </c>
      <c r="B201" s="360"/>
      <c r="C201" s="355">
        <f>+'Purchased Power Model '!C201</f>
        <v>8.2003647224714715</v>
      </c>
      <c r="D201" s="355">
        <f ca="1">+'Purchased Power Model '!D201</f>
        <v>80.583554185927127</v>
      </c>
      <c r="E201" s="356">
        <f>+'Purchased Power Model '!E201</f>
        <v>7.3406150000000003E-2</v>
      </c>
      <c r="F201" s="357">
        <f>+'Purchased Power Model '!F201</f>
        <v>31</v>
      </c>
      <c r="G201" s="357">
        <f>+'Purchased Power Model '!G201</f>
        <v>0</v>
      </c>
      <c r="H201" s="358">
        <f ca="1">+'Purchased Power Model '!H201</f>
        <v>99129356.961632669</v>
      </c>
      <c r="J201" s="353">
        <f>+'10 Year Average'!A201</f>
        <v>43647</v>
      </c>
      <c r="K201" s="360"/>
      <c r="L201" s="355">
        <f>+'10 Year Average'!C201</f>
        <v>8.861227509499491</v>
      </c>
      <c r="M201" s="355">
        <f>+'10 Year Average'!D201</f>
        <v>71.362508474576146</v>
      </c>
      <c r="N201" s="356">
        <f>+'10 Year Average'!E201</f>
        <v>7.3406150000000003E-2</v>
      </c>
      <c r="O201" s="357">
        <f>+'10 Year Average'!F201</f>
        <v>31</v>
      </c>
      <c r="P201" s="357">
        <f>+'10 Year Average'!G201</f>
        <v>0</v>
      </c>
      <c r="Q201" s="358">
        <f>+'10 Year Average'!H201</f>
        <v>97821540.969941154</v>
      </c>
      <c r="S201" s="353">
        <f>+'20 Year Trend'!A201</f>
        <v>43647</v>
      </c>
      <c r="T201" s="360"/>
      <c r="U201" s="355">
        <f>+'20 Year Trend'!C201</f>
        <v>8.0922829886059144</v>
      </c>
      <c r="V201" s="355">
        <f>+'20 Year Trend'!D201</f>
        <v>76.469710972346093</v>
      </c>
      <c r="W201" s="356">
        <f>+'20 Year Trend'!E201</f>
        <v>7.3406150000000003E-2</v>
      </c>
      <c r="X201" s="357">
        <f>+'20 Year Trend'!F201</f>
        <v>31</v>
      </c>
      <c r="Y201" s="357">
        <f>+'20 Year Trend'!G201</f>
        <v>0</v>
      </c>
      <c r="Z201" s="358">
        <f>+'20 Year Trend'!H201</f>
        <v>98529672.895680413</v>
      </c>
    </row>
    <row r="202" spans="1:26" x14ac:dyDescent="0.2">
      <c r="A202" s="353">
        <f>+'Purchased Power Model '!A202</f>
        <v>43678</v>
      </c>
      <c r="B202" s="360"/>
      <c r="C202" s="355">
        <f>+'Purchased Power Model '!C202</f>
        <v>10.848399164102883</v>
      </c>
      <c r="D202" s="355">
        <f ca="1">+'Purchased Power Model '!D202</f>
        <v>85.601577706662511</v>
      </c>
      <c r="E202" s="356">
        <f>+'Purchased Power Model '!E202</f>
        <v>7.3406150000000003E-2</v>
      </c>
      <c r="F202" s="357">
        <f>+'Purchased Power Model '!F202</f>
        <v>31</v>
      </c>
      <c r="G202" s="357">
        <f>+'Purchased Power Model '!G202</f>
        <v>0</v>
      </c>
      <c r="H202" s="358">
        <f ca="1">+'Purchased Power Model '!H202</f>
        <v>99962137.866413593</v>
      </c>
      <c r="J202" s="353">
        <f>+'10 Year Average'!A202</f>
        <v>43678</v>
      </c>
      <c r="K202" s="360"/>
      <c r="L202" s="355">
        <f>+'10 Year Average'!C202</f>
        <v>11.722665559442033</v>
      </c>
      <c r="M202" s="355">
        <f>+'10 Year Average'!D202</f>
        <v>75.806327683615706</v>
      </c>
      <c r="N202" s="356">
        <f>+'10 Year Average'!E202</f>
        <v>7.3406150000000003E-2</v>
      </c>
      <c r="O202" s="357">
        <f>+'10 Year Average'!F202</f>
        <v>31</v>
      </c>
      <c r="P202" s="357">
        <f>+'10 Year Average'!G202</f>
        <v>0</v>
      </c>
      <c r="Q202" s="358">
        <f>+'10 Year Average'!H202</f>
        <v>98579816.947996944</v>
      </c>
      <c r="S202" s="353">
        <f>+'20 Year Trend'!A202</f>
        <v>43678</v>
      </c>
      <c r="T202" s="360"/>
      <c r="U202" s="355">
        <f>+'20 Year Trend'!C202</f>
        <v>10.705416037009911</v>
      </c>
      <c r="V202" s="355">
        <f>+'20 Year Trend'!D202</f>
        <v>81.231561106155198</v>
      </c>
      <c r="W202" s="356">
        <f>+'20 Year Trend'!E202</f>
        <v>7.3406150000000003E-2</v>
      </c>
      <c r="X202" s="357">
        <f>+'20 Year Trend'!F202</f>
        <v>31</v>
      </c>
      <c r="Y202" s="357">
        <f>+'20 Year Trend'!G202</f>
        <v>0</v>
      </c>
      <c r="Z202" s="358">
        <f>+'20 Year Trend'!H202</f>
        <v>99323976.778990269</v>
      </c>
    </row>
    <row r="203" spans="1:26" x14ac:dyDescent="0.2">
      <c r="A203" s="353">
        <f>+'Purchased Power Model '!A203</f>
        <v>43709</v>
      </c>
      <c r="B203" s="360"/>
      <c r="C203" s="355">
        <f>+'Purchased Power Model '!C203</f>
        <v>66.115440574926225</v>
      </c>
      <c r="D203" s="355">
        <f ca="1">+'Purchased Power Model '!D203</f>
        <v>33.207508593101842</v>
      </c>
      <c r="E203" s="356">
        <f>+'Purchased Power Model '!E203</f>
        <v>7.3406150000000003E-2</v>
      </c>
      <c r="F203" s="357">
        <f>+'Purchased Power Model '!F203</f>
        <v>30</v>
      </c>
      <c r="G203" s="357">
        <f>+'Purchased Power Model '!G203</f>
        <v>1</v>
      </c>
      <c r="H203" s="358">
        <f ca="1">+'Purchased Power Model '!H203</f>
        <v>84772039.349717543</v>
      </c>
      <c r="J203" s="353">
        <f>+'10 Year Average'!A203</f>
        <v>43709</v>
      </c>
      <c r="K203" s="360"/>
      <c r="L203" s="355">
        <f>+'10 Year Average'!C203</f>
        <v>71.44364679533966</v>
      </c>
      <c r="M203" s="355">
        <f>+'10 Year Average'!D203</f>
        <v>29.407627118644019</v>
      </c>
      <c r="N203" s="356">
        <f>+'10 Year Average'!E203</f>
        <v>7.3406150000000003E-2</v>
      </c>
      <c r="O203" s="357">
        <f>+'10 Year Average'!F203</f>
        <v>30</v>
      </c>
      <c r="P203" s="357">
        <f>+'10 Year Average'!G203</f>
        <v>1</v>
      </c>
      <c r="Q203" s="358">
        <f>+'10 Year Average'!H203</f>
        <v>84436634.244961396</v>
      </c>
      <c r="S203" s="353">
        <f>+'20 Year Trend'!A203</f>
        <v>43709</v>
      </c>
      <c r="T203" s="360"/>
      <c r="U203" s="355">
        <f>+'20 Year Trend'!C203</f>
        <v>65.244031595635207</v>
      </c>
      <c r="V203" s="355">
        <f>+'20 Year Trend'!D203</f>
        <v>31.512243532560205</v>
      </c>
      <c r="W203" s="356">
        <f>+'20 Year Trend'!E203</f>
        <v>7.3406150000000003E-2</v>
      </c>
      <c r="X203" s="357">
        <f>+'20 Year Trend'!F203</f>
        <v>30</v>
      </c>
      <c r="Y203" s="357">
        <f>+'20 Year Trend'!G203</f>
        <v>1</v>
      </c>
      <c r="Z203" s="358">
        <f>+'20 Year Trend'!H203</f>
        <v>84491630.185730055</v>
      </c>
    </row>
    <row r="204" spans="1:26" x14ac:dyDescent="0.2">
      <c r="A204" s="353">
        <f>+'Purchased Power Model '!A204</f>
        <v>43739</v>
      </c>
      <c r="B204" s="360"/>
      <c r="C204" s="355">
        <f>+'Purchased Power Model '!C204</f>
        <v>184.76446765318536</v>
      </c>
      <c r="D204" s="355">
        <f ca="1">+'Purchased Power Model '!D204</f>
        <v>0.73794463540226296</v>
      </c>
      <c r="E204" s="356">
        <f>+'Purchased Power Model '!E204</f>
        <v>7.3406150000000003E-2</v>
      </c>
      <c r="F204" s="357">
        <f>+'Purchased Power Model '!F204</f>
        <v>31</v>
      </c>
      <c r="G204" s="357">
        <f>+'Purchased Power Model '!G204</f>
        <v>1</v>
      </c>
      <c r="H204" s="358">
        <f ca="1">+'Purchased Power Model '!H204</f>
        <v>87660609.814320207</v>
      </c>
      <c r="J204" s="353">
        <f>+'10 Year Average'!A204</f>
        <v>43739</v>
      </c>
      <c r="K204" s="360"/>
      <c r="L204" s="355">
        <f>+'10 Year Average'!C204</f>
        <v>199.65453232341042</v>
      </c>
      <c r="M204" s="355">
        <f>+'10 Year Average'!D204</f>
        <v>0.65350282485875599</v>
      </c>
      <c r="N204" s="356">
        <f>+'10 Year Average'!E204</f>
        <v>7.3406150000000003E-2</v>
      </c>
      <c r="O204" s="357">
        <f>+'10 Year Average'!F204</f>
        <v>31</v>
      </c>
      <c r="P204" s="357">
        <f>+'10 Year Average'!G204</f>
        <v>1</v>
      </c>
      <c r="Q204" s="358">
        <f>+'10 Year Average'!H204</f>
        <v>88247806.790939152</v>
      </c>
      <c r="S204" s="353">
        <f>+'20 Year Trend'!A204</f>
        <v>43739</v>
      </c>
      <c r="T204" s="360"/>
      <c r="U204" s="355">
        <f>+'20 Year Trend'!C204</f>
        <v>182.32925108702707</v>
      </c>
      <c r="V204" s="355">
        <f>+'20 Year Trend'!D204</f>
        <v>0.70027207850133788</v>
      </c>
      <c r="W204" s="356">
        <f>+'20 Year Trend'!E204</f>
        <v>7.3406150000000003E-2</v>
      </c>
      <c r="X204" s="357">
        <f>+'20 Year Trend'!F204</f>
        <v>31</v>
      </c>
      <c r="Y204" s="357">
        <f>+'20 Year Trend'!G204</f>
        <v>1</v>
      </c>
      <c r="Z204" s="358">
        <f>+'20 Year Trend'!H204</f>
        <v>87557125.559823751</v>
      </c>
    </row>
    <row r="205" spans="1:26" x14ac:dyDescent="0.2">
      <c r="A205" s="353">
        <f>+'Purchased Power Model '!A205</f>
        <v>43770</v>
      </c>
      <c r="B205" s="360"/>
      <c r="C205" s="355">
        <f>+'Purchased Power Model '!C205</f>
        <v>347.91755744402406</v>
      </c>
      <c r="D205" s="355">
        <f ca="1">+'Purchased Power Model '!D205</f>
        <v>0</v>
      </c>
      <c r="E205" s="356">
        <f>+'Purchased Power Model '!E205</f>
        <v>7.3406150000000003E-2</v>
      </c>
      <c r="F205" s="357">
        <f>+'Purchased Power Model '!F205</f>
        <v>30</v>
      </c>
      <c r="G205" s="357">
        <f>+'Purchased Power Model '!G205</f>
        <v>1</v>
      </c>
      <c r="H205" s="358">
        <f ca="1">+'Purchased Power Model '!H205</f>
        <v>91310701.78681612</v>
      </c>
      <c r="J205" s="353">
        <f>+'10 Year Average'!A205</f>
        <v>43770</v>
      </c>
      <c r="K205" s="360"/>
      <c r="L205" s="355">
        <f>+'10 Year Average'!C205</f>
        <v>375.95603798116082</v>
      </c>
      <c r="M205" s="355">
        <f>+'10 Year Average'!D205</f>
        <v>0</v>
      </c>
      <c r="N205" s="356">
        <f>+'10 Year Average'!E205</f>
        <v>7.3406150000000003E-2</v>
      </c>
      <c r="O205" s="357">
        <f>+'10 Year Average'!F205</f>
        <v>30</v>
      </c>
      <c r="P205" s="357">
        <f>+'10 Year Average'!G205</f>
        <v>1</v>
      </c>
      <c r="Q205" s="358">
        <f>+'10 Year Average'!H205</f>
        <v>92439423.557005703</v>
      </c>
      <c r="S205" s="353">
        <f>+'20 Year Trend'!A205</f>
        <v>43770</v>
      </c>
      <c r="T205" s="360"/>
      <c r="U205" s="355">
        <f>+'20 Year Trend'!C205</f>
        <v>343.33196471449907</v>
      </c>
      <c r="V205" s="355">
        <f>+'20 Year Trend'!D205</f>
        <v>0</v>
      </c>
      <c r="W205" s="356">
        <f>+'20 Year Trend'!E205</f>
        <v>7.3406150000000003E-2</v>
      </c>
      <c r="X205" s="357">
        <f>+'20 Year Trend'!F205</f>
        <v>30</v>
      </c>
      <c r="Y205" s="357">
        <f>+'20 Year Trend'!G205</f>
        <v>1</v>
      </c>
      <c r="Z205" s="358">
        <f>+'20 Year Trend'!H205</f>
        <v>91126103.397606611</v>
      </c>
    </row>
    <row r="206" spans="1:26" ht="13.5" thickBot="1" x14ac:dyDescent="0.25">
      <c r="A206" s="361">
        <f>+'Purchased Power Model '!A206</f>
        <v>43800</v>
      </c>
      <c r="B206" s="362"/>
      <c r="C206" s="363">
        <f>+'Purchased Power Model '!C206</f>
        <v>471.35013061039143</v>
      </c>
      <c r="D206" s="363">
        <f ca="1">+'Purchased Power Model '!D206</f>
        <v>0</v>
      </c>
      <c r="E206" s="364">
        <f>+'Purchased Power Model '!E206</f>
        <v>7.3406150000000003E-2</v>
      </c>
      <c r="F206" s="365">
        <f>+'Purchased Power Model '!F206</f>
        <v>31</v>
      </c>
      <c r="G206" s="365">
        <f>+'Purchased Power Model '!G206</f>
        <v>0</v>
      </c>
      <c r="H206" s="366">
        <f ca="1">+'Purchased Power Model '!H206</f>
        <v>106112376.00874335</v>
      </c>
      <c r="J206" s="361">
        <f>+'10 Year Average'!A206</f>
        <v>43800</v>
      </c>
      <c r="K206" s="362"/>
      <c r="L206" s="363">
        <f>+'10 Year Average'!C206</f>
        <v>509.33597288977279</v>
      </c>
      <c r="M206" s="363">
        <f>+'10 Year Average'!D206</f>
        <v>0</v>
      </c>
      <c r="N206" s="364">
        <f>+'10 Year Average'!E206</f>
        <v>7.3406150000000003E-2</v>
      </c>
      <c r="O206" s="365">
        <f>+'10 Year Average'!F206</f>
        <v>31</v>
      </c>
      <c r="P206" s="365">
        <f>+'10 Year Average'!G206</f>
        <v>0</v>
      </c>
      <c r="Q206" s="366">
        <f>+'10 Year Average'!H206</f>
        <v>107641540.43985212</v>
      </c>
      <c r="S206" s="361">
        <f>+'20 Year Trend'!A206</f>
        <v>43800</v>
      </c>
      <c r="T206" s="362"/>
      <c r="U206" s="363">
        <f>+'20 Year Trend'!C206</f>
        <v>465.13768261591093</v>
      </c>
      <c r="V206" s="363">
        <f>+'20 Year Trend'!D206</f>
        <v>0</v>
      </c>
      <c r="W206" s="364">
        <f>+'20 Year Trend'!E206</f>
        <v>7.3406150000000003E-2</v>
      </c>
      <c r="X206" s="365">
        <f>+'20 Year Trend'!F206</f>
        <v>31</v>
      </c>
      <c r="Y206" s="365">
        <f>+'20 Year Trend'!G206</f>
        <v>0</v>
      </c>
      <c r="Z206" s="366">
        <f>+'20 Year Trend'!H206</f>
        <v>105862286.66141751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8"/>
  <sheetViews>
    <sheetView workbookViewId="0">
      <selection activeCell="J18" sqref="J18"/>
    </sheetView>
  </sheetViews>
  <sheetFormatPr defaultRowHeight="12.75" x14ac:dyDescent="0.2"/>
  <cols>
    <col min="1" max="1" width="25.85546875" customWidth="1"/>
    <col min="2" max="2" width="11.7109375" bestFit="1" customWidth="1"/>
    <col min="3" max="3" width="10.7109375" bestFit="1" customWidth="1"/>
    <col min="4" max="4" width="9.5703125" bestFit="1" customWidth="1"/>
    <col min="5" max="5" width="10" customWidth="1"/>
    <col min="6" max="7" width="11.140625" customWidth="1"/>
    <col min="9" max="9" width="10.140625" customWidth="1"/>
    <col min="10" max="10" width="10.5703125" customWidth="1"/>
  </cols>
  <sheetData>
    <row r="1" spans="1:10" ht="24.75" thickBot="1" x14ac:dyDescent="0.25">
      <c r="A1" s="286" t="s">
        <v>117</v>
      </c>
      <c r="B1" s="279" t="s">
        <v>71</v>
      </c>
      <c r="C1" s="279" t="s">
        <v>242</v>
      </c>
      <c r="D1" s="279" t="s">
        <v>241</v>
      </c>
      <c r="E1" s="279" t="s">
        <v>74</v>
      </c>
      <c r="F1" s="279" t="s">
        <v>243</v>
      </c>
      <c r="G1" s="279" t="s">
        <v>244</v>
      </c>
      <c r="H1" s="279" t="s">
        <v>245</v>
      </c>
      <c r="I1" s="279" t="s">
        <v>76</v>
      </c>
      <c r="J1" s="280" t="s">
        <v>9</v>
      </c>
    </row>
    <row r="2" spans="1:10" x14ac:dyDescent="0.2">
      <c r="A2" s="309" t="s">
        <v>249</v>
      </c>
      <c r="B2" s="310"/>
      <c r="C2" s="310"/>
      <c r="D2" s="310"/>
      <c r="E2" s="310"/>
      <c r="F2" s="310"/>
      <c r="G2" s="310"/>
      <c r="H2" s="310"/>
      <c r="I2" s="310"/>
      <c r="J2" s="311"/>
    </row>
    <row r="3" spans="1:10" x14ac:dyDescent="0.2">
      <c r="A3" s="312" t="s">
        <v>119</v>
      </c>
      <c r="B3" s="284">
        <v>47243</v>
      </c>
      <c r="C3" s="284">
        <v>3845</v>
      </c>
      <c r="D3" s="284">
        <v>522</v>
      </c>
      <c r="E3" s="284">
        <v>2</v>
      </c>
      <c r="F3" s="284">
        <v>9</v>
      </c>
      <c r="G3" s="284">
        <v>11650</v>
      </c>
      <c r="H3" s="284">
        <v>77</v>
      </c>
      <c r="I3" s="284">
        <v>305</v>
      </c>
      <c r="J3" s="291">
        <f>SUM(B3:I3)</f>
        <v>63653</v>
      </c>
    </row>
    <row r="4" spans="1:10" x14ac:dyDescent="0.2">
      <c r="A4" s="312" t="s">
        <v>233</v>
      </c>
      <c r="B4" s="284">
        <v>49919.725406979574</v>
      </c>
      <c r="C4" s="284">
        <v>3961</v>
      </c>
      <c r="D4" s="284">
        <v>518</v>
      </c>
      <c r="E4" s="284">
        <v>1</v>
      </c>
      <c r="F4" s="284">
        <v>10</v>
      </c>
      <c r="G4" s="284">
        <v>12761.899782618997</v>
      </c>
      <c r="H4" s="284">
        <v>22.307657589073369</v>
      </c>
      <c r="I4" s="284">
        <v>313.0793844964528</v>
      </c>
      <c r="J4" s="291">
        <f>SUM(B4:I4)</f>
        <v>67507.012231684101</v>
      </c>
    </row>
    <row r="5" spans="1:10" x14ac:dyDescent="0.2">
      <c r="A5" s="306"/>
      <c r="B5" s="283"/>
      <c r="C5" s="313"/>
      <c r="D5" s="313"/>
      <c r="E5" s="313"/>
      <c r="F5" s="313"/>
      <c r="G5" s="313"/>
      <c r="H5" s="313"/>
      <c r="I5" s="313"/>
      <c r="J5" s="314"/>
    </row>
    <row r="6" spans="1:10" x14ac:dyDescent="0.2">
      <c r="A6" s="306">
        <v>2002</v>
      </c>
      <c r="B6" s="281">
        <v>42960</v>
      </c>
      <c r="C6" s="281">
        <v>3701</v>
      </c>
      <c r="D6" s="281">
        <v>573</v>
      </c>
      <c r="E6" s="281">
        <v>2</v>
      </c>
      <c r="F6" s="281">
        <v>5</v>
      </c>
      <c r="G6" s="281">
        <v>9967</v>
      </c>
      <c r="H6" s="281">
        <v>38</v>
      </c>
      <c r="I6" s="281">
        <v>291</v>
      </c>
      <c r="J6" s="315">
        <f t="shared" ref="J6:J17" si="0">SUM(B6:I6)</f>
        <v>57537</v>
      </c>
    </row>
    <row r="7" spans="1:10" x14ac:dyDescent="0.2">
      <c r="A7" s="306">
        <v>2003</v>
      </c>
      <c r="B7" s="281">
        <v>43679</v>
      </c>
      <c r="C7" s="281">
        <f>3970-293</f>
        <v>3677</v>
      </c>
      <c r="D7" s="281">
        <v>545</v>
      </c>
      <c r="E7" s="281">
        <v>3</v>
      </c>
      <c r="F7" s="281">
        <v>5</v>
      </c>
      <c r="G7" s="281">
        <v>10151</v>
      </c>
      <c r="H7" s="281">
        <v>31</v>
      </c>
      <c r="I7" s="281">
        <v>293</v>
      </c>
      <c r="J7" s="315">
        <f t="shared" si="0"/>
        <v>58384</v>
      </c>
    </row>
    <row r="8" spans="1:10" x14ac:dyDescent="0.2">
      <c r="A8" s="307">
        <v>2004</v>
      </c>
      <c r="B8" s="281">
        <v>44280</v>
      </c>
      <c r="C8" s="281">
        <f>3871-295</f>
        <v>3576</v>
      </c>
      <c r="D8" s="281">
        <v>515</v>
      </c>
      <c r="E8" s="281">
        <v>2</v>
      </c>
      <c r="F8" s="281">
        <v>7</v>
      </c>
      <c r="G8" s="281">
        <v>10373</v>
      </c>
      <c r="H8" s="281">
        <v>29</v>
      </c>
      <c r="I8" s="281">
        <v>295</v>
      </c>
      <c r="J8" s="315">
        <f t="shared" si="0"/>
        <v>59077</v>
      </c>
    </row>
    <row r="9" spans="1:10" x14ac:dyDescent="0.2">
      <c r="A9" s="306">
        <v>2005</v>
      </c>
      <c r="B9" s="281">
        <v>44917</v>
      </c>
      <c r="C9" s="281">
        <f>4043-295</f>
        <v>3748</v>
      </c>
      <c r="D9" s="281">
        <v>528</v>
      </c>
      <c r="E9" s="281">
        <v>2</v>
      </c>
      <c r="F9" s="281">
        <v>8</v>
      </c>
      <c r="G9" s="281">
        <v>10624</v>
      </c>
      <c r="H9" s="281">
        <v>30</v>
      </c>
      <c r="I9" s="281">
        <v>295</v>
      </c>
      <c r="J9" s="315">
        <f t="shared" si="0"/>
        <v>60152</v>
      </c>
    </row>
    <row r="10" spans="1:10" x14ac:dyDescent="0.2">
      <c r="A10" s="307">
        <v>2006</v>
      </c>
      <c r="B10" s="281">
        <v>45961</v>
      </c>
      <c r="C10" s="281">
        <v>3733</v>
      </c>
      <c r="D10" s="281">
        <v>522</v>
      </c>
      <c r="E10" s="281">
        <v>2</v>
      </c>
      <c r="F10" s="281">
        <v>9</v>
      </c>
      <c r="G10" s="281">
        <v>11038</v>
      </c>
      <c r="H10" s="281">
        <v>27</v>
      </c>
      <c r="I10" s="281">
        <v>301</v>
      </c>
      <c r="J10" s="315">
        <f t="shared" si="0"/>
        <v>61593</v>
      </c>
    </row>
    <row r="11" spans="1:10" x14ac:dyDescent="0.2">
      <c r="A11" s="306">
        <v>2007</v>
      </c>
      <c r="B11" s="281">
        <v>46679</v>
      </c>
      <c r="C11" s="281">
        <v>3765</v>
      </c>
      <c r="D11" s="281">
        <v>524</v>
      </c>
      <c r="E11" s="281">
        <v>2</v>
      </c>
      <c r="F11" s="281">
        <v>9</v>
      </c>
      <c r="G11" s="281">
        <v>11523</v>
      </c>
      <c r="H11" s="281">
        <v>26</v>
      </c>
      <c r="I11" s="281">
        <v>301</v>
      </c>
      <c r="J11" s="315">
        <f t="shared" si="0"/>
        <v>62829</v>
      </c>
    </row>
    <row r="12" spans="1:10" x14ac:dyDescent="0.2">
      <c r="A12" s="307">
        <v>2008</v>
      </c>
      <c r="B12" s="281">
        <v>47436</v>
      </c>
      <c r="C12" s="281">
        <v>3822</v>
      </c>
      <c r="D12" s="281">
        <v>543</v>
      </c>
      <c r="E12" s="281">
        <v>3</v>
      </c>
      <c r="F12" s="281">
        <v>9</v>
      </c>
      <c r="G12" s="281">
        <v>11720</v>
      </c>
      <c r="H12" s="281">
        <v>26</v>
      </c>
      <c r="I12" s="281">
        <v>301</v>
      </c>
      <c r="J12" s="315">
        <f t="shared" si="0"/>
        <v>63860</v>
      </c>
    </row>
    <row r="13" spans="1:10" x14ac:dyDescent="0.2">
      <c r="A13" s="306">
        <v>2009</v>
      </c>
      <c r="B13" s="281">
        <v>47769</v>
      </c>
      <c r="C13" s="281">
        <v>3897</v>
      </c>
      <c r="D13" s="281">
        <v>507</v>
      </c>
      <c r="E13" s="281">
        <v>1</v>
      </c>
      <c r="F13" s="281">
        <v>10</v>
      </c>
      <c r="G13" s="281">
        <v>11882</v>
      </c>
      <c r="H13" s="281">
        <v>26</v>
      </c>
      <c r="I13" s="281">
        <v>304</v>
      </c>
      <c r="J13" s="315">
        <f t="shared" si="0"/>
        <v>64396</v>
      </c>
    </row>
    <row r="14" spans="1:10" x14ac:dyDescent="0.2">
      <c r="A14" s="307">
        <v>2010</v>
      </c>
      <c r="B14" s="281">
        <v>48460</v>
      </c>
      <c r="C14" s="281">
        <v>3961</v>
      </c>
      <c r="D14" s="281">
        <v>518</v>
      </c>
      <c r="E14" s="281">
        <v>1</v>
      </c>
      <c r="F14" s="281">
        <v>10</v>
      </c>
      <c r="G14" s="281">
        <v>12109</v>
      </c>
      <c r="H14" s="281">
        <v>24</v>
      </c>
      <c r="I14" s="281">
        <v>309</v>
      </c>
      <c r="J14" s="315">
        <f t="shared" si="0"/>
        <v>65392</v>
      </c>
    </row>
    <row r="15" spans="1:10" x14ac:dyDescent="0.2">
      <c r="A15" s="307">
        <v>2011</v>
      </c>
      <c r="B15" s="281">
        <v>48841</v>
      </c>
      <c r="C15" s="281">
        <v>3816</v>
      </c>
      <c r="D15" s="281">
        <v>523</v>
      </c>
      <c r="E15" s="281">
        <v>1</v>
      </c>
      <c r="F15" s="281">
        <v>10</v>
      </c>
      <c r="G15" s="281">
        <v>12146</v>
      </c>
      <c r="H15" s="281">
        <v>24</v>
      </c>
      <c r="I15" s="281">
        <v>296</v>
      </c>
      <c r="J15" s="315">
        <f t="shared" si="0"/>
        <v>65657</v>
      </c>
    </row>
    <row r="16" spans="1:10" x14ac:dyDescent="0.2">
      <c r="A16" s="307">
        <v>2012</v>
      </c>
      <c r="B16" s="281">
        <v>49201</v>
      </c>
      <c r="C16" s="281">
        <v>3885</v>
      </c>
      <c r="D16" s="281">
        <v>500</v>
      </c>
      <c r="E16" s="281">
        <v>1</v>
      </c>
      <c r="F16" s="281">
        <v>11</v>
      </c>
      <c r="G16" s="281">
        <v>12280</v>
      </c>
      <c r="H16" s="281">
        <v>24</v>
      </c>
      <c r="I16" s="281">
        <v>295</v>
      </c>
      <c r="J16" s="315">
        <f t="shared" si="0"/>
        <v>66197</v>
      </c>
    </row>
    <row r="17" spans="1:10" x14ac:dyDescent="0.2">
      <c r="A17" s="465">
        <v>2013</v>
      </c>
      <c r="B17" s="321">
        <v>49831</v>
      </c>
      <c r="C17" s="321">
        <v>3924</v>
      </c>
      <c r="D17" s="321">
        <v>500</v>
      </c>
      <c r="E17" s="321">
        <v>1</v>
      </c>
      <c r="F17" s="321">
        <v>11</v>
      </c>
      <c r="G17" s="321">
        <v>12385</v>
      </c>
      <c r="H17" s="321">
        <v>24</v>
      </c>
      <c r="I17" s="321">
        <v>295</v>
      </c>
      <c r="J17" s="322">
        <f t="shared" si="0"/>
        <v>66971</v>
      </c>
    </row>
    <row r="18" spans="1:10" ht="13.5" thickBot="1" x14ac:dyDescent="0.25">
      <c r="A18" s="308">
        <v>2014</v>
      </c>
      <c r="B18" s="294">
        <v>50574</v>
      </c>
      <c r="C18" s="294">
        <v>3981</v>
      </c>
      <c r="D18" s="294">
        <v>505</v>
      </c>
      <c r="E18" s="294">
        <v>1</v>
      </c>
      <c r="F18" s="294">
        <v>11</v>
      </c>
      <c r="G18" s="294">
        <v>12544</v>
      </c>
      <c r="H18" s="294">
        <v>24</v>
      </c>
      <c r="I18" s="294">
        <v>296</v>
      </c>
      <c r="J18" s="316">
        <f t="shared" ref="J18" si="1">SUM(B18:I18)</f>
        <v>67936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35"/>
  <sheetViews>
    <sheetView topLeftCell="A76" workbookViewId="0">
      <selection activeCell="G96" sqref="G96"/>
    </sheetView>
  </sheetViews>
  <sheetFormatPr defaultRowHeight="12.75" x14ac:dyDescent="0.2"/>
  <cols>
    <col min="1" max="1" width="25.85546875" customWidth="1"/>
    <col min="2" max="2" width="11.7109375" bestFit="1" customWidth="1"/>
    <col min="3" max="3" width="10.7109375" bestFit="1" customWidth="1"/>
    <col min="4" max="4" width="9.5703125" bestFit="1" customWidth="1"/>
    <col min="5" max="5" width="10" customWidth="1"/>
    <col min="6" max="7" width="11.140625" customWidth="1"/>
    <col min="8" max="8" width="14" bestFit="1" customWidth="1"/>
    <col min="9" max="9" width="10.140625" customWidth="1"/>
    <col min="10" max="10" width="10.5703125" customWidth="1"/>
    <col min="11" max="12" width="9.28515625" bestFit="1" customWidth="1"/>
    <col min="13" max="13" width="15" bestFit="1" customWidth="1"/>
  </cols>
  <sheetData>
    <row r="1" spans="1:10" ht="24.75" thickBot="1" x14ac:dyDescent="0.25">
      <c r="A1" s="286" t="s">
        <v>117</v>
      </c>
      <c r="B1" s="279" t="s">
        <v>71</v>
      </c>
      <c r="C1" s="279" t="s">
        <v>242</v>
      </c>
      <c r="D1" s="279" t="s">
        <v>241</v>
      </c>
      <c r="E1" s="279" t="s">
        <v>74</v>
      </c>
      <c r="F1" s="279" t="s">
        <v>243</v>
      </c>
      <c r="G1" s="279" t="s">
        <v>244</v>
      </c>
      <c r="H1" s="279" t="s">
        <v>245</v>
      </c>
      <c r="I1" s="279" t="s">
        <v>76</v>
      </c>
      <c r="J1" s="280" t="s">
        <v>9</v>
      </c>
    </row>
    <row r="2" spans="1:10" x14ac:dyDescent="0.2">
      <c r="A2" s="309" t="s">
        <v>249</v>
      </c>
      <c r="B2" s="310"/>
      <c r="C2" s="310"/>
      <c r="D2" s="310"/>
      <c r="E2" s="310"/>
      <c r="F2" s="310"/>
      <c r="G2" s="310"/>
      <c r="H2" s="310"/>
      <c r="I2" s="310"/>
      <c r="J2" s="311"/>
    </row>
    <row r="3" spans="1:10" x14ac:dyDescent="0.2">
      <c r="A3" s="312" t="s">
        <v>119</v>
      </c>
      <c r="B3" s="284">
        <f>+'Year End Customer'!B3</f>
        <v>47243</v>
      </c>
      <c r="C3" s="284">
        <f>+'Year End Customer'!C3</f>
        <v>3845</v>
      </c>
      <c r="D3" s="284">
        <f>+'Year End Customer'!D3</f>
        <v>522</v>
      </c>
      <c r="E3" s="284">
        <f>+'Year End Customer'!E3</f>
        <v>2</v>
      </c>
      <c r="F3" s="284">
        <f>+'Year End Customer'!F3</f>
        <v>9</v>
      </c>
      <c r="G3" s="284">
        <f>+'Year End Customer'!G3</f>
        <v>11650</v>
      </c>
      <c r="H3" s="284">
        <f>+'Year End Customer'!H3</f>
        <v>77</v>
      </c>
      <c r="I3" s="284">
        <f>+'Year End Customer'!I3</f>
        <v>305</v>
      </c>
      <c r="J3" s="291">
        <f>SUM(B3:I3)</f>
        <v>63653</v>
      </c>
    </row>
    <row r="4" spans="1:10" x14ac:dyDescent="0.2">
      <c r="A4" s="312" t="s">
        <v>233</v>
      </c>
      <c r="B4" s="284">
        <f>+'Year End Customer'!B4</f>
        <v>49919.725406979574</v>
      </c>
      <c r="C4" s="284">
        <f>+'Year End Customer'!C4</f>
        <v>3961</v>
      </c>
      <c r="D4" s="284">
        <f>+'Year End Customer'!D4</f>
        <v>518</v>
      </c>
      <c r="E4" s="284">
        <f>+'Year End Customer'!E4</f>
        <v>1</v>
      </c>
      <c r="F4" s="284">
        <f>+'Year End Customer'!F4</f>
        <v>10</v>
      </c>
      <c r="G4" s="284">
        <f>+'Year End Customer'!G4</f>
        <v>12761.899782618997</v>
      </c>
      <c r="H4" s="284">
        <f>+'Year End Customer'!H4</f>
        <v>22.307657589073369</v>
      </c>
      <c r="I4" s="284">
        <f>+'Year End Customer'!I4</f>
        <v>313.0793844964528</v>
      </c>
      <c r="J4" s="291">
        <f>SUM(B4:I4)</f>
        <v>67507.012231684101</v>
      </c>
    </row>
    <row r="5" spans="1:10" x14ac:dyDescent="0.2">
      <c r="A5" s="306"/>
      <c r="B5" s="283"/>
      <c r="C5" s="313"/>
      <c r="D5" s="313"/>
      <c r="E5" s="313"/>
      <c r="F5" s="313"/>
      <c r="G5" s="313"/>
      <c r="H5" s="313"/>
      <c r="I5" s="313"/>
      <c r="J5" s="314"/>
    </row>
    <row r="6" spans="1:10" x14ac:dyDescent="0.2">
      <c r="A6" s="306">
        <v>2002</v>
      </c>
      <c r="B6" s="281">
        <f>+'Year End Customer'!B6</f>
        <v>42960</v>
      </c>
      <c r="C6" s="281">
        <f>+'Year End Customer'!C6</f>
        <v>3701</v>
      </c>
      <c r="D6" s="281">
        <f>+'Year End Customer'!D6</f>
        <v>573</v>
      </c>
      <c r="E6" s="281">
        <f>+'Year End Customer'!E6</f>
        <v>2</v>
      </c>
      <c r="F6" s="281">
        <f>+'Year End Customer'!F6</f>
        <v>5</v>
      </c>
      <c r="G6" s="281">
        <f>+'Year End Customer'!G6</f>
        <v>9967</v>
      </c>
      <c r="H6" s="281">
        <f>+'Year End Customer'!H6</f>
        <v>38</v>
      </c>
      <c r="I6" s="281">
        <f>+'Year End Customer'!I6</f>
        <v>291</v>
      </c>
      <c r="J6" s="315">
        <f t="shared" ref="J6:J17" si="0">SUM(B6:I6)</f>
        <v>57537</v>
      </c>
    </row>
    <row r="7" spans="1:10" x14ac:dyDescent="0.2">
      <c r="A7" s="306">
        <v>2003</v>
      </c>
      <c r="B7" s="281">
        <f>+'Year End Customer'!B7</f>
        <v>43679</v>
      </c>
      <c r="C7" s="281">
        <f>+'Year End Customer'!C7</f>
        <v>3677</v>
      </c>
      <c r="D7" s="281">
        <f>+'Year End Customer'!D7</f>
        <v>545</v>
      </c>
      <c r="E7" s="281">
        <f>+'Year End Customer'!E7</f>
        <v>3</v>
      </c>
      <c r="F7" s="281">
        <f>+'Year End Customer'!F7</f>
        <v>5</v>
      </c>
      <c r="G7" s="281">
        <f>+'Year End Customer'!G7</f>
        <v>10151</v>
      </c>
      <c r="H7" s="281">
        <f>+'Year End Customer'!H7</f>
        <v>31</v>
      </c>
      <c r="I7" s="281">
        <f>+'Year End Customer'!I7</f>
        <v>293</v>
      </c>
      <c r="J7" s="315">
        <f t="shared" si="0"/>
        <v>58384</v>
      </c>
    </row>
    <row r="8" spans="1:10" x14ac:dyDescent="0.2">
      <c r="A8" s="307">
        <v>2004</v>
      </c>
      <c r="B8" s="281">
        <f>+'Year End Customer'!B8</f>
        <v>44280</v>
      </c>
      <c r="C8" s="281">
        <f>+'Year End Customer'!C8</f>
        <v>3576</v>
      </c>
      <c r="D8" s="281">
        <f>+'Year End Customer'!D8</f>
        <v>515</v>
      </c>
      <c r="E8" s="281">
        <f>+'Year End Customer'!E8</f>
        <v>2</v>
      </c>
      <c r="F8" s="281">
        <f>+'Year End Customer'!F8</f>
        <v>7</v>
      </c>
      <c r="G8" s="281">
        <f>+'Year End Customer'!G8</f>
        <v>10373</v>
      </c>
      <c r="H8" s="281">
        <f>+'Year End Customer'!H8</f>
        <v>29</v>
      </c>
      <c r="I8" s="281">
        <f>+'Year End Customer'!I8</f>
        <v>295</v>
      </c>
      <c r="J8" s="315">
        <f t="shared" si="0"/>
        <v>59077</v>
      </c>
    </row>
    <row r="9" spans="1:10" x14ac:dyDescent="0.2">
      <c r="A9" s="306">
        <v>2005</v>
      </c>
      <c r="B9" s="281">
        <f>+'Year End Customer'!B9</f>
        <v>44917</v>
      </c>
      <c r="C9" s="281">
        <f>+'Year End Customer'!C9</f>
        <v>3748</v>
      </c>
      <c r="D9" s="281">
        <f>+'Year End Customer'!D9</f>
        <v>528</v>
      </c>
      <c r="E9" s="281">
        <f>+'Year End Customer'!E9</f>
        <v>2</v>
      </c>
      <c r="F9" s="281">
        <f>+'Year End Customer'!F9</f>
        <v>8</v>
      </c>
      <c r="G9" s="281">
        <f>+'Year End Customer'!G9</f>
        <v>10624</v>
      </c>
      <c r="H9" s="281">
        <f>+'Year End Customer'!H9</f>
        <v>30</v>
      </c>
      <c r="I9" s="281">
        <f>+'Year End Customer'!I9</f>
        <v>295</v>
      </c>
      <c r="J9" s="315">
        <f t="shared" si="0"/>
        <v>60152</v>
      </c>
    </row>
    <row r="10" spans="1:10" x14ac:dyDescent="0.2">
      <c r="A10" s="307">
        <v>2006</v>
      </c>
      <c r="B10" s="281">
        <f>+'Year End Customer'!B10</f>
        <v>45961</v>
      </c>
      <c r="C10" s="281">
        <f>+'Year End Customer'!C10</f>
        <v>3733</v>
      </c>
      <c r="D10" s="281">
        <f>+'Year End Customer'!D10</f>
        <v>522</v>
      </c>
      <c r="E10" s="281">
        <f>+'Year End Customer'!E10</f>
        <v>2</v>
      </c>
      <c r="F10" s="281">
        <f>+'Year End Customer'!F10</f>
        <v>9</v>
      </c>
      <c r="G10" s="281">
        <f>+'Year End Customer'!G10</f>
        <v>11038</v>
      </c>
      <c r="H10" s="281">
        <f>+'Year End Customer'!H10</f>
        <v>27</v>
      </c>
      <c r="I10" s="281">
        <f>+'Year End Customer'!I10</f>
        <v>301</v>
      </c>
      <c r="J10" s="315">
        <f t="shared" si="0"/>
        <v>61593</v>
      </c>
    </row>
    <row r="11" spans="1:10" x14ac:dyDescent="0.2">
      <c r="A11" s="306">
        <v>2007</v>
      </c>
      <c r="B11" s="281">
        <f>+'Year End Customer'!B11</f>
        <v>46679</v>
      </c>
      <c r="C11" s="281">
        <f>+'Year End Customer'!C11</f>
        <v>3765</v>
      </c>
      <c r="D11" s="281">
        <f>+'Year End Customer'!D11</f>
        <v>524</v>
      </c>
      <c r="E11" s="281">
        <f>+'Year End Customer'!E11</f>
        <v>2</v>
      </c>
      <c r="F11" s="281">
        <f>+'Year End Customer'!F11</f>
        <v>9</v>
      </c>
      <c r="G11" s="281">
        <f>+'Year End Customer'!G11</f>
        <v>11523</v>
      </c>
      <c r="H11" s="281">
        <f>+'Year End Customer'!H11</f>
        <v>26</v>
      </c>
      <c r="I11" s="281">
        <f>+'Year End Customer'!I11</f>
        <v>301</v>
      </c>
      <c r="J11" s="315">
        <f t="shared" si="0"/>
        <v>62829</v>
      </c>
    </row>
    <row r="12" spans="1:10" x14ac:dyDescent="0.2">
      <c r="A12" s="307">
        <v>2008</v>
      </c>
      <c r="B12" s="281">
        <f>+'Year End Customer'!B12</f>
        <v>47436</v>
      </c>
      <c r="C12" s="281">
        <f>+'Year End Customer'!C12</f>
        <v>3822</v>
      </c>
      <c r="D12" s="281">
        <f>+'Year End Customer'!D12</f>
        <v>543</v>
      </c>
      <c r="E12" s="281">
        <f>+'Year End Customer'!E12</f>
        <v>3</v>
      </c>
      <c r="F12" s="281">
        <f>+'Year End Customer'!F12</f>
        <v>9</v>
      </c>
      <c r="G12" s="281">
        <f>+'Year End Customer'!G12</f>
        <v>11720</v>
      </c>
      <c r="H12" s="281">
        <f>+'Year End Customer'!H12</f>
        <v>26</v>
      </c>
      <c r="I12" s="281">
        <f>+'Year End Customer'!I12</f>
        <v>301</v>
      </c>
      <c r="J12" s="315">
        <f t="shared" si="0"/>
        <v>63860</v>
      </c>
    </row>
    <row r="13" spans="1:10" x14ac:dyDescent="0.2">
      <c r="A13" s="306">
        <v>2009</v>
      </c>
      <c r="B13" s="281">
        <f>+'Year End Customer'!B13</f>
        <v>47769</v>
      </c>
      <c r="C13" s="281">
        <f>+'Year End Customer'!C13</f>
        <v>3897</v>
      </c>
      <c r="D13" s="281">
        <f>+'Year End Customer'!D13</f>
        <v>507</v>
      </c>
      <c r="E13" s="281">
        <f>+'Year End Customer'!E13</f>
        <v>1</v>
      </c>
      <c r="F13" s="281">
        <f>+'Year End Customer'!F13</f>
        <v>10</v>
      </c>
      <c r="G13" s="281">
        <f>+'Year End Customer'!G13</f>
        <v>11882</v>
      </c>
      <c r="H13" s="281">
        <f>+'Year End Customer'!H13</f>
        <v>26</v>
      </c>
      <c r="I13" s="281">
        <f>+'Year End Customer'!I13</f>
        <v>304</v>
      </c>
      <c r="J13" s="315">
        <f t="shared" si="0"/>
        <v>64396</v>
      </c>
    </row>
    <row r="14" spans="1:10" x14ac:dyDescent="0.2">
      <c r="A14" s="307">
        <v>2010</v>
      </c>
      <c r="B14" s="281">
        <f>+'Year End Customer'!B14</f>
        <v>48460</v>
      </c>
      <c r="C14" s="281">
        <f>+'Year End Customer'!C14</f>
        <v>3961</v>
      </c>
      <c r="D14" s="281">
        <f>+'Year End Customer'!D14</f>
        <v>518</v>
      </c>
      <c r="E14" s="281">
        <f>+'Year End Customer'!E14</f>
        <v>1</v>
      </c>
      <c r="F14" s="281">
        <f>+'Year End Customer'!F14</f>
        <v>10</v>
      </c>
      <c r="G14" s="281">
        <f>+'Year End Customer'!G14</f>
        <v>12109</v>
      </c>
      <c r="H14" s="281">
        <f>+'Year End Customer'!H14</f>
        <v>24</v>
      </c>
      <c r="I14" s="281">
        <f>+'Year End Customer'!I14</f>
        <v>309</v>
      </c>
      <c r="J14" s="315">
        <f t="shared" si="0"/>
        <v>65392</v>
      </c>
    </row>
    <row r="15" spans="1:10" x14ac:dyDescent="0.2">
      <c r="A15" s="307">
        <v>2011</v>
      </c>
      <c r="B15" s="281">
        <f>+'Year End Customer'!B15</f>
        <v>48841</v>
      </c>
      <c r="C15" s="281">
        <f>+'Year End Customer'!C15</f>
        <v>3816</v>
      </c>
      <c r="D15" s="281">
        <f>+'Year End Customer'!D15</f>
        <v>523</v>
      </c>
      <c r="E15" s="281">
        <f>+'Year End Customer'!E15</f>
        <v>1</v>
      </c>
      <c r="F15" s="281">
        <f>+'Year End Customer'!F15</f>
        <v>10</v>
      </c>
      <c r="G15" s="281">
        <f>+'Year End Customer'!G15</f>
        <v>12146</v>
      </c>
      <c r="H15" s="281">
        <f>+'Year End Customer'!H15</f>
        <v>24</v>
      </c>
      <c r="I15" s="281">
        <f>+'Year End Customer'!I15</f>
        <v>296</v>
      </c>
      <c r="J15" s="315">
        <f t="shared" si="0"/>
        <v>65657</v>
      </c>
    </row>
    <row r="16" spans="1:10" x14ac:dyDescent="0.2">
      <c r="A16" s="307">
        <v>2012</v>
      </c>
      <c r="B16" s="281">
        <f>+'Year End Customer'!B16</f>
        <v>49201</v>
      </c>
      <c r="C16" s="281">
        <f>+'Year End Customer'!C16</f>
        <v>3885</v>
      </c>
      <c r="D16" s="281">
        <f>+'Year End Customer'!D16</f>
        <v>500</v>
      </c>
      <c r="E16" s="281">
        <f>+'Year End Customer'!E16</f>
        <v>1</v>
      </c>
      <c r="F16" s="281">
        <f>+'Year End Customer'!F16</f>
        <v>11</v>
      </c>
      <c r="G16" s="281">
        <f>+'Year End Customer'!G16</f>
        <v>12280</v>
      </c>
      <c r="H16" s="281">
        <f>+'Year End Customer'!H16</f>
        <v>24</v>
      </c>
      <c r="I16" s="281">
        <f>+'Year End Customer'!I16</f>
        <v>295</v>
      </c>
      <c r="J16" s="315">
        <f t="shared" si="0"/>
        <v>66197</v>
      </c>
    </row>
    <row r="17" spans="1:10" x14ac:dyDescent="0.2">
      <c r="A17" s="465">
        <v>2013</v>
      </c>
      <c r="B17" s="321">
        <f>+'Year End Customer'!B17</f>
        <v>49831</v>
      </c>
      <c r="C17" s="321">
        <f>+'Year End Customer'!C17</f>
        <v>3924</v>
      </c>
      <c r="D17" s="321">
        <f>+'Year End Customer'!D17</f>
        <v>500</v>
      </c>
      <c r="E17" s="321">
        <f>+'Year End Customer'!E17</f>
        <v>1</v>
      </c>
      <c r="F17" s="321">
        <f>+'Year End Customer'!F17</f>
        <v>11</v>
      </c>
      <c r="G17" s="321">
        <f>+'Year End Customer'!G17</f>
        <v>12385</v>
      </c>
      <c r="H17" s="321">
        <f>+'Year End Customer'!H17</f>
        <v>24</v>
      </c>
      <c r="I17" s="321">
        <f>+'Year End Customer'!I17</f>
        <v>295</v>
      </c>
      <c r="J17" s="322">
        <f t="shared" si="0"/>
        <v>66971</v>
      </c>
    </row>
    <row r="18" spans="1:10" ht="13.5" thickBot="1" x14ac:dyDescent="0.25">
      <c r="A18" s="308">
        <v>2014</v>
      </c>
      <c r="B18" s="294">
        <f>+'Year End Customer'!B18</f>
        <v>50574</v>
      </c>
      <c r="C18" s="294">
        <f>+'Year End Customer'!C18</f>
        <v>3981</v>
      </c>
      <c r="D18" s="294">
        <f>+'Year End Customer'!D18</f>
        <v>505</v>
      </c>
      <c r="E18" s="294">
        <f>+'Year End Customer'!E18</f>
        <v>1</v>
      </c>
      <c r="F18" s="294">
        <f>+'Year End Customer'!F18</f>
        <v>11</v>
      </c>
      <c r="G18" s="294">
        <f>+'Year End Customer'!G18</f>
        <v>12544</v>
      </c>
      <c r="H18" s="294">
        <f>+'Year End Customer'!H18</f>
        <v>24</v>
      </c>
      <c r="I18" s="294">
        <f>+'Year End Customer'!I18</f>
        <v>296</v>
      </c>
      <c r="J18" s="316">
        <f t="shared" ref="J18" si="1">SUM(B18:I18)</f>
        <v>67936</v>
      </c>
    </row>
    <row r="19" spans="1:10" ht="13.5" thickBot="1" x14ac:dyDescent="0.25"/>
    <row r="20" spans="1:10" ht="24.75" thickBot="1" x14ac:dyDescent="0.25">
      <c r="A20" s="286" t="s">
        <v>117</v>
      </c>
      <c r="B20" s="279" t="s">
        <v>71</v>
      </c>
      <c r="C20" s="279" t="s">
        <v>242</v>
      </c>
      <c r="D20" s="279" t="s">
        <v>241</v>
      </c>
      <c r="E20" s="279" t="s">
        <v>74</v>
      </c>
      <c r="F20" s="279" t="s">
        <v>243</v>
      </c>
      <c r="G20" s="279" t="s">
        <v>244</v>
      </c>
      <c r="H20" s="279" t="s">
        <v>245</v>
      </c>
      <c r="I20" s="279" t="s">
        <v>76</v>
      </c>
      <c r="J20" s="280" t="s">
        <v>9</v>
      </c>
    </row>
    <row r="21" spans="1:10" x14ac:dyDescent="0.2">
      <c r="A21" s="309" t="s">
        <v>281</v>
      </c>
      <c r="B21" s="310"/>
      <c r="C21" s="310"/>
      <c r="D21" s="310"/>
      <c r="E21" s="310"/>
      <c r="F21" s="310"/>
      <c r="G21" s="310"/>
      <c r="H21" s="310"/>
      <c r="I21" s="310"/>
      <c r="J21" s="311"/>
    </row>
    <row r="22" spans="1:10" x14ac:dyDescent="0.2">
      <c r="A22" s="312" t="s">
        <v>119</v>
      </c>
      <c r="B22" s="284">
        <f>+B3</f>
        <v>47243</v>
      </c>
      <c r="C22" s="284">
        <f t="shared" ref="C22:I22" si="2">+C3</f>
        <v>3845</v>
      </c>
      <c r="D22" s="284">
        <f t="shared" si="2"/>
        <v>522</v>
      </c>
      <c r="E22" s="284">
        <f t="shared" si="2"/>
        <v>2</v>
      </c>
      <c r="F22" s="284">
        <f t="shared" si="2"/>
        <v>9</v>
      </c>
      <c r="G22" s="284">
        <f t="shared" si="2"/>
        <v>11650</v>
      </c>
      <c r="H22" s="284">
        <f t="shared" si="2"/>
        <v>77</v>
      </c>
      <c r="I22" s="284">
        <f t="shared" si="2"/>
        <v>305</v>
      </c>
      <c r="J22" s="291">
        <f>SUM(B22:I22)</f>
        <v>63653</v>
      </c>
    </row>
    <row r="23" spans="1:10" x14ac:dyDescent="0.2">
      <c r="A23" s="312" t="s">
        <v>233</v>
      </c>
      <c r="B23" s="284">
        <f t="shared" ref="B23:I23" si="3">+B4</f>
        <v>49919.725406979574</v>
      </c>
      <c r="C23" s="284">
        <f t="shared" si="3"/>
        <v>3961</v>
      </c>
      <c r="D23" s="284">
        <f t="shared" si="3"/>
        <v>518</v>
      </c>
      <c r="E23" s="284">
        <f t="shared" si="3"/>
        <v>1</v>
      </c>
      <c r="F23" s="284">
        <f t="shared" si="3"/>
        <v>10</v>
      </c>
      <c r="G23" s="284">
        <f t="shared" si="3"/>
        <v>12761.899782618997</v>
      </c>
      <c r="H23" s="284">
        <f t="shared" si="3"/>
        <v>22.307657589073369</v>
      </c>
      <c r="I23" s="284">
        <f t="shared" si="3"/>
        <v>313.0793844964528</v>
      </c>
      <c r="J23" s="291">
        <f>SUM(B23:I23)</f>
        <v>67507.012231684101</v>
      </c>
    </row>
    <row r="24" spans="1:10" x14ac:dyDescent="0.2">
      <c r="A24" s="306"/>
      <c r="B24" s="283"/>
      <c r="C24" s="313"/>
      <c r="D24" s="313"/>
      <c r="E24" s="313"/>
      <c r="F24" s="313"/>
      <c r="G24" s="313"/>
      <c r="H24" s="313"/>
      <c r="I24" s="313"/>
      <c r="J24" s="314"/>
    </row>
    <row r="25" spans="1:10" x14ac:dyDescent="0.2">
      <c r="A25" s="306">
        <v>2003</v>
      </c>
      <c r="B25" s="281">
        <f t="shared" ref="B25:B36" si="4">AVERAGE(B6:B7)</f>
        <v>43319.5</v>
      </c>
      <c r="C25" s="281">
        <f t="shared" ref="C25:I25" si="5">AVERAGE(C6:C7)</f>
        <v>3689</v>
      </c>
      <c r="D25" s="281">
        <f t="shared" si="5"/>
        <v>559</v>
      </c>
      <c r="E25" s="281">
        <f t="shared" si="5"/>
        <v>2.5</v>
      </c>
      <c r="F25" s="281">
        <f t="shared" si="5"/>
        <v>5</v>
      </c>
      <c r="G25" s="281">
        <f t="shared" si="5"/>
        <v>10059</v>
      </c>
      <c r="H25" s="281">
        <f t="shared" si="5"/>
        <v>34.5</v>
      </c>
      <c r="I25" s="281">
        <f t="shared" si="5"/>
        <v>292</v>
      </c>
      <c r="J25" s="315">
        <f t="shared" ref="J25:J35" si="6">SUM(B25:I25)</f>
        <v>57960.5</v>
      </c>
    </row>
    <row r="26" spans="1:10" x14ac:dyDescent="0.2">
      <c r="A26" s="307">
        <v>2004</v>
      </c>
      <c r="B26" s="281">
        <f t="shared" si="4"/>
        <v>43979.5</v>
      </c>
      <c r="C26" s="281">
        <f t="shared" ref="C26:I26" si="7">AVERAGE(C7:C8)</f>
        <v>3626.5</v>
      </c>
      <c r="D26" s="281">
        <f t="shared" si="7"/>
        <v>530</v>
      </c>
      <c r="E26" s="281">
        <f t="shared" si="7"/>
        <v>2.5</v>
      </c>
      <c r="F26" s="281">
        <f t="shared" si="7"/>
        <v>6</v>
      </c>
      <c r="G26" s="281">
        <f t="shared" si="7"/>
        <v>10262</v>
      </c>
      <c r="H26" s="281">
        <f t="shared" si="7"/>
        <v>30</v>
      </c>
      <c r="I26" s="281">
        <f t="shared" si="7"/>
        <v>294</v>
      </c>
      <c r="J26" s="315">
        <f t="shared" si="6"/>
        <v>58730.5</v>
      </c>
    </row>
    <row r="27" spans="1:10" x14ac:dyDescent="0.2">
      <c r="A27" s="306">
        <v>2005</v>
      </c>
      <c r="B27" s="281">
        <f t="shared" si="4"/>
        <v>44598.5</v>
      </c>
      <c r="C27" s="281">
        <f t="shared" ref="C27:I27" si="8">AVERAGE(C8:C9)</f>
        <v>3662</v>
      </c>
      <c r="D27" s="281">
        <f t="shared" si="8"/>
        <v>521.5</v>
      </c>
      <c r="E27" s="281">
        <f t="shared" si="8"/>
        <v>2</v>
      </c>
      <c r="F27" s="281">
        <f t="shared" si="8"/>
        <v>7.5</v>
      </c>
      <c r="G27" s="281">
        <f t="shared" si="8"/>
        <v>10498.5</v>
      </c>
      <c r="H27" s="281">
        <f t="shared" si="8"/>
        <v>29.5</v>
      </c>
      <c r="I27" s="281">
        <f t="shared" si="8"/>
        <v>295</v>
      </c>
      <c r="J27" s="315">
        <f t="shared" si="6"/>
        <v>59614.5</v>
      </c>
    </row>
    <row r="28" spans="1:10" x14ac:dyDescent="0.2">
      <c r="A28" s="307">
        <v>2006</v>
      </c>
      <c r="B28" s="281">
        <f t="shared" si="4"/>
        <v>45439</v>
      </c>
      <c r="C28" s="281">
        <f t="shared" ref="C28:I28" si="9">AVERAGE(C9:C10)</f>
        <v>3740.5</v>
      </c>
      <c r="D28" s="281">
        <f t="shared" si="9"/>
        <v>525</v>
      </c>
      <c r="E28" s="281">
        <f t="shared" si="9"/>
        <v>2</v>
      </c>
      <c r="F28" s="281">
        <f t="shared" si="9"/>
        <v>8.5</v>
      </c>
      <c r="G28" s="281">
        <f t="shared" si="9"/>
        <v>10831</v>
      </c>
      <c r="H28" s="281">
        <f t="shared" si="9"/>
        <v>28.5</v>
      </c>
      <c r="I28" s="281">
        <f t="shared" si="9"/>
        <v>298</v>
      </c>
      <c r="J28" s="315">
        <f t="shared" si="6"/>
        <v>60872.5</v>
      </c>
    </row>
    <row r="29" spans="1:10" x14ac:dyDescent="0.2">
      <c r="A29" s="306">
        <v>2007</v>
      </c>
      <c r="B29" s="281">
        <f t="shared" si="4"/>
        <v>46320</v>
      </c>
      <c r="C29" s="281">
        <f t="shared" ref="C29:I29" si="10">AVERAGE(C10:C11)</f>
        <v>3749</v>
      </c>
      <c r="D29" s="281">
        <f t="shared" si="10"/>
        <v>523</v>
      </c>
      <c r="E29" s="281">
        <f t="shared" si="10"/>
        <v>2</v>
      </c>
      <c r="F29" s="281">
        <f t="shared" si="10"/>
        <v>9</v>
      </c>
      <c r="G29" s="281">
        <f t="shared" si="10"/>
        <v>11280.5</v>
      </c>
      <c r="H29" s="281">
        <f t="shared" si="10"/>
        <v>26.5</v>
      </c>
      <c r="I29" s="281">
        <f t="shared" si="10"/>
        <v>301</v>
      </c>
      <c r="J29" s="315">
        <f t="shared" si="6"/>
        <v>62211</v>
      </c>
    </row>
    <row r="30" spans="1:10" x14ac:dyDescent="0.2">
      <c r="A30" s="307">
        <v>2008</v>
      </c>
      <c r="B30" s="281">
        <f t="shared" si="4"/>
        <v>47057.5</v>
      </c>
      <c r="C30" s="281">
        <f t="shared" ref="C30:I30" si="11">AVERAGE(C11:C12)</f>
        <v>3793.5</v>
      </c>
      <c r="D30" s="281">
        <f t="shared" si="11"/>
        <v>533.5</v>
      </c>
      <c r="E30" s="281">
        <f t="shared" si="11"/>
        <v>2.5</v>
      </c>
      <c r="F30" s="281">
        <f t="shared" si="11"/>
        <v>9</v>
      </c>
      <c r="G30" s="281">
        <f t="shared" si="11"/>
        <v>11621.5</v>
      </c>
      <c r="H30" s="281">
        <f t="shared" si="11"/>
        <v>26</v>
      </c>
      <c r="I30" s="281">
        <f t="shared" si="11"/>
        <v>301</v>
      </c>
      <c r="J30" s="315">
        <f t="shared" si="6"/>
        <v>63344.5</v>
      </c>
    </row>
    <row r="31" spans="1:10" x14ac:dyDescent="0.2">
      <c r="A31" s="306">
        <v>2009</v>
      </c>
      <c r="B31" s="281">
        <f t="shared" si="4"/>
        <v>47602.5</v>
      </c>
      <c r="C31" s="281">
        <f t="shared" ref="C31:I31" si="12">AVERAGE(C12:C13)</f>
        <v>3859.5</v>
      </c>
      <c r="D31" s="281">
        <f t="shared" si="12"/>
        <v>525</v>
      </c>
      <c r="E31" s="281">
        <f t="shared" si="12"/>
        <v>2</v>
      </c>
      <c r="F31" s="281">
        <f t="shared" si="12"/>
        <v>9.5</v>
      </c>
      <c r="G31" s="281">
        <f t="shared" si="12"/>
        <v>11801</v>
      </c>
      <c r="H31" s="281">
        <f t="shared" si="12"/>
        <v>26</v>
      </c>
      <c r="I31" s="281">
        <f t="shared" si="12"/>
        <v>302.5</v>
      </c>
      <c r="J31" s="315">
        <f t="shared" si="6"/>
        <v>64128</v>
      </c>
    </row>
    <row r="32" spans="1:10" x14ac:dyDescent="0.2">
      <c r="A32" s="307">
        <v>2010</v>
      </c>
      <c r="B32" s="281">
        <f t="shared" si="4"/>
        <v>48114.5</v>
      </c>
      <c r="C32" s="281">
        <f t="shared" ref="C32:I32" si="13">AVERAGE(C13:C14)</f>
        <v>3929</v>
      </c>
      <c r="D32" s="281">
        <f t="shared" si="13"/>
        <v>512.5</v>
      </c>
      <c r="E32" s="281">
        <f t="shared" si="13"/>
        <v>1</v>
      </c>
      <c r="F32" s="281">
        <f t="shared" si="13"/>
        <v>10</v>
      </c>
      <c r="G32" s="281">
        <f t="shared" si="13"/>
        <v>11995.5</v>
      </c>
      <c r="H32" s="281">
        <f t="shared" si="13"/>
        <v>25</v>
      </c>
      <c r="I32" s="281">
        <f t="shared" si="13"/>
        <v>306.5</v>
      </c>
      <c r="J32" s="315">
        <f t="shared" si="6"/>
        <v>64894</v>
      </c>
    </row>
    <row r="33" spans="1:10" x14ac:dyDescent="0.2">
      <c r="A33" s="307">
        <v>2011</v>
      </c>
      <c r="B33" s="281">
        <f t="shared" si="4"/>
        <v>48650.5</v>
      </c>
      <c r="C33" s="281">
        <f t="shared" ref="C33:I33" si="14">AVERAGE(C14:C15)</f>
        <v>3888.5</v>
      </c>
      <c r="D33" s="281">
        <f t="shared" si="14"/>
        <v>520.5</v>
      </c>
      <c r="E33" s="281">
        <f t="shared" si="14"/>
        <v>1</v>
      </c>
      <c r="F33" s="281">
        <f t="shared" si="14"/>
        <v>10</v>
      </c>
      <c r="G33" s="281">
        <f t="shared" si="14"/>
        <v>12127.5</v>
      </c>
      <c r="H33" s="281">
        <f t="shared" si="14"/>
        <v>24</v>
      </c>
      <c r="I33" s="281">
        <f t="shared" si="14"/>
        <v>302.5</v>
      </c>
      <c r="J33" s="315">
        <f t="shared" si="6"/>
        <v>65524.5</v>
      </c>
    </row>
    <row r="34" spans="1:10" x14ac:dyDescent="0.2">
      <c r="A34" s="307">
        <v>2012</v>
      </c>
      <c r="B34" s="281">
        <f t="shared" si="4"/>
        <v>49021</v>
      </c>
      <c r="C34" s="281">
        <f t="shared" ref="C34:I34" si="15">AVERAGE(C15:C16)</f>
        <v>3850.5</v>
      </c>
      <c r="D34" s="281">
        <f t="shared" si="15"/>
        <v>511.5</v>
      </c>
      <c r="E34" s="281">
        <f t="shared" si="15"/>
        <v>1</v>
      </c>
      <c r="F34" s="281">
        <f t="shared" si="15"/>
        <v>10.5</v>
      </c>
      <c r="G34" s="281">
        <f t="shared" si="15"/>
        <v>12213</v>
      </c>
      <c r="H34" s="281">
        <f t="shared" si="15"/>
        <v>24</v>
      </c>
      <c r="I34" s="281">
        <f t="shared" si="15"/>
        <v>295.5</v>
      </c>
      <c r="J34" s="315">
        <f t="shared" si="6"/>
        <v>65927</v>
      </c>
    </row>
    <row r="35" spans="1:10" x14ac:dyDescent="0.2">
      <c r="A35" s="465">
        <v>2013</v>
      </c>
      <c r="B35" s="321">
        <f t="shared" si="4"/>
        <v>49516</v>
      </c>
      <c r="C35" s="321">
        <f t="shared" ref="C35:I36" si="16">AVERAGE(C16:C17)</f>
        <v>3904.5</v>
      </c>
      <c r="D35" s="321">
        <f t="shared" si="16"/>
        <v>500</v>
      </c>
      <c r="E35" s="321">
        <f t="shared" si="16"/>
        <v>1</v>
      </c>
      <c r="F35" s="321">
        <f t="shared" si="16"/>
        <v>11</v>
      </c>
      <c r="G35" s="321">
        <f t="shared" si="16"/>
        <v>12332.5</v>
      </c>
      <c r="H35" s="321">
        <f t="shared" si="16"/>
        <v>24</v>
      </c>
      <c r="I35" s="321">
        <f t="shared" si="16"/>
        <v>295</v>
      </c>
      <c r="J35" s="322">
        <f t="shared" si="6"/>
        <v>66584</v>
      </c>
    </row>
    <row r="36" spans="1:10" ht="13.5" thickBot="1" x14ac:dyDescent="0.25">
      <c r="A36" s="308">
        <v>2014</v>
      </c>
      <c r="B36" s="294">
        <f t="shared" si="4"/>
        <v>50202.5</v>
      </c>
      <c r="C36" s="294">
        <f>AVERAGE(C17:C18)</f>
        <v>3952.5</v>
      </c>
      <c r="D36" s="294">
        <f t="shared" si="16"/>
        <v>502.5</v>
      </c>
      <c r="E36" s="294">
        <f t="shared" si="16"/>
        <v>1</v>
      </c>
      <c r="F36" s="294">
        <f t="shared" si="16"/>
        <v>11</v>
      </c>
      <c r="G36" s="294">
        <f t="shared" si="16"/>
        <v>12464.5</v>
      </c>
      <c r="H36" s="294">
        <f t="shared" si="16"/>
        <v>24</v>
      </c>
      <c r="I36" s="294">
        <f t="shared" si="16"/>
        <v>295.5</v>
      </c>
      <c r="J36" s="316">
        <f t="shared" ref="J36" si="17">SUM(B36:I36)</f>
        <v>67453.5</v>
      </c>
    </row>
    <row r="37" spans="1:10" ht="13.5" thickBot="1" x14ac:dyDescent="0.25"/>
    <row r="38" spans="1:10" ht="24.75" thickBot="1" x14ac:dyDescent="0.25">
      <c r="A38" s="286" t="s">
        <v>117</v>
      </c>
      <c r="B38" s="279" t="s">
        <v>71</v>
      </c>
      <c r="C38" s="279" t="s">
        <v>242</v>
      </c>
      <c r="D38" s="279" t="s">
        <v>241</v>
      </c>
      <c r="E38" s="279" t="s">
        <v>74</v>
      </c>
      <c r="F38" s="279" t="s">
        <v>243</v>
      </c>
      <c r="G38" s="279" t="s">
        <v>244</v>
      </c>
      <c r="H38" s="279" t="s">
        <v>245</v>
      </c>
      <c r="I38" s="279" t="s">
        <v>76</v>
      </c>
      <c r="J38" s="280" t="s">
        <v>9</v>
      </c>
    </row>
    <row r="39" spans="1:10" x14ac:dyDescent="0.2">
      <c r="A39" s="317" t="s">
        <v>250</v>
      </c>
      <c r="B39" s="285">
        <f>+'Rate Class Customer Model'!B40</f>
        <v>1.0134958898228545</v>
      </c>
      <c r="C39" s="285">
        <f>+'Rate Class Customer Model'!C40</f>
        <v>1.0062917899024224</v>
      </c>
      <c r="D39" s="285">
        <f>+'Rate Class Customer Model'!D40</f>
        <v>1</v>
      </c>
      <c r="E39" s="285">
        <f>+'Rate Class Customer Model'!E40</f>
        <v>1</v>
      </c>
      <c r="F39" s="285">
        <f>+'Rate Class Customer Model'!F40</f>
        <v>1</v>
      </c>
      <c r="G39" s="285">
        <f>+'Rate Class Customer Model'!G40</f>
        <v>1.0196836587372433</v>
      </c>
      <c r="H39" s="285">
        <f>+'Rate Class Customer Model'!H40</f>
        <v>0.96754687221561908</v>
      </c>
      <c r="I39" s="285">
        <f>+'Rate Class Customer Model'!I40</f>
        <v>1.0010837718183276</v>
      </c>
      <c r="J39" s="318">
        <f>+'Rate Class Customer Model'!J40</f>
        <v>1.013884297281004</v>
      </c>
    </row>
    <row r="40" spans="1:10" ht="13.5" thickBot="1" x14ac:dyDescent="0.25">
      <c r="A40" s="319" t="s">
        <v>248</v>
      </c>
      <c r="B40" s="304">
        <f>+'Rate Class Customer Model'!B42</f>
        <v>1.0134958898228545</v>
      </c>
      <c r="C40" s="304">
        <f>+'Rate Class Customer Model'!C42</f>
        <v>1.0062917899024224</v>
      </c>
      <c r="D40" s="304">
        <f>+'Rate Class Customer Model'!D42</f>
        <v>0.99036005296293395</v>
      </c>
      <c r="E40" s="304">
        <f>+'Rate Class Customer Model'!E42</f>
        <v>0.920075858503551</v>
      </c>
      <c r="F40" s="304">
        <f>+'Rate Class Customer Model'!F42</f>
        <v>1.0743092982796343</v>
      </c>
      <c r="G40" s="304">
        <f>+'Rate Class Customer Model'!G42</f>
        <v>1.0196836587372433</v>
      </c>
      <c r="H40" s="304">
        <f>+'Rate Class Customer Model'!H42</f>
        <v>0.96754687221561908</v>
      </c>
      <c r="I40" s="304">
        <f>+'Rate Class Customer Model'!I42</f>
        <v>1.0010837718183276</v>
      </c>
      <c r="J40" s="320">
        <f>+'Rate Class Customer Model'!J42</f>
        <v>1.013884297281004</v>
      </c>
    </row>
    <row r="41" spans="1:10" ht="13.5" thickBot="1" x14ac:dyDescent="0.25"/>
    <row r="42" spans="1:10" ht="24.75" thickBot="1" x14ac:dyDescent="0.25">
      <c r="A42" s="286" t="s">
        <v>117</v>
      </c>
      <c r="B42" s="279" t="s">
        <v>71</v>
      </c>
      <c r="C42" s="279" t="s">
        <v>242</v>
      </c>
      <c r="D42" s="279" t="s">
        <v>241</v>
      </c>
      <c r="E42" s="279" t="s">
        <v>74</v>
      </c>
      <c r="F42" s="279" t="s">
        <v>243</v>
      </c>
      <c r="G42" s="279" t="s">
        <v>244</v>
      </c>
      <c r="H42" s="279" t="s">
        <v>245</v>
      </c>
      <c r="I42" s="279" t="s">
        <v>76</v>
      </c>
      <c r="J42" s="280" t="s">
        <v>9</v>
      </c>
    </row>
    <row r="43" spans="1:10" x14ac:dyDescent="0.2">
      <c r="A43" s="309" t="s">
        <v>251</v>
      </c>
      <c r="B43" s="310"/>
      <c r="C43" s="310"/>
      <c r="D43" s="310"/>
      <c r="E43" s="310"/>
      <c r="F43" s="310"/>
      <c r="G43" s="310"/>
      <c r="H43" s="310"/>
      <c r="I43" s="310"/>
      <c r="J43" s="311"/>
    </row>
    <row r="44" spans="1:10" x14ac:dyDescent="0.2">
      <c r="A44" s="312" t="s">
        <v>119</v>
      </c>
      <c r="B44" s="284">
        <f>+B22</f>
        <v>47243</v>
      </c>
      <c r="C44" s="284">
        <f t="shared" ref="C44:I44" si="18">+C22</f>
        <v>3845</v>
      </c>
      <c r="D44" s="284">
        <f t="shared" si="18"/>
        <v>522</v>
      </c>
      <c r="E44" s="284">
        <f t="shared" si="18"/>
        <v>2</v>
      </c>
      <c r="F44" s="284">
        <f t="shared" si="18"/>
        <v>9</v>
      </c>
      <c r="G44" s="284">
        <f t="shared" si="18"/>
        <v>11650</v>
      </c>
      <c r="H44" s="284">
        <f t="shared" si="18"/>
        <v>77</v>
      </c>
      <c r="I44" s="284">
        <f t="shared" si="18"/>
        <v>305</v>
      </c>
      <c r="J44" s="291">
        <f>SUM(B44:I44)</f>
        <v>63653</v>
      </c>
    </row>
    <row r="45" spans="1:10" x14ac:dyDescent="0.2">
      <c r="A45" s="312" t="s">
        <v>233</v>
      </c>
      <c r="B45" s="284">
        <f>+B23</f>
        <v>49919.725406979574</v>
      </c>
      <c r="C45" s="284">
        <f t="shared" ref="C45:I45" si="19">+C23</f>
        <v>3961</v>
      </c>
      <c r="D45" s="284">
        <f t="shared" si="19"/>
        <v>518</v>
      </c>
      <c r="E45" s="284">
        <f t="shared" si="19"/>
        <v>1</v>
      </c>
      <c r="F45" s="284">
        <f t="shared" si="19"/>
        <v>10</v>
      </c>
      <c r="G45" s="284">
        <f t="shared" si="19"/>
        <v>12761.899782618997</v>
      </c>
      <c r="H45" s="284">
        <f t="shared" si="19"/>
        <v>22.307657589073369</v>
      </c>
      <c r="I45" s="284">
        <f t="shared" si="19"/>
        <v>313.0793844964528</v>
      </c>
      <c r="J45" s="291">
        <f>SUM(B45:I45)</f>
        <v>67507.012231684101</v>
      </c>
    </row>
    <row r="46" spans="1:10" x14ac:dyDescent="0.2">
      <c r="A46" s="306"/>
      <c r="B46" s="283"/>
      <c r="C46" s="313"/>
      <c r="D46" s="313"/>
      <c r="E46" s="313"/>
      <c r="F46" s="313"/>
      <c r="G46" s="313"/>
      <c r="H46" s="313"/>
      <c r="I46" s="313"/>
      <c r="J46" s="314"/>
    </row>
    <row r="47" spans="1:10" x14ac:dyDescent="0.2">
      <c r="A47" s="307" t="s">
        <v>318</v>
      </c>
      <c r="B47" s="281">
        <f>+B36</f>
        <v>50202.5</v>
      </c>
      <c r="C47" s="281">
        <f t="shared" ref="C47:I47" si="20">+C36</f>
        <v>3952.5</v>
      </c>
      <c r="D47" s="281">
        <f t="shared" si="20"/>
        <v>502.5</v>
      </c>
      <c r="E47" s="281">
        <f t="shared" si="20"/>
        <v>1</v>
      </c>
      <c r="F47" s="281">
        <f t="shared" si="20"/>
        <v>11</v>
      </c>
      <c r="G47" s="281">
        <f t="shared" si="20"/>
        <v>12464.5</v>
      </c>
      <c r="H47" s="281">
        <f t="shared" si="20"/>
        <v>24</v>
      </c>
      <c r="I47" s="281">
        <f t="shared" si="20"/>
        <v>295.5</v>
      </c>
      <c r="J47" s="315">
        <f>SUM(B47:I47)</f>
        <v>67453.5</v>
      </c>
    </row>
    <row r="48" spans="1:10" x14ac:dyDescent="0.2">
      <c r="A48" s="307" t="s">
        <v>319</v>
      </c>
      <c r="B48" s="281">
        <f>+B47*B$39</f>
        <v>50880.027408831855</v>
      </c>
      <c r="C48" s="281">
        <f t="shared" ref="C48:I52" si="21">+C47*C$39</f>
        <v>3977.3682995893246</v>
      </c>
      <c r="D48" s="281">
        <f t="shared" si="21"/>
        <v>502.5</v>
      </c>
      <c r="E48" s="281">
        <f t="shared" si="21"/>
        <v>1</v>
      </c>
      <c r="F48" s="281">
        <f t="shared" si="21"/>
        <v>11</v>
      </c>
      <c r="G48" s="281">
        <f t="shared" si="21"/>
        <v>12709.846964330369</v>
      </c>
      <c r="H48" s="281">
        <f t="shared" si="21"/>
        <v>23.221124933174856</v>
      </c>
      <c r="I48" s="281">
        <f t="shared" si="21"/>
        <v>295.82025457231583</v>
      </c>
      <c r="J48" s="315">
        <f t="shared" ref="J48:J52" si="22">SUM(B48:I48)</f>
        <v>68400.784052257033</v>
      </c>
    </row>
    <row r="49" spans="1:12" x14ac:dyDescent="0.2">
      <c r="A49" s="307" t="s">
        <v>320</v>
      </c>
      <c r="B49" s="281">
        <f t="shared" ref="B49:B52" si="23">+B48*B$39</f>
        <v>51566.698652925268</v>
      </c>
      <c r="C49" s="281">
        <f t="shared" si="21"/>
        <v>4002.3930652948957</v>
      </c>
      <c r="D49" s="281">
        <f t="shared" si="21"/>
        <v>502.5</v>
      </c>
      <c r="E49" s="281">
        <f t="shared" si="21"/>
        <v>1</v>
      </c>
      <c r="F49" s="281">
        <f t="shared" si="21"/>
        <v>11</v>
      </c>
      <c r="G49" s="281">
        <f t="shared" si="21"/>
        <v>12960.023254578835</v>
      </c>
      <c r="H49" s="281">
        <f t="shared" si="21"/>
        <v>22.46752679842146</v>
      </c>
      <c r="I49" s="281">
        <f t="shared" si="21"/>
        <v>296.14085622751179</v>
      </c>
      <c r="J49" s="315">
        <f t="shared" si="22"/>
        <v>69362.223355824943</v>
      </c>
    </row>
    <row r="50" spans="1:12" x14ac:dyDescent="0.2">
      <c r="A50" s="307" t="s">
        <v>321</v>
      </c>
      <c r="B50" s="281">
        <f t="shared" si="23"/>
        <v>52262.637136473488</v>
      </c>
      <c r="C50" s="281">
        <f t="shared" si="21"/>
        <v>4027.5752815686437</v>
      </c>
      <c r="D50" s="281">
        <f t="shared" si="21"/>
        <v>502.5</v>
      </c>
      <c r="E50" s="281">
        <f t="shared" si="21"/>
        <v>1</v>
      </c>
      <c r="F50" s="281">
        <f t="shared" si="21"/>
        <v>11</v>
      </c>
      <c r="G50" s="281">
        <f t="shared" si="21"/>
        <v>13215.123929548703</v>
      </c>
      <c r="H50" s="281">
        <f t="shared" si="21"/>
        <v>21.738385280233285</v>
      </c>
      <c r="I50" s="281">
        <f t="shared" si="21"/>
        <v>296.46180534174658</v>
      </c>
      <c r="J50" s="315">
        <f t="shared" si="22"/>
        <v>70338.036538212822</v>
      </c>
    </row>
    <row r="51" spans="1:12" x14ac:dyDescent="0.2">
      <c r="A51" s="307" t="s">
        <v>322</v>
      </c>
      <c r="B51" s="281">
        <f t="shared" si="23"/>
        <v>52967.967929119157</v>
      </c>
      <c r="C51" s="281">
        <f t="shared" si="21"/>
        <v>4052.9159390564632</v>
      </c>
      <c r="D51" s="281">
        <f t="shared" si="21"/>
        <v>502.5</v>
      </c>
      <c r="E51" s="281">
        <f t="shared" si="21"/>
        <v>1</v>
      </c>
      <c r="F51" s="281">
        <f t="shared" si="21"/>
        <v>11</v>
      </c>
      <c r="G51" s="281">
        <f t="shared" si="21"/>
        <v>13475.245919148318</v>
      </c>
      <c r="H51" s="281">
        <f t="shared" si="21"/>
        <v>21.032906684907768</v>
      </c>
      <c r="I51" s="281">
        <f t="shared" si="21"/>
        <v>296.78310229158649</v>
      </c>
      <c r="J51" s="315">
        <f t="shared" si="22"/>
        <v>71328.445796300439</v>
      </c>
    </row>
    <row r="52" spans="1:12" ht="13.5" thickBot="1" x14ac:dyDescent="0.25">
      <c r="A52" s="308" t="s">
        <v>323</v>
      </c>
      <c r="B52" s="294">
        <f t="shared" si="23"/>
        <v>53682.817788431043</v>
      </c>
      <c r="C52" s="294">
        <f t="shared" si="21"/>
        <v>4078.4160346371855</v>
      </c>
      <c r="D52" s="294">
        <f t="shared" si="21"/>
        <v>502.5</v>
      </c>
      <c r="E52" s="294">
        <f t="shared" si="21"/>
        <v>1</v>
      </c>
      <c r="F52" s="294">
        <f t="shared" si="21"/>
        <v>11</v>
      </c>
      <c r="G52" s="294">
        <f t="shared" si="21"/>
        <v>13740.488061221264</v>
      </c>
      <c r="H52" s="294">
        <f t="shared" si="21"/>
        <v>20.350323076585497</v>
      </c>
      <c r="I52" s="294">
        <f t="shared" si="21"/>
        <v>297.10474745400597</v>
      </c>
      <c r="J52" s="316">
        <f t="shared" si="22"/>
        <v>72333.676954820097</v>
      </c>
    </row>
    <row r="53" spans="1:12" ht="13.5" thickBot="1" x14ac:dyDescent="0.25"/>
    <row r="54" spans="1:12" ht="24.75" thickBot="1" x14ac:dyDescent="0.25">
      <c r="A54" s="286" t="s">
        <v>117</v>
      </c>
      <c r="B54" s="279" t="s">
        <v>71</v>
      </c>
      <c r="C54" s="279" t="s">
        <v>242</v>
      </c>
      <c r="D54" s="279" t="s">
        <v>241</v>
      </c>
      <c r="E54" s="279" t="s">
        <v>74</v>
      </c>
      <c r="F54" s="279" t="s">
        <v>243</v>
      </c>
      <c r="G54" s="279" t="s">
        <v>244</v>
      </c>
      <c r="H54" s="279" t="s">
        <v>245</v>
      </c>
      <c r="I54" s="279" t="s">
        <v>76</v>
      </c>
      <c r="J54" s="280" t="s">
        <v>9</v>
      </c>
    </row>
    <row r="55" spans="1:12" x14ac:dyDescent="0.2">
      <c r="A55" s="309" t="s">
        <v>282</v>
      </c>
      <c r="B55" s="310"/>
      <c r="C55" s="310"/>
      <c r="D55" s="310"/>
      <c r="E55" s="310"/>
      <c r="F55" s="310"/>
      <c r="G55" s="310"/>
      <c r="H55" s="310"/>
      <c r="I55" s="310"/>
      <c r="J55" s="311"/>
    </row>
    <row r="56" spans="1:12" x14ac:dyDescent="0.2">
      <c r="A56" s="306">
        <v>2013</v>
      </c>
      <c r="B56" s="281">
        <f>+B35</f>
        <v>49516</v>
      </c>
      <c r="C56" s="281">
        <f t="shared" ref="C56:I57" si="24">+C35</f>
        <v>3904.5</v>
      </c>
      <c r="D56" s="281">
        <f t="shared" si="24"/>
        <v>500</v>
      </c>
      <c r="E56" s="281">
        <f t="shared" si="24"/>
        <v>1</v>
      </c>
      <c r="F56" s="281">
        <f t="shared" si="24"/>
        <v>11</v>
      </c>
      <c r="G56" s="281">
        <f t="shared" si="24"/>
        <v>12332.5</v>
      </c>
      <c r="H56" s="281">
        <f t="shared" si="24"/>
        <v>24</v>
      </c>
      <c r="I56" s="281">
        <f t="shared" si="24"/>
        <v>295</v>
      </c>
      <c r="J56" s="315">
        <f>SUM(B56:I56)</f>
        <v>66584</v>
      </c>
    </row>
    <row r="57" spans="1:12" x14ac:dyDescent="0.2">
      <c r="A57" s="307" t="s">
        <v>318</v>
      </c>
      <c r="B57" s="281">
        <f>+B36</f>
        <v>50202.5</v>
      </c>
      <c r="C57" s="281">
        <f t="shared" si="24"/>
        <v>3952.5</v>
      </c>
      <c r="D57" s="281">
        <f t="shared" si="24"/>
        <v>502.5</v>
      </c>
      <c r="E57" s="281">
        <f t="shared" si="24"/>
        <v>1</v>
      </c>
      <c r="F57" s="281">
        <f t="shared" si="24"/>
        <v>11</v>
      </c>
      <c r="G57" s="281">
        <f t="shared" si="24"/>
        <v>12464.5</v>
      </c>
      <c r="H57" s="281">
        <f t="shared" si="24"/>
        <v>24</v>
      </c>
      <c r="I57" s="281">
        <f t="shared" si="24"/>
        <v>295.5</v>
      </c>
      <c r="J57" s="315">
        <f t="shared" ref="J57:J62" si="25">SUM(B57:I57)</f>
        <v>67453.5</v>
      </c>
    </row>
    <row r="58" spans="1:12" x14ac:dyDescent="0.2">
      <c r="A58" s="307" t="s">
        <v>319</v>
      </c>
      <c r="B58" s="281">
        <f>+B57*1.03</f>
        <v>51708.575000000004</v>
      </c>
      <c r="C58" s="281">
        <f>+C57*1.03</f>
        <v>4071.0750000000003</v>
      </c>
      <c r="D58" s="281">
        <f>+D57*1.03</f>
        <v>517.57500000000005</v>
      </c>
      <c r="E58" s="281">
        <f>+E48</f>
        <v>1</v>
      </c>
      <c r="F58" s="281">
        <f>+F57*1.03</f>
        <v>11.33</v>
      </c>
      <c r="G58" s="281">
        <f>+G57*1.03</f>
        <v>12838.434999999999</v>
      </c>
      <c r="H58" s="281">
        <f>+H48</f>
        <v>23.221124933174856</v>
      </c>
      <c r="I58" s="281">
        <f>+I48</f>
        <v>295.82025457231583</v>
      </c>
      <c r="J58" s="315">
        <f t="shared" si="25"/>
        <v>69467.031379505497</v>
      </c>
    </row>
    <row r="59" spans="1:12" x14ac:dyDescent="0.2">
      <c r="A59" s="307" t="s">
        <v>320</v>
      </c>
      <c r="B59" s="281">
        <f>+B58*1.03</f>
        <v>53259.832250000007</v>
      </c>
      <c r="C59" s="281">
        <f t="shared" ref="C59:C62" si="26">+C58*1.03</f>
        <v>4193.2072500000004</v>
      </c>
      <c r="D59" s="281">
        <f t="shared" ref="D59:D62" si="27">+D58*1.03</f>
        <v>533.10225000000003</v>
      </c>
      <c r="E59" s="281">
        <f t="shared" ref="E59:E62" si="28">+E49</f>
        <v>1</v>
      </c>
      <c r="F59" s="281">
        <f t="shared" ref="F59:F62" si="29">+F58*1.03</f>
        <v>11.6699</v>
      </c>
      <c r="G59" s="281">
        <f t="shared" ref="G59:G62" si="30">+G58*1.03</f>
        <v>13223.58805</v>
      </c>
      <c r="H59" s="281">
        <f t="shared" ref="H59:I59" si="31">+H49</f>
        <v>22.46752679842146</v>
      </c>
      <c r="I59" s="281">
        <f t="shared" si="31"/>
        <v>296.14085622751179</v>
      </c>
      <c r="J59" s="315">
        <f t="shared" si="25"/>
        <v>71541.008083025954</v>
      </c>
    </row>
    <row r="60" spans="1:12" x14ac:dyDescent="0.2">
      <c r="A60" s="307" t="s">
        <v>321</v>
      </c>
      <c r="B60" s="281">
        <f>+B59*1.03</f>
        <v>54857.627217500005</v>
      </c>
      <c r="C60" s="281">
        <f t="shared" si="26"/>
        <v>4319.0034675000006</v>
      </c>
      <c r="D60" s="281">
        <f t="shared" si="27"/>
        <v>549.09531750000008</v>
      </c>
      <c r="E60" s="281">
        <f t="shared" si="28"/>
        <v>1</v>
      </c>
      <c r="F60" s="281">
        <f t="shared" si="29"/>
        <v>12.019997</v>
      </c>
      <c r="G60" s="281">
        <f t="shared" si="30"/>
        <v>13620.295691500001</v>
      </c>
      <c r="H60" s="281">
        <f t="shared" ref="H60:I60" si="32">+H50</f>
        <v>21.738385280233285</v>
      </c>
      <c r="I60" s="281">
        <f t="shared" si="32"/>
        <v>296.46180534174658</v>
      </c>
      <c r="J60" s="315">
        <f t="shared" si="25"/>
        <v>73677.241881621987</v>
      </c>
    </row>
    <row r="61" spans="1:12" x14ac:dyDescent="0.2">
      <c r="A61" s="307" t="s">
        <v>322</v>
      </c>
      <c r="B61" s="281">
        <f>+B60*1.03</f>
        <v>56503.356034025004</v>
      </c>
      <c r="C61" s="281">
        <f t="shared" si="26"/>
        <v>4448.5735715250012</v>
      </c>
      <c r="D61" s="281">
        <f t="shared" si="27"/>
        <v>565.56817702500007</v>
      </c>
      <c r="E61" s="281">
        <f t="shared" si="28"/>
        <v>1</v>
      </c>
      <c r="F61" s="281">
        <f t="shared" si="29"/>
        <v>12.38059691</v>
      </c>
      <c r="G61" s="281">
        <f t="shared" si="30"/>
        <v>14028.904562245001</v>
      </c>
      <c r="H61" s="281">
        <f t="shared" ref="H61:I61" si="33">+H51</f>
        <v>21.032906684907768</v>
      </c>
      <c r="I61" s="281">
        <f t="shared" si="33"/>
        <v>296.78310229158649</v>
      </c>
      <c r="J61" s="315">
        <f t="shared" si="25"/>
        <v>75877.59895070651</v>
      </c>
    </row>
    <row r="62" spans="1:12" ht="13.5" thickBot="1" x14ac:dyDescent="0.25">
      <c r="A62" s="308" t="s">
        <v>323</v>
      </c>
      <c r="B62" s="294">
        <f>+B61*1.03</f>
        <v>58198.456715045759</v>
      </c>
      <c r="C62" s="294">
        <f t="shared" si="26"/>
        <v>4582.0307786707517</v>
      </c>
      <c r="D62" s="294">
        <f t="shared" si="27"/>
        <v>582.53522233575006</v>
      </c>
      <c r="E62" s="294">
        <f t="shared" si="28"/>
        <v>1</v>
      </c>
      <c r="F62" s="294">
        <f t="shared" si="29"/>
        <v>12.752014817299999</v>
      </c>
      <c r="G62" s="294">
        <f t="shared" si="30"/>
        <v>14449.771699112353</v>
      </c>
      <c r="H62" s="294">
        <f t="shared" ref="H62:I62" si="34">+H52</f>
        <v>20.350323076585497</v>
      </c>
      <c r="I62" s="294">
        <f t="shared" si="34"/>
        <v>297.10474745400597</v>
      </c>
      <c r="J62" s="316">
        <f t="shared" si="25"/>
        <v>78144.001500512517</v>
      </c>
      <c r="L62" s="202"/>
    </row>
    <row r="63" spans="1:12" ht="13.5" thickBot="1" x14ac:dyDescent="0.25"/>
    <row r="64" spans="1:12" ht="24.75" thickBot="1" x14ac:dyDescent="0.25">
      <c r="A64" s="286" t="s">
        <v>117</v>
      </c>
      <c r="B64" s="279" t="s">
        <v>71</v>
      </c>
      <c r="C64" s="279" t="s">
        <v>242</v>
      </c>
      <c r="D64" s="279" t="s">
        <v>241</v>
      </c>
      <c r="E64" s="279" t="s">
        <v>74</v>
      </c>
      <c r="F64" s="279" t="s">
        <v>243</v>
      </c>
      <c r="G64" s="279" t="s">
        <v>244</v>
      </c>
      <c r="H64" s="279" t="s">
        <v>245</v>
      </c>
      <c r="I64" s="279" t="s">
        <v>76</v>
      </c>
      <c r="J64" s="280" t="s">
        <v>9</v>
      </c>
    </row>
    <row r="65" spans="1:10" x14ac:dyDescent="0.2">
      <c r="A65" s="309" t="s">
        <v>282</v>
      </c>
      <c r="B65" s="310"/>
      <c r="C65" s="310"/>
      <c r="D65" s="310"/>
      <c r="E65" s="310"/>
      <c r="F65" s="310"/>
      <c r="G65" s="310"/>
      <c r="H65" s="310"/>
      <c r="I65" s="310"/>
      <c r="J65" s="311"/>
    </row>
    <row r="66" spans="1:10" x14ac:dyDescent="0.2">
      <c r="A66" s="306">
        <v>2013</v>
      </c>
      <c r="B66" s="281">
        <f>+B46+ROUND(+B56-B35,1)</f>
        <v>0</v>
      </c>
      <c r="C66" s="281">
        <f t="shared" ref="C66:I66" si="35">+C46+ROUND(+C56-C35,1)</f>
        <v>0</v>
      </c>
      <c r="D66" s="281">
        <f t="shared" si="35"/>
        <v>0</v>
      </c>
      <c r="E66" s="281">
        <f t="shared" si="35"/>
        <v>0</v>
      </c>
      <c r="F66" s="281">
        <f t="shared" si="35"/>
        <v>0</v>
      </c>
      <c r="G66" s="281">
        <f t="shared" si="35"/>
        <v>0</v>
      </c>
      <c r="H66" s="281">
        <f t="shared" si="35"/>
        <v>0</v>
      </c>
      <c r="I66" s="281">
        <f t="shared" si="35"/>
        <v>0</v>
      </c>
      <c r="J66" s="315">
        <f>SUM(B66:I66)</f>
        <v>0</v>
      </c>
    </row>
    <row r="67" spans="1:10" x14ac:dyDescent="0.2">
      <c r="A67" s="307" t="s">
        <v>318</v>
      </c>
      <c r="B67" s="281">
        <f t="shared" ref="B67:B72" si="36">ROUND(+B57-B47,1)</f>
        <v>0</v>
      </c>
      <c r="C67" s="281">
        <f t="shared" ref="C67:I72" si="37">ROUND(+C57-C47,1)</f>
        <v>0</v>
      </c>
      <c r="D67" s="281">
        <f t="shared" si="37"/>
        <v>0</v>
      </c>
      <c r="E67" s="281">
        <f t="shared" si="37"/>
        <v>0</v>
      </c>
      <c r="F67" s="281">
        <f t="shared" si="37"/>
        <v>0</v>
      </c>
      <c r="G67" s="281">
        <f t="shared" si="37"/>
        <v>0</v>
      </c>
      <c r="H67" s="281">
        <f t="shared" si="37"/>
        <v>0</v>
      </c>
      <c r="I67" s="281">
        <f t="shared" si="37"/>
        <v>0</v>
      </c>
      <c r="J67" s="315">
        <f t="shared" ref="J67:J72" si="38">SUM(B67:I67)</f>
        <v>0</v>
      </c>
    </row>
    <row r="68" spans="1:10" x14ac:dyDescent="0.2">
      <c r="A68" s="307" t="s">
        <v>319</v>
      </c>
      <c r="B68" s="281">
        <f t="shared" si="36"/>
        <v>828.5</v>
      </c>
      <c r="C68" s="281">
        <f t="shared" si="37"/>
        <v>93.7</v>
      </c>
      <c r="D68" s="281">
        <f t="shared" si="37"/>
        <v>15.1</v>
      </c>
      <c r="E68" s="281">
        <f t="shared" si="37"/>
        <v>0</v>
      </c>
      <c r="F68" s="281">
        <f t="shared" si="37"/>
        <v>0.3</v>
      </c>
      <c r="G68" s="281">
        <f>ROUND(+G58-G48,1)</f>
        <v>128.6</v>
      </c>
      <c r="H68" s="281">
        <f t="shared" si="37"/>
        <v>0</v>
      </c>
      <c r="I68" s="281">
        <f t="shared" si="37"/>
        <v>0</v>
      </c>
      <c r="J68" s="315">
        <f t="shared" si="38"/>
        <v>1066.2</v>
      </c>
    </row>
    <row r="69" spans="1:10" x14ac:dyDescent="0.2">
      <c r="A69" s="307" t="s">
        <v>320</v>
      </c>
      <c r="B69" s="281">
        <f t="shared" si="36"/>
        <v>1693.1</v>
      </c>
      <c r="C69" s="281">
        <f t="shared" si="37"/>
        <v>190.8</v>
      </c>
      <c r="D69" s="281">
        <f t="shared" si="37"/>
        <v>30.6</v>
      </c>
      <c r="E69" s="281">
        <f t="shared" si="37"/>
        <v>0</v>
      </c>
      <c r="F69" s="281">
        <f t="shared" si="37"/>
        <v>0.7</v>
      </c>
      <c r="G69" s="281">
        <f>ROUND(+G59-G49,1)</f>
        <v>263.60000000000002</v>
      </c>
      <c r="H69" s="281">
        <f t="shared" si="37"/>
        <v>0</v>
      </c>
      <c r="I69" s="281">
        <f t="shared" si="37"/>
        <v>0</v>
      </c>
      <c r="J69" s="315">
        <f t="shared" si="38"/>
        <v>2178.7999999999997</v>
      </c>
    </row>
    <row r="70" spans="1:10" x14ac:dyDescent="0.2">
      <c r="A70" s="307" t="s">
        <v>321</v>
      </c>
      <c r="B70" s="281">
        <f t="shared" si="36"/>
        <v>2595</v>
      </c>
      <c r="C70" s="281">
        <f t="shared" si="37"/>
        <v>291.39999999999998</v>
      </c>
      <c r="D70" s="281">
        <f t="shared" si="37"/>
        <v>46.6</v>
      </c>
      <c r="E70" s="281">
        <f t="shared" si="37"/>
        <v>0</v>
      </c>
      <c r="F70" s="281">
        <f t="shared" si="37"/>
        <v>1</v>
      </c>
      <c r="G70" s="281">
        <f>ROUND(+G60-G50,1)</f>
        <v>405.2</v>
      </c>
      <c r="H70" s="281">
        <f t="shared" si="37"/>
        <v>0</v>
      </c>
      <c r="I70" s="281">
        <f t="shared" si="37"/>
        <v>0</v>
      </c>
      <c r="J70" s="315">
        <f t="shared" si="38"/>
        <v>3339.2</v>
      </c>
    </row>
    <row r="71" spans="1:10" x14ac:dyDescent="0.2">
      <c r="A71" s="307" t="s">
        <v>322</v>
      </c>
      <c r="B71" s="281">
        <f t="shared" si="36"/>
        <v>3535.4</v>
      </c>
      <c r="C71" s="281">
        <f t="shared" si="37"/>
        <v>395.7</v>
      </c>
      <c r="D71" s="281">
        <f t="shared" si="37"/>
        <v>63.1</v>
      </c>
      <c r="E71" s="281">
        <f t="shared" si="37"/>
        <v>0</v>
      </c>
      <c r="F71" s="281">
        <f t="shared" si="37"/>
        <v>1.4</v>
      </c>
      <c r="G71" s="281">
        <f>ROUND(+G61-G51,1)</f>
        <v>553.70000000000005</v>
      </c>
      <c r="H71" s="281">
        <f t="shared" si="37"/>
        <v>0</v>
      </c>
      <c r="I71" s="281">
        <f t="shared" si="37"/>
        <v>0</v>
      </c>
      <c r="J71" s="315">
        <f t="shared" si="38"/>
        <v>4549.3</v>
      </c>
    </row>
    <row r="72" spans="1:10" ht="13.5" thickBot="1" x14ac:dyDescent="0.25">
      <c r="A72" s="308" t="s">
        <v>323</v>
      </c>
      <c r="B72" s="294">
        <f t="shared" si="36"/>
        <v>4515.6000000000004</v>
      </c>
      <c r="C72" s="294">
        <f t="shared" si="37"/>
        <v>503.6</v>
      </c>
      <c r="D72" s="294">
        <f t="shared" si="37"/>
        <v>80</v>
      </c>
      <c r="E72" s="294">
        <f t="shared" si="37"/>
        <v>0</v>
      </c>
      <c r="F72" s="294">
        <f t="shared" si="37"/>
        <v>1.8</v>
      </c>
      <c r="G72" s="294">
        <f>ROUND(+G62-G52,1)</f>
        <v>709.3</v>
      </c>
      <c r="H72" s="294">
        <f t="shared" si="37"/>
        <v>0</v>
      </c>
      <c r="I72" s="294">
        <f t="shared" si="37"/>
        <v>0</v>
      </c>
      <c r="J72" s="316">
        <f t="shared" si="38"/>
        <v>5810.3000000000011</v>
      </c>
    </row>
    <row r="73" spans="1:10" ht="13.5" thickBot="1" x14ac:dyDescent="0.25"/>
    <row r="74" spans="1:10" ht="24.75" thickBot="1" x14ac:dyDescent="0.25">
      <c r="A74" s="286" t="s">
        <v>117</v>
      </c>
      <c r="B74" s="279" t="s">
        <v>71</v>
      </c>
      <c r="C74" s="279" t="s">
        <v>242</v>
      </c>
      <c r="D74" s="279" t="s">
        <v>241</v>
      </c>
      <c r="E74" s="279" t="s">
        <v>74</v>
      </c>
      <c r="F74" s="279" t="s">
        <v>243</v>
      </c>
      <c r="G74" s="279" t="s">
        <v>244</v>
      </c>
      <c r="H74" s="279" t="s">
        <v>245</v>
      </c>
      <c r="I74" s="279" t="s">
        <v>76</v>
      </c>
      <c r="J74" s="280" t="s">
        <v>9</v>
      </c>
    </row>
    <row r="75" spans="1:10" x14ac:dyDescent="0.2">
      <c r="A75" s="309" t="s">
        <v>298</v>
      </c>
      <c r="B75" s="310"/>
      <c r="C75" s="310"/>
      <c r="D75" s="310"/>
      <c r="E75" s="310"/>
      <c r="F75" s="310"/>
      <c r="G75" s="310"/>
      <c r="H75" s="310"/>
      <c r="I75" s="310"/>
      <c r="J75" s="311"/>
    </row>
    <row r="76" spans="1:10" x14ac:dyDescent="0.2">
      <c r="A76" s="307" t="s">
        <v>235</v>
      </c>
      <c r="B76" s="281">
        <f>+'Chart II'!B238</f>
        <v>9620.4967571258403</v>
      </c>
      <c r="C76" s="281">
        <f>+'Chart II'!C238</f>
        <v>33639.096336679446</v>
      </c>
      <c r="D76" s="281">
        <f>+'Chart II'!D238</f>
        <v>668377.40361670626</v>
      </c>
      <c r="E76" s="281">
        <f>+'Chart II'!E238</f>
        <v>43077959.531164952</v>
      </c>
      <c r="F76" s="281">
        <f>+'Chart II'!F238</f>
        <v>7400031.4545454541</v>
      </c>
      <c r="G76" s="281">
        <f>+'Chart II'!G238</f>
        <v>727.21057804163831</v>
      </c>
      <c r="H76" s="281">
        <f>+'Chart II'!H238</f>
        <v>1492.1666666666667</v>
      </c>
      <c r="I76" s="281">
        <f>+'Chart II'!I238</f>
        <v>9175.0219966159057</v>
      </c>
      <c r="J76" s="315">
        <f>+'Chart II'!J238</f>
        <v>15771.747142483415</v>
      </c>
    </row>
    <row r="77" spans="1:10" x14ac:dyDescent="0.2">
      <c r="A77" s="307" t="s">
        <v>236</v>
      </c>
      <c r="B77" s="281">
        <f>+'Chart II'!B239</f>
        <v>9570.3532562924393</v>
      </c>
      <c r="C77" s="281">
        <f>+'Chart II'!C239</f>
        <v>33445.26616343671</v>
      </c>
      <c r="D77" s="281">
        <f>+'Chart II'!D239</f>
        <v>667291.6703198452</v>
      </c>
      <c r="E77" s="281">
        <f>+'Chart II'!E239</f>
        <v>43458821.844992571</v>
      </c>
      <c r="F77" s="281">
        <f>+'Chart II'!F239</f>
        <v>7400031.4545454541</v>
      </c>
      <c r="G77" s="281">
        <f>+'Chart II'!G239</f>
        <v>719.93847226122193</v>
      </c>
      <c r="H77" s="281">
        <f>+'Chart II'!H239</f>
        <v>1492.1666666666667</v>
      </c>
      <c r="I77" s="281">
        <f>+'Chart II'!I239</f>
        <v>9175.0219966159057</v>
      </c>
      <c r="J77" s="315">
        <f>+'Chart II'!J239</f>
        <v>15370.578275728067</v>
      </c>
    </row>
    <row r="78" spans="1:10" x14ac:dyDescent="0.2">
      <c r="A78" s="307" t="s">
        <v>237</v>
      </c>
      <c r="B78" s="281">
        <f>+'Chart II'!B240</f>
        <v>9520.4711110562912</v>
      </c>
      <c r="C78" s="281">
        <f>+'Chart II'!C240</f>
        <v>33252.552849448555</v>
      </c>
      <c r="D78" s="281">
        <f>+'Chart II'!D240</f>
        <v>666207.70072233351</v>
      </c>
      <c r="E78" s="281">
        <f>+'Chart II'!E240</f>
        <v>43843051.451599903</v>
      </c>
      <c r="F78" s="281">
        <f>+'Chart II'!F240</f>
        <v>7400031.4545454541</v>
      </c>
      <c r="G78" s="281">
        <f>+'Chart II'!G240</f>
        <v>712.73908753860974</v>
      </c>
      <c r="H78" s="281">
        <f>+'Chart II'!H240</f>
        <v>1492.1666666666667</v>
      </c>
      <c r="I78" s="281">
        <f>+'Chart II'!I240</f>
        <v>9175.0219966159057</v>
      </c>
      <c r="J78" s="315">
        <f>+'Chart II'!J240</f>
        <v>14979.881468455755</v>
      </c>
    </row>
    <row r="79" spans="1:10" x14ac:dyDescent="0.2">
      <c r="A79" s="307" t="s">
        <v>238</v>
      </c>
      <c r="B79" s="281">
        <f>+'Chart II'!B241</f>
        <v>9470.8489591920425</v>
      </c>
      <c r="C79" s="281">
        <f>+'Chart II'!C241</f>
        <v>33060.949959315505</v>
      </c>
      <c r="D79" s="281">
        <f>+'Chart II'!D241</f>
        <v>665125.49195916252</v>
      </c>
      <c r="E79" s="281">
        <f>+'Chart II'!E241</f>
        <v>44230678.122009844</v>
      </c>
      <c r="F79" s="281">
        <f>+'Chart II'!F241</f>
        <v>7400031.4545454541</v>
      </c>
      <c r="G79" s="281">
        <f>+'Chart II'!G241</f>
        <v>705.6116966632236</v>
      </c>
      <c r="H79" s="281">
        <f>+'Chart II'!H241</f>
        <v>1492.1666666666667</v>
      </c>
      <c r="I79" s="281">
        <f>+'Chart II'!I241</f>
        <v>9175.0219966159057</v>
      </c>
      <c r="J79" s="315">
        <f>+'Chart II'!J241</f>
        <v>14599.328359303285</v>
      </c>
    </row>
    <row r="80" spans="1:10" ht="13.5" thickBot="1" x14ac:dyDescent="0.25">
      <c r="A80" s="308" t="s">
        <v>239</v>
      </c>
      <c r="B80" s="294">
        <f>+'Chart II'!B242</f>
        <v>9421.4854455744626</v>
      </c>
      <c r="C80" s="294">
        <f>+'Chart II'!C242</f>
        <v>32870.451094719188</v>
      </c>
      <c r="D80" s="294">
        <f>+'Chart II'!D242</f>
        <v>664045.0411699774</v>
      </c>
      <c r="E80" s="294">
        <f>+'Chart II'!E242</f>
        <v>44621731.890457861</v>
      </c>
      <c r="F80" s="294">
        <f>+'Chart II'!F242</f>
        <v>7400031.4545454541</v>
      </c>
      <c r="G80" s="294">
        <f>+'Chart II'!G242</f>
        <v>698.55557969659139</v>
      </c>
      <c r="H80" s="294">
        <f>+'Chart II'!H242</f>
        <v>1492.1666666666667</v>
      </c>
      <c r="I80" s="294">
        <f>+'Chart II'!I242</f>
        <v>9175.0219966159057</v>
      </c>
      <c r="J80" s="316">
        <f>+'Chart II'!J242</f>
        <v>14228.745694280118</v>
      </c>
    </row>
    <row r="81" spans="1:10" ht="13.5" thickBot="1" x14ac:dyDescent="0.25"/>
    <row r="82" spans="1:10" ht="24.75" thickBot="1" x14ac:dyDescent="0.25">
      <c r="A82" s="286" t="s">
        <v>117</v>
      </c>
      <c r="B82" s="279" t="s">
        <v>71</v>
      </c>
      <c r="C82" s="279" t="s">
        <v>242</v>
      </c>
      <c r="D82" s="279" t="s">
        <v>241</v>
      </c>
      <c r="E82" s="279" t="s">
        <v>74</v>
      </c>
      <c r="F82" s="279" t="s">
        <v>243</v>
      </c>
      <c r="G82" s="279" t="s">
        <v>244</v>
      </c>
      <c r="H82" s="279" t="s">
        <v>245</v>
      </c>
      <c r="I82" s="279" t="s">
        <v>76</v>
      </c>
      <c r="J82" s="280" t="s">
        <v>9</v>
      </c>
    </row>
    <row r="83" spans="1:10" x14ac:dyDescent="0.2">
      <c r="A83" s="309" t="s">
        <v>283</v>
      </c>
      <c r="B83" s="310"/>
      <c r="C83" s="310"/>
      <c r="D83" s="310"/>
      <c r="E83" s="310"/>
      <c r="F83" s="310"/>
      <c r="G83" s="310"/>
      <c r="H83" s="310"/>
      <c r="I83" s="310"/>
      <c r="J83" s="311"/>
    </row>
    <row r="84" spans="1:10" x14ac:dyDescent="0.2">
      <c r="A84" s="312" t="s">
        <v>119</v>
      </c>
      <c r="B84" s="284">
        <f>+'Chart II'!B80</f>
        <v>10312.478017907415</v>
      </c>
      <c r="C84" s="284">
        <f>+'Chart II'!C80</f>
        <v>36436.199739921976</v>
      </c>
      <c r="D84" s="284">
        <f>+'Chart II'!D80</f>
        <v>687468.15134099615</v>
      </c>
      <c r="E84" s="284">
        <f>+'Chart II'!E80</f>
        <v>30069991</v>
      </c>
      <c r="F84" s="284">
        <f>+'Chart II'!F80</f>
        <v>8995177.8888888881</v>
      </c>
      <c r="G84" s="284">
        <f>+'Chart II'!G80</f>
        <v>864.62257510729614</v>
      </c>
      <c r="H84" s="284">
        <f>+'Chart II'!H80</f>
        <v>530.03896103896102</v>
      </c>
      <c r="I84" s="284">
        <f>+'Chart II'!I80</f>
        <v>12596.537704918033</v>
      </c>
      <c r="J84" s="291">
        <f>+'Chart II'!J80</f>
        <v>17928.45828162066</v>
      </c>
    </row>
    <row r="85" spans="1:10" x14ac:dyDescent="0.2">
      <c r="A85" s="312" t="s">
        <v>233</v>
      </c>
      <c r="B85" s="284">
        <f>+'Chart II'!B81</f>
        <v>9944.9139784448562</v>
      </c>
      <c r="C85" s="284">
        <f>+'Chart II'!C81</f>
        <v>33405.607674829589</v>
      </c>
      <c r="D85" s="284">
        <f>+'Chart II'!D81</f>
        <v>693751.11969111965</v>
      </c>
      <c r="E85" s="284">
        <f>+'Chart II'!E81</f>
        <v>33402763</v>
      </c>
      <c r="F85" s="284">
        <f>+'Chart II'!F81</f>
        <v>7817530.5999999996</v>
      </c>
      <c r="G85" s="284">
        <f>+'Chart II'!G81</f>
        <v>865.45077050694306</v>
      </c>
      <c r="H85" s="284">
        <f>+'Chart II'!H81</f>
        <v>1728.868207968671</v>
      </c>
      <c r="I85" s="284">
        <f>+'Chart II'!I81</f>
        <v>10248.202720726738</v>
      </c>
      <c r="J85" s="291">
        <f>+'Chart II'!J81</f>
        <v>16501.989395957142</v>
      </c>
    </row>
    <row r="86" spans="1:10" x14ac:dyDescent="0.2">
      <c r="A86" s="306"/>
      <c r="B86" s="283"/>
      <c r="C86" s="313"/>
      <c r="D86" s="313"/>
      <c r="E86" s="313"/>
      <c r="F86" s="313"/>
      <c r="G86" s="313"/>
      <c r="H86" s="313"/>
      <c r="I86" s="313"/>
      <c r="J86" s="314">
        <f>+'Chart II'!J82</f>
        <v>0</v>
      </c>
    </row>
    <row r="87" spans="1:10" x14ac:dyDescent="0.2">
      <c r="A87" s="307" t="s">
        <v>235</v>
      </c>
      <c r="B87" s="281">
        <f ca="1">+'Chart II'!B250</f>
        <v>9705.4067873198055</v>
      </c>
      <c r="C87" s="281">
        <f ca="1">+'Chart II'!C250</f>
        <v>33935.993342910391</v>
      </c>
      <c r="D87" s="281">
        <f ca="1">+'Chart II'!D250</f>
        <v>673915.98267433897</v>
      </c>
      <c r="E87" s="281">
        <f ca="1">+'Chart II'!E250</f>
        <v>43077959.531164952</v>
      </c>
      <c r="F87" s="281">
        <f ca="1">+'Chart II'!F250</f>
        <v>7456500.3343447391</v>
      </c>
      <c r="G87" s="281">
        <f ca="1">+'Chart II'!G250</f>
        <v>727.21057804163843</v>
      </c>
      <c r="H87" s="281">
        <f ca="1">+'Chart II'!H250</f>
        <v>1492.1666666666667</v>
      </c>
      <c r="I87" s="281">
        <f ca="1">+'Chart II'!I250</f>
        <v>9175.0219966159057</v>
      </c>
      <c r="J87" s="315">
        <f ca="1">+'Chart II'!J250</f>
        <v>16147.784116596127</v>
      </c>
    </row>
    <row r="88" spans="1:10" x14ac:dyDescent="0.2">
      <c r="A88" s="307" t="s">
        <v>236</v>
      </c>
      <c r="B88" s="281">
        <f ca="1">+'Chart II'!B251</f>
        <v>9642.1682921885167</v>
      </c>
      <c r="C88" s="281">
        <f ca="1">+'Chart II'!C251</f>
        <v>33696.236313206457</v>
      </c>
      <c r="D88" s="281">
        <f ca="1">+'Chart II'!D251</f>
        <v>671992.97307150497</v>
      </c>
      <c r="E88" s="281">
        <f ca="1">+'Chart II'!E251</f>
        <v>43458821.844992571</v>
      </c>
      <c r="F88" s="281">
        <f ca="1">+'Chart II'!F251</f>
        <v>7448041.8284294456</v>
      </c>
      <c r="G88" s="281">
        <f ca="1">+'Chart II'!G251</f>
        <v>719.93847226122182</v>
      </c>
      <c r="H88" s="281">
        <f ca="1">+'Chart II'!H251</f>
        <v>1492.1666666666667</v>
      </c>
      <c r="I88" s="281">
        <f ca="1">+'Chart II'!I251</f>
        <v>9175.0219966159057</v>
      </c>
      <c r="J88" s="315">
        <f ca="1">+'Chart II'!J251</f>
        <v>15962.94221976786</v>
      </c>
    </row>
    <row r="89" spans="1:10" x14ac:dyDescent="0.2">
      <c r="A89" s="307" t="s">
        <v>237</v>
      </c>
      <c r="B89" s="281">
        <f ca="1">+'Chart II'!B252</f>
        <v>9528.8230941477232</v>
      </c>
      <c r="C89" s="281">
        <f ca="1">+'Chart II'!C252</f>
        <v>33281.72417468088</v>
      </c>
      <c r="D89" s="281">
        <f ca="1">+'Chart II'!D252</f>
        <v>666756.42720141308</v>
      </c>
      <c r="E89" s="281">
        <f ca="1">+'Chart II'!E252</f>
        <v>43843051.451599903</v>
      </c>
      <c r="F89" s="281">
        <f ca="1">+'Chart II'!F252</f>
        <v>7405644.2451661201</v>
      </c>
      <c r="G89" s="281">
        <f ca="1">+'Chart II'!G252</f>
        <v>712.73908753860974</v>
      </c>
      <c r="H89" s="281">
        <f ca="1">+'Chart II'!H252</f>
        <v>1492.1666666666667</v>
      </c>
      <c r="I89" s="281">
        <f ca="1">+'Chart II'!I252</f>
        <v>9175.0219966159057</v>
      </c>
      <c r="J89" s="315">
        <f ca="1">+'Chart II'!J252</f>
        <v>15703.70437890175</v>
      </c>
    </row>
    <row r="90" spans="1:10" x14ac:dyDescent="0.2">
      <c r="A90" s="307" t="s">
        <v>238</v>
      </c>
      <c r="B90" s="281">
        <f ca="1">+'Chart II'!B253</f>
        <v>9441.3814351708115</v>
      </c>
      <c r="C90" s="281">
        <f ca="1">+'Chart II'!C253</f>
        <v>32958.084382925408</v>
      </c>
      <c r="D90" s="281">
        <f ca="1">+'Chart II'!D253</f>
        <v>663182.48913724744</v>
      </c>
      <c r="E90" s="281">
        <f ca="1">+'Chart II'!E253</f>
        <v>44230678.122009844</v>
      </c>
      <c r="F90" s="281">
        <f ca="1">+'Chart II'!F253</f>
        <v>7380124.6106693959</v>
      </c>
      <c r="G90" s="281">
        <f ca="1">+'Chart II'!G253</f>
        <v>705.61169666322348</v>
      </c>
      <c r="H90" s="281">
        <f ca="1">+'Chart II'!H253</f>
        <v>1492.1666666666667</v>
      </c>
      <c r="I90" s="281">
        <f ca="1">+'Chart II'!I253</f>
        <v>9175.0219966159057</v>
      </c>
      <c r="J90" s="315">
        <f ca="1">+'Chart II'!J253</f>
        <v>15485.982332999865</v>
      </c>
    </row>
    <row r="91" spans="1:10" ht="13.5" thickBot="1" x14ac:dyDescent="0.25">
      <c r="A91" s="308" t="s">
        <v>239</v>
      </c>
      <c r="B91" s="294">
        <f ca="1">+'Chart II'!B254</f>
        <v>9354.5050330778267</v>
      </c>
      <c r="C91" s="294">
        <f ca="1">+'Chart II'!C254</f>
        <v>32636.764338422287</v>
      </c>
      <c r="D91" s="294">
        <f ca="1">+'Chart II'!D254</f>
        <v>659612.61942656315</v>
      </c>
      <c r="E91" s="294">
        <f ca="1">+'Chart II'!E254</f>
        <v>44621731.890457861</v>
      </c>
      <c r="F91" s="294">
        <f ca="1">+'Chart II'!F254</f>
        <v>7354545.6258971635</v>
      </c>
      <c r="G91" s="294">
        <f ca="1">+'Chart II'!G254</f>
        <v>698.55557969659139</v>
      </c>
      <c r="H91" s="294">
        <f ca="1">+'Chart II'!H254</f>
        <v>1492.1666666666667</v>
      </c>
      <c r="I91" s="294">
        <f ca="1">+'Chart II'!I254</f>
        <v>9175.0219966159057</v>
      </c>
      <c r="J91" s="316">
        <f ca="1">+'Chart II'!J254</f>
        <v>15271.093866625313</v>
      </c>
    </row>
    <row r="92" spans="1:10" ht="13.5" thickBot="1" x14ac:dyDescent="0.25"/>
    <row r="93" spans="1:10" ht="24.75" thickBot="1" x14ac:dyDescent="0.25">
      <c r="A93" s="286" t="s">
        <v>117</v>
      </c>
      <c r="B93" s="279" t="s">
        <v>71</v>
      </c>
      <c r="C93" s="279" t="s">
        <v>242</v>
      </c>
      <c r="D93" s="279" t="s">
        <v>241</v>
      </c>
      <c r="E93" s="279" t="s">
        <v>74</v>
      </c>
      <c r="F93" s="279" t="s">
        <v>243</v>
      </c>
      <c r="G93" s="279" t="s">
        <v>244</v>
      </c>
      <c r="H93" s="279" t="s">
        <v>245</v>
      </c>
      <c r="I93" s="279" t="s">
        <v>76</v>
      </c>
      <c r="J93" s="280" t="s">
        <v>9</v>
      </c>
    </row>
    <row r="94" spans="1:10" x14ac:dyDescent="0.2">
      <c r="A94" s="309" t="s">
        <v>282</v>
      </c>
      <c r="B94" s="310"/>
      <c r="C94" s="310"/>
      <c r="D94" s="310"/>
      <c r="E94" s="310"/>
      <c r="F94" s="310"/>
      <c r="G94" s="310"/>
      <c r="H94" s="310"/>
      <c r="I94" s="310"/>
      <c r="J94" s="311"/>
    </row>
    <row r="95" spans="1:10" x14ac:dyDescent="0.2">
      <c r="A95" s="307" t="s">
        <v>235</v>
      </c>
      <c r="B95" s="281">
        <f t="shared" ref="B95:I99" ca="1" si="39">+B87*B68</f>
        <v>8040929.5232944591</v>
      </c>
      <c r="C95" s="281">
        <f t="shared" ca="1" si="39"/>
        <v>3179802.5762307039</v>
      </c>
      <c r="D95" s="281">
        <f t="shared" ca="1" si="39"/>
        <v>10176131.338382518</v>
      </c>
      <c r="E95" s="281">
        <f t="shared" ca="1" si="39"/>
        <v>0</v>
      </c>
      <c r="F95" s="281">
        <f t="shared" ca="1" si="39"/>
        <v>2236950.1003034217</v>
      </c>
      <c r="G95" s="281">
        <f t="shared" ca="1" si="39"/>
        <v>93519.280336154698</v>
      </c>
      <c r="H95" s="281">
        <f t="shared" ca="1" si="39"/>
        <v>0</v>
      </c>
      <c r="I95" s="281">
        <f t="shared" ca="1" si="39"/>
        <v>0</v>
      </c>
      <c r="J95" s="315">
        <f t="shared" ref="J95:J99" ca="1" si="40">SUM(B95:I95)</f>
        <v>23727332.81854726</v>
      </c>
    </row>
    <row r="96" spans="1:10" x14ac:dyDescent="0.2">
      <c r="A96" s="307" t="s">
        <v>236</v>
      </c>
      <c r="B96" s="281">
        <f t="shared" ca="1" si="39"/>
        <v>16325155.135504376</v>
      </c>
      <c r="C96" s="281">
        <f t="shared" ca="1" si="39"/>
        <v>6429241.8885597922</v>
      </c>
      <c r="D96" s="281">
        <f t="shared" ca="1" si="39"/>
        <v>20562984.975988053</v>
      </c>
      <c r="E96" s="281">
        <f t="shared" ca="1" si="39"/>
        <v>0</v>
      </c>
      <c r="F96" s="281">
        <f t="shared" ca="1" si="39"/>
        <v>5213629.2799006114</v>
      </c>
      <c r="G96" s="281">
        <f t="shared" ca="1" si="39"/>
        <v>189775.78128805809</v>
      </c>
      <c r="H96" s="281">
        <f t="shared" ca="1" si="39"/>
        <v>0</v>
      </c>
      <c r="I96" s="281">
        <f t="shared" ca="1" si="39"/>
        <v>0</v>
      </c>
      <c r="J96" s="315">
        <f t="shared" ca="1" si="40"/>
        <v>48720787.061240889</v>
      </c>
    </row>
    <row r="97" spans="1:13" x14ac:dyDescent="0.2">
      <c r="A97" s="307" t="s">
        <v>237</v>
      </c>
      <c r="B97" s="281">
        <f t="shared" ca="1" si="39"/>
        <v>24727295.929313343</v>
      </c>
      <c r="C97" s="281">
        <f t="shared" ca="1" si="39"/>
        <v>9698294.4245020077</v>
      </c>
      <c r="D97" s="281">
        <f t="shared" ca="1" si="39"/>
        <v>31070849.50758585</v>
      </c>
      <c r="E97" s="281">
        <f t="shared" ca="1" si="39"/>
        <v>0</v>
      </c>
      <c r="F97" s="281">
        <f t="shared" ca="1" si="39"/>
        <v>7405644.2451661201</v>
      </c>
      <c r="G97" s="281">
        <f t="shared" ca="1" si="39"/>
        <v>288801.87827064464</v>
      </c>
      <c r="H97" s="281">
        <f t="shared" ca="1" si="39"/>
        <v>0</v>
      </c>
      <c r="I97" s="281">
        <f t="shared" ca="1" si="39"/>
        <v>0</v>
      </c>
      <c r="J97" s="315">
        <f t="shared" ca="1" si="40"/>
        <v>73190885.984837964</v>
      </c>
    </row>
    <row r="98" spans="1:13" x14ac:dyDescent="0.2">
      <c r="A98" s="307" t="s">
        <v>238</v>
      </c>
      <c r="B98" s="281">
        <f t="shared" ca="1" si="39"/>
        <v>33379059.925902888</v>
      </c>
      <c r="C98" s="281">
        <f t="shared" ca="1" si="39"/>
        <v>13041513.990323585</v>
      </c>
      <c r="D98" s="281">
        <f t="shared" ca="1" si="39"/>
        <v>41846815.064560317</v>
      </c>
      <c r="E98" s="281">
        <f t="shared" ca="1" si="39"/>
        <v>0</v>
      </c>
      <c r="F98" s="281">
        <f t="shared" ca="1" si="39"/>
        <v>10332174.454937154</v>
      </c>
      <c r="G98" s="281">
        <f t="shared" ca="1" si="39"/>
        <v>390697.19644242688</v>
      </c>
      <c r="H98" s="281">
        <f t="shared" ca="1" si="39"/>
        <v>0</v>
      </c>
      <c r="I98" s="281">
        <f t="shared" ca="1" si="39"/>
        <v>0</v>
      </c>
      <c r="J98" s="315">
        <f t="shared" ca="1" si="40"/>
        <v>98990260.632166386</v>
      </c>
    </row>
    <row r="99" spans="1:13" ht="13.5" thickBot="1" x14ac:dyDescent="0.25">
      <c r="A99" s="308" t="s">
        <v>239</v>
      </c>
      <c r="B99" s="294">
        <f t="shared" ca="1" si="39"/>
        <v>42241202.927366234</v>
      </c>
      <c r="C99" s="294">
        <f t="shared" ca="1" si="39"/>
        <v>16435874.520829463</v>
      </c>
      <c r="D99" s="294">
        <f t="shared" ca="1" si="39"/>
        <v>52769009.554125056</v>
      </c>
      <c r="E99" s="294">
        <f t="shared" ca="1" si="39"/>
        <v>0</v>
      </c>
      <c r="F99" s="294">
        <f t="shared" ca="1" si="39"/>
        <v>13238182.126614895</v>
      </c>
      <c r="G99" s="294">
        <f t="shared" ca="1" si="39"/>
        <v>495485.47267879226</v>
      </c>
      <c r="H99" s="294">
        <f t="shared" ca="1" si="39"/>
        <v>0</v>
      </c>
      <c r="I99" s="294">
        <f t="shared" ca="1" si="39"/>
        <v>0</v>
      </c>
      <c r="J99" s="316">
        <f t="shared" ca="1" si="40"/>
        <v>125179754.60161445</v>
      </c>
    </row>
    <row r="100" spans="1:13" ht="13.5" thickBot="1" x14ac:dyDescent="0.25"/>
    <row r="101" spans="1:13" ht="24.75" thickBot="1" x14ac:dyDescent="0.25">
      <c r="A101" s="286" t="s">
        <v>117</v>
      </c>
      <c r="B101" s="279" t="s">
        <v>2</v>
      </c>
      <c r="C101" s="280" t="s">
        <v>284</v>
      </c>
    </row>
    <row r="102" spans="1:13" x14ac:dyDescent="0.2">
      <c r="A102" s="309" t="s">
        <v>282</v>
      </c>
      <c r="B102" s="310"/>
      <c r="C102" s="311"/>
      <c r="E102" s="434"/>
      <c r="F102" s="434"/>
      <c r="G102" s="434"/>
      <c r="H102" s="434"/>
      <c r="I102" s="434"/>
      <c r="J102" s="434"/>
      <c r="K102" s="434"/>
      <c r="L102" s="434"/>
      <c r="M102" s="434"/>
    </row>
    <row r="103" spans="1:13" x14ac:dyDescent="0.2">
      <c r="A103" s="307" t="s">
        <v>235</v>
      </c>
      <c r="B103" s="281">
        <f t="shared" ref="B103:B107" ca="1" si="41">+J95</f>
        <v>23727332.81854726</v>
      </c>
      <c r="C103" s="292">
        <f ca="1">+B103*'Rate Class Energy Model'!$F$25</f>
        <v>24880481.193528656</v>
      </c>
      <c r="E103" s="434"/>
      <c r="F103" s="434"/>
      <c r="G103" s="434"/>
      <c r="H103" s="434"/>
      <c r="I103" s="434"/>
      <c r="J103" s="434"/>
      <c r="K103" s="434"/>
      <c r="L103" s="434"/>
      <c r="M103" s="434"/>
    </row>
    <row r="104" spans="1:13" x14ac:dyDescent="0.2">
      <c r="A104" s="307" t="s">
        <v>236</v>
      </c>
      <c r="B104" s="281">
        <f t="shared" ca="1" si="41"/>
        <v>48720787.061240889</v>
      </c>
      <c r="C104" s="292">
        <f ca="1">+B104*'Rate Class Energy Model'!$F$25</f>
        <v>51088617.312417194</v>
      </c>
      <c r="E104" s="434"/>
      <c r="F104" s="434"/>
      <c r="G104" s="434"/>
      <c r="H104" s="434"/>
      <c r="I104" s="434"/>
      <c r="J104" s="434"/>
      <c r="K104" s="434"/>
      <c r="L104" s="434"/>
      <c r="M104" s="434"/>
    </row>
    <row r="105" spans="1:13" x14ac:dyDescent="0.2">
      <c r="A105" s="307" t="s">
        <v>237</v>
      </c>
      <c r="B105" s="281">
        <f t="shared" ca="1" si="41"/>
        <v>73190885.984837964</v>
      </c>
      <c r="C105" s="292">
        <f ca="1">+B105*'Rate Class Energy Model'!$F$25</f>
        <v>76747963.043701082</v>
      </c>
      <c r="E105" s="434"/>
      <c r="F105" s="434"/>
      <c r="G105" s="434"/>
      <c r="H105" s="434"/>
      <c r="I105" s="434"/>
      <c r="J105" s="434"/>
      <c r="K105" s="434"/>
      <c r="L105" s="434"/>
      <c r="M105" s="434"/>
    </row>
    <row r="106" spans="1:13" x14ac:dyDescent="0.2">
      <c r="A106" s="307" t="s">
        <v>238</v>
      </c>
      <c r="B106" s="281">
        <f t="shared" ca="1" si="41"/>
        <v>98990260.632166386</v>
      </c>
      <c r="C106" s="292">
        <f ca="1">+B106*'Rate Class Energy Model'!$F$25</f>
        <v>103801187.29888967</v>
      </c>
      <c r="E106" s="434"/>
      <c r="F106" s="434"/>
      <c r="G106" s="434"/>
      <c r="H106" s="434"/>
      <c r="I106" s="434"/>
      <c r="J106" s="434"/>
      <c r="K106" s="434"/>
      <c r="L106" s="434"/>
      <c r="M106" s="434"/>
    </row>
    <row r="107" spans="1:13" ht="13.5" thickBot="1" x14ac:dyDescent="0.25">
      <c r="A107" s="308" t="s">
        <v>239</v>
      </c>
      <c r="B107" s="294">
        <f t="shared" ca="1" si="41"/>
        <v>125179754.60161445</v>
      </c>
      <c r="C107" s="368">
        <f ca="1">+B107*'Rate Class Energy Model'!$F$25</f>
        <v>131263490.6752529</v>
      </c>
      <c r="E107" s="434"/>
      <c r="F107" s="434"/>
      <c r="G107" s="434"/>
      <c r="H107" s="434"/>
      <c r="I107" s="434"/>
      <c r="J107" s="434"/>
      <c r="K107" s="434"/>
      <c r="L107" s="434"/>
      <c r="M107" s="434"/>
    </row>
    <row r="108" spans="1:13" x14ac:dyDescent="0.2">
      <c r="E108" s="434"/>
      <c r="F108" s="434"/>
      <c r="G108" s="434"/>
      <c r="H108" s="434"/>
      <c r="I108" s="434"/>
      <c r="J108" s="434"/>
      <c r="K108" s="434"/>
      <c r="L108" s="434"/>
      <c r="M108" s="434"/>
    </row>
    <row r="109" spans="1:13" x14ac:dyDescent="0.2">
      <c r="E109" s="434"/>
      <c r="F109" s="434"/>
      <c r="G109" s="434"/>
      <c r="H109" s="434"/>
      <c r="I109" s="434"/>
      <c r="J109" s="434"/>
      <c r="K109" s="434"/>
      <c r="L109" s="434"/>
      <c r="M109" s="434"/>
    </row>
    <row r="110" spans="1:13" x14ac:dyDescent="0.2">
      <c r="E110" s="434"/>
      <c r="F110" s="434"/>
      <c r="G110" s="434"/>
      <c r="H110" s="434"/>
      <c r="I110" s="434"/>
      <c r="J110" s="434"/>
      <c r="K110" s="434"/>
      <c r="L110" s="434"/>
      <c r="M110" s="434"/>
    </row>
    <row r="111" spans="1:13" x14ac:dyDescent="0.2">
      <c r="E111" s="434"/>
      <c r="F111" s="434"/>
      <c r="G111" s="434"/>
      <c r="H111" s="434"/>
      <c r="I111" s="434"/>
      <c r="J111" s="434"/>
      <c r="K111" s="434"/>
      <c r="L111" s="434"/>
      <c r="M111" s="434"/>
    </row>
    <row r="112" spans="1:13" x14ac:dyDescent="0.2">
      <c r="E112" s="434"/>
      <c r="F112" s="434"/>
      <c r="G112" s="434"/>
      <c r="H112" s="434"/>
      <c r="I112" s="434"/>
      <c r="J112" s="434"/>
      <c r="K112" s="434"/>
      <c r="L112" s="434"/>
      <c r="M112" s="434"/>
    </row>
    <row r="113" spans="5:13" x14ac:dyDescent="0.2">
      <c r="E113" s="434"/>
      <c r="F113" s="434"/>
      <c r="G113" s="434"/>
      <c r="H113" s="434"/>
      <c r="I113" s="434"/>
      <c r="J113" s="434"/>
      <c r="K113" s="434"/>
      <c r="L113" s="434"/>
      <c r="M113" s="434"/>
    </row>
    <row r="114" spans="5:13" x14ac:dyDescent="0.2">
      <c r="E114" s="434"/>
      <c r="F114" s="434"/>
      <c r="G114" s="434"/>
      <c r="H114" s="434"/>
      <c r="I114" s="434"/>
      <c r="J114" s="434"/>
      <c r="K114" s="434"/>
      <c r="L114" s="434"/>
      <c r="M114" s="434"/>
    </row>
    <row r="115" spans="5:13" x14ac:dyDescent="0.2">
      <c r="E115" s="434"/>
      <c r="F115" s="434"/>
      <c r="G115" s="434"/>
      <c r="H115" s="434"/>
      <c r="I115" s="434"/>
      <c r="J115" s="434"/>
      <c r="K115" s="434"/>
      <c r="L115" s="434"/>
      <c r="M115" s="434"/>
    </row>
    <row r="116" spans="5:13" x14ac:dyDescent="0.2">
      <c r="E116" s="434"/>
      <c r="F116" s="434"/>
      <c r="G116" s="434"/>
      <c r="H116" s="434"/>
      <c r="I116" s="434"/>
      <c r="J116" s="434"/>
      <c r="K116" s="434"/>
      <c r="L116" s="434"/>
      <c r="M116" s="434"/>
    </row>
    <row r="117" spans="5:13" x14ac:dyDescent="0.2">
      <c r="E117" s="434"/>
      <c r="F117" s="434"/>
      <c r="G117" s="434"/>
      <c r="H117" s="434"/>
      <c r="I117" s="434"/>
      <c r="J117" s="434"/>
      <c r="K117" s="434"/>
      <c r="L117" s="434"/>
      <c r="M117" s="434"/>
    </row>
    <row r="118" spans="5:13" x14ac:dyDescent="0.2">
      <c r="E118" s="434"/>
      <c r="F118" s="434"/>
      <c r="G118" s="434"/>
      <c r="H118" s="434"/>
      <c r="I118" s="434"/>
      <c r="J118" s="434"/>
      <c r="K118" s="434"/>
      <c r="L118" s="434"/>
      <c r="M118" s="434"/>
    </row>
    <row r="119" spans="5:13" x14ac:dyDescent="0.2">
      <c r="E119" s="434"/>
      <c r="F119" s="434"/>
      <c r="G119" s="434"/>
      <c r="H119" s="434"/>
      <c r="I119" s="434"/>
      <c r="J119" s="434"/>
      <c r="K119" s="434"/>
      <c r="L119" s="434"/>
      <c r="M119" s="434"/>
    </row>
    <row r="120" spans="5:13" x14ac:dyDescent="0.2">
      <c r="E120" s="434"/>
      <c r="F120" s="434"/>
      <c r="G120" s="434"/>
      <c r="H120" s="434"/>
      <c r="I120" s="434"/>
      <c r="J120" s="434"/>
      <c r="K120" s="434"/>
      <c r="L120" s="434"/>
      <c r="M120" s="434"/>
    </row>
    <row r="121" spans="5:13" x14ac:dyDescent="0.2">
      <c r="E121" s="434"/>
      <c r="F121" s="434"/>
      <c r="G121" s="434"/>
      <c r="H121" s="434"/>
      <c r="I121" s="434"/>
      <c r="J121" s="434"/>
      <c r="K121" s="434"/>
      <c r="L121" s="434"/>
      <c r="M121" s="434"/>
    </row>
    <row r="122" spans="5:13" x14ac:dyDescent="0.2">
      <c r="E122" s="434"/>
      <c r="F122" s="434"/>
      <c r="G122" s="434"/>
      <c r="H122" s="434"/>
      <c r="I122" s="434"/>
      <c r="J122" s="434"/>
      <c r="K122" s="434"/>
      <c r="L122" s="434"/>
      <c r="M122" s="434"/>
    </row>
    <row r="123" spans="5:13" x14ac:dyDescent="0.2">
      <c r="E123" s="434"/>
      <c r="F123" s="434"/>
      <c r="G123" s="434"/>
      <c r="H123" s="434"/>
      <c r="I123" s="434"/>
      <c r="J123" s="434"/>
      <c r="K123" s="434"/>
      <c r="L123" s="434"/>
      <c r="M123" s="434"/>
    </row>
    <row r="124" spans="5:13" x14ac:dyDescent="0.2">
      <c r="E124" s="434"/>
      <c r="F124" s="434"/>
      <c r="G124" s="434"/>
      <c r="H124" s="434"/>
      <c r="I124" s="434"/>
      <c r="J124" s="434"/>
      <c r="K124" s="434"/>
      <c r="L124" s="434"/>
      <c r="M124" s="434"/>
    </row>
    <row r="125" spans="5:13" x14ac:dyDescent="0.2">
      <c r="E125" s="434"/>
      <c r="F125" s="434"/>
      <c r="G125" s="434"/>
      <c r="H125" s="434"/>
      <c r="I125" s="434"/>
      <c r="J125" s="434"/>
      <c r="K125" s="434"/>
      <c r="L125" s="434"/>
      <c r="M125" s="434"/>
    </row>
    <row r="126" spans="5:13" x14ac:dyDescent="0.2">
      <c r="E126" s="434"/>
      <c r="F126" s="434"/>
      <c r="G126" s="434"/>
      <c r="H126" s="434"/>
      <c r="I126" s="434"/>
      <c r="J126" s="434"/>
      <c r="K126" s="434"/>
      <c r="L126" s="434"/>
      <c r="M126" s="434"/>
    </row>
    <row r="127" spans="5:13" x14ac:dyDescent="0.2">
      <c r="E127" s="434"/>
      <c r="F127" s="434"/>
      <c r="G127" s="434"/>
      <c r="H127" s="434"/>
      <c r="I127" s="434"/>
      <c r="J127" s="434"/>
      <c r="K127" s="434"/>
      <c r="L127" s="434"/>
      <c r="M127" s="434"/>
    </row>
    <row r="128" spans="5:13" x14ac:dyDescent="0.2">
      <c r="E128" s="434"/>
      <c r="F128" s="434"/>
      <c r="G128" s="434"/>
      <c r="H128" s="434"/>
      <c r="I128" s="434"/>
      <c r="J128" s="434"/>
      <c r="K128" s="434"/>
      <c r="L128" s="434"/>
      <c r="M128" s="434"/>
    </row>
    <row r="129" spans="5:13" x14ac:dyDescent="0.2">
      <c r="E129" s="434"/>
      <c r="F129" s="434"/>
      <c r="G129" s="434"/>
      <c r="H129" s="434"/>
      <c r="I129" s="434"/>
      <c r="J129" s="434"/>
      <c r="K129" s="434"/>
      <c r="L129" s="434"/>
      <c r="M129" s="434"/>
    </row>
    <row r="130" spans="5:13" x14ac:dyDescent="0.2">
      <c r="E130" s="434"/>
      <c r="F130" s="434"/>
      <c r="G130" s="434"/>
      <c r="H130" s="434"/>
      <c r="I130" s="434"/>
      <c r="J130" s="434"/>
      <c r="K130" s="434"/>
      <c r="L130" s="434"/>
      <c r="M130" s="434"/>
    </row>
    <row r="131" spans="5:13" x14ac:dyDescent="0.2">
      <c r="E131" s="434"/>
      <c r="F131" s="434"/>
      <c r="G131" s="434"/>
      <c r="H131" s="434"/>
      <c r="I131" s="434"/>
      <c r="J131" s="434"/>
      <c r="K131" s="434"/>
      <c r="L131" s="434"/>
      <c r="M131" s="434"/>
    </row>
    <row r="132" spans="5:13" x14ac:dyDescent="0.2">
      <c r="E132" s="434"/>
      <c r="F132" s="434"/>
      <c r="G132" s="434"/>
      <c r="H132" s="434"/>
      <c r="I132" s="434"/>
      <c r="J132" s="434"/>
      <c r="K132" s="434"/>
      <c r="L132" s="434"/>
      <c r="M132" s="434"/>
    </row>
    <row r="133" spans="5:13" x14ac:dyDescent="0.2">
      <c r="E133" s="434"/>
      <c r="F133" s="434"/>
      <c r="G133" s="434"/>
      <c r="H133" s="434"/>
      <c r="I133" s="434"/>
      <c r="J133" s="434"/>
      <c r="K133" s="434"/>
      <c r="L133" s="434"/>
      <c r="M133" s="434"/>
    </row>
    <row r="134" spans="5:13" x14ac:dyDescent="0.2">
      <c r="E134" s="434"/>
      <c r="F134" s="434"/>
      <c r="G134" s="434"/>
      <c r="H134" s="434"/>
      <c r="I134" s="434"/>
      <c r="J134" s="434"/>
      <c r="K134" s="434"/>
      <c r="L134" s="434"/>
      <c r="M134" s="434"/>
    </row>
    <row r="135" spans="5:13" x14ac:dyDescent="0.2">
      <c r="E135" s="434"/>
      <c r="F135" s="434"/>
      <c r="G135" s="434"/>
      <c r="H135" s="434"/>
      <c r="I135" s="434"/>
      <c r="J135" s="434"/>
      <c r="K135" s="434"/>
      <c r="L135" s="434"/>
      <c r="M135" s="434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57"/>
  <sheetViews>
    <sheetView showGridLines="0" topLeftCell="A23" workbookViewId="0">
      <selection activeCell="A50" sqref="A50:I57"/>
    </sheetView>
  </sheetViews>
  <sheetFormatPr defaultRowHeight="12.75" x14ac:dyDescent="0.2"/>
  <cols>
    <col min="1" max="1" width="25.85546875" customWidth="1"/>
    <col min="2" max="2" width="11.7109375" bestFit="1" customWidth="1"/>
    <col min="3" max="3" width="10.7109375" bestFit="1" customWidth="1"/>
    <col min="4" max="4" width="9.5703125" bestFit="1" customWidth="1"/>
    <col min="5" max="5" width="10" customWidth="1"/>
    <col min="6" max="9" width="11.140625" customWidth="1"/>
  </cols>
  <sheetData>
    <row r="1" spans="1:13" x14ac:dyDescent="0.2">
      <c r="A1" s="477" t="s">
        <v>331</v>
      </c>
    </row>
    <row r="2" spans="1:13" ht="13.5" thickBot="1" x14ac:dyDescent="0.25"/>
    <row r="3" spans="1:13" ht="24.75" thickBot="1" x14ac:dyDescent="0.25">
      <c r="A3" s="463" t="s">
        <v>117</v>
      </c>
      <c r="B3" s="339" t="s">
        <v>272</v>
      </c>
      <c r="C3" s="473" t="s">
        <v>326</v>
      </c>
      <c r="D3" s="474"/>
      <c r="E3" s="473" t="s">
        <v>327</v>
      </c>
      <c r="F3" s="475"/>
      <c r="G3" s="473" t="s">
        <v>328</v>
      </c>
      <c r="H3" s="474"/>
      <c r="I3" s="476"/>
    </row>
    <row r="4" spans="1:13" ht="13.5" thickBot="1" x14ac:dyDescent="0.25">
      <c r="A4" s="464"/>
      <c r="B4" s="377"/>
      <c r="C4" s="279" t="s">
        <v>110</v>
      </c>
      <c r="D4" s="279" t="s">
        <v>111</v>
      </c>
      <c r="E4" s="279" t="s">
        <v>110</v>
      </c>
      <c r="F4" s="279" t="s">
        <v>111</v>
      </c>
      <c r="G4" s="279" t="s">
        <v>329</v>
      </c>
      <c r="H4" s="279" t="s">
        <v>330</v>
      </c>
      <c r="I4" s="280" t="s">
        <v>258</v>
      </c>
    </row>
    <row r="5" spans="1:13" x14ac:dyDescent="0.2">
      <c r="A5" s="307" t="s">
        <v>234</v>
      </c>
      <c r="B5" s="281">
        <f t="shared" ref="B5:B10" si="0">+B15</f>
        <v>12464.5</v>
      </c>
      <c r="C5" s="281">
        <f>+'Rate Class Energy Model'!M18</f>
        <v>9155875</v>
      </c>
      <c r="D5" s="281">
        <f>+'Rate Class Load Model'!E13</f>
        <v>25520</v>
      </c>
      <c r="E5" s="281">
        <f>+C5</f>
        <v>9155875</v>
      </c>
      <c r="F5" s="281">
        <f>+D5</f>
        <v>25520</v>
      </c>
      <c r="G5" s="281">
        <f>+C5*'Rate Class Energy Model'!$F$25</f>
        <v>9600850.5250000004</v>
      </c>
      <c r="H5" s="281">
        <f>+E5*'Rate Class Energy Model'!$F$25</f>
        <v>9600850.5250000004</v>
      </c>
      <c r="I5" s="292">
        <f>+G5-H5</f>
        <v>0</v>
      </c>
    </row>
    <row r="6" spans="1:13" x14ac:dyDescent="0.2">
      <c r="A6" s="307" t="s">
        <v>235</v>
      </c>
      <c r="B6" s="281">
        <f t="shared" si="0"/>
        <v>12838.446964330369</v>
      </c>
      <c r="C6" s="281">
        <f ca="1">+'Rate Class Energy Model'!M19</f>
        <v>9242735.1577514503</v>
      </c>
      <c r="D6" s="281">
        <f ca="1">+'Rate Class Load Model'!E14</f>
        <v>24982.758735691295</v>
      </c>
      <c r="E6" s="281">
        <v>6932051.3683135882</v>
      </c>
      <c r="F6" s="281">
        <f>+'Chart II'!E339</f>
        <v>18742.893699603548</v>
      </c>
      <c r="G6" s="281">
        <f ca="1">+C6*'Rate Class Energy Model'!$F$25</f>
        <v>9691932.0864181705</v>
      </c>
      <c r="H6" s="281">
        <f>+E6*'Rate Class Energy Model'!$F$25</f>
        <v>7268949.0648136288</v>
      </c>
      <c r="I6" s="292">
        <f t="shared" ref="I6:I10" ca="1" si="1">+G6-H6</f>
        <v>2422983.0216045417</v>
      </c>
      <c r="K6" s="202">
        <f ca="1">+C6-E6</f>
        <v>2310683.7894378621</v>
      </c>
      <c r="L6">
        <v>2310683.7894378621</v>
      </c>
      <c r="M6">
        <f ca="1">+K6*1.0486</f>
        <v>2422983.0216045422</v>
      </c>
    </row>
    <row r="7" spans="1:13" x14ac:dyDescent="0.2">
      <c r="A7" s="307" t="s">
        <v>236</v>
      </c>
      <c r="B7" s="281">
        <f t="shared" si="0"/>
        <v>13223.623254578835</v>
      </c>
      <c r="C7" s="281">
        <f ca="1">+'Rate Class Energy Model'!M20</f>
        <v>9330419.3423713949</v>
      </c>
      <c r="D7" s="281">
        <f ca="1">+'Rate Class Load Model'!E15</f>
        <v>25219.765724629928</v>
      </c>
      <c r="E7" s="281">
        <v>4665209.6711856974</v>
      </c>
      <c r="F7" s="281">
        <f>+'Chart II'!E340</f>
        <v>12502.517137185854</v>
      </c>
      <c r="G7" s="281">
        <f ca="1">+C7*'Rate Class Energy Model'!$F$25</f>
        <v>9783877.7224106453</v>
      </c>
      <c r="H7" s="281">
        <f>+E7*'Rate Class Energy Model'!$F$25</f>
        <v>4891938.8612053227</v>
      </c>
      <c r="I7" s="292">
        <f t="shared" ca="1" si="1"/>
        <v>4891938.8612053227</v>
      </c>
      <c r="K7" s="202">
        <f t="shared" ref="K7:K10" ca="1" si="2">+C7-E7</f>
        <v>4665209.6711856974</v>
      </c>
      <c r="L7">
        <v>4665209.6711856974</v>
      </c>
      <c r="M7">
        <f t="shared" ref="M7:M10" ca="1" si="3">+K7*1.0486</f>
        <v>4891938.8612053227</v>
      </c>
    </row>
    <row r="8" spans="1:13" x14ac:dyDescent="0.2">
      <c r="A8" s="307" t="s">
        <v>237</v>
      </c>
      <c r="B8" s="281">
        <f t="shared" si="0"/>
        <v>13620.323929548704</v>
      </c>
      <c r="C8" s="281">
        <f ca="1">+'Rate Class Energy Model'!M21</f>
        <v>9418935.3712561894</v>
      </c>
      <c r="D8" s="281">
        <f ca="1">+'Rate Class Load Model'!E16</f>
        <v>25459.021156720908</v>
      </c>
      <c r="E8" s="281">
        <v>4709467.6856280947</v>
      </c>
      <c r="F8" s="281">
        <f>+'Chart II'!E341</f>
        <v>12388.592866418654</v>
      </c>
      <c r="G8" s="281">
        <f ca="1">+C8*'Rate Class Energy Model'!$F$25</f>
        <v>9876695.6302992404</v>
      </c>
      <c r="H8" s="281">
        <f>+E8*'Rate Class Energy Model'!$F$25</f>
        <v>4938347.8151496202</v>
      </c>
      <c r="I8" s="292">
        <f t="shared" ca="1" si="1"/>
        <v>4938347.8151496202</v>
      </c>
      <c r="K8" s="202">
        <f t="shared" ca="1" si="2"/>
        <v>4709467.6856280947</v>
      </c>
      <c r="L8">
        <v>4709467.6856280947</v>
      </c>
      <c r="M8">
        <f t="shared" ca="1" si="3"/>
        <v>4938347.8151496202</v>
      </c>
    </row>
    <row r="9" spans="1:13" ht="13.5" customHeight="1" x14ac:dyDescent="0.2">
      <c r="A9" s="307" t="s">
        <v>238</v>
      </c>
      <c r="B9" s="281">
        <f t="shared" si="0"/>
        <v>14028.945919148318</v>
      </c>
      <c r="C9" s="281">
        <f ca="1">+'Rate Class Energy Model'!M22</f>
        <v>9508291.1359644234</v>
      </c>
      <c r="D9" s="281">
        <f ca="1">+'Rate Class Load Model'!E17</f>
        <v>25700.546362544512</v>
      </c>
      <c r="E9" s="281">
        <v>4754145.5679822117</v>
      </c>
      <c r="F9" s="281">
        <f>+'Chart II'!E342</f>
        <v>12276.075349922326</v>
      </c>
      <c r="G9" s="281">
        <f ca="1">+C9*'Rate Class Energy Model'!$F$25</f>
        <v>9970394.0851722937</v>
      </c>
      <c r="H9" s="281">
        <f>+E9*'Rate Class Energy Model'!$F$25</f>
        <v>4985197.0425861469</v>
      </c>
      <c r="I9" s="292">
        <f t="shared" ca="1" si="1"/>
        <v>4985197.0425861469</v>
      </c>
      <c r="K9" s="202">
        <f t="shared" ca="1" si="2"/>
        <v>4754145.5679822117</v>
      </c>
      <c r="L9">
        <v>4754145.5679822117</v>
      </c>
      <c r="M9">
        <f t="shared" ca="1" si="3"/>
        <v>4985197.0425861469</v>
      </c>
    </row>
    <row r="10" spans="1:13" ht="13.5" thickBot="1" x14ac:dyDescent="0.25">
      <c r="A10" s="308" t="s">
        <v>239</v>
      </c>
      <c r="B10" s="294">
        <f t="shared" si="0"/>
        <v>14449.788061221263</v>
      </c>
      <c r="C10" s="294">
        <f ca="1">+'Rate Class Energy Model'!M23</f>
        <v>9598494.6029205136</v>
      </c>
      <c r="D10" s="294">
        <f ca="1">+'Rate Class Load Model'!E18</f>
        <v>25944.36287504049</v>
      </c>
      <c r="E10" s="294">
        <v>4799247.3014602568</v>
      </c>
      <c r="F10" s="294">
        <f>+'Chart II'!E343</f>
        <v>12164.85145263752</v>
      </c>
      <c r="G10" s="294">
        <f ca="1">+C10*'Rate Class Energy Model'!$F$25</f>
        <v>10064981.440622451</v>
      </c>
      <c r="H10" s="294">
        <f>+E10*'Rate Class Energy Model'!$F$25</f>
        <v>5032490.7203112254</v>
      </c>
      <c r="I10" s="368">
        <f t="shared" ca="1" si="1"/>
        <v>5032490.7203112254</v>
      </c>
      <c r="K10" s="202">
        <f t="shared" ca="1" si="2"/>
        <v>4799247.3014602568</v>
      </c>
      <c r="L10">
        <v>4799247.3014602568</v>
      </c>
      <c r="M10">
        <f t="shared" ca="1" si="3"/>
        <v>5032490.7203112254</v>
      </c>
    </row>
    <row r="11" spans="1:13" x14ac:dyDescent="0.2">
      <c r="A11" s="471"/>
      <c r="B11" s="472"/>
      <c r="C11" s="472"/>
      <c r="D11" s="472"/>
      <c r="E11" s="472"/>
      <c r="F11" s="472"/>
      <c r="G11" s="472"/>
      <c r="H11" s="472"/>
      <c r="I11" s="472"/>
    </row>
    <row r="12" spans="1:13" x14ac:dyDescent="0.2">
      <c r="A12" s="477" t="s">
        <v>332</v>
      </c>
      <c r="B12" s="472"/>
      <c r="C12" s="472"/>
      <c r="D12" s="472"/>
      <c r="E12" s="472"/>
      <c r="F12" s="472"/>
      <c r="G12" s="472"/>
      <c r="H12" s="472"/>
      <c r="I12" s="472"/>
    </row>
    <row r="13" spans="1:13" ht="13.5" thickBot="1" x14ac:dyDescent="0.25">
      <c r="D13" s="202"/>
    </row>
    <row r="14" spans="1:13" ht="24.75" thickBot="1" x14ac:dyDescent="0.25">
      <c r="A14" s="286" t="s">
        <v>117</v>
      </c>
      <c r="B14" s="279" t="s">
        <v>272</v>
      </c>
      <c r="C14" s="279" t="s">
        <v>110</v>
      </c>
      <c r="D14" s="279" t="s">
        <v>111</v>
      </c>
      <c r="E14" s="279" t="s">
        <v>110</v>
      </c>
      <c r="F14" s="279" t="s">
        <v>111</v>
      </c>
      <c r="G14" s="279" t="s">
        <v>6</v>
      </c>
      <c r="H14" s="279" t="s">
        <v>273</v>
      </c>
      <c r="I14" s="280" t="s">
        <v>273</v>
      </c>
    </row>
    <row r="15" spans="1:13" x14ac:dyDescent="0.2">
      <c r="A15" s="307" t="s">
        <v>318</v>
      </c>
      <c r="B15" s="281">
        <f>+'Chart II'!G44</f>
        <v>12464.5</v>
      </c>
      <c r="C15" s="281">
        <f>+'Rate Class Energy Model'!M18</f>
        <v>9155875</v>
      </c>
      <c r="D15" s="281">
        <f>+'Rate Class Load Model'!E13</f>
        <v>25520</v>
      </c>
      <c r="E15" s="281">
        <f>+C15</f>
        <v>9155875</v>
      </c>
      <c r="F15" s="281">
        <f>+D15</f>
        <v>25520</v>
      </c>
      <c r="G15" s="281">
        <f>+C15*'Rate Class Energy Model'!$F$25</f>
        <v>9600850.5250000004</v>
      </c>
      <c r="H15" s="281">
        <f>+E15*'Rate Class Energy Model'!$F$25</f>
        <v>9600850.5250000004</v>
      </c>
      <c r="I15" s="292">
        <f t="shared" ref="I15:I20" si="4">+G15-H15</f>
        <v>0</v>
      </c>
    </row>
    <row r="16" spans="1:13" x14ac:dyDescent="0.2">
      <c r="A16" s="307" t="s">
        <v>235</v>
      </c>
      <c r="B16" s="281">
        <f>+'Chart II'!G45</f>
        <v>12838.446964330369</v>
      </c>
      <c r="C16" s="281">
        <f ca="1">+'Rate Class Energy Model'!M19</f>
        <v>9242735.1577514503</v>
      </c>
      <c r="D16" s="281">
        <f ca="1">+'Rate Class Load Model'!E14</f>
        <v>24982.758735691295</v>
      </c>
      <c r="E16" s="281">
        <f ca="1">+C16-(C16*(0.5/2))</f>
        <v>6932051.3683135882</v>
      </c>
      <c r="F16" s="281">
        <f ca="1">+D16-(D16*(0.5/2))</f>
        <v>18737.069051768471</v>
      </c>
      <c r="G16" s="281">
        <f ca="1">+C16*'Rate Class Energy Model'!$F$25</f>
        <v>9691932.0864181705</v>
      </c>
      <c r="H16" s="281">
        <f ca="1">+E16*'Rate Class Energy Model'!$F$25</f>
        <v>7268949.0648136288</v>
      </c>
      <c r="I16" s="292">
        <f t="shared" ca="1" si="4"/>
        <v>2422983.0216045417</v>
      </c>
    </row>
    <row r="17" spans="1:9" x14ac:dyDescent="0.2">
      <c r="A17" s="307" t="s">
        <v>236</v>
      </c>
      <c r="B17" s="281">
        <f>+'Chart II'!G46</f>
        <v>13223.623254578835</v>
      </c>
      <c r="C17" s="281">
        <f ca="1">+'Rate Class Energy Model'!M20</f>
        <v>9330419.3423713949</v>
      </c>
      <c r="D17" s="281">
        <f ca="1">+'Rate Class Load Model'!E15</f>
        <v>25219.765724629928</v>
      </c>
      <c r="E17" s="281">
        <f ca="1">+C17-(C17*(0.5))</f>
        <v>4665209.6711856974</v>
      </c>
      <c r="F17" s="281">
        <f ca="1">+D17-(D17*(0.5))</f>
        <v>12609.882862314964</v>
      </c>
      <c r="G17" s="281">
        <f ca="1">+C17*'Rate Class Energy Model'!$F$25</f>
        <v>9783877.7224106453</v>
      </c>
      <c r="H17" s="281">
        <f ca="1">+E17*'Rate Class Energy Model'!$F$25</f>
        <v>4891938.8612053227</v>
      </c>
      <c r="I17" s="292">
        <f t="shared" ca="1" si="4"/>
        <v>4891938.8612053227</v>
      </c>
    </row>
    <row r="18" spans="1:9" x14ac:dyDescent="0.2">
      <c r="A18" s="307" t="s">
        <v>237</v>
      </c>
      <c r="B18" s="281">
        <f>+'Chart II'!G47</f>
        <v>13620.323929548704</v>
      </c>
      <c r="C18" s="281">
        <f ca="1">+'Rate Class Energy Model'!M21</f>
        <v>9418935.3712561894</v>
      </c>
      <c r="D18" s="281">
        <f ca="1">+'Rate Class Load Model'!E16</f>
        <v>25459.021156720908</v>
      </c>
      <c r="E18" s="281">
        <f t="shared" ref="E18:F20" ca="1" si="5">+C18-(C18*(0.5))</f>
        <v>4709467.6856280947</v>
      </c>
      <c r="F18" s="281">
        <f t="shared" ca="1" si="5"/>
        <v>12729.510578360454</v>
      </c>
      <c r="G18" s="281">
        <f ca="1">+C18*'Rate Class Energy Model'!$F$25</f>
        <v>9876695.6302992404</v>
      </c>
      <c r="H18" s="281">
        <f ca="1">+E18*'Rate Class Energy Model'!$F$25</f>
        <v>4938347.8151496202</v>
      </c>
      <c r="I18" s="292">
        <f t="shared" ca="1" si="4"/>
        <v>4938347.8151496202</v>
      </c>
    </row>
    <row r="19" spans="1:9" x14ac:dyDescent="0.2">
      <c r="A19" s="307" t="s">
        <v>238</v>
      </c>
      <c r="B19" s="281">
        <f>+'Chart II'!G48</f>
        <v>14028.945919148318</v>
      </c>
      <c r="C19" s="281">
        <f ca="1">+'Rate Class Energy Model'!M22</f>
        <v>9508291.1359644234</v>
      </c>
      <c r="D19" s="281">
        <f ca="1">+'Rate Class Load Model'!E17</f>
        <v>25700.546362544512</v>
      </c>
      <c r="E19" s="281">
        <f t="shared" ca="1" si="5"/>
        <v>4754145.5679822117</v>
      </c>
      <c r="F19" s="281">
        <f t="shared" ca="1" si="5"/>
        <v>12850.273181272256</v>
      </c>
      <c r="G19" s="281">
        <f ca="1">+C19*'Rate Class Energy Model'!$F$25</f>
        <v>9970394.0851722937</v>
      </c>
      <c r="H19" s="281">
        <f ca="1">+E19*'Rate Class Energy Model'!$F$25</f>
        <v>4985197.0425861469</v>
      </c>
      <c r="I19" s="292">
        <f t="shared" ca="1" si="4"/>
        <v>4985197.0425861469</v>
      </c>
    </row>
    <row r="20" spans="1:9" ht="13.5" thickBot="1" x14ac:dyDescent="0.25">
      <c r="A20" s="308" t="s">
        <v>239</v>
      </c>
      <c r="B20" s="294">
        <f>+'Chart II'!G49</f>
        <v>14449.788061221263</v>
      </c>
      <c r="C20" s="294">
        <f ca="1">+'Rate Class Energy Model'!M23</f>
        <v>9598494.6029205136</v>
      </c>
      <c r="D20" s="294">
        <f ca="1">+'Rate Class Load Model'!E18</f>
        <v>25944.36287504049</v>
      </c>
      <c r="E20" s="294">
        <f t="shared" ca="1" si="5"/>
        <v>4799247.3014602568</v>
      </c>
      <c r="F20" s="294">
        <f t="shared" ca="1" si="5"/>
        <v>12972.181437520245</v>
      </c>
      <c r="G20" s="294">
        <f ca="1">+C20*'Rate Class Energy Model'!$F$25</f>
        <v>10064981.440622451</v>
      </c>
      <c r="H20" s="294">
        <f ca="1">+E20*'Rate Class Energy Model'!$F$25</f>
        <v>5032490.7203112254</v>
      </c>
      <c r="I20" s="368">
        <f t="shared" ca="1" si="4"/>
        <v>5032490.7203112254</v>
      </c>
    </row>
    <row r="22" spans="1:9" ht="13.5" thickBot="1" x14ac:dyDescent="0.25"/>
    <row r="23" spans="1:9" ht="24.75" thickBot="1" x14ac:dyDescent="0.25">
      <c r="A23" s="506" t="s">
        <v>334</v>
      </c>
      <c r="B23" s="339" t="s">
        <v>272</v>
      </c>
      <c r="C23" s="473" t="s">
        <v>326</v>
      </c>
      <c r="D23" s="474"/>
      <c r="E23" s="473" t="s">
        <v>327</v>
      </c>
      <c r="F23" s="475"/>
      <c r="G23" s="473" t="s">
        <v>328</v>
      </c>
      <c r="H23" s="474"/>
      <c r="I23" s="476"/>
    </row>
    <row r="24" spans="1:9" ht="13.5" thickBot="1" x14ac:dyDescent="0.25">
      <c r="A24" s="507"/>
      <c r="B24" s="377"/>
      <c r="C24" s="279" t="s">
        <v>110</v>
      </c>
      <c r="D24" s="279" t="s">
        <v>111</v>
      </c>
      <c r="E24" s="279" t="s">
        <v>110</v>
      </c>
      <c r="F24" s="279" t="s">
        <v>111</v>
      </c>
      <c r="G24" s="279" t="s">
        <v>329</v>
      </c>
      <c r="H24" s="279" t="s">
        <v>330</v>
      </c>
      <c r="I24" s="280" t="s">
        <v>258</v>
      </c>
    </row>
    <row r="25" spans="1:9" x14ac:dyDescent="0.2">
      <c r="A25" s="307" t="s">
        <v>234</v>
      </c>
      <c r="B25" s="281">
        <f>+B5</f>
        <v>12464.5</v>
      </c>
      <c r="C25" s="281">
        <f>+C5</f>
        <v>9155875</v>
      </c>
      <c r="D25" s="281">
        <f>+'Rate Class Load Model'!E13</f>
        <v>25520</v>
      </c>
      <c r="E25" s="281">
        <f>+C25</f>
        <v>9155875</v>
      </c>
      <c r="F25" s="281">
        <f>+D25</f>
        <v>25520</v>
      </c>
      <c r="G25" s="281">
        <f>+C25*'Rate Class Energy Model'!$F$25</f>
        <v>9600850.5250000004</v>
      </c>
      <c r="H25" s="281">
        <f>+E25*'Rate Class Energy Model'!$F$25</f>
        <v>9600850.5250000004</v>
      </c>
      <c r="I25" s="292">
        <f>+G25-H25</f>
        <v>0</v>
      </c>
    </row>
    <row r="26" spans="1:9" x14ac:dyDescent="0.2">
      <c r="A26" s="307" t="s">
        <v>235</v>
      </c>
      <c r="B26" s="281">
        <f>+B25</f>
        <v>12464.5</v>
      </c>
      <c r="C26" s="281">
        <f>+C25*'Rate Class Energy Model'!$M$61</f>
        <v>9064316.25</v>
      </c>
      <c r="D26" s="281">
        <f>+C26*'Rate Class Load Model'!$E$43</f>
        <v>24500.499269184584</v>
      </c>
      <c r="E26" s="281">
        <f t="shared" ref="E26" si="6">+C26-(C26*(0.5/2))</f>
        <v>6798237.1875</v>
      </c>
      <c r="F26" s="281">
        <f>+E26*'Rate Class Load Model'!$E$43</f>
        <v>18375.374451888438</v>
      </c>
      <c r="G26" s="281">
        <f>+C26*'Rate Class Energy Model'!$F$25</f>
        <v>9504842.019749999</v>
      </c>
      <c r="H26" s="281">
        <f>+E26*'Rate Class Energy Model'!$F$25</f>
        <v>7128631.5148125002</v>
      </c>
      <c r="I26" s="292">
        <f t="shared" ref="I26:I30" si="7">+G26-H26</f>
        <v>2376210.5049374988</v>
      </c>
    </row>
    <row r="27" spans="1:9" x14ac:dyDescent="0.2">
      <c r="A27" s="307" t="s">
        <v>236</v>
      </c>
      <c r="B27" s="281">
        <f>+B26</f>
        <v>12464.5</v>
      </c>
      <c r="C27" s="281">
        <f>+C26*'Rate Class Energy Model'!$M$61</f>
        <v>8973673.0875000004</v>
      </c>
      <c r="D27" s="281">
        <f>+C27*'Rate Class Load Model'!$E$43</f>
        <v>24255.49427649274</v>
      </c>
      <c r="E27" s="281">
        <f t="shared" ref="E27:E30" si="8">+C27-(C27*(0.5))</f>
        <v>4486836.5437500002</v>
      </c>
      <c r="F27" s="281">
        <f>+E27*'Rate Class Load Model'!$E$43</f>
        <v>12127.74713824637</v>
      </c>
      <c r="G27" s="281">
        <f>+C27*'Rate Class Energy Model'!$F$25</f>
        <v>9409793.599552501</v>
      </c>
      <c r="H27" s="281">
        <f>+E27*'Rate Class Energy Model'!$F$25</f>
        <v>4704896.7997762505</v>
      </c>
      <c r="I27" s="292">
        <f t="shared" si="7"/>
        <v>4704896.7997762505</v>
      </c>
    </row>
    <row r="28" spans="1:9" x14ac:dyDescent="0.2">
      <c r="A28" s="307" t="s">
        <v>237</v>
      </c>
      <c r="B28" s="281">
        <f>+B27</f>
        <v>12464.5</v>
      </c>
      <c r="C28" s="281">
        <f>+C27*'Rate Class Energy Model'!$M$61</f>
        <v>8883936.356625</v>
      </c>
      <c r="D28" s="281">
        <f>+C28*'Rate Class Load Model'!$E$43</f>
        <v>24012.939333727812</v>
      </c>
      <c r="E28" s="281">
        <f t="shared" si="8"/>
        <v>4441968.1783125</v>
      </c>
      <c r="F28" s="281">
        <f>+E28*'Rate Class Load Model'!$E$43</f>
        <v>12006.469666863906</v>
      </c>
      <c r="G28" s="281">
        <f>+C28*'Rate Class Energy Model'!$F$25</f>
        <v>9315695.6635569744</v>
      </c>
      <c r="H28" s="281">
        <f>+E28*'Rate Class Energy Model'!$F$25</f>
        <v>4657847.8317784872</v>
      </c>
      <c r="I28" s="292">
        <f t="shared" si="7"/>
        <v>4657847.8317784872</v>
      </c>
    </row>
    <row r="29" spans="1:9" x14ac:dyDescent="0.2">
      <c r="A29" s="307" t="s">
        <v>238</v>
      </c>
      <c r="B29" s="281">
        <f>+B28</f>
        <v>12464.5</v>
      </c>
      <c r="C29" s="281">
        <f>+C28*'Rate Class Energy Model'!$M$61</f>
        <v>8795096.9930587504</v>
      </c>
      <c r="D29" s="281">
        <f>+C29*'Rate Class Load Model'!$E$43</f>
        <v>23772.809940390536</v>
      </c>
      <c r="E29" s="281">
        <f t="shared" si="8"/>
        <v>4397548.4965293752</v>
      </c>
      <c r="F29" s="281">
        <f>+E29*'Rate Class Load Model'!$E$43</f>
        <v>11886.404970195268</v>
      </c>
      <c r="G29" s="281">
        <f>+C29*'Rate Class Energy Model'!$F$25</f>
        <v>9222538.7069214061</v>
      </c>
      <c r="H29" s="281">
        <f>+E29*'Rate Class Energy Model'!$F$25</f>
        <v>4611269.353460703</v>
      </c>
      <c r="I29" s="292">
        <f t="shared" si="7"/>
        <v>4611269.353460703</v>
      </c>
    </row>
    <row r="30" spans="1:9" ht="13.5" thickBot="1" x14ac:dyDescent="0.25">
      <c r="A30" s="308" t="s">
        <v>239</v>
      </c>
      <c r="B30" s="294">
        <f>+B29</f>
        <v>12464.5</v>
      </c>
      <c r="C30" s="294">
        <f>+C29*'Rate Class Energy Model'!$M$61</f>
        <v>8707146.0231281631</v>
      </c>
      <c r="D30" s="294">
        <f>+C30*'Rate Class Load Model'!$E$43</f>
        <v>23535.08184098663</v>
      </c>
      <c r="E30" s="294">
        <f t="shared" si="8"/>
        <v>4353573.0115640815</v>
      </c>
      <c r="F30" s="294">
        <f>+E30*'Rate Class Load Model'!$E$43</f>
        <v>11767.540920493315</v>
      </c>
      <c r="G30" s="294">
        <f>+C30*'Rate Class Energy Model'!$F$25</f>
        <v>9130313.319852192</v>
      </c>
      <c r="H30" s="294">
        <f>+E30*'Rate Class Energy Model'!$F$25</f>
        <v>4565156.659926096</v>
      </c>
      <c r="I30" s="368">
        <f t="shared" si="7"/>
        <v>4565156.659926096</v>
      </c>
    </row>
    <row r="31" spans="1:9" ht="13.5" thickBot="1" x14ac:dyDescent="0.25"/>
    <row r="32" spans="1:9" ht="24.75" thickBot="1" x14ac:dyDescent="0.25">
      <c r="A32" s="506" t="s">
        <v>335</v>
      </c>
      <c r="B32" s="510" t="s">
        <v>272</v>
      </c>
      <c r="C32" s="508" t="s">
        <v>327</v>
      </c>
      <c r="D32" s="509"/>
      <c r="E32" s="280" t="s">
        <v>328</v>
      </c>
    </row>
    <row r="33" spans="1:11" ht="13.5" thickBot="1" x14ac:dyDescent="0.25">
      <c r="A33" s="507"/>
      <c r="B33" s="511"/>
      <c r="C33" s="279" t="s">
        <v>110</v>
      </c>
      <c r="D33" s="279" t="s">
        <v>111</v>
      </c>
      <c r="E33" s="280" t="s">
        <v>330</v>
      </c>
    </row>
    <row r="34" spans="1:11" x14ac:dyDescent="0.2">
      <c r="A34" s="307" t="s">
        <v>234</v>
      </c>
      <c r="B34" s="281">
        <v>0</v>
      </c>
      <c r="C34" s="281">
        <v>0</v>
      </c>
      <c r="D34" s="281">
        <v>0</v>
      </c>
      <c r="E34" s="292">
        <f>+C34*'Rate Class Energy Model'!$F$25</f>
        <v>0</v>
      </c>
    </row>
    <row r="35" spans="1:11" x14ac:dyDescent="0.2">
      <c r="A35" s="307" t="s">
        <v>235</v>
      </c>
      <c r="B35" s="281">
        <f>+'Chart II'!G45-'Chart II'!G44</f>
        <v>373.94696433036916</v>
      </c>
      <c r="C35" s="281">
        <f>+'Rate Class Energy Model'!M42/2*B35</f>
        <v>135969.09404380183</v>
      </c>
      <c r="D35" s="281">
        <f>+C35*'Rate Class Load Model'!$E$43</f>
        <v>367.51924771511108</v>
      </c>
      <c r="E35" s="292">
        <f>+C35*'Rate Class Energy Model'!$F$25</f>
        <v>142577.19201433059</v>
      </c>
    </row>
    <row r="36" spans="1:11" x14ac:dyDescent="0.2">
      <c r="A36" s="307" t="s">
        <v>236</v>
      </c>
      <c r="B36" s="281">
        <f>+'Chart II'!G46-'Chart II'!G45</f>
        <v>385.1762902484661</v>
      </c>
      <c r="C36" s="281">
        <f>+'Rate Class Energy Model'!M43/2*B36</f>
        <v>138651.61497636285</v>
      </c>
      <c r="D36" s="281">
        <f>+C36*'Rate Class Load Model'!$E$43</f>
        <v>374.76999893948323</v>
      </c>
      <c r="E36" s="292">
        <f>+C36*'Rate Class Energy Model'!$F$25</f>
        <v>145390.08346421408</v>
      </c>
    </row>
    <row r="37" spans="1:11" x14ac:dyDescent="0.2">
      <c r="A37" s="307" t="s">
        <v>237</v>
      </c>
      <c r="B37" s="281">
        <f>+'Chart II'!G47-'Chart II'!G46</f>
        <v>396.70067496986849</v>
      </c>
      <c r="C37" s="281">
        <f>+'Rate Class Energy Model'!M44/2*B37</f>
        <v>141372.03855198732</v>
      </c>
      <c r="D37" s="281">
        <f>+C37*'Rate Class Load Model'!$E$43</f>
        <v>382.12319955474857</v>
      </c>
      <c r="E37" s="292">
        <f>+C37*'Rate Class Energy Model'!$F$25</f>
        <v>148242.71962561391</v>
      </c>
    </row>
    <row r="38" spans="1:11" x14ac:dyDescent="0.2">
      <c r="A38" s="307" t="s">
        <v>238</v>
      </c>
      <c r="B38" s="281">
        <f>+'Chart II'!G48-'Chart II'!G47</f>
        <v>408.62198959961461</v>
      </c>
      <c r="C38" s="281">
        <f>+'Rate Class Energy Model'!M45/2*B38</f>
        <v>144164.22768764308</v>
      </c>
      <c r="D38" s="281">
        <f>+C38*'Rate Class Load Model'!$E$43</f>
        <v>389.67037972705987</v>
      </c>
      <c r="E38" s="292">
        <f>+C38*'Rate Class Energy Model'!$F$25</f>
        <v>151170.60915326254</v>
      </c>
    </row>
    <row r="39" spans="1:11" ht="13.5" thickBot="1" x14ac:dyDescent="0.25">
      <c r="A39" s="308" t="s">
        <v>239</v>
      </c>
      <c r="B39" s="294">
        <f>+'Chart II'!G49-'Chart II'!G48</f>
        <v>420.84214207294463</v>
      </c>
      <c r="C39" s="294">
        <f>+'Rate Class Energy Model'!M46/2*B39</f>
        <v>146990.81325826055</v>
      </c>
      <c r="D39" s="294">
        <f>+C39*'Rate Class Load Model'!$E$43</f>
        <v>397.3105321442045</v>
      </c>
      <c r="E39" s="368">
        <f>+C39*'Rate Class Energy Model'!$F$25</f>
        <v>154134.566782612</v>
      </c>
    </row>
    <row r="40" spans="1:11" ht="13.5" thickBot="1" x14ac:dyDescent="0.25"/>
    <row r="41" spans="1:11" ht="24.75" thickBot="1" x14ac:dyDescent="0.25">
      <c r="A41" s="506" t="s">
        <v>337</v>
      </c>
      <c r="B41" s="339" t="s">
        <v>272</v>
      </c>
      <c r="C41" s="473" t="s">
        <v>326</v>
      </c>
      <c r="D41" s="474"/>
      <c r="E41" s="473" t="s">
        <v>327</v>
      </c>
      <c r="F41" s="475"/>
      <c r="G41" s="473" t="s">
        <v>328</v>
      </c>
      <c r="H41" s="474"/>
      <c r="I41" s="476"/>
    </row>
    <row r="42" spans="1:11" ht="13.5" thickBot="1" x14ac:dyDescent="0.25">
      <c r="A42" s="507"/>
      <c r="B42" s="377"/>
      <c r="C42" s="279" t="s">
        <v>110</v>
      </c>
      <c r="D42" s="279" t="s">
        <v>111</v>
      </c>
      <c r="E42" s="279" t="s">
        <v>110</v>
      </c>
      <c r="F42" s="279" t="s">
        <v>111</v>
      </c>
      <c r="G42" s="279" t="s">
        <v>329</v>
      </c>
      <c r="H42" s="279" t="s">
        <v>330</v>
      </c>
      <c r="I42" s="280" t="s">
        <v>258</v>
      </c>
    </row>
    <row r="43" spans="1:11" x14ac:dyDescent="0.2">
      <c r="A43" s="307" t="s">
        <v>234</v>
      </c>
      <c r="B43" s="281">
        <f>+B5</f>
        <v>12464.5</v>
      </c>
      <c r="C43" s="281">
        <f>+'Rate Class Energy Model'!M18</f>
        <v>9155875</v>
      </c>
      <c r="D43" s="281">
        <f>+'Rate Class Load Model'!E13</f>
        <v>25520</v>
      </c>
      <c r="E43" s="281">
        <f>+E25+C34</f>
        <v>9155875</v>
      </c>
      <c r="F43" s="281">
        <f>+D43</f>
        <v>25520</v>
      </c>
      <c r="G43" s="281">
        <f>+C43*'Rate Class Energy Model'!$F$25</f>
        <v>9600850.5250000004</v>
      </c>
      <c r="H43" s="281">
        <f>+E43*'Rate Class Energy Model'!$F$25</f>
        <v>9600850.5250000004</v>
      </c>
      <c r="I43" s="292">
        <f>+G43-H43</f>
        <v>0</v>
      </c>
    </row>
    <row r="44" spans="1:11" x14ac:dyDescent="0.2">
      <c r="A44" s="307" t="s">
        <v>235</v>
      </c>
      <c r="B44" s="281">
        <f>+B6</f>
        <v>12838.446964330369</v>
      </c>
      <c r="C44" s="281">
        <f ca="1">+'Rate Class Energy Model'!M19</f>
        <v>9242735.1577514503</v>
      </c>
      <c r="D44" s="281">
        <f ca="1">+'Rate Class Load Model'!E14</f>
        <v>24982.758735691295</v>
      </c>
      <c r="E44" s="281">
        <f>+E26+C35</f>
        <v>6934206.2815438015</v>
      </c>
      <c r="F44" s="281">
        <f>+E44*'Rate Class Load Model'!$E$43</f>
        <v>18742.893699603548</v>
      </c>
      <c r="G44" s="281">
        <f ca="1">+C44*'Rate Class Energy Model'!$F$25</f>
        <v>9691932.0864181705</v>
      </c>
      <c r="H44" s="281">
        <f>+E44*'Rate Class Energy Model'!$F$25</f>
        <v>7271208.7068268303</v>
      </c>
      <c r="I44" s="292">
        <f t="shared" ref="I44:I48" ca="1" si="9">+G44-H44</f>
        <v>2420723.3795913402</v>
      </c>
      <c r="K44">
        <v>24747.97905978241</v>
      </c>
    </row>
    <row r="45" spans="1:11" x14ac:dyDescent="0.2">
      <c r="A45" s="307" t="s">
        <v>236</v>
      </c>
      <c r="B45" s="281">
        <f>+B7</f>
        <v>13223.623254578835</v>
      </c>
      <c r="C45" s="281">
        <f ca="1">+'Rate Class Energy Model'!M20</f>
        <v>9330419.3423713949</v>
      </c>
      <c r="D45" s="281">
        <f ca="1">+'Rate Class Load Model'!E15</f>
        <v>25219.765724629928</v>
      </c>
      <c r="E45" s="281">
        <f>+E27+C36</f>
        <v>4625488.1587263634</v>
      </c>
      <c r="F45" s="281">
        <f>+E45*'Rate Class Load Model'!$E$43</f>
        <v>12502.517137185854</v>
      </c>
      <c r="G45" s="281">
        <f ca="1">+C45*'Rate Class Energy Model'!$F$25</f>
        <v>9783877.7224106453</v>
      </c>
      <c r="H45" s="281">
        <f>+E45*'Rate Class Energy Model'!$F$25</f>
        <v>4850286.8832404641</v>
      </c>
      <c r="I45" s="292">
        <f t="shared" ca="1" si="9"/>
        <v>4933590.8391701812</v>
      </c>
      <c r="K45">
        <v>18742.893699603548</v>
      </c>
    </row>
    <row r="46" spans="1:11" x14ac:dyDescent="0.2">
      <c r="A46" s="307" t="s">
        <v>237</v>
      </c>
      <c r="B46" s="281">
        <f>+B8</f>
        <v>13620.323929548704</v>
      </c>
      <c r="C46" s="281">
        <f ca="1">+'Rate Class Energy Model'!M21</f>
        <v>9418935.3712561894</v>
      </c>
      <c r="D46" s="281">
        <f ca="1">+'Rate Class Load Model'!E16</f>
        <v>25459.021156720908</v>
      </c>
      <c r="E46" s="281">
        <f>+E28+C37</f>
        <v>4583340.2168644872</v>
      </c>
      <c r="F46" s="281">
        <f>+E46*'Rate Class Load Model'!$E$43</f>
        <v>12388.592866418654</v>
      </c>
      <c r="G46" s="281">
        <f ca="1">+C46*'Rate Class Energy Model'!$F$25</f>
        <v>9876695.6302992404</v>
      </c>
      <c r="H46" s="281">
        <f>+E46*'Rate Class Energy Model'!$F$25</f>
        <v>4806090.5514041008</v>
      </c>
      <c r="I46" s="292">
        <f t="shared" ca="1" si="9"/>
        <v>5070605.0788951395</v>
      </c>
      <c r="K46">
        <v>12502.517137185854</v>
      </c>
    </row>
    <row r="47" spans="1:11" x14ac:dyDescent="0.2">
      <c r="A47" s="307" t="s">
        <v>238</v>
      </c>
      <c r="B47" s="281">
        <f>+B9</f>
        <v>14028.945919148318</v>
      </c>
      <c r="C47" s="281">
        <f ca="1">+'Rate Class Energy Model'!M22</f>
        <v>9508291.1359644234</v>
      </c>
      <c r="D47" s="281">
        <f ca="1">+'Rate Class Load Model'!E17</f>
        <v>25700.546362544512</v>
      </c>
      <c r="E47" s="281">
        <f>+E29+C38</f>
        <v>4541712.7242170181</v>
      </c>
      <c r="F47" s="281">
        <f>+E47*'Rate Class Load Model'!$E$43</f>
        <v>12276.075349922326</v>
      </c>
      <c r="G47" s="281">
        <f ca="1">+C47*'Rate Class Energy Model'!$F$25</f>
        <v>9970394.0851722937</v>
      </c>
      <c r="H47" s="281">
        <f>+E47*'Rate Class Energy Model'!$F$25</f>
        <v>4762439.9626139654</v>
      </c>
      <c r="I47" s="292">
        <f t="shared" ca="1" si="9"/>
        <v>5207954.1225583283</v>
      </c>
      <c r="K47">
        <v>12388.592866418654</v>
      </c>
    </row>
    <row r="48" spans="1:11" ht="13.5" thickBot="1" x14ac:dyDescent="0.25">
      <c r="A48" s="308" t="s">
        <v>239</v>
      </c>
      <c r="B48" s="294">
        <f>+B10</f>
        <v>14449.788061221263</v>
      </c>
      <c r="C48" s="294">
        <f ca="1">+'Rate Class Energy Model'!M23</f>
        <v>9598494.6029205136</v>
      </c>
      <c r="D48" s="294">
        <f ca="1">+'Rate Class Load Model'!E18</f>
        <v>25944.36287504049</v>
      </c>
      <c r="E48" s="294">
        <f>+E30+C39</f>
        <v>4500563.824822342</v>
      </c>
      <c r="F48" s="294">
        <f>+E48*'Rate Class Load Model'!$E$43</f>
        <v>12164.85145263752</v>
      </c>
      <c r="G48" s="294">
        <f ca="1">+C48*'Rate Class Energy Model'!$F$25</f>
        <v>10064981.440622451</v>
      </c>
      <c r="H48" s="294">
        <f>+E48*'Rate Class Energy Model'!$F$25</f>
        <v>4719291.2267087074</v>
      </c>
      <c r="I48" s="368">
        <f t="shared" ca="1" si="9"/>
        <v>5345690.2139137434</v>
      </c>
      <c r="K48">
        <v>12276.075349922326</v>
      </c>
    </row>
    <row r="49" spans="1:6" ht="13.5" thickBot="1" x14ac:dyDescent="0.25">
      <c r="F49" s="202"/>
    </row>
    <row r="50" spans="1:6" ht="24.75" thickBot="1" x14ac:dyDescent="0.25">
      <c r="A50" s="506" t="s">
        <v>271</v>
      </c>
      <c r="B50" s="339" t="s">
        <v>272</v>
      </c>
      <c r="C50" s="508" t="s">
        <v>336</v>
      </c>
      <c r="D50" s="509"/>
      <c r="E50" s="504" t="s">
        <v>0</v>
      </c>
    </row>
    <row r="51" spans="1:6" ht="13.5" thickBot="1" x14ac:dyDescent="0.25">
      <c r="A51" s="507"/>
      <c r="B51" s="377"/>
      <c r="C51" s="279" t="s">
        <v>110</v>
      </c>
      <c r="D51" s="279" t="s">
        <v>111</v>
      </c>
      <c r="E51" s="505"/>
    </row>
    <row r="52" spans="1:6" x14ac:dyDescent="0.2">
      <c r="A52" s="307" t="s">
        <v>234</v>
      </c>
      <c r="B52" s="281">
        <f>+B43</f>
        <v>12464.5</v>
      </c>
      <c r="C52" s="281">
        <f>+C43-E43</f>
        <v>0</v>
      </c>
      <c r="D52" s="281">
        <f>+D43-F43</f>
        <v>0</v>
      </c>
      <c r="E52" s="292">
        <f>+G43-H43</f>
        <v>0</v>
      </c>
    </row>
    <row r="53" spans="1:6" x14ac:dyDescent="0.2">
      <c r="A53" s="307" t="s">
        <v>235</v>
      </c>
      <c r="B53" s="281">
        <f t="shared" ref="B53:B57" si="10">+B44</f>
        <v>12838.446964330369</v>
      </c>
      <c r="C53" s="281">
        <f t="shared" ref="C53:D53" ca="1" si="11">+C44-E44</f>
        <v>2308528.8762076488</v>
      </c>
      <c r="D53" s="281">
        <f t="shared" ca="1" si="11"/>
        <v>6239.8650360877473</v>
      </c>
      <c r="E53" s="292">
        <f t="shared" ref="E53:E57" ca="1" si="12">+G44-H44</f>
        <v>2420723.3795913402</v>
      </c>
    </row>
    <row r="54" spans="1:6" x14ac:dyDescent="0.2">
      <c r="A54" s="307" t="s">
        <v>236</v>
      </c>
      <c r="B54" s="281">
        <f t="shared" si="10"/>
        <v>13223.623254578835</v>
      </c>
      <c r="C54" s="281">
        <f t="shared" ref="C54:D54" ca="1" si="13">+C45-E45</f>
        <v>4704931.1836450314</v>
      </c>
      <c r="D54" s="281">
        <f t="shared" ca="1" si="13"/>
        <v>12717.248587444074</v>
      </c>
      <c r="E54" s="292">
        <f t="shared" ca="1" si="12"/>
        <v>4933590.8391701812</v>
      </c>
    </row>
    <row r="55" spans="1:6" x14ac:dyDescent="0.2">
      <c r="A55" s="307" t="s">
        <v>237</v>
      </c>
      <c r="B55" s="281">
        <f t="shared" si="10"/>
        <v>13620.323929548704</v>
      </c>
      <c r="C55" s="281">
        <f t="shared" ref="C55:D55" ca="1" si="14">+C46-E46</f>
        <v>4835595.1543917023</v>
      </c>
      <c r="D55" s="281">
        <f t="shared" ca="1" si="14"/>
        <v>13070.428290302254</v>
      </c>
      <c r="E55" s="292">
        <f t="shared" ca="1" si="12"/>
        <v>5070605.0788951395</v>
      </c>
    </row>
    <row r="56" spans="1:6" x14ac:dyDescent="0.2">
      <c r="A56" s="307" t="s">
        <v>238</v>
      </c>
      <c r="B56" s="281">
        <f t="shared" si="10"/>
        <v>14028.945919148318</v>
      </c>
      <c r="C56" s="281">
        <f t="shared" ref="C56:D56" ca="1" si="15">+C47-E47</f>
        <v>4966578.4117474053</v>
      </c>
      <c r="D56" s="281">
        <f t="shared" ca="1" si="15"/>
        <v>13424.471012622185</v>
      </c>
      <c r="E56" s="292">
        <f t="shared" ca="1" si="12"/>
        <v>5207954.1225583283</v>
      </c>
    </row>
    <row r="57" spans="1:6" ht="13.5" thickBot="1" x14ac:dyDescent="0.25">
      <c r="A57" s="308" t="s">
        <v>239</v>
      </c>
      <c r="B57" s="294">
        <f t="shared" si="10"/>
        <v>14449.788061221263</v>
      </c>
      <c r="C57" s="294">
        <f t="shared" ref="C57:D57" ca="1" si="16">+C48-E48</f>
        <v>5097930.7780981716</v>
      </c>
      <c r="D57" s="294">
        <f t="shared" ca="1" si="16"/>
        <v>13779.511422402969</v>
      </c>
      <c r="E57" s="368">
        <f t="shared" ca="1" si="12"/>
        <v>5345690.2139137434</v>
      </c>
    </row>
  </sheetData>
  <mergeCells count="8">
    <mergeCell ref="E50:E51"/>
    <mergeCell ref="A23:A24"/>
    <mergeCell ref="A32:A33"/>
    <mergeCell ref="C32:D32"/>
    <mergeCell ref="B32:B33"/>
    <mergeCell ref="A41:A42"/>
    <mergeCell ref="A50:A51"/>
    <mergeCell ref="C50:D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69"/>
  <sheetViews>
    <sheetView showGridLines="0" zoomScaleNormal="100" workbookViewId="0"/>
  </sheetViews>
  <sheetFormatPr defaultRowHeight="12.75" x14ac:dyDescent="0.2"/>
  <cols>
    <col min="1" max="1" width="5.85546875" customWidth="1"/>
    <col min="2" max="2" width="13.7109375" customWidth="1"/>
    <col min="3" max="3" width="10.42578125" customWidth="1"/>
    <col min="4" max="4" width="1.7109375" customWidth="1"/>
    <col min="5" max="5" width="12" customWidth="1"/>
    <col min="6" max="6" width="13.28515625" customWidth="1"/>
    <col min="7" max="7" width="12.7109375" customWidth="1"/>
    <col min="8" max="8" width="13.28515625" customWidth="1"/>
    <col min="9" max="9" width="12.7109375" customWidth="1"/>
    <col min="10" max="11" width="13.28515625" customWidth="1"/>
    <col min="12" max="14" width="12.7109375" customWidth="1"/>
    <col min="15" max="15" width="12.28515625" customWidth="1"/>
    <col min="16" max="18" width="13.28515625" customWidth="1"/>
    <col min="19" max="19" width="13.85546875" bestFit="1" customWidth="1"/>
    <col min="20" max="20" width="13.28515625" customWidth="1"/>
    <col min="21" max="21" width="10.140625" bestFit="1" customWidth="1"/>
    <col min="23" max="23" width="25.85546875" customWidth="1"/>
    <col min="24" max="24" width="11.7109375" bestFit="1" customWidth="1"/>
    <col min="25" max="25" width="10.7109375" bestFit="1" customWidth="1"/>
  </cols>
  <sheetData>
    <row r="1" spans="1:25" ht="13.5" thickBot="1" x14ac:dyDescent="0.25">
      <c r="A1" t="s">
        <v>82</v>
      </c>
    </row>
    <row r="2" spans="1:25" ht="24.75" thickBot="1" x14ac:dyDescent="0.25">
      <c r="A2" t="s">
        <v>83</v>
      </c>
      <c r="W2" s="286" t="s">
        <v>117</v>
      </c>
      <c r="X2" s="279" t="s">
        <v>2</v>
      </c>
      <c r="Y2" s="280" t="s">
        <v>284</v>
      </c>
    </row>
    <row r="3" spans="1:25" x14ac:dyDescent="0.2">
      <c r="A3" s="66" t="s">
        <v>96</v>
      </c>
      <c r="K3">
        <f>+K11*2</f>
        <v>7426000</v>
      </c>
      <c r="W3" s="447" t="s">
        <v>307</v>
      </c>
      <c r="X3" s="310"/>
      <c r="Y3" s="311"/>
    </row>
    <row r="4" spans="1:25" ht="13.5" thickBot="1" x14ac:dyDescent="0.25">
      <c r="W4" s="307" t="s">
        <v>234</v>
      </c>
      <c r="X4" s="281">
        <f>+J19</f>
        <v>3713000</v>
      </c>
      <c r="Y4" s="292">
        <f>+X4*'Rate Class Energy Model'!$F$25</f>
        <v>3893451.8</v>
      </c>
    </row>
    <row r="5" spans="1:25" ht="12.75" customHeight="1" x14ac:dyDescent="0.2">
      <c r="E5" s="506" t="s">
        <v>291</v>
      </c>
      <c r="F5" s="512" t="s">
        <v>271</v>
      </c>
      <c r="G5" s="513"/>
      <c r="H5" s="513"/>
      <c r="I5" s="513"/>
      <c r="J5" s="513"/>
      <c r="K5" s="513"/>
      <c r="L5" s="513"/>
      <c r="M5" s="513"/>
      <c r="N5" s="513"/>
      <c r="O5" s="514"/>
      <c r="W5" s="307" t="s">
        <v>235</v>
      </c>
      <c r="X5" s="281">
        <f ca="1">+K19</f>
        <v>9413841.9541798308</v>
      </c>
      <c r="Y5" s="292">
        <f ca="1">+X5*'Rate Class Energy Model'!$F$25</f>
        <v>9871354.6731529702</v>
      </c>
    </row>
    <row r="6" spans="1:25" ht="13.5" thickBot="1" x14ac:dyDescent="0.25">
      <c r="E6" s="507"/>
      <c r="F6" s="377">
        <v>2010</v>
      </c>
      <c r="G6" s="377">
        <v>2011</v>
      </c>
      <c r="H6" s="377">
        <v>2012</v>
      </c>
      <c r="I6" s="377">
        <v>2013</v>
      </c>
      <c r="J6" s="377">
        <v>2014</v>
      </c>
      <c r="K6" s="378">
        <v>2015</v>
      </c>
      <c r="L6" s="378">
        <v>2016</v>
      </c>
      <c r="M6" s="378">
        <v>2017</v>
      </c>
      <c r="N6" s="378">
        <v>2018</v>
      </c>
      <c r="O6" s="379">
        <v>2019</v>
      </c>
      <c r="W6" s="307" t="s">
        <v>236</v>
      </c>
      <c r="X6" s="281">
        <f ca="1">+L19</f>
        <v>19420761.457170092</v>
      </c>
      <c r="Y6" s="292">
        <f ca="1">+X6*'Rate Class Energy Model'!$F$25</f>
        <v>20364610.463988557</v>
      </c>
    </row>
    <row r="7" spans="1:25" x14ac:dyDescent="0.2">
      <c r="E7" s="411" t="s">
        <v>290</v>
      </c>
      <c r="F7" s="412">
        <f>+I40</f>
        <v>23940408.65980842</v>
      </c>
      <c r="G7" s="412">
        <f t="shared" ref="G7:O7" si="0">+J40</f>
        <v>22739420.388500731</v>
      </c>
      <c r="H7" s="412">
        <f t="shared" si="0"/>
        <v>22381805.621150054</v>
      </c>
      <c r="I7" s="412">
        <f t="shared" si="0"/>
        <v>22309529.373889752</v>
      </c>
      <c r="J7" s="412">
        <f t="shared" si="0"/>
        <v>21747880.640079182</v>
      </c>
      <c r="K7" s="412">
        <f t="shared" si="0"/>
        <v>19730014.398549568</v>
      </c>
      <c r="L7" s="412">
        <f t="shared" si="0"/>
        <v>18946289.991510943</v>
      </c>
      <c r="M7" s="412">
        <f t="shared" si="0"/>
        <v>16748951.473723039</v>
      </c>
      <c r="N7" s="412">
        <f t="shared" si="0"/>
        <v>14366129.408459488</v>
      </c>
      <c r="O7" s="446">
        <f t="shared" si="0"/>
        <v>13626335.602470325</v>
      </c>
      <c r="W7" s="307" t="s">
        <v>237</v>
      </c>
      <c r="X7" s="281">
        <f ca="1">+M19</f>
        <v>26961023.922424112</v>
      </c>
      <c r="Y7" s="292">
        <f ca="1">+X7*'Rate Class Energy Model'!$F$25</f>
        <v>28271329.685053922</v>
      </c>
    </row>
    <row r="8" spans="1:25" x14ac:dyDescent="0.2">
      <c r="E8" s="411">
        <v>2011</v>
      </c>
      <c r="F8" s="412"/>
      <c r="G8" s="412">
        <f>+J45/2</f>
        <v>1292000</v>
      </c>
      <c r="H8" s="412">
        <f t="shared" ref="H8:O8" si="1">+K45</f>
        <v>2562149.417193138</v>
      </c>
      <c r="I8" s="412">
        <f t="shared" si="1"/>
        <v>2540483.6052721115</v>
      </c>
      <c r="J8" s="412">
        <f t="shared" si="1"/>
        <v>2516049.896933347</v>
      </c>
      <c r="K8" s="412">
        <f t="shared" si="1"/>
        <v>2393864.7538477653</v>
      </c>
      <c r="L8" s="412">
        <f t="shared" si="1"/>
        <v>2114650.3082580441</v>
      </c>
      <c r="M8" s="412">
        <f t="shared" si="1"/>
        <v>1775179.4012030358</v>
      </c>
      <c r="N8" s="412">
        <f t="shared" si="1"/>
        <v>1488993.519085088</v>
      </c>
      <c r="O8" s="446">
        <f t="shared" si="1"/>
        <v>1235307.4208164066</v>
      </c>
      <c r="W8" s="307" t="s">
        <v>238</v>
      </c>
      <c r="X8" s="281">
        <f ca="1">+N19</f>
        <v>37146682.181555964</v>
      </c>
      <c r="Y8" s="292">
        <f ca="1">+X8*'Rate Class Energy Model'!$F$25</f>
        <v>38952010.935579583</v>
      </c>
    </row>
    <row r="9" spans="1:25" ht="13.5" thickBot="1" x14ac:dyDescent="0.25">
      <c r="E9" s="411">
        <v>2012</v>
      </c>
      <c r="F9" s="412"/>
      <c r="G9" s="412"/>
      <c r="H9" s="412">
        <f>+K46/2</f>
        <v>1997500</v>
      </c>
      <c r="I9" s="412">
        <f t="shared" ref="I9:O10" si="2">+L46</f>
        <v>3924953.9781518746</v>
      </c>
      <c r="J9" s="412">
        <f t="shared" si="2"/>
        <v>3800044.6055374094</v>
      </c>
      <c r="K9" s="412">
        <f t="shared" si="2"/>
        <v>3543479.4329183633</v>
      </c>
      <c r="L9" s="412">
        <f t="shared" si="2"/>
        <v>3154511.5859724586</v>
      </c>
      <c r="M9" s="412">
        <f t="shared" si="2"/>
        <v>2522270.488040776</v>
      </c>
      <c r="N9" s="412">
        <f t="shared" si="2"/>
        <v>1949487.9976426857</v>
      </c>
      <c r="O9" s="446">
        <f t="shared" si="2"/>
        <v>1505780.8760472187</v>
      </c>
      <c r="W9" s="308" t="s">
        <v>239</v>
      </c>
      <c r="X9" s="294">
        <f ca="1">+O19</f>
        <v>54812221.480027743</v>
      </c>
      <c r="Y9" s="368">
        <f ca="1">+X9*'Rate Class Energy Model'!$F$25</f>
        <v>57476095.44395709</v>
      </c>
    </row>
    <row r="10" spans="1:25" x14ac:dyDescent="0.2">
      <c r="E10" s="411">
        <v>2013</v>
      </c>
      <c r="F10" s="412"/>
      <c r="G10" s="412"/>
      <c r="H10" s="412"/>
      <c r="I10" s="412">
        <f>+L47/2</f>
        <v>2624000</v>
      </c>
      <c r="J10" s="412">
        <f>+M47</f>
        <v>5163469.1902769916</v>
      </c>
      <c r="K10" s="412">
        <f t="shared" si="2"/>
        <v>5015308.0573407756</v>
      </c>
      <c r="L10" s="412">
        <f t="shared" si="2"/>
        <v>4634806.6485508932</v>
      </c>
      <c r="M10" s="412">
        <f t="shared" si="2"/>
        <v>3741778.3900143262</v>
      </c>
      <c r="N10" s="412">
        <f t="shared" si="2"/>
        <v>2719565.5009593228</v>
      </c>
      <c r="O10" s="446">
        <f>+R47</f>
        <v>1975180.853132403</v>
      </c>
    </row>
    <row r="11" spans="1:25" x14ac:dyDescent="0.2">
      <c r="E11" s="411">
        <v>2014</v>
      </c>
      <c r="F11" s="412"/>
      <c r="G11" s="412"/>
      <c r="H11" s="412"/>
      <c r="I11" s="412"/>
      <c r="J11" s="412">
        <f>+M48/2</f>
        <v>3713000</v>
      </c>
      <c r="K11" s="281">
        <f>+J11</f>
        <v>3713000</v>
      </c>
      <c r="L11" s="281">
        <f>+K11</f>
        <v>3713000</v>
      </c>
      <c r="M11" s="281">
        <f>+L11</f>
        <v>3713000</v>
      </c>
      <c r="N11" s="281">
        <f>+M11</f>
        <v>3713000</v>
      </c>
      <c r="O11" s="416">
        <f t="shared" ref="O11" si="3">+R48</f>
        <v>7426000</v>
      </c>
    </row>
    <row r="12" spans="1:25" x14ac:dyDescent="0.2">
      <c r="E12" s="411">
        <v>2015</v>
      </c>
      <c r="F12" s="412"/>
      <c r="G12" s="412"/>
      <c r="H12" s="412"/>
      <c r="I12" s="412"/>
      <c r="J12" s="412"/>
      <c r="K12" s="281">
        <f>+N56/2</f>
        <v>8009370.8303874787</v>
      </c>
      <c r="L12" s="281">
        <f>+K12*2</f>
        <v>16018741.660774957</v>
      </c>
      <c r="M12" s="281">
        <f>+L12</f>
        <v>16018741.660774957</v>
      </c>
      <c r="N12" s="281">
        <f>+M12</f>
        <v>16018741.660774957</v>
      </c>
      <c r="O12" s="416">
        <f t="shared" ref="O12" si="4">+R56</f>
        <v>16018741.660774957</v>
      </c>
    </row>
    <row r="13" spans="1:25" x14ac:dyDescent="0.2">
      <c r="E13" s="411">
        <v>2016</v>
      </c>
      <c r="F13" s="412"/>
      <c r="G13" s="412"/>
      <c r="H13" s="412"/>
      <c r="I13" s="412"/>
      <c r="J13" s="412"/>
      <c r="K13" s="281"/>
      <c r="L13" s="281">
        <f>+O57/2</f>
        <v>4393950.9800401656</v>
      </c>
      <c r="M13" s="281">
        <f>+L13*2</f>
        <v>8787901.9600803312</v>
      </c>
      <c r="N13" s="281">
        <f>+M13</f>
        <v>8787901.9600803312</v>
      </c>
      <c r="O13" s="416">
        <f t="shared" ref="O13" si="5">+R57</f>
        <v>8787901.9600803312</v>
      </c>
    </row>
    <row r="14" spans="1:25" x14ac:dyDescent="0.2">
      <c r="E14" s="411">
        <v>2017</v>
      </c>
      <c r="F14" s="412"/>
      <c r="G14" s="412"/>
      <c r="H14" s="412"/>
      <c r="I14" s="412"/>
      <c r="J14" s="412"/>
      <c r="K14" s="281"/>
      <c r="L14" s="281"/>
      <c r="M14" s="281">
        <f>+P58/2</f>
        <v>3276975.4559605257</v>
      </c>
      <c r="N14" s="281">
        <f>+M14*2</f>
        <v>6553950.9119210513</v>
      </c>
      <c r="O14" s="416">
        <f t="shared" ref="O14" si="6">+R58</f>
        <v>6553950.9119210513</v>
      </c>
    </row>
    <row r="15" spans="1:25" x14ac:dyDescent="0.2">
      <c r="E15" s="411">
        <v>2018</v>
      </c>
      <c r="F15" s="412"/>
      <c r="G15" s="412"/>
      <c r="H15" s="412"/>
      <c r="I15" s="412"/>
      <c r="J15" s="412"/>
      <c r="K15" s="281"/>
      <c r="L15" s="281"/>
      <c r="M15" s="281"/>
      <c r="N15" s="281">
        <f>+Q59/2</f>
        <v>7039666.0605270267</v>
      </c>
      <c r="O15" s="416">
        <f>+R59</f>
        <v>14079332.121054053</v>
      </c>
    </row>
    <row r="16" spans="1:25" ht="13.5" thickBot="1" x14ac:dyDescent="0.25">
      <c r="E16" s="413">
        <v>2019</v>
      </c>
      <c r="F16" s="414"/>
      <c r="G16" s="414"/>
      <c r="H16" s="414"/>
      <c r="I16" s="414"/>
      <c r="J16" s="414"/>
      <c r="K16" s="321"/>
      <c r="L16" s="321"/>
      <c r="M16" s="321"/>
      <c r="N16" s="321"/>
      <c r="O16" s="417">
        <f>+R60/2</f>
        <v>7044225.6042955248</v>
      </c>
    </row>
    <row r="17" spans="1:20" ht="13.5" thickBot="1" x14ac:dyDescent="0.25">
      <c r="E17" s="415" t="s">
        <v>293</v>
      </c>
      <c r="F17" s="418">
        <f>SUM(F7:F16)</f>
        <v>23940408.65980842</v>
      </c>
      <c r="G17" s="418">
        <f t="shared" ref="G17:I17" si="7">SUM(G7:G16)</f>
        <v>24031420.388500731</v>
      </c>
      <c r="H17" s="418">
        <f t="shared" si="7"/>
        <v>26941455.038343191</v>
      </c>
      <c r="I17" s="418">
        <f t="shared" si="7"/>
        <v>31398966.957313739</v>
      </c>
      <c r="J17" s="418">
        <f>SUM(J11:J16)</f>
        <v>3713000</v>
      </c>
      <c r="K17" s="419">
        <f t="shared" ref="K17:O17" si="8">SUM(K11:K16)</f>
        <v>11722370.830387479</v>
      </c>
      <c r="L17" s="419">
        <f t="shared" si="8"/>
        <v>24125692.640815124</v>
      </c>
      <c r="M17" s="419">
        <f t="shared" si="8"/>
        <v>31796619.076815814</v>
      </c>
      <c r="N17" s="419">
        <f t="shared" si="8"/>
        <v>42113260.593303367</v>
      </c>
      <c r="O17" s="421">
        <f t="shared" si="8"/>
        <v>59910152.258125916</v>
      </c>
    </row>
    <row r="18" spans="1:20" ht="13.5" thickBot="1" x14ac:dyDescent="0.25">
      <c r="E18" s="415" t="s">
        <v>294</v>
      </c>
      <c r="F18" s="412"/>
      <c r="G18" s="412"/>
      <c r="H18" s="412"/>
      <c r="I18" s="412"/>
      <c r="J18" s="412"/>
      <c r="K18" s="281">
        <f ca="1">+LED!C53</f>
        <v>2308528.8762076488</v>
      </c>
      <c r="L18" s="281">
        <f ca="1">+LED!C54</f>
        <v>4704931.1836450314</v>
      </c>
      <c r="M18" s="281">
        <f ca="1">+LED!C55</f>
        <v>4835595.1543917023</v>
      </c>
      <c r="N18" s="281">
        <f ca="1">+LED!C56</f>
        <v>4966578.4117474053</v>
      </c>
      <c r="O18" s="416">
        <f ca="1">+LED!C57</f>
        <v>5097930.7780981716</v>
      </c>
    </row>
    <row r="19" spans="1:20" ht="13.5" thickBot="1" x14ac:dyDescent="0.25">
      <c r="E19" s="415" t="s">
        <v>295</v>
      </c>
      <c r="F19" s="420">
        <f>+F17-F18</f>
        <v>23940408.65980842</v>
      </c>
      <c r="G19" s="420">
        <f t="shared" ref="G19:O19" si="9">+G17-G18</f>
        <v>24031420.388500731</v>
      </c>
      <c r="H19" s="420">
        <f t="shared" si="9"/>
        <v>26941455.038343191</v>
      </c>
      <c r="I19" s="420">
        <f t="shared" si="9"/>
        <v>31398966.957313739</v>
      </c>
      <c r="J19" s="420">
        <f>+J17-J18</f>
        <v>3713000</v>
      </c>
      <c r="K19" s="294">
        <f ca="1">+K17-K18</f>
        <v>9413841.9541798308</v>
      </c>
      <c r="L19" s="294">
        <f t="shared" ca="1" si="9"/>
        <v>19420761.457170092</v>
      </c>
      <c r="M19" s="294">
        <f t="shared" ca="1" si="9"/>
        <v>26961023.922424112</v>
      </c>
      <c r="N19" s="294">
        <f t="shared" ca="1" si="9"/>
        <v>37146682.181555964</v>
      </c>
      <c r="O19" s="422">
        <f t="shared" ca="1" si="9"/>
        <v>54812221.480027743</v>
      </c>
    </row>
    <row r="23" spans="1:20" ht="16.5" thickBot="1" x14ac:dyDescent="0.25">
      <c r="A23" s="74" t="s">
        <v>84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</row>
    <row r="24" spans="1:20" ht="25.5" x14ac:dyDescent="0.2">
      <c r="A24" s="380" t="s">
        <v>85</v>
      </c>
      <c r="B24" s="381" t="s">
        <v>86</v>
      </c>
      <c r="C24" s="381" t="s">
        <v>87</v>
      </c>
      <c r="D24" s="382"/>
      <c r="E24" s="383">
        <v>2006</v>
      </c>
      <c r="F24" s="383">
        <f>E24+1</f>
        <v>2007</v>
      </c>
      <c r="G24" s="383">
        <f t="shared" ref="G24:T24" si="10">F24+1</f>
        <v>2008</v>
      </c>
      <c r="H24" s="383">
        <f t="shared" si="10"/>
        <v>2009</v>
      </c>
      <c r="I24" s="383">
        <f t="shared" si="10"/>
        <v>2010</v>
      </c>
      <c r="J24" s="383">
        <f t="shared" si="10"/>
        <v>2011</v>
      </c>
      <c r="K24" s="383">
        <f t="shared" si="10"/>
        <v>2012</v>
      </c>
      <c r="L24" s="383">
        <f t="shared" si="10"/>
        <v>2013</v>
      </c>
      <c r="M24" s="383">
        <f t="shared" si="10"/>
        <v>2014</v>
      </c>
      <c r="N24" s="383">
        <f t="shared" si="10"/>
        <v>2015</v>
      </c>
      <c r="O24" s="383">
        <f t="shared" si="10"/>
        <v>2016</v>
      </c>
      <c r="P24" s="383">
        <f t="shared" si="10"/>
        <v>2017</v>
      </c>
      <c r="Q24" s="383">
        <f t="shared" si="10"/>
        <v>2018</v>
      </c>
      <c r="R24" s="383">
        <f t="shared" si="10"/>
        <v>2019</v>
      </c>
      <c r="S24" s="383">
        <f t="shared" si="10"/>
        <v>2020</v>
      </c>
      <c r="T24" s="384">
        <f t="shared" si="10"/>
        <v>2021</v>
      </c>
    </row>
    <row r="25" spans="1:20" x14ac:dyDescent="0.2">
      <c r="A25" s="392"/>
      <c r="B25" s="79"/>
      <c r="C25" s="79"/>
      <c r="D25" s="79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393"/>
    </row>
    <row r="26" spans="1:20" x14ac:dyDescent="0.2">
      <c r="A26" s="385">
        <v>1</v>
      </c>
      <c r="B26" s="81" t="s">
        <v>88</v>
      </c>
      <c r="C26" s="82" t="s">
        <v>89</v>
      </c>
      <c r="D26" s="79"/>
      <c r="E26" s="83">
        <v>4361.6262111155238</v>
      </c>
      <c r="F26" s="84">
        <v>4361.6262111155238</v>
      </c>
      <c r="G26" s="84">
        <v>4361.6262111155238</v>
      </c>
      <c r="H26" s="84">
        <v>4361.6262111155238</v>
      </c>
      <c r="I26" s="84">
        <v>757.51789534210593</v>
      </c>
      <c r="J26" s="84">
        <v>757.51789534210593</v>
      </c>
      <c r="K26" s="84">
        <v>692.92263556019986</v>
      </c>
      <c r="L26" s="84">
        <v>692.92263556019986</v>
      </c>
      <c r="M26" s="84">
        <v>651.10757751410972</v>
      </c>
      <c r="N26" s="84">
        <v>651.10757751410972</v>
      </c>
      <c r="O26" s="84">
        <v>615.15304069904016</v>
      </c>
      <c r="P26" s="84">
        <v>615.15304069904016</v>
      </c>
      <c r="Q26" s="84">
        <v>615.15304069904016</v>
      </c>
      <c r="R26" s="84">
        <v>615.15304069904016</v>
      </c>
      <c r="S26" s="84">
        <v>556.82900059720487</v>
      </c>
      <c r="T26" s="394">
        <v>484.00425723934239</v>
      </c>
    </row>
    <row r="27" spans="1:20" x14ac:dyDescent="0.2">
      <c r="A27" s="387">
        <f>A26+1</f>
        <v>2</v>
      </c>
      <c r="B27" s="88" t="s">
        <v>90</v>
      </c>
      <c r="C27" s="89" t="s">
        <v>89</v>
      </c>
      <c r="D27" s="79"/>
      <c r="E27" s="90">
        <v>0</v>
      </c>
      <c r="F27" s="91">
        <v>2127.1429349556674</v>
      </c>
      <c r="G27" s="91">
        <v>2107.866777260087</v>
      </c>
      <c r="H27" s="91">
        <v>2107.866777260087</v>
      </c>
      <c r="I27" s="91">
        <v>2107.866777260087</v>
      </c>
      <c r="J27" s="91">
        <v>2107.7115059523994</v>
      </c>
      <c r="K27" s="91">
        <v>2041.9241361636698</v>
      </c>
      <c r="L27" s="91">
        <v>2041.9241361636698</v>
      </c>
      <c r="M27" s="91">
        <v>2041.9241361636698</v>
      </c>
      <c r="N27" s="91">
        <v>623.74141071566078</v>
      </c>
      <c r="O27" s="91">
        <v>515.84576550932638</v>
      </c>
      <c r="P27" s="91">
        <v>273.48108927619552</v>
      </c>
      <c r="Q27" s="91">
        <v>273.48108927619552</v>
      </c>
      <c r="R27" s="91">
        <v>273.48108927619552</v>
      </c>
      <c r="S27" s="91">
        <v>273.48108927619552</v>
      </c>
      <c r="T27" s="395">
        <v>273.48108927619552</v>
      </c>
    </row>
    <row r="28" spans="1:20" x14ac:dyDescent="0.2">
      <c r="A28" s="389">
        <f>A27+1</f>
        <v>3</v>
      </c>
      <c r="B28" s="95" t="s">
        <v>91</v>
      </c>
      <c r="C28" s="96" t="s">
        <v>89</v>
      </c>
      <c r="D28" s="79"/>
      <c r="E28" s="97">
        <v>0</v>
      </c>
      <c r="F28" s="98">
        <v>0</v>
      </c>
      <c r="G28" s="98">
        <v>12530.058480092956</v>
      </c>
      <c r="H28" s="98">
        <v>11855.51168622548</v>
      </c>
      <c r="I28" s="98">
        <v>11843.974199225479</v>
      </c>
      <c r="J28" s="98">
        <v>11843.974199225479</v>
      </c>
      <c r="K28" s="98">
        <v>11626.537302265524</v>
      </c>
      <c r="L28" s="98">
        <v>11626.076322265524</v>
      </c>
      <c r="M28" s="98">
        <v>11400.133673868217</v>
      </c>
      <c r="N28" s="98">
        <v>11231.335382708021</v>
      </c>
      <c r="O28" s="98">
        <v>10617.989690133236</v>
      </c>
      <c r="P28" s="98">
        <v>10371.387888842775</v>
      </c>
      <c r="Q28" s="98">
        <v>10228.972576730534</v>
      </c>
      <c r="R28" s="98">
        <v>10228.972576730534</v>
      </c>
      <c r="S28" s="98">
        <v>10207.341549654349</v>
      </c>
      <c r="T28" s="396">
        <v>10186.812614035698</v>
      </c>
    </row>
    <row r="29" spans="1:20" x14ac:dyDescent="0.2">
      <c r="A29" s="193">
        <f>A28+1</f>
        <v>4</v>
      </c>
      <c r="B29" s="102" t="s">
        <v>92</v>
      </c>
      <c r="C29" s="103" t="s">
        <v>89</v>
      </c>
      <c r="D29" s="79"/>
      <c r="E29" s="104">
        <v>0</v>
      </c>
      <c r="F29" s="105">
        <v>0</v>
      </c>
      <c r="G29" s="105">
        <v>0</v>
      </c>
      <c r="H29" s="105">
        <v>6169.1855876229893</v>
      </c>
      <c r="I29" s="105">
        <v>5473.3517879807496</v>
      </c>
      <c r="J29" s="105">
        <v>5473.3517879807496</v>
      </c>
      <c r="K29" s="105">
        <v>5470.4215471606612</v>
      </c>
      <c r="L29" s="105">
        <v>5399.6062799003594</v>
      </c>
      <c r="M29" s="105">
        <v>5174.7152525331849</v>
      </c>
      <c r="N29" s="105">
        <v>5058.830027611778</v>
      </c>
      <c r="O29" s="105">
        <v>5056.3014951693413</v>
      </c>
      <c r="P29" s="105">
        <v>3659.9294549050305</v>
      </c>
      <c r="Q29" s="105">
        <v>2068.522701753719</v>
      </c>
      <c r="R29" s="105">
        <v>1723.728895764556</v>
      </c>
      <c r="S29" s="105">
        <v>625.4707410176112</v>
      </c>
      <c r="T29" s="397">
        <v>563.13381735360963</v>
      </c>
    </row>
    <row r="30" spans="1:20" ht="13.5" thickBot="1" x14ac:dyDescent="0.25">
      <c r="A30" s="196" t="s">
        <v>9</v>
      </c>
      <c r="B30" s="197"/>
      <c r="C30" s="198"/>
      <c r="D30" s="199"/>
      <c r="E30" s="200">
        <f t="shared" ref="E30:T30" si="11">SUM(E26:E29)</f>
        <v>4361.6262111155238</v>
      </c>
      <c r="F30" s="200">
        <f t="shared" si="11"/>
        <v>6488.7691460711912</v>
      </c>
      <c r="G30" s="200">
        <f t="shared" si="11"/>
        <v>18999.551468468566</v>
      </c>
      <c r="H30" s="200">
        <f t="shared" si="11"/>
        <v>24494.190262224081</v>
      </c>
      <c r="I30" s="200">
        <f t="shared" si="11"/>
        <v>20182.710659808421</v>
      </c>
      <c r="J30" s="200">
        <f t="shared" si="11"/>
        <v>20182.555388500732</v>
      </c>
      <c r="K30" s="200">
        <f t="shared" si="11"/>
        <v>19831.805621150055</v>
      </c>
      <c r="L30" s="200">
        <f t="shared" si="11"/>
        <v>19760.529373889753</v>
      </c>
      <c r="M30" s="200">
        <f t="shared" si="11"/>
        <v>19267.88064007918</v>
      </c>
      <c r="N30" s="200">
        <f t="shared" si="11"/>
        <v>17565.014398549571</v>
      </c>
      <c r="O30" s="200">
        <f t="shared" si="11"/>
        <v>16805.289991510945</v>
      </c>
      <c r="P30" s="200">
        <f t="shared" si="11"/>
        <v>14919.95147372304</v>
      </c>
      <c r="Q30" s="200">
        <f t="shared" si="11"/>
        <v>13186.129408459488</v>
      </c>
      <c r="R30" s="200">
        <f t="shared" si="11"/>
        <v>12841.335602470326</v>
      </c>
      <c r="S30" s="200">
        <f t="shared" si="11"/>
        <v>11663.122380545361</v>
      </c>
      <c r="T30" s="201">
        <f t="shared" si="11"/>
        <v>11507.431777904845</v>
      </c>
    </row>
    <row r="33" spans="1:20" ht="16.5" thickBot="1" x14ac:dyDescent="0.25">
      <c r="A33" s="74" t="s">
        <v>93</v>
      </c>
    </row>
    <row r="34" spans="1:20" ht="25.5" x14ac:dyDescent="0.2">
      <c r="A34" s="380" t="s">
        <v>85</v>
      </c>
      <c r="B34" s="381" t="s">
        <v>86</v>
      </c>
      <c r="C34" s="381" t="s">
        <v>87</v>
      </c>
      <c r="D34" s="382"/>
      <c r="E34" s="383">
        <v>2006</v>
      </c>
      <c r="F34" s="383">
        <f>E34+1</f>
        <v>2007</v>
      </c>
      <c r="G34" s="383">
        <f t="shared" ref="G34:T34" si="12">F34+1</f>
        <v>2008</v>
      </c>
      <c r="H34" s="383">
        <f t="shared" si="12"/>
        <v>2009</v>
      </c>
      <c r="I34" s="383">
        <f t="shared" si="12"/>
        <v>2010</v>
      </c>
      <c r="J34" s="383">
        <f t="shared" si="12"/>
        <v>2011</v>
      </c>
      <c r="K34" s="383">
        <f t="shared" si="12"/>
        <v>2012</v>
      </c>
      <c r="L34" s="383">
        <f t="shared" si="12"/>
        <v>2013</v>
      </c>
      <c r="M34" s="383">
        <f t="shared" si="12"/>
        <v>2014</v>
      </c>
      <c r="N34" s="383">
        <f t="shared" si="12"/>
        <v>2015</v>
      </c>
      <c r="O34" s="383">
        <f t="shared" si="12"/>
        <v>2016</v>
      </c>
      <c r="P34" s="383">
        <f t="shared" si="12"/>
        <v>2017</v>
      </c>
      <c r="Q34" s="383">
        <f t="shared" si="12"/>
        <v>2018</v>
      </c>
      <c r="R34" s="383">
        <f t="shared" si="12"/>
        <v>2019</v>
      </c>
      <c r="S34" s="383">
        <f t="shared" si="12"/>
        <v>2020</v>
      </c>
      <c r="T34" s="384">
        <f t="shared" si="12"/>
        <v>2021</v>
      </c>
    </row>
    <row r="35" spans="1:20" x14ac:dyDescent="0.2">
      <c r="A35" s="385">
        <v>1</v>
      </c>
      <c r="B35" s="81" t="s">
        <v>88</v>
      </c>
      <c r="C35" s="82" t="s">
        <v>89</v>
      </c>
      <c r="D35" s="194"/>
      <c r="E35" s="83">
        <f>+E26*1000</f>
        <v>4361626.2111155242</v>
      </c>
      <c r="F35" s="83">
        <f t="shared" ref="F35:T38" si="13">+F26*1000</f>
        <v>4361626.2111155242</v>
      </c>
      <c r="G35" s="83">
        <f t="shared" si="13"/>
        <v>4361626.2111155242</v>
      </c>
      <c r="H35" s="83">
        <f t="shared" si="13"/>
        <v>4361626.2111155242</v>
      </c>
      <c r="I35" s="83">
        <f t="shared" si="13"/>
        <v>757517.89534210588</v>
      </c>
      <c r="J35" s="83">
        <f t="shared" si="13"/>
        <v>757517.89534210588</v>
      </c>
      <c r="K35" s="83">
        <f t="shared" si="13"/>
        <v>692922.63556019985</v>
      </c>
      <c r="L35" s="83">
        <f t="shared" si="13"/>
        <v>692922.63556019985</v>
      </c>
      <c r="M35" s="83">
        <f t="shared" si="13"/>
        <v>651107.57751410967</v>
      </c>
      <c r="N35" s="83">
        <f t="shared" si="13"/>
        <v>651107.57751410967</v>
      </c>
      <c r="O35" s="83">
        <f t="shared" si="13"/>
        <v>615153.04069904017</v>
      </c>
      <c r="P35" s="83">
        <f t="shared" si="13"/>
        <v>615153.04069904017</v>
      </c>
      <c r="Q35" s="83">
        <f t="shared" si="13"/>
        <v>615153.04069904017</v>
      </c>
      <c r="R35" s="83">
        <f t="shared" si="13"/>
        <v>615153.04069904017</v>
      </c>
      <c r="S35" s="83">
        <f t="shared" si="13"/>
        <v>556829.0005972049</v>
      </c>
      <c r="T35" s="386">
        <f t="shared" si="13"/>
        <v>484004.25723934238</v>
      </c>
    </row>
    <row r="36" spans="1:20" x14ac:dyDescent="0.2">
      <c r="A36" s="387">
        <f>A35+1</f>
        <v>2</v>
      </c>
      <c r="B36" s="88" t="s">
        <v>90</v>
      </c>
      <c r="C36" s="89" t="s">
        <v>89</v>
      </c>
      <c r="D36" s="194"/>
      <c r="E36" s="90">
        <f>+E27*1000</f>
        <v>0</v>
      </c>
      <c r="F36" s="90">
        <f t="shared" si="13"/>
        <v>2127142.9349556672</v>
      </c>
      <c r="G36" s="90">
        <f t="shared" si="13"/>
        <v>2107866.777260087</v>
      </c>
      <c r="H36" s="90">
        <f t="shared" si="13"/>
        <v>2107866.777260087</v>
      </c>
      <c r="I36" s="90">
        <f t="shared" si="13"/>
        <v>2107866.777260087</v>
      </c>
      <c r="J36" s="90">
        <f t="shared" si="13"/>
        <v>2107711.5059523992</v>
      </c>
      <c r="K36" s="90">
        <f t="shared" si="13"/>
        <v>2041924.1361636699</v>
      </c>
      <c r="L36" s="90">
        <f t="shared" si="13"/>
        <v>2041924.1361636699</v>
      </c>
      <c r="M36" s="90">
        <f t="shared" si="13"/>
        <v>2041924.1361636699</v>
      </c>
      <c r="N36" s="90">
        <f t="shared" si="13"/>
        <v>623741.41071566078</v>
      </c>
      <c r="O36" s="90">
        <f t="shared" si="13"/>
        <v>515845.76550932636</v>
      </c>
      <c r="P36" s="90">
        <f t="shared" si="13"/>
        <v>273481.0892761955</v>
      </c>
      <c r="Q36" s="90">
        <f t="shared" si="13"/>
        <v>273481.0892761955</v>
      </c>
      <c r="R36" s="90">
        <f t="shared" si="13"/>
        <v>273481.0892761955</v>
      </c>
      <c r="S36" s="90">
        <f t="shared" si="13"/>
        <v>273481.0892761955</v>
      </c>
      <c r="T36" s="388">
        <f t="shared" si="13"/>
        <v>273481.0892761955</v>
      </c>
    </row>
    <row r="37" spans="1:20" x14ac:dyDescent="0.2">
      <c r="A37" s="389">
        <f>A36+1</f>
        <v>3</v>
      </c>
      <c r="B37" s="95" t="s">
        <v>91</v>
      </c>
      <c r="C37" s="96" t="s">
        <v>89</v>
      </c>
      <c r="D37" s="194"/>
      <c r="E37" s="97">
        <f>+E28*1000</f>
        <v>0</v>
      </c>
      <c r="F37" s="97">
        <f t="shared" si="13"/>
        <v>0</v>
      </c>
      <c r="G37" s="97">
        <f t="shared" si="13"/>
        <v>12530058.480092956</v>
      </c>
      <c r="H37" s="97">
        <f t="shared" si="13"/>
        <v>11855511.686225479</v>
      </c>
      <c r="I37" s="97">
        <f t="shared" si="13"/>
        <v>11843974.199225478</v>
      </c>
      <c r="J37" s="97">
        <f t="shared" si="13"/>
        <v>11843974.199225478</v>
      </c>
      <c r="K37" s="97">
        <f t="shared" si="13"/>
        <v>11626537.302265525</v>
      </c>
      <c r="L37" s="97">
        <f t="shared" si="13"/>
        <v>11626076.322265524</v>
      </c>
      <c r="M37" s="97">
        <f t="shared" si="13"/>
        <v>11400133.673868217</v>
      </c>
      <c r="N37" s="97">
        <f t="shared" si="13"/>
        <v>11231335.382708021</v>
      </c>
      <c r="O37" s="97">
        <f t="shared" si="13"/>
        <v>10617989.690133236</v>
      </c>
      <c r="P37" s="97">
        <f t="shared" si="13"/>
        <v>10371387.888842775</v>
      </c>
      <c r="Q37" s="97">
        <f t="shared" si="13"/>
        <v>10228972.576730534</v>
      </c>
      <c r="R37" s="97">
        <f t="shared" si="13"/>
        <v>10228972.576730534</v>
      </c>
      <c r="S37" s="97">
        <f t="shared" si="13"/>
        <v>10207341.54965435</v>
      </c>
      <c r="T37" s="390">
        <f t="shared" si="13"/>
        <v>10186812.614035698</v>
      </c>
    </row>
    <row r="38" spans="1:20" x14ac:dyDescent="0.2">
      <c r="A38" s="193">
        <f>A37+1</f>
        <v>4</v>
      </c>
      <c r="B38" s="102" t="s">
        <v>92</v>
      </c>
      <c r="C38" s="103" t="s">
        <v>89</v>
      </c>
      <c r="D38" s="194"/>
      <c r="E38" s="104">
        <f>+E29*1000</f>
        <v>0</v>
      </c>
      <c r="F38" s="104">
        <f t="shared" si="13"/>
        <v>0</v>
      </c>
      <c r="G38" s="104">
        <f t="shared" si="13"/>
        <v>0</v>
      </c>
      <c r="H38" s="104">
        <f t="shared" si="13"/>
        <v>6169185.587622989</v>
      </c>
      <c r="I38" s="104">
        <f t="shared" si="13"/>
        <v>5473351.7879807493</v>
      </c>
      <c r="J38" s="104">
        <f t="shared" si="13"/>
        <v>5473351.7879807493</v>
      </c>
      <c r="K38" s="104">
        <f t="shared" si="13"/>
        <v>5470421.5471606608</v>
      </c>
      <c r="L38" s="104">
        <f t="shared" si="13"/>
        <v>5399606.279900359</v>
      </c>
      <c r="M38" s="104">
        <f t="shared" si="13"/>
        <v>5174715.2525331853</v>
      </c>
      <c r="N38" s="104">
        <f t="shared" si="13"/>
        <v>5058830.0276117781</v>
      </c>
      <c r="O38" s="104">
        <f t="shared" si="13"/>
        <v>5056301.4951693416</v>
      </c>
      <c r="P38" s="104">
        <f t="shared" si="13"/>
        <v>3659929.4549050303</v>
      </c>
      <c r="Q38" s="104">
        <f t="shared" si="13"/>
        <v>2068522.701753719</v>
      </c>
      <c r="R38" s="104">
        <f t="shared" si="13"/>
        <v>1723728.895764556</v>
      </c>
      <c r="S38" s="104">
        <f t="shared" si="13"/>
        <v>625470.74101761123</v>
      </c>
      <c r="T38" s="391">
        <f t="shared" si="13"/>
        <v>563133.8173536096</v>
      </c>
    </row>
    <row r="39" spans="1:20" x14ac:dyDescent="0.2">
      <c r="A39" s="193">
        <f>A38+1</f>
        <v>5</v>
      </c>
      <c r="B39" s="102" t="s">
        <v>94</v>
      </c>
      <c r="C39" s="103" t="s">
        <v>89</v>
      </c>
      <c r="D39" s="194"/>
      <c r="E39" s="104">
        <v>0</v>
      </c>
      <c r="F39" s="104">
        <v>0</v>
      </c>
      <c r="G39" s="104">
        <v>0</v>
      </c>
      <c r="H39" s="104">
        <v>0</v>
      </c>
      <c r="I39" s="104">
        <v>3757698</v>
      </c>
      <c r="J39" s="104">
        <v>2556865</v>
      </c>
      <c r="K39" s="104">
        <v>2550000</v>
      </c>
      <c r="L39" s="104">
        <v>2549000</v>
      </c>
      <c r="M39" s="104">
        <v>2480000</v>
      </c>
      <c r="N39" s="104">
        <v>2165000</v>
      </c>
      <c r="O39" s="104">
        <v>2141000</v>
      </c>
      <c r="P39" s="104">
        <v>1829000</v>
      </c>
      <c r="Q39" s="104">
        <v>1180000</v>
      </c>
      <c r="R39" s="104">
        <v>785000</v>
      </c>
      <c r="S39" s="104">
        <f t="shared" ref="S39:T39" si="14">+R39</f>
        <v>785000</v>
      </c>
      <c r="T39" s="391">
        <f t="shared" si="14"/>
        <v>785000</v>
      </c>
    </row>
    <row r="40" spans="1:20" ht="13.5" thickBot="1" x14ac:dyDescent="0.25">
      <c r="A40" s="196" t="s">
        <v>9</v>
      </c>
      <c r="B40" s="197"/>
      <c r="C40" s="198"/>
      <c r="D40" s="199"/>
      <c r="E40" s="200">
        <f>SUM(E35:E39)</f>
        <v>4361626.2111155242</v>
      </c>
      <c r="F40" s="200">
        <f t="shared" ref="F40:T40" si="15">SUM(F35:F39)</f>
        <v>6488769.1460711919</v>
      </c>
      <c r="G40" s="200">
        <f t="shared" si="15"/>
        <v>18999551.468468569</v>
      </c>
      <c r="H40" s="200">
        <f t="shared" si="15"/>
        <v>24494190.262224082</v>
      </c>
      <c r="I40" s="200">
        <f t="shared" si="15"/>
        <v>23940408.65980842</v>
      </c>
      <c r="J40" s="200">
        <f t="shared" si="15"/>
        <v>22739420.388500731</v>
      </c>
      <c r="K40" s="200">
        <f t="shared" si="15"/>
        <v>22381805.621150054</v>
      </c>
      <c r="L40" s="200">
        <f t="shared" si="15"/>
        <v>22309529.373889752</v>
      </c>
      <c r="M40" s="200">
        <f t="shared" si="15"/>
        <v>21747880.640079182</v>
      </c>
      <c r="N40" s="200">
        <f t="shared" si="15"/>
        <v>19730014.398549568</v>
      </c>
      <c r="O40" s="200">
        <f t="shared" si="15"/>
        <v>18946289.991510943</v>
      </c>
      <c r="P40" s="200">
        <f t="shared" si="15"/>
        <v>16748951.473723039</v>
      </c>
      <c r="Q40" s="200">
        <f t="shared" si="15"/>
        <v>14366129.408459488</v>
      </c>
      <c r="R40" s="200">
        <f t="shared" si="15"/>
        <v>13626335.602470325</v>
      </c>
      <c r="S40" s="200">
        <f t="shared" si="15"/>
        <v>12448122.380545361</v>
      </c>
      <c r="T40" s="201">
        <f t="shared" si="15"/>
        <v>12292431.777904846</v>
      </c>
    </row>
    <row r="43" spans="1:20" ht="16.5" thickBot="1" x14ac:dyDescent="0.3">
      <c r="A43" s="401" t="s">
        <v>97</v>
      </c>
      <c r="B43" s="402"/>
      <c r="C43" s="402"/>
      <c r="D43" s="402"/>
      <c r="E43" s="402"/>
      <c r="F43" s="402"/>
      <c r="G43" s="402"/>
      <c r="H43" s="402"/>
      <c r="I43" s="402"/>
      <c r="J43" s="402"/>
      <c r="K43" s="402"/>
      <c r="L43" s="402"/>
      <c r="M43" s="402"/>
      <c r="N43" s="403" t="s">
        <v>285</v>
      </c>
      <c r="O43" s="402"/>
      <c r="P43" s="402"/>
      <c r="Q43" s="402"/>
      <c r="R43" s="402"/>
      <c r="S43" s="402"/>
    </row>
    <row r="44" spans="1:20" ht="25.5" x14ac:dyDescent="0.2">
      <c r="A44" s="380" t="s">
        <v>85</v>
      </c>
      <c r="B44" s="381" t="s">
        <v>86</v>
      </c>
      <c r="C44" s="381" t="s">
        <v>87</v>
      </c>
      <c r="D44" s="382"/>
      <c r="E44" s="383">
        <v>2006</v>
      </c>
      <c r="F44" s="383">
        <f>E44+1</f>
        <v>2007</v>
      </c>
      <c r="G44" s="383">
        <f t="shared" ref="G44:N44" si="16">F44+1</f>
        <v>2008</v>
      </c>
      <c r="H44" s="383">
        <f t="shared" si="16"/>
        <v>2009</v>
      </c>
      <c r="I44" s="383">
        <f t="shared" si="16"/>
        <v>2010</v>
      </c>
      <c r="J44" s="399">
        <f t="shared" si="16"/>
        <v>2011</v>
      </c>
      <c r="K44" s="399">
        <f t="shared" si="16"/>
        <v>2012</v>
      </c>
      <c r="L44" s="399">
        <f t="shared" si="16"/>
        <v>2013</v>
      </c>
      <c r="M44" s="399">
        <f t="shared" si="16"/>
        <v>2014</v>
      </c>
      <c r="N44" s="399">
        <f t="shared" si="16"/>
        <v>2015</v>
      </c>
      <c r="O44" s="383">
        <f t="shared" ref="O44" si="17">N44+1</f>
        <v>2016</v>
      </c>
      <c r="P44" s="383">
        <f t="shared" ref="P44" si="18">O44+1</f>
        <v>2017</v>
      </c>
      <c r="Q44" s="383">
        <f t="shared" ref="Q44" si="19">P44+1</f>
        <v>2018</v>
      </c>
      <c r="R44" s="383">
        <f t="shared" ref="R44" si="20">Q44+1</f>
        <v>2019</v>
      </c>
      <c r="S44" s="384" t="s">
        <v>9</v>
      </c>
      <c r="T44" s="398" t="s">
        <v>286</v>
      </c>
    </row>
    <row r="45" spans="1:20" x14ac:dyDescent="0.2">
      <c r="A45" s="193">
        <v>1</v>
      </c>
      <c r="B45" s="112" t="s">
        <v>99</v>
      </c>
      <c r="C45" s="374" t="s">
        <v>225</v>
      </c>
      <c r="D45" s="194"/>
      <c r="E45" s="114">
        <v>0</v>
      </c>
      <c r="F45" s="114">
        <v>0</v>
      </c>
      <c r="G45" s="114">
        <v>0</v>
      </c>
      <c r="H45" s="114">
        <v>0</v>
      </c>
      <c r="I45" s="114">
        <v>0</v>
      </c>
      <c r="J45" s="375">
        <v>2584000</v>
      </c>
      <c r="K45" s="375">
        <f t="shared" ref="K45:R45" si="21">J45*K62</f>
        <v>2562149.417193138</v>
      </c>
      <c r="L45" s="375">
        <f t="shared" si="21"/>
        <v>2540483.6052721115</v>
      </c>
      <c r="M45" s="375">
        <f t="shared" si="21"/>
        <v>2516049.896933347</v>
      </c>
      <c r="N45" s="375">
        <f t="shared" si="21"/>
        <v>2393864.7538477653</v>
      </c>
      <c r="O45" s="375">
        <f t="shared" si="21"/>
        <v>2114650.3082580441</v>
      </c>
      <c r="P45" s="375">
        <f t="shared" si="21"/>
        <v>1775179.4012030358</v>
      </c>
      <c r="Q45" s="375">
        <f t="shared" si="21"/>
        <v>1488993.519085088</v>
      </c>
      <c r="R45" s="375">
        <f t="shared" si="21"/>
        <v>1235307.4208164066</v>
      </c>
      <c r="S45" s="400">
        <f>SUM(E45:R45)</f>
        <v>19210678.322608937</v>
      </c>
      <c r="T45" t="s">
        <v>287</v>
      </c>
    </row>
    <row r="46" spans="1:20" x14ac:dyDescent="0.2">
      <c r="A46" s="193">
        <f t="shared" ref="A46:A49" si="22">A45+1</f>
        <v>2</v>
      </c>
      <c r="B46" s="112" t="s">
        <v>100</v>
      </c>
      <c r="C46" s="374" t="s">
        <v>225</v>
      </c>
      <c r="D46" s="194"/>
      <c r="E46" s="114">
        <v>0</v>
      </c>
      <c r="F46" s="114">
        <v>0</v>
      </c>
      <c r="G46" s="114">
        <v>0</v>
      </c>
      <c r="H46" s="114">
        <v>0</v>
      </c>
      <c r="I46" s="114">
        <v>0</v>
      </c>
      <c r="J46" s="114">
        <v>0</v>
      </c>
      <c r="K46" s="375">
        <v>3995000</v>
      </c>
      <c r="L46" s="375">
        <f>K46*L63</f>
        <v>3924953.9781518746</v>
      </c>
      <c r="M46" s="375">
        <f t="shared" ref="M46:R46" si="23">L46*M63</f>
        <v>3800044.6055374094</v>
      </c>
      <c r="N46" s="375">
        <f t="shared" si="23"/>
        <v>3543479.4329183633</v>
      </c>
      <c r="O46" s="375">
        <f t="shared" si="23"/>
        <v>3154511.5859724586</v>
      </c>
      <c r="P46" s="375">
        <f t="shared" si="23"/>
        <v>2522270.488040776</v>
      </c>
      <c r="Q46" s="375">
        <f t="shared" si="23"/>
        <v>1949487.9976426857</v>
      </c>
      <c r="R46" s="375">
        <f t="shared" si="23"/>
        <v>1505780.8760472187</v>
      </c>
      <c r="S46" s="400">
        <f t="shared" ref="S46:S49" si="24">SUM(E46:R46)</f>
        <v>24395528.964310784</v>
      </c>
      <c r="T46" t="s">
        <v>287</v>
      </c>
    </row>
    <row r="47" spans="1:20" x14ac:dyDescent="0.2">
      <c r="A47" s="193">
        <f t="shared" si="22"/>
        <v>3</v>
      </c>
      <c r="B47" s="112" t="s">
        <v>101</v>
      </c>
      <c r="C47" s="374" t="s">
        <v>288</v>
      </c>
      <c r="D47" s="194"/>
      <c r="E47" s="114">
        <v>0</v>
      </c>
      <c r="F47" s="114">
        <v>0</v>
      </c>
      <c r="G47" s="114">
        <v>0</v>
      </c>
      <c r="H47" s="114">
        <v>0</v>
      </c>
      <c r="I47" s="114">
        <v>0</v>
      </c>
      <c r="J47" s="114">
        <v>0</v>
      </c>
      <c r="K47" s="114">
        <v>0</v>
      </c>
      <c r="L47" s="375">
        <v>5248000</v>
      </c>
      <c r="M47" s="375">
        <f>L47*M64</f>
        <v>5163469.1902769916</v>
      </c>
      <c r="N47" s="375">
        <f t="shared" ref="N47:R47" si="25">M47*N64</f>
        <v>5015308.0573407756</v>
      </c>
      <c r="O47" s="375">
        <f t="shared" si="25"/>
        <v>4634806.6485508932</v>
      </c>
      <c r="P47" s="375">
        <f t="shared" si="25"/>
        <v>3741778.3900143262</v>
      </c>
      <c r="Q47" s="375">
        <f t="shared" si="25"/>
        <v>2719565.5009593228</v>
      </c>
      <c r="R47" s="375">
        <f t="shared" si="25"/>
        <v>1975180.853132403</v>
      </c>
      <c r="S47" s="400">
        <f t="shared" si="24"/>
        <v>28498108.640274711</v>
      </c>
      <c r="T47" t="s">
        <v>287</v>
      </c>
    </row>
    <row r="48" spans="1:20" x14ac:dyDescent="0.2">
      <c r="A48" s="193">
        <f t="shared" si="22"/>
        <v>4</v>
      </c>
      <c r="B48" s="112" t="s">
        <v>102</v>
      </c>
      <c r="C48" s="113" t="s">
        <v>98</v>
      </c>
      <c r="D48" s="194"/>
      <c r="E48" s="114">
        <v>0</v>
      </c>
      <c r="F48" s="114">
        <v>0</v>
      </c>
      <c r="G48" s="114">
        <v>0</v>
      </c>
      <c r="H48" s="114">
        <v>0</v>
      </c>
      <c r="I48" s="114">
        <v>0</v>
      </c>
      <c r="J48" s="114">
        <v>0</v>
      </c>
      <c r="K48" s="114">
        <v>0</v>
      </c>
      <c r="L48" s="114">
        <v>0</v>
      </c>
      <c r="M48" s="375">
        <v>7426000</v>
      </c>
      <c r="N48" s="375">
        <f>+M48</f>
        <v>7426000</v>
      </c>
      <c r="O48" s="375">
        <f t="shared" ref="O48:O49" si="26">N48</f>
        <v>7426000</v>
      </c>
      <c r="P48" s="375">
        <f t="shared" ref="P48:P49" si="27">O48</f>
        <v>7426000</v>
      </c>
      <c r="Q48" s="375">
        <f t="shared" ref="Q48:Q49" si="28">P48</f>
        <v>7426000</v>
      </c>
      <c r="R48" s="375">
        <f t="shared" ref="R48:R49" si="29">Q48</f>
        <v>7426000</v>
      </c>
      <c r="S48" s="400">
        <f t="shared" si="24"/>
        <v>44556000</v>
      </c>
      <c r="T48" t="s">
        <v>287</v>
      </c>
    </row>
    <row r="49" spans="1:20" x14ac:dyDescent="0.2">
      <c r="A49" s="193">
        <f t="shared" si="22"/>
        <v>5</v>
      </c>
      <c r="B49" s="112" t="s">
        <v>103</v>
      </c>
      <c r="C49" s="374" t="s">
        <v>98</v>
      </c>
      <c r="D49" s="194"/>
      <c r="E49" s="114">
        <v>0</v>
      </c>
      <c r="F49" s="114">
        <v>0</v>
      </c>
      <c r="G49" s="114">
        <v>0</v>
      </c>
      <c r="H49" s="114">
        <v>0</v>
      </c>
      <c r="I49" s="114">
        <v>0</v>
      </c>
      <c r="J49" s="114">
        <v>0</v>
      </c>
      <c r="K49" s="114">
        <v>0</v>
      </c>
      <c r="L49" s="114">
        <v>0</v>
      </c>
      <c r="M49" s="114">
        <v>0</v>
      </c>
      <c r="N49" s="375">
        <f>+N68</f>
        <v>16018741.660774957</v>
      </c>
      <c r="O49" s="375">
        <f t="shared" si="26"/>
        <v>16018741.660774957</v>
      </c>
      <c r="P49" s="375">
        <f t="shared" si="27"/>
        <v>16018741.660774957</v>
      </c>
      <c r="Q49" s="375">
        <f t="shared" si="28"/>
        <v>16018741.660774957</v>
      </c>
      <c r="R49" s="375">
        <f t="shared" si="29"/>
        <v>16018741.660774957</v>
      </c>
      <c r="S49" s="400">
        <f t="shared" si="24"/>
        <v>80093708.303874791</v>
      </c>
      <c r="T49" t="s">
        <v>287</v>
      </c>
    </row>
    <row r="50" spans="1:20" ht="13.5" thickBot="1" x14ac:dyDescent="0.25">
      <c r="A50" s="196" t="s">
        <v>9</v>
      </c>
      <c r="B50" s="197"/>
      <c r="C50" s="198"/>
      <c r="D50" s="199"/>
      <c r="E50" s="200">
        <f t="shared" ref="E50:S50" si="30">SUM(E45:E49)</f>
        <v>0</v>
      </c>
      <c r="F50" s="200">
        <f t="shared" si="30"/>
        <v>0</v>
      </c>
      <c r="G50" s="200">
        <f t="shared" si="30"/>
        <v>0</v>
      </c>
      <c r="H50" s="200">
        <f t="shared" si="30"/>
        <v>0</v>
      </c>
      <c r="I50" s="200">
        <f t="shared" si="30"/>
        <v>0</v>
      </c>
      <c r="J50" s="200">
        <f t="shared" si="30"/>
        <v>2584000</v>
      </c>
      <c r="K50" s="200">
        <f t="shared" si="30"/>
        <v>6557149.417193138</v>
      </c>
      <c r="L50" s="200">
        <f t="shared" si="30"/>
        <v>11713437.583423987</v>
      </c>
      <c r="M50" s="200">
        <f t="shared" si="30"/>
        <v>18905563.692747749</v>
      </c>
      <c r="N50" s="200">
        <f>SUM(N45:N49)</f>
        <v>34397393.904881865</v>
      </c>
      <c r="O50" s="200">
        <f t="shared" si="30"/>
        <v>33348710.203556355</v>
      </c>
      <c r="P50" s="200">
        <f t="shared" si="30"/>
        <v>31483969.940033093</v>
      </c>
      <c r="Q50" s="200">
        <f t="shared" si="30"/>
        <v>29602788.678462055</v>
      </c>
      <c r="R50" s="200">
        <f t="shared" si="30"/>
        <v>28161010.810770985</v>
      </c>
      <c r="S50" s="201">
        <f t="shared" si="30"/>
        <v>196754024.23106921</v>
      </c>
    </row>
    <row r="51" spans="1:20" ht="15" x14ac:dyDescent="0.25">
      <c r="N51" s="376" t="s">
        <v>292</v>
      </c>
    </row>
    <row r="53" spans="1:20" ht="16.5" thickBot="1" x14ac:dyDescent="0.3">
      <c r="A53" s="266" t="s">
        <v>97</v>
      </c>
      <c r="B53" s="402"/>
      <c r="C53" s="402"/>
      <c r="D53" s="402"/>
      <c r="E53" s="402"/>
      <c r="F53" s="402"/>
      <c r="G53" s="402"/>
      <c r="H53" s="402"/>
      <c r="I53" s="402"/>
      <c r="J53" s="402"/>
      <c r="K53" s="402"/>
      <c r="L53" s="402"/>
      <c r="M53" s="402"/>
      <c r="N53" s="403" t="s">
        <v>289</v>
      </c>
      <c r="O53" s="402"/>
      <c r="P53" s="402"/>
      <c r="Q53" s="402"/>
      <c r="R53" s="402"/>
      <c r="S53" s="402"/>
    </row>
    <row r="54" spans="1:20" ht="25.5" x14ac:dyDescent="0.2">
      <c r="A54" s="380" t="s">
        <v>85</v>
      </c>
      <c r="B54" s="381" t="s">
        <v>86</v>
      </c>
      <c r="C54" s="381" t="s">
        <v>87</v>
      </c>
      <c r="D54" s="382"/>
      <c r="E54" s="383">
        <v>2006</v>
      </c>
      <c r="F54" s="383">
        <f>E54+1</f>
        <v>2007</v>
      </c>
      <c r="G54" s="383">
        <f t="shared" ref="G54:R54" si="31">F54+1</f>
        <v>2008</v>
      </c>
      <c r="H54" s="383">
        <f t="shared" si="31"/>
        <v>2009</v>
      </c>
      <c r="I54" s="383">
        <f t="shared" si="31"/>
        <v>2010</v>
      </c>
      <c r="J54" s="399">
        <f t="shared" si="31"/>
        <v>2011</v>
      </c>
      <c r="K54" s="399">
        <f t="shared" si="31"/>
        <v>2012</v>
      </c>
      <c r="L54" s="399">
        <f t="shared" si="31"/>
        <v>2013</v>
      </c>
      <c r="M54" s="399">
        <f>L54+1</f>
        <v>2014</v>
      </c>
      <c r="N54" s="399">
        <f t="shared" si="31"/>
        <v>2015</v>
      </c>
      <c r="O54" s="399">
        <f t="shared" si="31"/>
        <v>2016</v>
      </c>
      <c r="P54" s="399">
        <f t="shared" si="31"/>
        <v>2017</v>
      </c>
      <c r="Q54" s="399">
        <f t="shared" si="31"/>
        <v>2018</v>
      </c>
      <c r="R54" s="399">
        <f t="shared" si="31"/>
        <v>2019</v>
      </c>
      <c r="S54" s="410" t="s">
        <v>9</v>
      </c>
      <c r="T54" s="373" t="str">
        <f>T44</f>
        <v>Source:</v>
      </c>
    </row>
    <row r="55" spans="1:20" x14ac:dyDescent="0.2">
      <c r="A55" s="193">
        <v>1</v>
      </c>
      <c r="B55" s="112" t="s">
        <v>102</v>
      </c>
      <c r="C55" s="113" t="s">
        <v>98</v>
      </c>
      <c r="D55" s="194"/>
      <c r="E55" s="114">
        <v>0</v>
      </c>
      <c r="F55" s="114">
        <v>0</v>
      </c>
      <c r="G55" s="114">
        <v>0</v>
      </c>
      <c r="H55" s="114">
        <v>0</v>
      </c>
      <c r="I55" s="114">
        <v>0</v>
      </c>
      <c r="J55" s="114">
        <v>0</v>
      </c>
      <c r="K55" s="114">
        <v>0</v>
      </c>
      <c r="L55" s="114">
        <v>0</v>
      </c>
      <c r="M55" s="375">
        <f>+M48</f>
        <v>7426000</v>
      </c>
      <c r="N55" s="375">
        <f>+M55</f>
        <v>7426000</v>
      </c>
      <c r="O55" s="375">
        <f t="shared" ref="O55:R56" si="32">+N55</f>
        <v>7426000</v>
      </c>
      <c r="P55" s="375">
        <f t="shared" si="32"/>
        <v>7426000</v>
      </c>
      <c r="Q55" s="375">
        <f t="shared" si="32"/>
        <v>7426000</v>
      </c>
      <c r="R55" s="375">
        <f t="shared" si="32"/>
        <v>7426000</v>
      </c>
      <c r="S55" s="195">
        <f>SUM(E55:R55)</f>
        <v>44556000</v>
      </c>
    </row>
    <row r="56" spans="1:20" x14ac:dyDescent="0.2">
      <c r="A56" s="193">
        <f t="shared" ref="A56:A60" si="33">A55+1</f>
        <v>2</v>
      </c>
      <c r="B56" s="112" t="s">
        <v>103</v>
      </c>
      <c r="C56" s="113" t="s">
        <v>98</v>
      </c>
      <c r="D56" s="194"/>
      <c r="E56" s="114">
        <v>0</v>
      </c>
      <c r="F56" s="114">
        <v>0</v>
      </c>
      <c r="G56" s="114">
        <v>0</v>
      </c>
      <c r="H56" s="114">
        <v>0</v>
      </c>
      <c r="I56" s="114">
        <v>0</v>
      </c>
      <c r="J56" s="114">
        <v>0</v>
      </c>
      <c r="K56" s="114">
        <v>0</v>
      </c>
      <c r="L56" s="114">
        <v>0</v>
      </c>
      <c r="M56" s="114">
        <v>0</v>
      </c>
      <c r="N56" s="375">
        <f>+N49</f>
        <v>16018741.660774957</v>
      </c>
      <c r="O56" s="375">
        <f>+N56</f>
        <v>16018741.660774957</v>
      </c>
      <c r="P56" s="375">
        <f t="shared" si="32"/>
        <v>16018741.660774957</v>
      </c>
      <c r="Q56" s="375">
        <f t="shared" si="32"/>
        <v>16018741.660774957</v>
      </c>
      <c r="R56" s="375">
        <f t="shared" si="32"/>
        <v>16018741.660774957</v>
      </c>
      <c r="S56" s="195">
        <f t="shared" ref="S56:S60" si="34">SUM(E56:R56)</f>
        <v>80093708.303874791</v>
      </c>
      <c r="T56" t="s">
        <v>287</v>
      </c>
    </row>
    <row r="57" spans="1:20" x14ac:dyDescent="0.2">
      <c r="A57" s="193">
        <f>A56+1</f>
        <v>3</v>
      </c>
      <c r="B57" s="112" t="s">
        <v>224</v>
      </c>
      <c r="C57" s="113" t="s">
        <v>98</v>
      </c>
      <c r="D57" s="194"/>
      <c r="E57" s="114">
        <v>0</v>
      </c>
      <c r="F57" s="114">
        <v>0</v>
      </c>
      <c r="G57" s="114">
        <v>0</v>
      </c>
      <c r="H57" s="114">
        <v>0</v>
      </c>
      <c r="I57" s="114">
        <v>0</v>
      </c>
      <c r="J57" s="114">
        <v>0</v>
      </c>
      <c r="K57" s="114">
        <v>0</v>
      </c>
      <c r="L57" s="114">
        <v>0</v>
      </c>
      <c r="M57" s="114">
        <v>0</v>
      </c>
      <c r="N57" s="114">
        <v>0</v>
      </c>
      <c r="O57" s="375">
        <f>+O68</f>
        <v>8787901.9600803312</v>
      </c>
      <c r="P57" s="375">
        <f>O57</f>
        <v>8787901.9600803312</v>
      </c>
      <c r="Q57" s="375">
        <f t="shared" ref="Q57:R57" si="35">P57</f>
        <v>8787901.9600803312</v>
      </c>
      <c r="R57" s="375">
        <f t="shared" si="35"/>
        <v>8787901.9600803312</v>
      </c>
      <c r="S57" s="195">
        <f t="shared" si="34"/>
        <v>35151607.840321325</v>
      </c>
      <c r="T57" t="s">
        <v>287</v>
      </c>
    </row>
    <row r="58" spans="1:20" x14ac:dyDescent="0.2">
      <c r="A58" s="193">
        <f t="shared" si="33"/>
        <v>4</v>
      </c>
      <c r="B58" s="112" t="s">
        <v>226</v>
      </c>
      <c r="C58" s="113" t="s">
        <v>98</v>
      </c>
      <c r="D58" s="194"/>
      <c r="E58" s="114">
        <v>0</v>
      </c>
      <c r="F58" s="114">
        <v>0</v>
      </c>
      <c r="G58" s="114">
        <v>0</v>
      </c>
      <c r="H58" s="114">
        <v>0</v>
      </c>
      <c r="I58" s="114">
        <v>0</v>
      </c>
      <c r="J58" s="114">
        <v>0</v>
      </c>
      <c r="K58" s="114">
        <v>0</v>
      </c>
      <c r="L58" s="114">
        <v>0</v>
      </c>
      <c r="M58" s="114">
        <v>0</v>
      </c>
      <c r="N58" s="114">
        <v>0</v>
      </c>
      <c r="O58" s="114">
        <v>0</v>
      </c>
      <c r="P58" s="375">
        <f>+P68</f>
        <v>6553950.9119210513</v>
      </c>
      <c r="Q58" s="375">
        <f>P58</f>
        <v>6553950.9119210513</v>
      </c>
      <c r="R58" s="375">
        <f>Q58</f>
        <v>6553950.9119210513</v>
      </c>
      <c r="S58" s="195">
        <f t="shared" si="34"/>
        <v>19661852.735763155</v>
      </c>
      <c r="T58" t="s">
        <v>287</v>
      </c>
    </row>
    <row r="59" spans="1:20" x14ac:dyDescent="0.2">
      <c r="A59" s="193">
        <f t="shared" si="33"/>
        <v>5</v>
      </c>
      <c r="B59" s="112" t="s">
        <v>227</v>
      </c>
      <c r="C59" s="113" t="s">
        <v>98</v>
      </c>
      <c r="D59" s="194"/>
      <c r="E59" s="114">
        <v>0</v>
      </c>
      <c r="F59" s="114">
        <v>0</v>
      </c>
      <c r="G59" s="114">
        <v>0</v>
      </c>
      <c r="H59" s="114">
        <v>0</v>
      </c>
      <c r="I59" s="114">
        <v>0</v>
      </c>
      <c r="J59" s="114">
        <v>0</v>
      </c>
      <c r="K59" s="114">
        <v>0</v>
      </c>
      <c r="L59" s="114">
        <v>0</v>
      </c>
      <c r="M59" s="114">
        <v>0</v>
      </c>
      <c r="N59" s="114">
        <v>0</v>
      </c>
      <c r="O59" s="114">
        <v>0</v>
      </c>
      <c r="P59" s="114">
        <v>0</v>
      </c>
      <c r="Q59" s="375">
        <f>+Q68</f>
        <v>14079332.121054053</v>
      </c>
      <c r="R59" s="375">
        <f>Q59</f>
        <v>14079332.121054053</v>
      </c>
      <c r="S59" s="195">
        <f t="shared" si="34"/>
        <v>28158664.242108107</v>
      </c>
      <c r="T59" t="s">
        <v>287</v>
      </c>
    </row>
    <row r="60" spans="1:20" ht="13.5" thickBot="1" x14ac:dyDescent="0.25">
      <c r="A60" s="404">
        <f t="shared" si="33"/>
        <v>6</v>
      </c>
      <c r="B60" s="405" t="s">
        <v>228</v>
      </c>
      <c r="C60" s="406" t="s">
        <v>98</v>
      </c>
      <c r="D60" s="402"/>
      <c r="E60" s="407">
        <v>0</v>
      </c>
      <c r="F60" s="407">
        <v>0</v>
      </c>
      <c r="G60" s="407">
        <v>0</v>
      </c>
      <c r="H60" s="407">
        <v>0</v>
      </c>
      <c r="I60" s="407">
        <v>0</v>
      </c>
      <c r="J60" s="407">
        <v>0</v>
      </c>
      <c r="K60" s="407">
        <v>0</v>
      </c>
      <c r="L60" s="407">
        <v>0</v>
      </c>
      <c r="M60" s="407">
        <v>0</v>
      </c>
      <c r="N60" s="407">
        <v>0</v>
      </c>
      <c r="O60" s="407">
        <v>0</v>
      </c>
      <c r="P60" s="407">
        <v>0</v>
      </c>
      <c r="Q60" s="407">
        <v>0</v>
      </c>
      <c r="R60" s="408">
        <f>+R68</f>
        <v>14088451.20859105</v>
      </c>
      <c r="S60" s="409">
        <f t="shared" si="34"/>
        <v>14088451.20859105</v>
      </c>
      <c r="T60" t="s">
        <v>287</v>
      </c>
    </row>
    <row r="61" spans="1:20" x14ac:dyDescent="0.2">
      <c r="J61" t="s">
        <v>333</v>
      </c>
    </row>
    <row r="62" spans="1:20" x14ac:dyDescent="0.2">
      <c r="J62" s="478">
        <v>2011</v>
      </c>
      <c r="K62" s="72">
        <v>0.99154389210260752</v>
      </c>
      <c r="L62" s="72">
        <v>0.99154389210260752</v>
      </c>
      <c r="M62" s="72">
        <v>0.9903822609647791</v>
      </c>
      <c r="N62" s="72">
        <v>0.95143771066126093</v>
      </c>
      <c r="O62" s="72">
        <v>0.8833624810503905</v>
      </c>
      <c r="P62" s="72">
        <v>0.83946711863927548</v>
      </c>
      <c r="Q62" s="72">
        <v>0.83878481131315508</v>
      </c>
      <c r="R62" s="72">
        <v>0.82962578747518068</v>
      </c>
    </row>
    <row r="63" spans="1:20" x14ac:dyDescent="0.2">
      <c r="J63" s="478">
        <v>2012</v>
      </c>
      <c r="K63" s="72"/>
      <c r="L63" s="72">
        <v>0.98246657776016888</v>
      </c>
      <c r="M63" s="72">
        <v>0.96817558287058425</v>
      </c>
      <c r="N63" s="72">
        <v>0.93248364183799826</v>
      </c>
      <c r="O63" s="72">
        <v>0.89022996907151353</v>
      </c>
      <c r="P63" s="72">
        <v>0.79957559809158907</v>
      </c>
      <c r="Q63" s="72">
        <v>0.77290996619358987</v>
      </c>
      <c r="R63" s="72">
        <v>0.7723981260043683</v>
      </c>
    </row>
    <row r="64" spans="1:20" x14ac:dyDescent="0.2">
      <c r="J64" s="478">
        <v>2013</v>
      </c>
      <c r="K64" s="72"/>
      <c r="L64" s="72"/>
      <c r="M64" s="72">
        <v>0.98389275729363412</v>
      </c>
      <c r="N64" s="72">
        <v>0.97130589387166122</v>
      </c>
      <c r="O64" s="72">
        <v>0.9241319965913255</v>
      </c>
      <c r="P64" s="72">
        <v>0.80732135636860303</v>
      </c>
      <c r="Q64" s="72">
        <v>0.72681094856312711</v>
      </c>
      <c r="R64" s="72">
        <v>0.72628544980279419</v>
      </c>
    </row>
    <row r="67" spans="14:18" x14ac:dyDescent="0.2">
      <c r="N67" s="71">
        <v>16018.741660774958</v>
      </c>
      <c r="O67" s="71">
        <v>8787.9019600803313</v>
      </c>
      <c r="P67" s="71">
        <v>6553.9509119210516</v>
      </c>
      <c r="Q67" s="71">
        <v>14079.332121054053</v>
      </c>
      <c r="R67" s="71">
        <v>14088.45120859105</v>
      </c>
    </row>
    <row r="68" spans="14:18" x14ac:dyDescent="0.2">
      <c r="N68" s="71">
        <f>+N67*1000</f>
        <v>16018741.660774957</v>
      </c>
      <c r="O68" s="71">
        <f t="shared" ref="O68:R68" si="36">+O67*1000</f>
        <v>8787901.9600803312</v>
      </c>
      <c r="P68" s="71">
        <f t="shared" si="36"/>
        <v>6553950.9119210513</v>
      </c>
      <c r="Q68" s="71">
        <f t="shared" si="36"/>
        <v>14079332.121054053</v>
      </c>
      <c r="R68" s="71">
        <f t="shared" si="36"/>
        <v>14088451.20859105</v>
      </c>
    </row>
    <row r="69" spans="14:18" x14ac:dyDescent="0.2">
      <c r="N69" s="71"/>
      <c r="O69" s="71">
        <f>+O68+N68</f>
        <v>24806643.620855287</v>
      </c>
      <c r="P69" s="71">
        <f>+P68+O69</f>
        <v>31360594.532776337</v>
      </c>
      <c r="Q69" s="71">
        <f>+Q68+P69</f>
        <v>45439926.653830394</v>
      </c>
      <c r="R69" s="71">
        <f>+R68+Q69</f>
        <v>59528377.862421446</v>
      </c>
    </row>
  </sheetData>
  <mergeCells count="2">
    <mergeCell ref="E5:E6"/>
    <mergeCell ref="F5:O5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8"/>
  <sheetViews>
    <sheetView workbookViewId="0">
      <pane xSplit="1" ySplit="4" topLeftCell="H5" activePane="bottomRight" state="frozen"/>
      <selection pane="topRight"/>
      <selection pane="bottomLeft"/>
      <selection pane="bottomRight" activeCell="L27" sqref="L27"/>
    </sheetView>
  </sheetViews>
  <sheetFormatPr defaultRowHeight="12.75" x14ac:dyDescent="0.2"/>
  <cols>
    <col min="1" max="1" width="32.7109375" customWidth="1"/>
    <col min="2" max="2" width="13.42578125" style="1" bestFit="1" customWidth="1"/>
    <col min="3" max="3" width="12.7109375" style="1" bestFit="1" customWidth="1"/>
    <col min="4" max="4" width="13.5703125" style="1" customWidth="1"/>
    <col min="5" max="5" width="12.7109375" style="1" customWidth="1"/>
    <col min="6" max="6" width="13" style="1" customWidth="1"/>
    <col min="7" max="7" width="12.7109375" style="1" bestFit="1" customWidth="1"/>
    <col min="8" max="9" width="12.85546875" style="1" customWidth="1"/>
    <col min="10" max="16" width="12.85546875" style="212" customWidth="1"/>
    <col min="17" max="17" width="13.42578125" style="23" bestFit="1" customWidth="1"/>
    <col min="18" max="18" width="14.140625" style="1" bestFit="1" customWidth="1"/>
    <col min="19" max="19" width="2.42578125" customWidth="1"/>
    <col min="20" max="20" width="3" customWidth="1"/>
    <col min="21" max="21" width="32.7109375" customWidth="1"/>
    <col min="22" max="22" width="13" style="4" customWidth="1"/>
    <col min="23" max="23" width="12.7109375" style="4" bestFit="1" customWidth="1"/>
    <col min="24" max="25" width="12.85546875" style="4" customWidth="1"/>
    <col min="26" max="26" width="13.42578125" style="157" bestFit="1" customWidth="1"/>
    <col min="27" max="27" width="14.140625" style="4" bestFit="1" customWidth="1"/>
  </cols>
  <sheetData>
    <row r="1" spans="1:27" ht="15.75" x14ac:dyDescent="0.25">
      <c r="A1" s="40" t="s">
        <v>222</v>
      </c>
      <c r="U1" s="40" t="s">
        <v>118</v>
      </c>
    </row>
    <row r="2" spans="1:27" ht="13.5" thickBot="1" x14ac:dyDescent="0.25"/>
    <row r="3" spans="1:27" x14ac:dyDescent="0.2">
      <c r="A3" s="257"/>
      <c r="B3" s="498" t="s">
        <v>211</v>
      </c>
      <c r="C3" s="496"/>
      <c r="D3" s="496"/>
      <c r="E3" s="496"/>
      <c r="F3" s="496"/>
      <c r="G3" s="496"/>
      <c r="H3" s="496"/>
      <c r="I3" s="496"/>
      <c r="J3" s="496"/>
      <c r="K3" s="496"/>
      <c r="L3" s="497"/>
      <c r="M3" s="498" t="s">
        <v>212</v>
      </c>
      <c r="N3" s="496"/>
      <c r="O3" s="496"/>
      <c r="P3" s="496"/>
      <c r="Q3" s="496"/>
      <c r="R3" s="499"/>
    </row>
    <row r="4" spans="1:27" ht="25.5" x14ac:dyDescent="0.2">
      <c r="A4" s="258" t="s">
        <v>117</v>
      </c>
      <c r="B4" s="235">
        <v>2003</v>
      </c>
      <c r="C4" s="236">
        <v>2004</v>
      </c>
      <c r="D4" s="236">
        <v>2005</v>
      </c>
      <c r="E4" s="236">
        <v>2006</v>
      </c>
      <c r="F4" s="236">
        <v>2007</v>
      </c>
      <c r="G4" s="236">
        <v>2008</v>
      </c>
      <c r="H4" s="236">
        <v>2009</v>
      </c>
      <c r="I4" s="236">
        <v>2010</v>
      </c>
      <c r="J4" s="236">
        <v>2011</v>
      </c>
      <c r="K4" s="236">
        <v>2012</v>
      </c>
      <c r="L4" s="237">
        <v>2013</v>
      </c>
      <c r="M4" s="235">
        <v>2014</v>
      </c>
      <c r="N4" s="236">
        <v>2015</v>
      </c>
      <c r="O4" s="236">
        <v>2016</v>
      </c>
      <c r="P4" s="236">
        <v>2017</v>
      </c>
      <c r="Q4" s="236">
        <v>2018</v>
      </c>
      <c r="R4" s="259">
        <v>2019</v>
      </c>
      <c r="U4" s="184" t="s">
        <v>117</v>
      </c>
      <c r="V4" s="185" t="s">
        <v>119</v>
      </c>
      <c r="W4" s="185" t="s">
        <v>58</v>
      </c>
      <c r="X4" s="185" t="s">
        <v>61</v>
      </c>
      <c r="Y4" s="185" t="s">
        <v>67</v>
      </c>
      <c r="Z4" s="185" t="s">
        <v>62</v>
      </c>
      <c r="AA4" s="185" t="s">
        <v>68</v>
      </c>
    </row>
    <row r="5" spans="1:27" x14ac:dyDescent="0.2">
      <c r="A5" s="260" t="s">
        <v>52</v>
      </c>
      <c r="B5" s="244">
        <f>+'Chart III'!B5</f>
        <v>1232724170</v>
      </c>
      <c r="C5" s="244">
        <f>+'Chart III'!C5</f>
        <v>1178441190</v>
      </c>
      <c r="D5" s="244">
        <f>+'Chart III'!D5</f>
        <v>1174501350</v>
      </c>
      <c r="E5" s="244">
        <f>+'Chart III'!E5</f>
        <v>1151360440</v>
      </c>
      <c r="F5" s="244">
        <f>+'Chart III'!F5</f>
        <v>1191153590</v>
      </c>
      <c r="G5" s="244">
        <f>+'Chart III'!G5</f>
        <v>1158881926</v>
      </c>
      <c r="H5" s="244">
        <f>+'Chart III'!H5</f>
        <v>1128390784.5107694</v>
      </c>
      <c r="I5" s="244">
        <f>+'Chart III'!I5</f>
        <v>1148489331.8146157</v>
      </c>
      <c r="J5" s="244">
        <f>+'Chart III'!J5</f>
        <v>1148632387.3953846</v>
      </c>
      <c r="K5" s="244">
        <f>+'Chart III'!K5</f>
        <v>1136211952.670979</v>
      </c>
      <c r="L5" s="244">
        <f>+'Chart III'!L5</f>
        <v>1130407041.6666667</v>
      </c>
      <c r="M5" s="241"/>
      <c r="N5" s="242"/>
      <c r="O5" s="242"/>
      <c r="P5" s="242"/>
      <c r="Q5" s="242"/>
      <c r="R5" s="261"/>
      <c r="U5" s="165" t="s">
        <v>52</v>
      </c>
      <c r="V5" s="166">
        <v>1192455603</v>
      </c>
      <c r="W5" s="166">
        <f t="shared" ref="W5:Y7" si="0">G5</f>
        <v>1158881926</v>
      </c>
      <c r="X5" s="166">
        <f t="shared" si="0"/>
        <v>1128390784.5107694</v>
      </c>
      <c r="Y5" s="166">
        <f t="shared" si="0"/>
        <v>1148489331.8146157</v>
      </c>
      <c r="Z5" s="167"/>
      <c r="AA5" s="168"/>
    </row>
    <row r="6" spans="1:27" x14ac:dyDescent="0.2">
      <c r="A6" s="260" t="s">
        <v>53</v>
      </c>
      <c r="B6" s="244">
        <f>+'Chart III'!B6</f>
        <v>1208483234.4312544</v>
      </c>
      <c r="C6" s="244">
        <f>+'Chart III'!C6</f>
        <v>1193278221.7053266</v>
      </c>
      <c r="D6" s="244">
        <f>+'Chart III'!D6</f>
        <v>1203281045.2314129</v>
      </c>
      <c r="E6" s="244">
        <f>+'Chart III'!E6</f>
        <v>1166568192.2886453</v>
      </c>
      <c r="F6" s="244">
        <f>+'Chart III'!F6</f>
        <v>1142506607.2224176</v>
      </c>
      <c r="G6" s="244">
        <f>+'Chart III'!G6</f>
        <v>1105605337.8738799</v>
      </c>
      <c r="H6" s="244">
        <f>+'Chart III'!H6</f>
        <v>1123816338.2115908</v>
      </c>
      <c r="I6" s="244">
        <f>+'Chart III'!I6</f>
        <v>1128203375.0065463</v>
      </c>
      <c r="J6" s="244">
        <f>+'Chart III'!J6</f>
        <v>1162405206.2491772</v>
      </c>
      <c r="K6" s="244">
        <f>+'Chart III'!K6</f>
        <v>1148412454.4669952</v>
      </c>
      <c r="L6" s="244">
        <f ca="1">+'Chart III'!L6</f>
        <v>1162091422.8514135</v>
      </c>
      <c r="M6" s="243">
        <f>+'Chart III'!M6</f>
        <v>1169512871.2930617</v>
      </c>
      <c r="N6" s="244">
        <f ca="1">+'Chart III'!N6</f>
        <v>1170789222.604636</v>
      </c>
      <c r="O6" s="244">
        <f ca="1">+'Chart III'!O6</f>
        <v>1186826722.6269789</v>
      </c>
      <c r="P6" s="244">
        <f ca="1">+'Chart III'!P6</f>
        <v>1201655752.4623165</v>
      </c>
      <c r="Q6" s="244">
        <f ca="1">+'Chart III'!Q6</f>
        <v>1217915398.7826724</v>
      </c>
      <c r="R6" s="262">
        <f ca="1">+'Chart III'!R6</f>
        <v>1226740333.9186592</v>
      </c>
      <c r="U6" s="165" t="s">
        <v>53</v>
      </c>
      <c r="V6" s="166">
        <v>1119320117</v>
      </c>
      <c r="W6" s="166">
        <f t="shared" si="0"/>
        <v>1105605337.8738799</v>
      </c>
      <c r="X6" s="166">
        <f t="shared" si="0"/>
        <v>1123816338.2115908</v>
      </c>
      <c r="Y6" s="166">
        <f t="shared" si="0"/>
        <v>1128203375.0065463</v>
      </c>
      <c r="Z6" s="167">
        <f ca="1">Q6</f>
        <v>1217915398.7826724</v>
      </c>
      <c r="AA6" s="166">
        <f ca="1">R6</f>
        <v>1226740333.9186592</v>
      </c>
    </row>
    <row r="7" spans="1:27" x14ac:dyDescent="0.2">
      <c r="A7" s="260" t="s">
        <v>8</v>
      </c>
      <c r="B7" s="246">
        <f t="shared" ref="B7:I7" si="1">(B6-B5)/B5</f>
        <v>-1.9664525251213021E-2</v>
      </c>
      <c r="C7" s="246">
        <f t="shared" si="1"/>
        <v>1.2590387904997242E-2</v>
      </c>
      <c r="D7" s="246">
        <f t="shared" si="1"/>
        <v>2.4503756620980373E-2</v>
      </c>
      <c r="E7" s="246">
        <f t="shared" si="1"/>
        <v>1.3208506876131046E-2</v>
      </c>
      <c r="F7" s="246">
        <f t="shared" si="1"/>
        <v>-4.0840226807008495E-2</v>
      </c>
      <c r="G7" s="246">
        <f t="shared" si="1"/>
        <v>-4.5972404030848686E-2</v>
      </c>
      <c r="H7" s="246">
        <f t="shared" si="1"/>
        <v>-4.0539557411946783E-3</v>
      </c>
      <c r="I7" s="246">
        <f t="shared" si="1"/>
        <v>-1.7663165208524498E-2</v>
      </c>
      <c r="J7" s="246">
        <f t="shared" ref="J7:L7" si="2">(J6-J5)/J5</f>
        <v>1.1990623810480942E-2</v>
      </c>
      <c r="K7" s="246">
        <f t="shared" si="2"/>
        <v>1.0737874889747092E-2</v>
      </c>
      <c r="L7" s="246">
        <f t="shared" ca="1" si="2"/>
        <v>2.8029178885891796E-2</v>
      </c>
      <c r="M7" s="245"/>
      <c r="N7" s="246"/>
      <c r="O7" s="246"/>
      <c r="P7" s="246"/>
      <c r="Q7" s="246"/>
      <c r="R7" s="263"/>
      <c r="S7" s="48"/>
      <c r="T7" s="31"/>
      <c r="U7" s="165" t="s">
        <v>8</v>
      </c>
      <c r="V7" s="169">
        <f t="shared" ref="V7" si="3">(V6-V5)/V5</f>
        <v>-6.1331831404040964E-2</v>
      </c>
      <c r="W7" s="169">
        <f t="shared" si="0"/>
        <v>-4.5972404030848686E-2</v>
      </c>
      <c r="X7" s="169">
        <f t="shared" si="0"/>
        <v>-4.0539557411946783E-3</v>
      </c>
      <c r="Y7" s="169">
        <f t="shared" si="0"/>
        <v>-1.7663165208524498E-2</v>
      </c>
      <c r="Z7" s="170"/>
      <c r="AA7" s="171"/>
    </row>
    <row r="8" spans="1:27" x14ac:dyDescent="0.2">
      <c r="A8" s="260"/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7"/>
      <c r="N8" s="248"/>
      <c r="O8" s="248"/>
      <c r="P8" s="248"/>
      <c r="Q8" s="248"/>
      <c r="R8" s="264"/>
      <c r="U8" s="165"/>
      <c r="V8" s="172"/>
      <c r="W8" s="166"/>
      <c r="X8" s="166"/>
      <c r="Y8" s="166"/>
      <c r="Z8" s="167"/>
      <c r="AA8" s="168"/>
    </row>
    <row r="9" spans="1:27" x14ac:dyDescent="0.2">
      <c r="A9" s="260" t="s">
        <v>55</v>
      </c>
      <c r="B9" s="244">
        <f>+'Chart III'!B9</f>
        <v>1136840307.5</v>
      </c>
      <c r="C9" s="244">
        <f>+'Chart III'!C9</f>
        <v>1128300513.0634735</v>
      </c>
      <c r="D9" s="244">
        <f>+'Chart III'!D9</f>
        <v>1125931170</v>
      </c>
      <c r="E9" s="244">
        <f>+'Chart III'!E9</f>
        <v>1110963247</v>
      </c>
      <c r="F9" s="244">
        <f>+'Chart III'!F9</f>
        <v>1143760516</v>
      </c>
      <c r="G9" s="244">
        <f>+'Chart III'!G9</f>
        <v>1117251257</v>
      </c>
      <c r="H9" s="244">
        <f>+'Chart III'!H9</f>
        <v>1082664508</v>
      </c>
      <c r="I9" s="244">
        <f>+'Chart III'!I9</f>
        <v>1090938483</v>
      </c>
      <c r="J9" s="244">
        <f>+'Chart III'!J9</f>
        <v>1110518847</v>
      </c>
      <c r="K9" s="244">
        <f>+'Chart III'!K9</f>
        <v>1073783871</v>
      </c>
      <c r="L9" s="244">
        <f>+'Chart III'!L9</f>
        <v>1078161209</v>
      </c>
      <c r="M9" s="243">
        <f>+'Chart III'!M9</f>
        <v>1091642390</v>
      </c>
      <c r="N9" s="244">
        <f ca="1">+'Chart III'!N9</f>
        <v>1116432536.9895813</v>
      </c>
      <c r="O9" s="244">
        <f ca="1">+'Chart III'!O9</f>
        <v>1131630482.302804</v>
      </c>
      <c r="P9" s="244">
        <f ca="1">+'Chart III'!P9</f>
        <v>1145673197.4182358</v>
      </c>
      <c r="Q9" s="244">
        <f ca="1">+'Chart III'!Q9</f>
        <v>1161077354.2842677</v>
      </c>
      <c r="R9" s="262">
        <f ca="1">+'Chart III'!R9</f>
        <v>1169388487.36602</v>
      </c>
      <c r="U9" s="165" t="s">
        <v>55</v>
      </c>
      <c r="V9" s="166">
        <v>1141200155</v>
      </c>
      <c r="W9" s="166">
        <f>G9</f>
        <v>1117251257</v>
      </c>
      <c r="X9" s="166">
        <f>H9</f>
        <v>1082664508</v>
      </c>
      <c r="Y9" s="166">
        <f>I9</f>
        <v>1090938483</v>
      </c>
      <c r="Z9" s="167">
        <f ca="1">Q9</f>
        <v>1161077354.2842677</v>
      </c>
      <c r="AA9" s="166">
        <f ca="1">R9</f>
        <v>1169388487.36602</v>
      </c>
    </row>
    <row r="10" spans="1:27" x14ac:dyDescent="0.2">
      <c r="A10" s="260" t="s">
        <v>274</v>
      </c>
      <c r="B10" s="244">
        <f>+'Chart III'!B10</f>
        <v>1376310.4427777778</v>
      </c>
      <c r="C10" s="244">
        <f>+'Chart III'!C10</f>
        <v>1359503.3072222222</v>
      </c>
      <c r="D10" s="244">
        <f>+'Chart III'!D10</f>
        <v>1235025.9316666666</v>
      </c>
      <c r="E10" s="244">
        <f>+'Chart III'!E10</f>
        <v>1231537.3194444445</v>
      </c>
      <c r="F10" s="244">
        <f>+'Chart III'!F10</f>
        <v>1262855.0222222223</v>
      </c>
      <c r="G10" s="244">
        <f>+'Chart III'!G10</f>
        <v>1231679.9805555556</v>
      </c>
      <c r="H10" s="244">
        <f>+'Chart III'!H10</f>
        <v>1167952.2</v>
      </c>
      <c r="I10" s="244">
        <f>+'Chart III'!I10</f>
        <v>1165174.4777777777</v>
      </c>
      <c r="J10" s="244">
        <f>+'Chart III'!J10</f>
        <v>1171404</v>
      </c>
      <c r="K10" s="244">
        <f>+'Chart III'!K10</f>
        <v>1146022</v>
      </c>
      <c r="L10" s="244">
        <f>+'Chart III'!L10</f>
        <v>1145530</v>
      </c>
      <c r="M10" s="243">
        <f>+'Chart III'!M10</f>
        <v>1137326</v>
      </c>
      <c r="N10" s="244">
        <f ca="1">+'Chart III'!N10</f>
        <v>1173698.5951248333</v>
      </c>
      <c r="O10" s="244">
        <f ca="1">+'Chart III'!O10</f>
        <v>1188193.5272971711</v>
      </c>
      <c r="P10" s="244">
        <f ca="1">+'Chart III'!P10</f>
        <v>1204983.7840457296</v>
      </c>
      <c r="Q10" s="244">
        <f ca="1">+'Chart III'!Q10</f>
        <v>1223958.818391382</v>
      </c>
      <c r="R10" s="262">
        <f ca="1">+'Chart III'!R10</f>
        <v>1235731.2269390824</v>
      </c>
      <c r="U10" s="165"/>
      <c r="V10" s="166"/>
      <c r="W10" s="166"/>
      <c r="X10" s="166"/>
      <c r="Y10" s="166"/>
      <c r="Z10" s="167"/>
      <c r="AA10" s="166"/>
    </row>
    <row r="11" spans="1:27" x14ac:dyDescent="0.2">
      <c r="A11" s="260"/>
      <c r="B11" s="248"/>
      <c r="C11" s="248"/>
      <c r="D11" s="248"/>
      <c r="E11" s="248"/>
      <c r="F11" s="248"/>
      <c r="G11" s="252"/>
      <c r="H11" s="250"/>
      <c r="I11" s="250"/>
      <c r="J11" s="250"/>
      <c r="K11" s="250"/>
      <c r="L11" s="250"/>
      <c r="M11" s="249"/>
      <c r="N11" s="250"/>
      <c r="O11" s="250"/>
      <c r="P11" s="250"/>
      <c r="Q11" s="250"/>
      <c r="R11" s="265"/>
      <c r="U11" s="165"/>
      <c r="V11" s="172"/>
      <c r="W11" s="168"/>
      <c r="X11" s="173"/>
      <c r="Y11" s="173"/>
      <c r="Z11" s="173"/>
      <c r="AA11" s="168"/>
    </row>
    <row r="12" spans="1:27" ht="15.75" x14ac:dyDescent="0.25">
      <c r="A12" s="266" t="s">
        <v>54</v>
      </c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1"/>
      <c r="N12" s="252"/>
      <c r="O12" s="252"/>
      <c r="P12" s="252"/>
      <c r="Q12" s="252"/>
      <c r="R12" s="267"/>
      <c r="U12" s="174" t="s">
        <v>54</v>
      </c>
      <c r="V12" s="175"/>
      <c r="W12" s="168"/>
      <c r="X12" s="168"/>
      <c r="Y12" s="168"/>
      <c r="Z12" s="173"/>
      <c r="AA12" s="168"/>
    </row>
    <row r="13" spans="1:27" x14ac:dyDescent="0.2">
      <c r="A13" s="268" t="str">
        <f>'Rate Class Energy Model'!H2</f>
        <v>Residential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1"/>
      <c r="N13" s="252"/>
      <c r="O13" s="252"/>
      <c r="P13" s="252"/>
      <c r="Q13" s="252"/>
      <c r="R13" s="267"/>
      <c r="U13" s="176" t="s">
        <v>71</v>
      </c>
      <c r="V13" s="175"/>
      <c r="W13" s="168"/>
      <c r="X13" s="168"/>
      <c r="Y13" s="168"/>
      <c r="Z13" s="173"/>
      <c r="AA13" s="168"/>
    </row>
    <row r="14" spans="1:27" x14ac:dyDescent="0.2">
      <c r="A14" s="269" t="s">
        <v>47</v>
      </c>
      <c r="B14" s="254">
        <f>+'Chart III'!B14</f>
        <v>43319.5</v>
      </c>
      <c r="C14" s="254">
        <f>+'Chart III'!C14</f>
        <v>43979.5</v>
      </c>
      <c r="D14" s="254">
        <f>+'Chart III'!D14</f>
        <v>44598.5</v>
      </c>
      <c r="E14" s="254">
        <f>+'Chart III'!E14</f>
        <v>45439</v>
      </c>
      <c r="F14" s="254">
        <f>+'Chart III'!F14</f>
        <v>46320</v>
      </c>
      <c r="G14" s="254">
        <f>+'Chart III'!G14</f>
        <v>47057.5</v>
      </c>
      <c r="H14" s="254">
        <f>+'Chart III'!H14</f>
        <v>47602.5</v>
      </c>
      <c r="I14" s="254">
        <f>+'Chart III'!I14</f>
        <v>48114.5</v>
      </c>
      <c r="J14" s="254">
        <f>+'Chart III'!J14</f>
        <v>48650.5</v>
      </c>
      <c r="K14" s="254">
        <f>+'Chart III'!K14</f>
        <v>49021</v>
      </c>
      <c r="L14" s="254">
        <f>+'Chart III'!L14</f>
        <v>49516</v>
      </c>
      <c r="M14" s="253">
        <f>+'Chart III'!M14</f>
        <v>50202.5</v>
      </c>
      <c r="N14" s="254">
        <f>+'Chart III'!N14</f>
        <v>51708.527408831855</v>
      </c>
      <c r="O14" s="254">
        <f>+'Chart III'!O14</f>
        <v>53259.798652925267</v>
      </c>
      <c r="P14" s="254">
        <f>+'Chart III'!P14</f>
        <v>54857.637136473488</v>
      </c>
      <c r="Q14" s="254">
        <f>+'Chart III'!Q14</f>
        <v>56503.367929119158</v>
      </c>
      <c r="R14" s="270">
        <f>+'Chart III'!R14</f>
        <v>58198.417788431041</v>
      </c>
      <c r="U14" s="177" t="s">
        <v>47</v>
      </c>
      <c r="V14" s="168">
        <v>47243</v>
      </c>
      <c r="W14" s="168">
        <f t="shared" ref="W14:Y15" si="4">G14</f>
        <v>47057.5</v>
      </c>
      <c r="X14" s="168">
        <f t="shared" si="4"/>
        <v>47602.5</v>
      </c>
      <c r="Y14" s="168">
        <f t="shared" si="4"/>
        <v>48114.5</v>
      </c>
      <c r="Z14" s="173">
        <f t="shared" ref="Z14:AA15" si="5">Q14</f>
        <v>56503.367929119158</v>
      </c>
      <c r="AA14" s="168">
        <f t="shared" si="5"/>
        <v>58198.417788431041</v>
      </c>
    </row>
    <row r="15" spans="1:27" x14ac:dyDescent="0.2">
      <c r="A15" s="269" t="s">
        <v>48</v>
      </c>
      <c r="B15" s="254">
        <f>+'Chart III'!B15</f>
        <v>457616904</v>
      </c>
      <c r="C15" s="254">
        <f>+'Chart III'!C15</f>
        <v>448138859</v>
      </c>
      <c r="D15" s="254">
        <f>+'Chart III'!D15</f>
        <v>485961504</v>
      </c>
      <c r="E15" s="254">
        <f>+'Chart III'!E15</f>
        <v>466401366</v>
      </c>
      <c r="F15" s="254">
        <f>+'Chart III'!F15</f>
        <v>473023155</v>
      </c>
      <c r="G15" s="254">
        <f>+'Chart III'!G15</f>
        <v>470718851</v>
      </c>
      <c r="H15" s="254">
        <f>+'Chart III'!H15</f>
        <v>467977819</v>
      </c>
      <c r="I15" s="254">
        <f>+'Chart III'!I15</f>
        <v>476941035</v>
      </c>
      <c r="J15" s="254">
        <f>+'Chart III'!J15</f>
        <v>484582022</v>
      </c>
      <c r="K15" s="254">
        <f>+'Chart III'!K15</f>
        <v>473288468</v>
      </c>
      <c r="L15" s="254">
        <f>+'Chart III'!L15</f>
        <v>475282449</v>
      </c>
      <c r="M15" s="253">
        <f>+'Chart III'!M15</f>
        <v>485503507</v>
      </c>
      <c r="N15" s="254">
        <f ca="1">+'Chart III'!N15</f>
        <v>497610662.85013276</v>
      </c>
      <c r="O15" s="254">
        <f ca="1">+'Chart III'!O15</f>
        <v>504749333.27643669</v>
      </c>
      <c r="P15" s="254">
        <f ca="1">+'Chart III'!P15</f>
        <v>510469391.34748471</v>
      </c>
      <c r="Q15" s="254">
        <f ca="1">+'Chart III'!Q15</f>
        <v>516502314.78977972</v>
      </c>
      <c r="R15" s="270">
        <f ca="1">+'Chart III'!R15</f>
        <v>519267546.5319913</v>
      </c>
      <c r="U15" s="177" t="s">
        <v>48</v>
      </c>
      <c r="V15" s="168">
        <v>487192399</v>
      </c>
      <c r="W15" s="168">
        <f t="shared" si="4"/>
        <v>470718851</v>
      </c>
      <c r="X15" s="168">
        <f t="shared" si="4"/>
        <v>467977819</v>
      </c>
      <c r="Y15" s="168">
        <f t="shared" si="4"/>
        <v>476941035</v>
      </c>
      <c r="Z15" s="173">
        <f t="shared" ca="1" si="5"/>
        <v>516502314.78977972</v>
      </c>
      <c r="AA15" s="168">
        <f t="shared" ca="1" si="5"/>
        <v>519267546.5319913</v>
      </c>
    </row>
    <row r="16" spans="1:27" x14ac:dyDescent="0.2">
      <c r="A16" s="269"/>
      <c r="B16" s="252"/>
      <c r="C16" s="252"/>
      <c r="D16" s="252"/>
      <c r="E16" s="252"/>
      <c r="F16" s="252"/>
      <c r="G16" s="271"/>
      <c r="H16" s="250"/>
      <c r="I16" s="250"/>
      <c r="J16" s="250"/>
      <c r="K16" s="250"/>
      <c r="L16" s="250"/>
      <c r="M16" s="249"/>
      <c r="N16" s="250"/>
      <c r="O16" s="250"/>
      <c r="P16" s="250"/>
      <c r="Q16" s="250"/>
      <c r="R16" s="265"/>
      <c r="U16" s="177"/>
      <c r="V16" s="175"/>
      <c r="W16" s="173"/>
      <c r="X16" s="173"/>
      <c r="Y16" s="173"/>
      <c r="Z16" s="173"/>
      <c r="AA16" s="178"/>
    </row>
    <row r="17" spans="1:27" x14ac:dyDescent="0.2">
      <c r="A17" s="268" t="str">
        <f>'Rate Class Energy Model'!I2</f>
        <v>GS&lt;50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1"/>
      <c r="N17" s="252"/>
      <c r="O17" s="252"/>
      <c r="P17" s="252"/>
      <c r="Q17" s="252"/>
      <c r="R17" s="267"/>
      <c r="U17" s="176" t="s">
        <v>72</v>
      </c>
      <c r="V17" s="175"/>
      <c r="W17" s="168"/>
      <c r="X17" s="168"/>
      <c r="Y17" s="168"/>
      <c r="Z17" s="173"/>
      <c r="AA17" s="168"/>
    </row>
    <row r="18" spans="1:27" x14ac:dyDescent="0.2">
      <c r="A18" s="269" t="s">
        <v>47</v>
      </c>
      <c r="B18" s="254">
        <f>+'Chart III'!B18</f>
        <v>3689</v>
      </c>
      <c r="C18" s="254">
        <f>+'Chart III'!C18</f>
        <v>3626.5</v>
      </c>
      <c r="D18" s="254">
        <f>+'Chart III'!D18</f>
        <v>3662</v>
      </c>
      <c r="E18" s="254">
        <f>+'Chart III'!E18</f>
        <v>3740.5</v>
      </c>
      <c r="F18" s="254">
        <f>+'Chart III'!F18</f>
        <v>3749</v>
      </c>
      <c r="G18" s="254">
        <f>+'Chart III'!G18</f>
        <v>3793.5</v>
      </c>
      <c r="H18" s="254">
        <f>+'Chart III'!H18</f>
        <v>3859.5</v>
      </c>
      <c r="I18" s="254">
        <f>+'Chart III'!I18</f>
        <v>3929</v>
      </c>
      <c r="J18" s="254">
        <f>+'Chart III'!J18</f>
        <v>3888.5</v>
      </c>
      <c r="K18" s="254">
        <f>+'Chart III'!K18</f>
        <v>3850.5</v>
      </c>
      <c r="L18" s="254">
        <f>+'Chart III'!L18</f>
        <v>3904.5</v>
      </c>
      <c r="M18" s="253">
        <f>+'Chart III'!M18</f>
        <v>3952.5</v>
      </c>
      <c r="N18" s="254">
        <f>+'Chart III'!N18</f>
        <v>4071.0682995893244</v>
      </c>
      <c r="O18" s="254">
        <f>+'Chart III'!O18</f>
        <v>4193.1930652948959</v>
      </c>
      <c r="P18" s="254">
        <f>+'Chart III'!P18</f>
        <v>4318.9752815686434</v>
      </c>
      <c r="Q18" s="254">
        <f>+'Chart III'!Q18</f>
        <v>4448.6159390564635</v>
      </c>
      <c r="R18" s="270">
        <f>+'Chart III'!R18</f>
        <v>4582.0160346371858</v>
      </c>
      <c r="U18" s="177" t="s">
        <v>47</v>
      </c>
      <c r="V18" s="168">
        <v>3845</v>
      </c>
      <c r="W18" s="168">
        <f t="shared" ref="W18:Y19" si="6">G18</f>
        <v>3793.5</v>
      </c>
      <c r="X18" s="168">
        <f t="shared" si="6"/>
        <v>3859.5</v>
      </c>
      <c r="Y18" s="168">
        <f t="shared" si="6"/>
        <v>3929</v>
      </c>
      <c r="Z18" s="173">
        <f t="shared" ref="Z18:AA19" si="7">Q18</f>
        <v>4448.6159390564635</v>
      </c>
      <c r="AA18" s="168">
        <f t="shared" si="7"/>
        <v>4582.0160346371858</v>
      </c>
    </row>
    <row r="19" spans="1:27" x14ac:dyDescent="0.2">
      <c r="A19" s="269" t="s">
        <v>48</v>
      </c>
      <c r="B19" s="254">
        <f>+'Chart III'!B19</f>
        <v>121224653</v>
      </c>
      <c r="C19" s="254">
        <f>+'Chart III'!C19</f>
        <v>129998490</v>
      </c>
      <c r="D19" s="254">
        <f>+'Chart III'!D19</f>
        <v>135909028</v>
      </c>
      <c r="E19" s="254">
        <f>+'Chart III'!E19</f>
        <v>134155770</v>
      </c>
      <c r="F19" s="254">
        <f>+'Chart III'!F19</f>
        <v>132346004</v>
      </c>
      <c r="G19" s="254">
        <f>+'Chart III'!G19</f>
        <v>131868017</v>
      </c>
      <c r="H19" s="254">
        <f>+'Chart III'!H19</f>
        <v>128019505</v>
      </c>
      <c r="I19" s="254">
        <f>+'Chart III'!I19</f>
        <v>131282103</v>
      </c>
      <c r="J19" s="254">
        <f>+'Chart III'!J19</f>
        <v>135695878</v>
      </c>
      <c r="K19" s="254">
        <f>+'Chart III'!K19</f>
        <v>131590801</v>
      </c>
      <c r="L19" s="254">
        <f>+'Chart III'!L19</f>
        <v>132382128</v>
      </c>
      <c r="M19" s="253">
        <f>+'Chart III'!M19</f>
        <v>133729082</v>
      </c>
      <c r="N19" s="254">
        <f ca="1">+'Chart III'!N19</f>
        <v>136996360.64027488</v>
      </c>
      <c r="O19" s="254">
        <f ca="1">+'Chart III'!O19</f>
        <v>138910441.31964967</v>
      </c>
      <c r="P19" s="254">
        <f ca="1">+'Chart III'!P19</f>
        <v>140443159.56641656</v>
      </c>
      <c r="Q19" s="254">
        <f ca="1">+'Chart III'!Q19</f>
        <v>142085760.01485717</v>
      </c>
      <c r="R19" s="270">
        <f ca="1">+'Chart III'!R19</f>
        <v>142875985.37385976</v>
      </c>
      <c r="U19" s="177" t="s">
        <v>48</v>
      </c>
      <c r="V19" s="168">
        <v>140097188</v>
      </c>
      <c r="W19" s="168">
        <f t="shared" si="6"/>
        <v>131868017</v>
      </c>
      <c r="X19" s="168">
        <f t="shared" si="6"/>
        <v>128019505</v>
      </c>
      <c r="Y19" s="168">
        <f t="shared" si="6"/>
        <v>131282103</v>
      </c>
      <c r="Z19" s="168">
        <f t="shared" ca="1" si="7"/>
        <v>142085760.01485717</v>
      </c>
      <c r="AA19" s="168">
        <f t="shared" ca="1" si="7"/>
        <v>142875985.37385976</v>
      </c>
    </row>
    <row r="20" spans="1:27" x14ac:dyDescent="0.2">
      <c r="A20" s="269"/>
      <c r="B20" s="252"/>
      <c r="C20" s="252"/>
      <c r="D20" s="252"/>
      <c r="E20" s="252"/>
      <c r="F20" s="252"/>
      <c r="G20" s="271"/>
      <c r="H20" s="250"/>
      <c r="I20" s="250"/>
      <c r="J20" s="250"/>
      <c r="K20" s="250"/>
      <c r="L20" s="250"/>
      <c r="M20" s="249"/>
      <c r="N20" s="250"/>
      <c r="O20" s="250"/>
      <c r="P20" s="250"/>
      <c r="Q20" s="250"/>
      <c r="R20" s="265"/>
      <c r="U20" s="177"/>
      <c r="V20" s="175"/>
      <c r="W20" s="173"/>
      <c r="X20" s="173"/>
      <c r="Y20" s="173"/>
      <c r="Z20" s="173"/>
      <c r="AA20" s="178"/>
    </row>
    <row r="21" spans="1:27" x14ac:dyDescent="0.2">
      <c r="A21" s="268" t="str">
        <f>'Rate Class Energy Model'!J2</f>
        <v>GS&gt;50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1"/>
      <c r="N21" s="252"/>
      <c r="O21" s="252"/>
      <c r="P21" s="252"/>
      <c r="Q21" s="252"/>
      <c r="R21" s="267"/>
      <c r="U21" s="176" t="s">
        <v>73</v>
      </c>
      <c r="V21" s="175"/>
      <c r="W21" s="168"/>
      <c r="X21" s="168"/>
      <c r="Y21" s="168"/>
      <c r="Z21" s="173"/>
      <c r="AA21" s="168"/>
    </row>
    <row r="22" spans="1:27" x14ac:dyDescent="0.2">
      <c r="A22" s="269" t="s">
        <v>47</v>
      </c>
      <c r="B22" s="254">
        <f>+'Chart III'!B22</f>
        <v>559</v>
      </c>
      <c r="C22" s="254">
        <f>+'Chart III'!C22</f>
        <v>530</v>
      </c>
      <c r="D22" s="254">
        <f>+'Chart III'!D22</f>
        <v>521.5</v>
      </c>
      <c r="E22" s="254">
        <f>+'Chart III'!E22</f>
        <v>525</v>
      </c>
      <c r="F22" s="254">
        <f>+'Chart III'!F22</f>
        <v>523</v>
      </c>
      <c r="G22" s="254">
        <f>+'Chart III'!G22</f>
        <v>533.5</v>
      </c>
      <c r="H22" s="254">
        <f>+'Chart III'!H22</f>
        <v>525</v>
      </c>
      <c r="I22" s="254">
        <f>+'Chart III'!I22</f>
        <v>512.5</v>
      </c>
      <c r="J22" s="254">
        <f>+'Chart III'!J22</f>
        <v>520.5</v>
      </c>
      <c r="K22" s="254">
        <f>+'Chart III'!K22</f>
        <v>511.5</v>
      </c>
      <c r="L22" s="254">
        <f>+'Chart III'!L22</f>
        <v>500</v>
      </c>
      <c r="M22" s="253">
        <f>+'Chart III'!M22</f>
        <v>502.5</v>
      </c>
      <c r="N22" s="254">
        <f>+'Chart III'!N22</f>
        <v>517.6</v>
      </c>
      <c r="O22" s="254">
        <f>+'Chart III'!O22</f>
        <v>533.1</v>
      </c>
      <c r="P22" s="254">
        <f>+'Chart III'!P22</f>
        <v>549.1</v>
      </c>
      <c r="Q22" s="254">
        <f>+'Chart III'!Q22</f>
        <v>565.6</v>
      </c>
      <c r="R22" s="270">
        <f>+'Chart III'!R22</f>
        <v>582.5</v>
      </c>
      <c r="U22" s="177" t="s">
        <v>47</v>
      </c>
      <c r="V22" s="168">
        <v>522</v>
      </c>
      <c r="W22" s="168">
        <f t="shared" ref="W22:Y24" si="8">G22</f>
        <v>533.5</v>
      </c>
      <c r="X22" s="168">
        <f t="shared" si="8"/>
        <v>525</v>
      </c>
      <c r="Y22" s="168">
        <f t="shared" si="8"/>
        <v>512.5</v>
      </c>
      <c r="Z22" s="173">
        <f t="shared" ref="Z22:AA24" si="9">Q22</f>
        <v>565.6</v>
      </c>
      <c r="AA22" s="168">
        <f t="shared" si="9"/>
        <v>582.5</v>
      </c>
    </row>
    <row r="23" spans="1:27" x14ac:dyDescent="0.2">
      <c r="A23" s="269" t="s">
        <v>48</v>
      </c>
      <c r="B23" s="254">
        <f>+'Chart III'!B23</f>
        <v>281244125.5</v>
      </c>
      <c r="C23" s="254">
        <f>+'Chart III'!C23</f>
        <v>360631980</v>
      </c>
      <c r="D23" s="254">
        <f>+'Chart III'!D23</f>
        <v>361962669</v>
      </c>
      <c r="E23" s="254">
        <f>+'Chart III'!E23</f>
        <v>357086593</v>
      </c>
      <c r="F23" s="254">
        <f>+'Chart III'!F23</f>
        <v>359144720</v>
      </c>
      <c r="G23" s="254">
        <f>+'Chart III'!G23</f>
        <v>352632150</v>
      </c>
      <c r="H23" s="254">
        <f>+'Chart III'!H23</f>
        <v>349784301</v>
      </c>
      <c r="I23" s="254">
        <f>+'Chart III'!I23</f>
        <v>355234224</v>
      </c>
      <c r="J23" s="254">
        <f>+'Chart III'!J23</f>
        <v>359534375</v>
      </c>
      <c r="K23" s="254">
        <f>+'Chart III'!K23</f>
        <v>338342507</v>
      </c>
      <c r="L23" s="254">
        <f>+'Chart III'!L23</f>
        <v>337123668</v>
      </c>
      <c r="M23" s="253">
        <f>+'Chart III'!M23</f>
        <v>336406114</v>
      </c>
      <c r="N23" s="254">
        <f ca="1">+'Chart III'!N23</f>
        <v>345908558.91293103</v>
      </c>
      <c r="O23" s="254">
        <f ca="1">+'Chart III'!O23</f>
        <v>352266716.64249188</v>
      </c>
      <c r="P23" s="254">
        <f ca="1">+'Chart III'!P23</f>
        <v>357867688.71367508</v>
      </c>
      <c r="Q23" s="254">
        <f ca="1">+'Chart III'!Q23</f>
        <v>363791390.6049161</v>
      </c>
      <c r="R23" s="270">
        <f ca="1">+'Chart III'!R23</f>
        <v>367631758.53428179</v>
      </c>
      <c r="U23" s="177" t="s">
        <v>48</v>
      </c>
      <c r="V23" s="168">
        <v>358858375</v>
      </c>
      <c r="W23" s="168">
        <f t="shared" si="8"/>
        <v>352632150</v>
      </c>
      <c r="X23" s="168">
        <f t="shared" si="8"/>
        <v>349784301</v>
      </c>
      <c r="Y23" s="168">
        <f t="shared" si="8"/>
        <v>355234224</v>
      </c>
      <c r="Z23" s="168">
        <f t="shared" ca="1" si="9"/>
        <v>363791390.6049161</v>
      </c>
      <c r="AA23" s="168">
        <f t="shared" ca="1" si="9"/>
        <v>367631758.53428179</v>
      </c>
    </row>
    <row r="24" spans="1:27" x14ac:dyDescent="0.2">
      <c r="A24" s="269" t="s">
        <v>49</v>
      </c>
      <c r="B24" s="254">
        <f>+'Chart III'!B24</f>
        <v>806199.49000000011</v>
      </c>
      <c r="C24" s="254">
        <f>+'Chart III'!C24</f>
        <v>957450.82</v>
      </c>
      <c r="D24" s="254">
        <f>+'Chart III'!D24</f>
        <v>913899.12999999989</v>
      </c>
      <c r="E24" s="254">
        <f>+'Chart III'!E24</f>
        <v>893943</v>
      </c>
      <c r="F24" s="254">
        <f>+'Chart III'!F24</f>
        <v>887017</v>
      </c>
      <c r="G24" s="254">
        <f>+'Chart III'!G24</f>
        <v>876464</v>
      </c>
      <c r="H24" s="254">
        <f>+'Chart III'!H24</f>
        <v>861503</v>
      </c>
      <c r="I24" s="256">
        <f>+'Chart III'!I24</f>
        <v>871715</v>
      </c>
      <c r="J24" s="256">
        <f>+'Chart III'!J24</f>
        <v>867070</v>
      </c>
      <c r="K24" s="256">
        <f>+'Chart III'!K24</f>
        <v>846459</v>
      </c>
      <c r="L24" s="256">
        <f>+'Chart III'!L24</f>
        <v>843160</v>
      </c>
      <c r="M24" s="255">
        <f>+'Chart III'!M24</f>
        <v>831789</v>
      </c>
      <c r="N24" s="256">
        <f ca="1">+'Chart III'!N24</f>
        <v>873677.36609810172</v>
      </c>
      <c r="O24" s="256">
        <f ca="1">+'Chart III'!O24</f>
        <v>889736.46135684976</v>
      </c>
      <c r="P24" s="256">
        <f ca="1">+'Chart III'!P24</f>
        <v>903883.09751444799</v>
      </c>
      <c r="Q24" s="256">
        <f ca="1">+'Chart III'!Q24</f>
        <v>918844.86741732142</v>
      </c>
      <c r="R24" s="272">
        <f ca="1">+'Chart III'!R24</f>
        <v>928544.66365225753</v>
      </c>
      <c r="U24" s="177" t="s">
        <v>49</v>
      </c>
      <c r="V24" s="168"/>
      <c r="W24" s="168">
        <f t="shared" si="8"/>
        <v>876464</v>
      </c>
      <c r="X24" s="168">
        <f t="shared" si="8"/>
        <v>861503</v>
      </c>
      <c r="Y24" s="173">
        <f t="shared" si="8"/>
        <v>871715</v>
      </c>
      <c r="Z24" s="168">
        <f t="shared" ca="1" si="9"/>
        <v>918844.86741732142</v>
      </c>
      <c r="AA24" s="168">
        <f t="shared" ca="1" si="9"/>
        <v>928544.66365225753</v>
      </c>
    </row>
    <row r="25" spans="1:27" x14ac:dyDescent="0.2">
      <c r="A25" s="269"/>
      <c r="B25" s="252"/>
      <c r="C25" s="252"/>
      <c r="D25" s="252"/>
      <c r="E25" s="252"/>
      <c r="F25" s="252"/>
      <c r="G25" s="271"/>
      <c r="H25" s="250"/>
      <c r="I25" s="250"/>
      <c r="J25" s="250"/>
      <c r="K25" s="250"/>
      <c r="L25" s="250"/>
      <c r="M25" s="249"/>
      <c r="N25" s="250"/>
      <c r="O25" s="250"/>
      <c r="P25" s="250"/>
      <c r="Q25" s="250"/>
      <c r="R25" s="265"/>
      <c r="S25" s="23"/>
      <c r="U25" s="177"/>
      <c r="V25" s="175"/>
      <c r="W25" s="173"/>
      <c r="X25" s="173"/>
      <c r="Y25" s="173"/>
      <c r="Z25" s="173"/>
      <c r="AA25" s="173"/>
    </row>
    <row r="26" spans="1:27" x14ac:dyDescent="0.2">
      <c r="A26" s="268" t="str">
        <f>'Rate Class Energy Model'!K2</f>
        <v>Large User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1"/>
      <c r="N26" s="252"/>
      <c r="O26" s="252"/>
      <c r="P26" s="252"/>
      <c r="Q26" s="252"/>
      <c r="R26" s="267"/>
      <c r="U26" s="176" t="s">
        <v>74</v>
      </c>
      <c r="V26" s="175"/>
      <c r="W26" s="168"/>
      <c r="X26" s="168"/>
      <c r="Y26" s="168"/>
      <c r="Z26" s="173"/>
      <c r="AA26" s="168"/>
    </row>
    <row r="27" spans="1:27" x14ac:dyDescent="0.2">
      <c r="A27" s="269" t="s">
        <v>47</v>
      </c>
      <c r="B27" s="254">
        <f>+'Chart III'!B27</f>
        <v>2.5</v>
      </c>
      <c r="C27" s="254">
        <f>+'Chart III'!C27</f>
        <v>2.5</v>
      </c>
      <c r="D27" s="254">
        <f>+'Chart III'!D27</f>
        <v>2</v>
      </c>
      <c r="E27" s="254">
        <f>+'Chart III'!E27</f>
        <v>2</v>
      </c>
      <c r="F27" s="254">
        <f>+'Chart III'!F27</f>
        <v>2</v>
      </c>
      <c r="G27" s="254">
        <f>+'Chart III'!G27</f>
        <v>2.5</v>
      </c>
      <c r="H27" s="254">
        <f>+'Chart III'!H27</f>
        <v>2</v>
      </c>
      <c r="I27" s="256">
        <f>+'Chart III'!I27</f>
        <v>1</v>
      </c>
      <c r="J27" s="254">
        <f>+'Chart III'!J27</f>
        <v>1</v>
      </c>
      <c r="K27" s="254">
        <f>+'Chart III'!K27</f>
        <v>1</v>
      </c>
      <c r="L27" s="254">
        <f>+'Chart III'!L27</f>
        <v>1</v>
      </c>
      <c r="M27" s="253">
        <f>+'Chart III'!M27</f>
        <v>1</v>
      </c>
      <c r="N27" s="254">
        <f>+'Chart III'!N27</f>
        <v>1</v>
      </c>
      <c r="O27" s="254">
        <f>+'Chart III'!O27</f>
        <v>1</v>
      </c>
      <c r="P27" s="254">
        <f>+'Chart III'!P27</f>
        <v>1</v>
      </c>
      <c r="Q27" s="254">
        <f>+'Chart III'!Q27</f>
        <v>1</v>
      </c>
      <c r="R27" s="270">
        <f>+'Chart III'!R27</f>
        <v>1</v>
      </c>
      <c r="U27" s="177" t="s">
        <v>47</v>
      </c>
      <c r="V27" s="168">
        <v>2</v>
      </c>
      <c r="W27" s="168">
        <f t="shared" ref="W27:Y29" si="10">G27</f>
        <v>2.5</v>
      </c>
      <c r="X27" s="168">
        <f t="shared" si="10"/>
        <v>2</v>
      </c>
      <c r="Y27" s="173">
        <f t="shared" si="10"/>
        <v>1</v>
      </c>
      <c r="Z27" s="173">
        <f t="shared" ref="Z27:AA29" si="11">Q27</f>
        <v>1</v>
      </c>
      <c r="AA27" s="173">
        <f t="shared" si="11"/>
        <v>1</v>
      </c>
    </row>
    <row r="28" spans="1:27" x14ac:dyDescent="0.2">
      <c r="A28" s="269" t="s">
        <v>48</v>
      </c>
      <c r="B28" s="254">
        <f>+'Chart III'!B28</f>
        <v>169257212.5</v>
      </c>
      <c r="C28" s="254">
        <f>+'Chart III'!C28</f>
        <v>112144196</v>
      </c>
      <c r="D28" s="254">
        <f>+'Chart III'!D28</f>
        <v>62904833</v>
      </c>
      <c r="E28" s="254">
        <f>+'Chart III'!E28</f>
        <v>59654446</v>
      </c>
      <c r="F28" s="254">
        <f>+'Chart III'!F28</f>
        <v>61811846</v>
      </c>
      <c r="G28" s="254">
        <f>+'Chart III'!G28</f>
        <v>46461021</v>
      </c>
      <c r="H28" s="254">
        <f>+'Chart III'!H28</f>
        <v>36580289</v>
      </c>
      <c r="I28" s="254">
        <f>+'Chart III'!I28</f>
        <v>33402763</v>
      </c>
      <c r="J28" s="254">
        <f>+'Chart III'!J28</f>
        <v>37740699</v>
      </c>
      <c r="K28" s="254">
        <f>+'Chart III'!K28</f>
        <v>40812737</v>
      </c>
      <c r="L28" s="254">
        <f>+'Chart III'!L28</f>
        <v>42326219</v>
      </c>
      <c r="M28" s="253">
        <f>+'Chart III'!M28</f>
        <v>42700435</v>
      </c>
      <c r="N28" s="254">
        <f ca="1">+'Chart III'!N28</f>
        <v>42704672.351565883</v>
      </c>
      <c r="O28" s="254">
        <f ca="1">+'Chart III'!O28</f>
        <v>42684717.3443489</v>
      </c>
      <c r="P28" s="254">
        <f ca="1">+'Chart III'!P28</f>
        <v>42762817.834401838</v>
      </c>
      <c r="Q28" s="254">
        <f ca="1">+'Chart III'!Q28</f>
        <v>42734648.790182367</v>
      </c>
      <c r="R28" s="270">
        <f ca="1">+'Chart III'!R28</f>
        <v>42402886.405189961</v>
      </c>
      <c r="U28" s="177" t="s">
        <v>48</v>
      </c>
      <c r="V28" s="168">
        <v>60139982</v>
      </c>
      <c r="W28" s="168">
        <f t="shared" si="10"/>
        <v>46461021</v>
      </c>
      <c r="X28" s="168">
        <f t="shared" si="10"/>
        <v>36580289</v>
      </c>
      <c r="Y28" s="168">
        <f t="shared" si="10"/>
        <v>33402763</v>
      </c>
      <c r="Z28" s="168">
        <f t="shared" ca="1" si="11"/>
        <v>42734648.790182367</v>
      </c>
      <c r="AA28" s="179">
        <f t="shared" ca="1" si="11"/>
        <v>42402886.405189961</v>
      </c>
    </row>
    <row r="29" spans="1:27" x14ac:dyDescent="0.2">
      <c r="A29" s="269" t="s">
        <v>49</v>
      </c>
      <c r="B29" s="254">
        <f>+'Chart III'!B29</f>
        <v>349045.15</v>
      </c>
      <c r="C29" s="254">
        <f>+'Chart III'!C29</f>
        <v>243130.85</v>
      </c>
      <c r="D29" s="254">
        <f>+'Chart III'!D29</f>
        <v>154705.01</v>
      </c>
      <c r="E29" s="254">
        <f>+'Chart III'!E29</f>
        <v>134252</v>
      </c>
      <c r="F29" s="254">
        <f>+'Chart III'!F29</f>
        <v>135954</v>
      </c>
      <c r="G29" s="254">
        <f>+'Chart III'!G29</f>
        <v>124131</v>
      </c>
      <c r="H29" s="254">
        <f>+'Chart III'!H29</f>
        <v>89007</v>
      </c>
      <c r="I29" s="256">
        <f>+'Chart III'!I29</f>
        <v>70585</v>
      </c>
      <c r="J29" s="256">
        <f>+'Chart III'!J29</f>
        <v>83704</v>
      </c>
      <c r="K29" s="256">
        <f>+'Chart III'!K29</f>
        <v>89554</v>
      </c>
      <c r="L29" s="256">
        <f>+'Chart III'!L29</f>
        <v>92753</v>
      </c>
      <c r="M29" s="255">
        <f>+'Chart III'!M29</f>
        <v>93203</v>
      </c>
      <c r="N29" s="256">
        <f ca="1">+'Chart III'!N29</f>
        <v>96597.504524505232</v>
      </c>
      <c r="O29" s="256">
        <f ca="1">+'Chart III'!O29</f>
        <v>96552.366515154412</v>
      </c>
      <c r="P29" s="256">
        <f ca="1">+'Chart III'!P29</f>
        <v>96729.028974455025</v>
      </c>
      <c r="Q29" s="256">
        <f ca="1">+'Chart III'!Q29</f>
        <v>96665.310902717101</v>
      </c>
      <c r="R29" s="272">
        <f ca="1">+'Chart III'!R29</f>
        <v>95914.867995169785</v>
      </c>
      <c r="U29" s="177" t="s">
        <v>49</v>
      </c>
      <c r="V29" s="168"/>
      <c r="W29" s="168">
        <f t="shared" si="10"/>
        <v>124131</v>
      </c>
      <c r="X29" s="168">
        <f t="shared" si="10"/>
        <v>89007</v>
      </c>
      <c r="Y29" s="173">
        <f t="shared" si="10"/>
        <v>70585</v>
      </c>
      <c r="Z29" s="168">
        <f t="shared" ca="1" si="11"/>
        <v>96665.310902717101</v>
      </c>
      <c r="AA29" s="168">
        <f t="shared" ca="1" si="11"/>
        <v>95914.867995169785</v>
      </c>
    </row>
    <row r="30" spans="1:27" x14ac:dyDescent="0.2">
      <c r="A30" s="269"/>
      <c r="B30" s="252"/>
      <c r="C30" s="252"/>
      <c r="D30" s="252"/>
      <c r="E30" s="252"/>
      <c r="F30" s="252"/>
      <c r="G30" s="271"/>
      <c r="H30" s="250"/>
      <c r="I30" s="250"/>
      <c r="J30" s="250"/>
      <c r="K30" s="250"/>
      <c r="L30" s="250"/>
      <c r="M30" s="249"/>
      <c r="N30" s="250"/>
      <c r="O30" s="250"/>
      <c r="P30" s="250"/>
      <c r="Q30" s="250"/>
      <c r="R30" s="265"/>
      <c r="U30" s="177"/>
      <c r="V30" s="175"/>
      <c r="W30" s="173"/>
      <c r="X30" s="173"/>
      <c r="Y30" s="173"/>
      <c r="Z30" s="173"/>
      <c r="AA30" s="178"/>
    </row>
    <row r="31" spans="1:27" x14ac:dyDescent="0.2">
      <c r="A31" s="268" t="str">
        <f>'Rate Class Energy Model'!L2</f>
        <v>I2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1"/>
      <c r="N31" s="252"/>
      <c r="O31" s="252"/>
      <c r="P31" s="252"/>
      <c r="Q31" s="252"/>
      <c r="R31" s="267"/>
      <c r="U31" s="176" t="s">
        <v>77</v>
      </c>
      <c r="V31" s="175"/>
      <c r="W31" s="168"/>
      <c r="X31" s="168"/>
      <c r="Y31" s="168"/>
      <c r="Z31" s="173"/>
      <c r="AA31" s="168"/>
    </row>
    <row r="32" spans="1:27" x14ac:dyDescent="0.2">
      <c r="A32" s="273" t="s">
        <v>47</v>
      </c>
      <c r="B32" s="254">
        <f>+'Chart III'!B32</f>
        <v>5</v>
      </c>
      <c r="C32" s="254">
        <f>+'Chart III'!C32</f>
        <v>6</v>
      </c>
      <c r="D32" s="254">
        <f>+'Chart III'!D32</f>
        <v>7.5</v>
      </c>
      <c r="E32" s="254">
        <f>+'Chart III'!E32</f>
        <v>8.5</v>
      </c>
      <c r="F32" s="254">
        <f>+'Chart III'!F32</f>
        <v>9</v>
      </c>
      <c r="G32" s="254">
        <f>+'Chart III'!G32</f>
        <v>9</v>
      </c>
      <c r="H32" s="254">
        <f>+'Chart III'!H32</f>
        <v>9.5</v>
      </c>
      <c r="I32" s="256">
        <f>+'Chart III'!I32</f>
        <v>10</v>
      </c>
      <c r="J32" s="254">
        <f>+'Chart III'!J32</f>
        <v>10</v>
      </c>
      <c r="K32" s="254">
        <f>+'Chart III'!K32</f>
        <v>10.5</v>
      </c>
      <c r="L32" s="254">
        <f>+'Chart III'!L32</f>
        <v>11</v>
      </c>
      <c r="M32" s="253">
        <f>+'Chart III'!M32</f>
        <v>11</v>
      </c>
      <c r="N32" s="254">
        <f>+'Chart III'!N32</f>
        <v>11.3</v>
      </c>
      <c r="O32" s="254">
        <f>+'Chart III'!O32</f>
        <v>11.7</v>
      </c>
      <c r="P32" s="254">
        <f>+'Chart III'!P32</f>
        <v>12</v>
      </c>
      <c r="Q32" s="254">
        <f>+'Chart III'!Q32</f>
        <v>12.4</v>
      </c>
      <c r="R32" s="270">
        <f>+'Chart III'!R32</f>
        <v>12.8</v>
      </c>
      <c r="U32" s="180" t="s">
        <v>47</v>
      </c>
      <c r="V32" s="168">
        <v>9</v>
      </c>
      <c r="W32" s="168">
        <f t="shared" ref="W32:Y34" si="12">G32</f>
        <v>9</v>
      </c>
      <c r="X32" s="168">
        <f t="shared" si="12"/>
        <v>9.5</v>
      </c>
      <c r="Y32" s="173">
        <f t="shared" si="12"/>
        <v>10</v>
      </c>
      <c r="Z32" s="173">
        <f t="shared" ref="Z32:AA34" si="13">Q32</f>
        <v>12.4</v>
      </c>
      <c r="AA32" s="173">
        <f t="shared" si="13"/>
        <v>12.8</v>
      </c>
    </row>
    <row r="33" spans="1:27" x14ac:dyDescent="0.2">
      <c r="A33" s="269" t="s">
        <v>48</v>
      </c>
      <c r="B33" s="254">
        <f>+'Chart III'!B33</f>
        <v>96172091</v>
      </c>
      <c r="C33" s="254">
        <f>+'Chart III'!C33</f>
        <v>65676068</v>
      </c>
      <c r="D33" s="254">
        <f>+'Chart III'!D33</f>
        <v>67016961</v>
      </c>
      <c r="E33" s="254">
        <f>+'Chart III'!E33</f>
        <v>80518764</v>
      </c>
      <c r="F33" s="254">
        <f>+'Chart III'!F33</f>
        <v>103869997</v>
      </c>
      <c r="G33" s="254">
        <f>+'Chart III'!G33</f>
        <v>102433272</v>
      </c>
      <c r="H33" s="254">
        <f>+'Chart III'!H33</f>
        <v>87237589</v>
      </c>
      <c r="I33" s="254">
        <f>+'Chart III'!I33</f>
        <v>80783141</v>
      </c>
      <c r="J33" s="254">
        <f>+'Chart III'!J33</f>
        <v>79908016</v>
      </c>
      <c r="K33" s="254">
        <f>+'Chart III'!K33</f>
        <v>76828137</v>
      </c>
      <c r="L33" s="254">
        <f>+'Chart III'!L33</f>
        <v>79176233</v>
      </c>
      <c r="M33" s="253">
        <f>+'Chart III'!M33</f>
        <v>81400346</v>
      </c>
      <c r="N33" s="254">
        <f ca="1">+'Chart III'!N33</f>
        <v>83553088.298685014</v>
      </c>
      <c r="O33" s="254">
        <f ca="1">+'Chart III'!O33</f>
        <v>85692156.524740934</v>
      </c>
      <c r="P33" s="254">
        <f ca="1">+'Chart III'!P33</f>
        <v>86862136.274436489</v>
      </c>
      <c r="Q33" s="254">
        <f ca="1">+'Chart III'!Q33</f>
        <v>88760313.469612524</v>
      </c>
      <c r="R33" s="270">
        <f ca="1">+'Chart III'!R33</f>
        <v>90090497.322299674</v>
      </c>
      <c r="U33" s="177" t="s">
        <v>48</v>
      </c>
      <c r="V33" s="168">
        <v>80956601</v>
      </c>
      <c r="W33" s="168">
        <f t="shared" si="12"/>
        <v>102433272</v>
      </c>
      <c r="X33" s="168">
        <f t="shared" si="12"/>
        <v>87237589</v>
      </c>
      <c r="Y33" s="168">
        <f t="shared" si="12"/>
        <v>80783141</v>
      </c>
      <c r="Z33" s="168">
        <f t="shared" ca="1" si="13"/>
        <v>88760313.469612524</v>
      </c>
      <c r="AA33" s="179">
        <f t="shared" ca="1" si="13"/>
        <v>90090497.322299674</v>
      </c>
    </row>
    <row r="34" spans="1:27" x14ac:dyDescent="0.2">
      <c r="A34" s="269" t="s">
        <v>49</v>
      </c>
      <c r="B34" s="254">
        <f>+'Chart III'!B34</f>
        <v>197712.36</v>
      </c>
      <c r="C34" s="254">
        <f>+'Chart III'!C34</f>
        <v>135213.89000000001</v>
      </c>
      <c r="D34" s="254">
        <f>+'Chart III'!D34</f>
        <v>142187.47</v>
      </c>
      <c r="E34" s="254">
        <f>+'Chart III'!E34</f>
        <v>178422</v>
      </c>
      <c r="F34" s="254">
        <f>+'Chart III'!F34</f>
        <v>214029</v>
      </c>
      <c r="G34" s="254">
        <f>+'Chart III'!G34</f>
        <v>204487</v>
      </c>
      <c r="H34" s="254">
        <f>+'Chart III'!H34</f>
        <v>190299</v>
      </c>
      <c r="I34" s="256">
        <f>+'Chart III'!I34</f>
        <v>195141</v>
      </c>
      <c r="J34" s="256">
        <f>+'Chart III'!J34</f>
        <v>192700</v>
      </c>
      <c r="K34" s="256">
        <f>+'Chart III'!K34</f>
        <v>182189</v>
      </c>
      <c r="L34" s="256">
        <f>+'Chart III'!L34</f>
        <v>184241</v>
      </c>
      <c r="M34" s="255">
        <f>+'Chart III'!M34</f>
        <v>186714</v>
      </c>
      <c r="N34" s="256">
        <f ca="1">+'Chart III'!N34</f>
        <v>184580.51902107167</v>
      </c>
      <c r="O34" s="256">
        <f ca="1">+'Chart III'!O34</f>
        <v>189306.02147019058</v>
      </c>
      <c r="P34" s="256">
        <f ca="1">+'Chart III'!P34</f>
        <v>191890.67122809004</v>
      </c>
      <c r="Q34" s="256">
        <f ca="1">+'Chart III'!Q34</f>
        <v>196084.01152243163</v>
      </c>
      <c r="R34" s="272">
        <f ca="1">+'Chart III'!R34</f>
        <v>199022.57466739567</v>
      </c>
      <c r="U34" s="177" t="s">
        <v>49</v>
      </c>
      <c r="V34" s="168"/>
      <c r="W34" s="168">
        <f t="shared" si="12"/>
        <v>204487</v>
      </c>
      <c r="X34" s="168">
        <f t="shared" si="12"/>
        <v>190299</v>
      </c>
      <c r="Y34" s="173">
        <f t="shared" si="12"/>
        <v>195141</v>
      </c>
      <c r="Z34" s="168">
        <f t="shared" ca="1" si="13"/>
        <v>196084.01152243163</v>
      </c>
      <c r="AA34" s="168">
        <f t="shared" ca="1" si="13"/>
        <v>199022.57466739567</v>
      </c>
    </row>
    <row r="35" spans="1:27" x14ac:dyDescent="0.2">
      <c r="A35" s="269"/>
      <c r="B35" s="254"/>
      <c r="C35" s="254"/>
      <c r="D35" s="254"/>
      <c r="E35" s="254"/>
      <c r="F35" s="254"/>
      <c r="G35" s="254"/>
      <c r="H35" s="254"/>
      <c r="I35" s="250"/>
      <c r="J35" s="250"/>
      <c r="K35" s="250"/>
      <c r="L35" s="250"/>
      <c r="M35" s="249"/>
      <c r="N35" s="250"/>
      <c r="O35" s="250"/>
      <c r="P35" s="250"/>
      <c r="Q35" s="250"/>
      <c r="R35" s="265"/>
      <c r="S35" s="23"/>
      <c r="U35" s="177"/>
      <c r="V35" s="168"/>
      <c r="W35" s="168"/>
      <c r="X35" s="168"/>
      <c r="Y35" s="173"/>
      <c r="Z35" s="173"/>
      <c r="AA35" s="173"/>
    </row>
    <row r="36" spans="1:27" x14ac:dyDescent="0.2">
      <c r="A36" s="268" t="str">
        <f>'Rate Class Energy Model'!M2</f>
        <v>Streetlights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1"/>
      <c r="N36" s="252"/>
      <c r="O36" s="252"/>
      <c r="P36" s="252"/>
      <c r="Q36" s="252"/>
      <c r="R36" s="267"/>
      <c r="U36" s="176" t="s">
        <v>75</v>
      </c>
      <c r="V36" s="175"/>
      <c r="W36" s="168"/>
      <c r="X36" s="168"/>
      <c r="Y36" s="168"/>
      <c r="Z36" s="173"/>
      <c r="AA36" s="168"/>
    </row>
    <row r="37" spans="1:27" x14ac:dyDescent="0.2">
      <c r="A37" s="269" t="s">
        <v>63</v>
      </c>
      <c r="B37" s="254">
        <f>+'Chart III'!B37</f>
        <v>10059</v>
      </c>
      <c r="C37" s="254">
        <f>+'Chart III'!C37</f>
        <v>10262</v>
      </c>
      <c r="D37" s="254">
        <f>+'Chart III'!D37</f>
        <v>10498.5</v>
      </c>
      <c r="E37" s="254">
        <f>+'Chart III'!E37</f>
        <v>10831</v>
      </c>
      <c r="F37" s="254">
        <f>+'Chart III'!F37</f>
        <v>11280.5</v>
      </c>
      <c r="G37" s="254">
        <f>+'Chart III'!G37</f>
        <v>11621.5</v>
      </c>
      <c r="H37" s="254">
        <f>+'Chart III'!H37</f>
        <v>11801</v>
      </c>
      <c r="I37" s="256">
        <f>+'Chart III'!I37</f>
        <v>11995.5</v>
      </c>
      <c r="J37" s="254">
        <f>+'Chart III'!J37</f>
        <v>12127.5</v>
      </c>
      <c r="K37" s="254">
        <f>+'Chart III'!K37</f>
        <v>12213</v>
      </c>
      <c r="L37" s="254">
        <f>+'Chart III'!L37</f>
        <v>12332.5</v>
      </c>
      <c r="M37" s="253">
        <f>+'Chart III'!M37</f>
        <v>12464.5</v>
      </c>
      <c r="N37" s="254">
        <f>+'Chart III'!N37</f>
        <v>12838.446964330369</v>
      </c>
      <c r="O37" s="254">
        <f>+'Chart III'!O37</f>
        <v>13223.623254578835</v>
      </c>
      <c r="P37" s="254">
        <f>+'Chart III'!P37</f>
        <v>13620.323929548704</v>
      </c>
      <c r="Q37" s="254">
        <f>+'Chart III'!Q37</f>
        <v>14028.945919148318</v>
      </c>
      <c r="R37" s="270">
        <f>+'Chart III'!R37</f>
        <v>14449.788061221263</v>
      </c>
      <c r="U37" s="177" t="s">
        <v>63</v>
      </c>
      <c r="V37" s="168">
        <v>11650</v>
      </c>
      <c r="W37" s="168">
        <f t="shared" ref="W37:Y39" si="14">G37</f>
        <v>11621.5</v>
      </c>
      <c r="X37" s="168">
        <f t="shared" si="14"/>
        <v>11801</v>
      </c>
      <c r="Y37" s="173">
        <f t="shared" si="14"/>
        <v>11995.5</v>
      </c>
      <c r="Z37" s="168">
        <f t="shared" ref="Z37:AA39" si="15">Q37</f>
        <v>14028.945919148318</v>
      </c>
      <c r="AA37" s="168">
        <f t="shared" si="15"/>
        <v>14449.788061221263</v>
      </c>
    </row>
    <row r="38" spans="1:27" x14ac:dyDescent="0.2">
      <c r="A38" s="269" t="s">
        <v>48</v>
      </c>
      <c r="B38" s="254">
        <f>+'Chart III'!B38</f>
        <v>8359780.5</v>
      </c>
      <c r="C38" s="254">
        <f>+'Chart III'!C38</f>
        <v>8743099.0634733941</v>
      </c>
      <c r="D38" s="254">
        <f>+'Chart III'!D38</f>
        <v>9182978</v>
      </c>
      <c r="E38" s="254">
        <f>+'Chart III'!E38</f>
        <v>9398525</v>
      </c>
      <c r="F38" s="254">
        <f>+'Chart III'!F38</f>
        <v>9704521</v>
      </c>
      <c r="G38" s="254">
        <f>+'Chart III'!G38</f>
        <v>9725840</v>
      </c>
      <c r="H38" s="254">
        <f>+'Chart III'!H38</f>
        <v>10202758</v>
      </c>
      <c r="I38" s="254">
        <f>+'Chart III'!I38</f>
        <v>10427904</v>
      </c>
      <c r="J38" s="254">
        <f>+'Chart III'!J38</f>
        <v>10253017</v>
      </c>
      <c r="K38" s="254">
        <f>+'Chart III'!K38</f>
        <v>10139708</v>
      </c>
      <c r="L38" s="254">
        <f>+'Chart III'!L38</f>
        <v>9082284</v>
      </c>
      <c r="M38" s="253">
        <f>+'Chart III'!M38</f>
        <v>9155875</v>
      </c>
      <c r="N38" s="254">
        <f>+'Chart III'!N38</f>
        <v>6934206.2815438015</v>
      </c>
      <c r="O38" s="254">
        <f>+'Chart III'!O38</f>
        <v>4625488.1587263634</v>
      </c>
      <c r="P38" s="254">
        <f>+'Chart III'!P38</f>
        <v>4583340.2168644872</v>
      </c>
      <c r="Q38" s="254">
        <f>+'Chart III'!Q38</f>
        <v>4541712.7242170181</v>
      </c>
      <c r="R38" s="270">
        <f>+'Chart III'!R38</f>
        <v>4500563.824822342</v>
      </c>
      <c r="U38" s="177" t="s">
        <v>48</v>
      </c>
      <c r="V38" s="168">
        <v>10072853</v>
      </c>
      <c r="W38" s="168">
        <f t="shared" si="14"/>
        <v>9725840</v>
      </c>
      <c r="X38" s="168">
        <f t="shared" si="14"/>
        <v>10202758</v>
      </c>
      <c r="Y38" s="168">
        <f t="shared" si="14"/>
        <v>10427904</v>
      </c>
      <c r="Z38" s="168">
        <f t="shared" si="15"/>
        <v>4541712.7242170181</v>
      </c>
      <c r="AA38" s="181">
        <f t="shared" si="15"/>
        <v>4500563.824822342</v>
      </c>
    </row>
    <row r="39" spans="1:27" x14ac:dyDescent="0.2">
      <c r="A39" s="269" t="s">
        <v>49</v>
      </c>
      <c r="B39" s="254">
        <f>+'Chart III'!B39</f>
        <v>23226.94</v>
      </c>
      <c r="C39" s="254">
        <f>+'Chart III'!C39</f>
        <v>23584.5</v>
      </c>
      <c r="D39" s="254">
        <f>+'Chart III'!D39</f>
        <v>24114.33</v>
      </c>
      <c r="E39" s="254">
        <f>+'Chart III'!E39</f>
        <v>24802</v>
      </c>
      <c r="F39" s="254">
        <f>+'Chart III'!F39</f>
        <v>25740</v>
      </c>
      <c r="G39" s="254">
        <f>+'Chart III'!G39</f>
        <v>26489</v>
      </c>
      <c r="H39" s="254">
        <f>+'Chart III'!H39</f>
        <v>27041</v>
      </c>
      <c r="I39" s="256">
        <f>+'Chart III'!I39</f>
        <v>27634</v>
      </c>
      <c r="J39" s="256">
        <f>+'Chart III'!J39</f>
        <v>27830</v>
      </c>
      <c r="K39" s="256">
        <f>+'Chart III'!K39</f>
        <v>27720</v>
      </c>
      <c r="L39" s="256">
        <f>+'Chart III'!L39</f>
        <v>25276</v>
      </c>
      <c r="M39" s="255">
        <f>+'Chart III'!M39</f>
        <v>25520</v>
      </c>
      <c r="N39" s="256">
        <f>+'Chart III'!N39</f>
        <v>18742.893699603548</v>
      </c>
      <c r="O39" s="256">
        <f>+'Chart III'!O39</f>
        <v>12502.517137185854</v>
      </c>
      <c r="P39" s="256">
        <f>+'Chart III'!P39</f>
        <v>12388.592866418654</v>
      </c>
      <c r="Q39" s="256">
        <f>+'Chart III'!Q39</f>
        <v>12276.075349922326</v>
      </c>
      <c r="R39" s="272">
        <f>+'Chart III'!R39</f>
        <v>12164.85145263752</v>
      </c>
      <c r="U39" s="177" t="s">
        <v>49</v>
      </c>
      <c r="V39" s="168"/>
      <c r="W39" s="168">
        <f t="shared" si="14"/>
        <v>26489</v>
      </c>
      <c r="X39" s="168">
        <f t="shared" si="14"/>
        <v>27041</v>
      </c>
      <c r="Y39" s="173">
        <f t="shared" si="14"/>
        <v>27634</v>
      </c>
      <c r="Z39" s="168">
        <f t="shared" si="15"/>
        <v>12276.075349922326</v>
      </c>
      <c r="AA39" s="168">
        <f t="shared" si="15"/>
        <v>12164.85145263752</v>
      </c>
    </row>
    <row r="40" spans="1:27" x14ac:dyDescent="0.2">
      <c r="A40" s="269"/>
      <c r="B40" s="254"/>
      <c r="C40" s="254"/>
      <c r="D40" s="254"/>
      <c r="E40" s="254"/>
      <c r="F40" s="254"/>
      <c r="G40" s="254"/>
      <c r="H40" s="254"/>
      <c r="I40" s="256"/>
      <c r="J40" s="256"/>
      <c r="K40" s="256"/>
      <c r="L40" s="256"/>
      <c r="M40" s="255"/>
      <c r="N40" s="256"/>
      <c r="O40" s="256"/>
      <c r="P40" s="256"/>
      <c r="Q40" s="256"/>
      <c r="R40" s="272"/>
      <c r="U40" s="177"/>
      <c r="V40" s="168"/>
      <c r="W40" s="168"/>
      <c r="X40" s="168"/>
      <c r="Y40" s="173"/>
      <c r="Z40" s="168"/>
      <c r="AA40" s="168"/>
    </row>
    <row r="41" spans="1:27" x14ac:dyDescent="0.2">
      <c r="A41" s="268" t="str">
        <f>'Rate Class Energy Model'!N2</f>
        <v>Sentinels</v>
      </c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1"/>
      <c r="N41" s="252"/>
      <c r="O41" s="252"/>
      <c r="P41" s="252"/>
      <c r="Q41" s="252"/>
      <c r="R41" s="267"/>
      <c r="U41" s="176" t="s">
        <v>78</v>
      </c>
      <c r="V41" s="175"/>
      <c r="W41" s="168"/>
      <c r="X41" s="168"/>
      <c r="Y41" s="168"/>
      <c r="Z41" s="173"/>
      <c r="AA41" s="168"/>
    </row>
    <row r="42" spans="1:27" x14ac:dyDescent="0.2">
      <c r="A42" s="269" t="s">
        <v>63</v>
      </c>
      <c r="B42" s="254">
        <f>+'Chart III'!B42</f>
        <v>34.5</v>
      </c>
      <c r="C42" s="254">
        <f>+'Chart III'!C42</f>
        <v>30</v>
      </c>
      <c r="D42" s="254">
        <f>+'Chart III'!D42</f>
        <v>29.5</v>
      </c>
      <c r="E42" s="254">
        <f>+'Chart III'!E42</f>
        <v>28.5</v>
      </c>
      <c r="F42" s="254">
        <f>+'Chart III'!F42</f>
        <v>26.5</v>
      </c>
      <c r="G42" s="254">
        <f>+'Chart III'!G42</f>
        <v>26</v>
      </c>
      <c r="H42" s="254">
        <f>+'Chart III'!H42</f>
        <v>26</v>
      </c>
      <c r="I42" s="254">
        <f>+'Chart III'!I42</f>
        <v>25</v>
      </c>
      <c r="J42" s="254">
        <f>+'Chart III'!J42</f>
        <v>24</v>
      </c>
      <c r="K42" s="254">
        <f>+'Chart III'!K42</f>
        <v>24</v>
      </c>
      <c r="L42" s="254">
        <f>+'Chart III'!L42</f>
        <v>24</v>
      </c>
      <c r="M42" s="253">
        <f>+'Chart III'!M42</f>
        <v>24</v>
      </c>
      <c r="N42" s="254">
        <f>+'Chart III'!N42</f>
        <v>23.221124933174856</v>
      </c>
      <c r="O42" s="254">
        <f>+'Chart III'!O42</f>
        <v>22.46752679842146</v>
      </c>
      <c r="P42" s="254">
        <f>+'Chart III'!P42</f>
        <v>21.738385280233285</v>
      </c>
      <c r="Q42" s="254">
        <f>+'Chart III'!Q42</f>
        <v>21.032906684907768</v>
      </c>
      <c r="R42" s="270">
        <f>+'Chart III'!R42</f>
        <v>20.350323076585497</v>
      </c>
      <c r="U42" s="177" t="s">
        <v>63</v>
      </c>
      <c r="V42" s="168">
        <v>77</v>
      </c>
      <c r="W42" s="168">
        <f t="shared" ref="W42:Y44" si="16">G42</f>
        <v>26</v>
      </c>
      <c r="X42" s="168">
        <f t="shared" si="16"/>
        <v>26</v>
      </c>
      <c r="Y42" s="168">
        <f t="shared" si="16"/>
        <v>25</v>
      </c>
      <c r="Z42" s="168">
        <f t="shared" ref="Z42:AA44" si="17">Q42</f>
        <v>21.032906684907768</v>
      </c>
      <c r="AA42" s="168">
        <f t="shared" si="17"/>
        <v>20.350323076585497</v>
      </c>
    </row>
    <row r="43" spans="1:27" x14ac:dyDescent="0.2">
      <c r="A43" s="269" t="s">
        <v>48</v>
      </c>
      <c r="B43" s="254">
        <f>+'Chart III'!B43</f>
        <v>45541</v>
      </c>
      <c r="C43" s="254">
        <f>+'Chart III'!C43</f>
        <v>27821</v>
      </c>
      <c r="D43" s="254">
        <f>+'Chart III'!D43</f>
        <v>43197</v>
      </c>
      <c r="E43" s="254">
        <f>+'Chart III'!E43</f>
        <v>42595</v>
      </c>
      <c r="F43" s="254">
        <f>+'Chart III'!F43</f>
        <v>41408</v>
      </c>
      <c r="G43" s="254">
        <f>+'Chart III'!G43</f>
        <v>39233</v>
      </c>
      <c r="H43" s="254">
        <f>+'Chart III'!H43</f>
        <v>36792</v>
      </c>
      <c r="I43" s="254">
        <f>+'Chart III'!I43</f>
        <v>35812</v>
      </c>
      <c r="J43" s="254">
        <f>+'Chart III'!J43</f>
        <v>35812</v>
      </c>
      <c r="K43" s="254">
        <f>+'Chart III'!K43</f>
        <v>35812</v>
      </c>
      <c r="L43" s="254">
        <f>+'Chart III'!L43</f>
        <v>35812</v>
      </c>
      <c r="M43" s="253">
        <f>+'Chart III'!M43</f>
        <v>35812</v>
      </c>
      <c r="N43" s="254">
        <f ca="1">+'Chart III'!N43</f>
        <v>34349.534768978912</v>
      </c>
      <c r="O43" s="254">
        <f ca="1">+'Chart III'!O43</f>
        <v>32928.129707592547</v>
      </c>
      <c r="P43" s="254">
        <f ca="1">+'Chart III'!P43</f>
        <v>31638.082757930551</v>
      </c>
      <c r="Q43" s="254">
        <f ca="1">+'Chart III'!Q43</f>
        <v>30323.070137644703</v>
      </c>
      <c r="R43" s="270">
        <f ca="1">+'Chart III'!R43</f>
        <v>28856.100408357815</v>
      </c>
      <c r="U43" s="177" t="s">
        <v>48</v>
      </c>
      <c r="V43" s="168">
        <v>40813</v>
      </c>
      <c r="W43" s="168">
        <f t="shared" si="16"/>
        <v>39233</v>
      </c>
      <c r="X43" s="168">
        <f t="shared" si="16"/>
        <v>36792</v>
      </c>
      <c r="Y43" s="168">
        <f t="shared" si="16"/>
        <v>35812</v>
      </c>
      <c r="Z43" s="168">
        <f t="shared" ca="1" si="17"/>
        <v>30323.070137644703</v>
      </c>
      <c r="AA43" s="181">
        <f t="shared" ca="1" si="17"/>
        <v>28856.100408357815</v>
      </c>
    </row>
    <row r="44" spans="1:27" x14ac:dyDescent="0.2">
      <c r="A44" s="269" t="s">
        <v>49</v>
      </c>
      <c r="B44" s="254">
        <f>+'Chart III'!B44</f>
        <v>126.50277777777779</v>
      </c>
      <c r="C44" s="254">
        <f>+'Chart III'!C44</f>
        <v>123.24722222222222</v>
      </c>
      <c r="D44" s="254">
        <f>+'Chart III'!D44</f>
        <v>119.99166666666666</v>
      </c>
      <c r="E44" s="254">
        <f>+'Chart III'!E44</f>
        <v>118.31944444444447</v>
      </c>
      <c r="F44" s="254">
        <f>+'Chart III'!F44</f>
        <v>115.0222222222222</v>
      </c>
      <c r="G44" s="254">
        <f>+'Chart III'!G44</f>
        <v>108.9805555555556</v>
      </c>
      <c r="H44" s="254">
        <f>+'Chart III'!H44</f>
        <v>102.2</v>
      </c>
      <c r="I44" s="256">
        <f>+'Chart III'!I44</f>
        <v>99.477777777777803</v>
      </c>
      <c r="J44" s="256">
        <f>+'Chart III'!J44</f>
        <v>100</v>
      </c>
      <c r="K44" s="256">
        <f>+'Chart III'!K44</f>
        <v>100</v>
      </c>
      <c r="L44" s="256">
        <f>+'Chart III'!L44</f>
        <v>100</v>
      </c>
      <c r="M44" s="255">
        <f>+'Chart III'!M44</f>
        <v>100</v>
      </c>
      <c r="N44" s="256">
        <f ca="1">+'Chart III'!N44</f>
        <v>100.31178155107455</v>
      </c>
      <c r="O44" s="256">
        <f ca="1">+'Chart III'!O44</f>
        <v>96.160817790652715</v>
      </c>
      <c r="P44" s="256">
        <f ca="1">+'Chart III'!P44</f>
        <v>92.393462317704902</v>
      </c>
      <c r="Q44" s="256">
        <f ca="1">+'Chart III'!Q44</f>
        <v>88.553198989825731</v>
      </c>
      <c r="R44" s="272">
        <f ca="1">+'Chart III'!R44</f>
        <v>84.269171621887097</v>
      </c>
      <c r="U44" s="177" t="s">
        <v>49</v>
      </c>
      <c r="V44" s="168"/>
      <c r="W44" s="168">
        <f t="shared" si="16"/>
        <v>108.9805555555556</v>
      </c>
      <c r="X44" s="168">
        <f t="shared" si="16"/>
        <v>102.2</v>
      </c>
      <c r="Y44" s="173">
        <f t="shared" si="16"/>
        <v>99.477777777777803</v>
      </c>
      <c r="Z44" s="168">
        <f t="shared" ca="1" si="17"/>
        <v>88.553198989825731</v>
      </c>
      <c r="AA44" s="168">
        <f t="shared" ca="1" si="17"/>
        <v>84.269171621887097</v>
      </c>
    </row>
    <row r="45" spans="1:27" x14ac:dyDescent="0.2">
      <c r="A45" s="269"/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1"/>
      <c r="N45" s="252"/>
      <c r="O45" s="252"/>
      <c r="P45" s="252"/>
      <c r="Q45" s="252"/>
      <c r="R45" s="267"/>
      <c r="U45" s="177"/>
      <c r="V45" s="175"/>
      <c r="W45" s="168"/>
      <c r="X45" s="168"/>
      <c r="Y45" s="168"/>
      <c r="Z45" s="173"/>
      <c r="AA45" s="168"/>
    </row>
    <row r="46" spans="1:27" x14ac:dyDescent="0.2">
      <c r="A46" s="268" t="str">
        <f>'Rate Class Energy Model'!O2</f>
        <v>USL</v>
      </c>
      <c r="B46" s="252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1"/>
      <c r="N46" s="252"/>
      <c r="O46" s="252"/>
      <c r="P46" s="252"/>
      <c r="Q46" s="252"/>
      <c r="R46" s="267"/>
      <c r="U46" s="176" t="s">
        <v>76</v>
      </c>
      <c r="V46" s="175"/>
      <c r="W46" s="168"/>
      <c r="X46" s="168"/>
      <c r="Y46" s="168"/>
      <c r="Z46" s="173"/>
      <c r="AA46" s="168"/>
    </row>
    <row r="47" spans="1:27" x14ac:dyDescent="0.2">
      <c r="A47" s="269" t="s">
        <v>63</v>
      </c>
      <c r="B47" s="254">
        <f>+'Chart III'!B47</f>
        <v>292</v>
      </c>
      <c r="C47" s="254">
        <f>+'Chart III'!C47</f>
        <v>294</v>
      </c>
      <c r="D47" s="254">
        <f>+'Chart III'!D47</f>
        <v>295</v>
      </c>
      <c r="E47" s="254">
        <f>+'Chart III'!E47</f>
        <v>298</v>
      </c>
      <c r="F47" s="254">
        <f>+'Chart III'!F47</f>
        <v>301</v>
      </c>
      <c r="G47" s="254">
        <f>+'Chart III'!G47</f>
        <v>301</v>
      </c>
      <c r="H47" s="254">
        <f>+'Chart III'!H47</f>
        <v>302.5</v>
      </c>
      <c r="I47" s="256">
        <f>+'Chart III'!I47</f>
        <v>306.5</v>
      </c>
      <c r="J47" s="254">
        <f>+'Chart III'!J47</f>
        <v>302.5</v>
      </c>
      <c r="K47" s="254">
        <f>+'Chart III'!K47</f>
        <v>295.5</v>
      </c>
      <c r="L47" s="254">
        <f>+'Chart III'!L47</f>
        <v>295</v>
      </c>
      <c r="M47" s="253">
        <f>+'Chart III'!M47</f>
        <v>295.5</v>
      </c>
      <c r="N47" s="254">
        <f>+'Chart III'!N47</f>
        <v>295.82025457231583</v>
      </c>
      <c r="O47" s="254">
        <f>+'Chart III'!O47</f>
        <v>296.14085622751179</v>
      </c>
      <c r="P47" s="254">
        <f>+'Chart III'!P47</f>
        <v>296.46180534174658</v>
      </c>
      <c r="Q47" s="254">
        <f>+'Chart III'!Q47</f>
        <v>296.78310229158649</v>
      </c>
      <c r="R47" s="270">
        <f>+'Chart III'!R47</f>
        <v>297.10474745400597</v>
      </c>
      <c r="U47" s="177" t="s">
        <v>63</v>
      </c>
      <c r="V47" s="168">
        <v>305</v>
      </c>
      <c r="W47" s="168">
        <f t="shared" ref="W47:Y48" si="18">G47</f>
        <v>301</v>
      </c>
      <c r="X47" s="168">
        <f t="shared" si="18"/>
        <v>302.5</v>
      </c>
      <c r="Y47" s="173">
        <f t="shared" si="18"/>
        <v>306.5</v>
      </c>
      <c r="Z47" s="168">
        <f t="shared" ref="Z47:AA48" si="19">Q47</f>
        <v>296.78310229158649</v>
      </c>
      <c r="AA47" s="168">
        <f t="shared" si="19"/>
        <v>297.10474745400597</v>
      </c>
    </row>
    <row r="48" spans="1:27" x14ac:dyDescent="0.2">
      <c r="A48" s="269" t="s">
        <v>48</v>
      </c>
      <c r="B48" s="254">
        <f>+'Chart III'!B48</f>
        <v>2920000</v>
      </c>
      <c r="C48" s="254">
        <f>+'Chart III'!C48</f>
        <v>2940000</v>
      </c>
      <c r="D48" s="254">
        <f>+'Chart III'!D48</f>
        <v>2950000</v>
      </c>
      <c r="E48" s="254">
        <f>+'Chart III'!E48</f>
        <v>3705188</v>
      </c>
      <c r="F48" s="254">
        <f>+'Chart III'!F48</f>
        <v>3818865</v>
      </c>
      <c r="G48" s="254">
        <f>+'Chart III'!G48</f>
        <v>3372873</v>
      </c>
      <c r="H48" s="254">
        <f>+'Chart III'!H48</f>
        <v>2825455</v>
      </c>
      <c r="I48" s="254">
        <f>+'Chart III'!I48</f>
        <v>2831501</v>
      </c>
      <c r="J48" s="254">
        <f>+'Chart III'!J48</f>
        <v>2769028</v>
      </c>
      <c r="K48" s="254">
        <f>+'Chart III'!K48</f>
        <v>2745701</v>
      </c>
      <c r="L48" s="254">
        <f>+'Chart III'!L48</f>
        <v>2752416</v>
      </c>
      <c r="M48" s="253">
        <f>+'Chart III'!M48</f>
        <v>2711219</v>
      </c>
      <c r="N48" s="254">
        <f ca="1">+'Chart III'!N48</f>
        <v>2690638.1196790505</v>
      </c>
      <c r="O48" s="254">
        <f ca="1">+'Chart III'!O48</f>
        <v>2668700.9067017306</v>
      </c>
      <c r="P48" s="254">
        <f ca="1">+'Chart III'!P48</f>
        <v>2653025.3821984963</v>
      </c>
      <c r="Q48" s="254">
        <f ca="1">+'Chart III'!Q48</f>
        <v>2630890.8205649224</v>
      </c>
      <c r="R48" s="270">
        <f ca="1">+'Chart III'!R48</f>
        <v>2590393.2731665666</v>
      </c>
      <c r="U48" s="177" t="s">
        <v>48</v>
      </c>
      <c r="V48" s="168">
        <v>3841944</v>
      </c>
      <c r="W48" s="168">
        <f t="shared" si="18"/>
        <v>3372873</v>
      </c>
      <c r="X48" s="168">
        <f t="shared" si="18"/>
        <v>2825455</v>
      </c>
      <c r="Y48" s="168">
        <f t="shared" si="18"/>
        <v>2831501</v>
      </c>
      <c r="Z48" s="168">
        <f t="shared" ca="1" si="19"/>
        <v>2630890.8205649224</v>
      </c>
      <c r="AA48" s="168">
        <f t="shared" ca="1" si="19"/>
        <v>2590393.2731665666</v>
      </c>
    </row>
    <row r="49" spans="1:29" x14ac:dyDescent="0.2">
      <c r="A49" s="269"/>
      <c r="B49" s="252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1"/>
      <c r="N49" s="252"/>
      <c r="O49" s="252"/>
      <c r="P49" s="252"/>
      <c r="Q49" s="252"/>
      <c r="R49" s="267"/>
      <c r="U49" s="177"/>
      <c r="V49" s="175"/>
      <c r="W49" s="168"/>
      <c r="X49" s="168"/>
      <c r="Y49" s="168"/>
      <c r="Z49" s="173"/>
      <c r="AA49" s="168"/>
    </row>
    <row r="50" spans="1:29" x14ac:dyDescent="0.2">
      <c r="A50" s="268" t="s">
        <v>64</v>
      </c>
      <c r="B50" s="254"/>
      <c r="C50" s="254"/>
      <c r="D50" s="254"/>
      <c r="E50" s="254"/>
      <c r="F50" s="252"/>
      <c r="G50" s="254"/>
      <c r="H50" s="254"/>
      <c r="I50" s="254"/>
      <c r="J50" s="254"/>
      <c r="K50" s="254"/>
      <c r="L50" s="254"/>
      <c r="M50" s="253"/>
      <c r="N50" s="254"/>
      <c r="O50" s="254"/>
      <c r="P50" s="254"/>
      <c r="Q50" s="254"/>
      <c r="R50" s="270"/>
      <c r="U50" s="176" t="s">
        <v>64</v>
      </c>
      <c r="V50" s="175"/>
      <c r="W50" s="168"/>
      <c r="X50" s="168"/>
      <c r="Y50" s="168"/>
      <c r="Z50" s="173"/>
      <c r="AA50" s="168"/>
    </row>
    <row r="51" spans="1:29" x14ac:dyDescent="0.2">
      <c r="A51" s="269" t="s">
        <v>51</v>
      </c>
      <c r="B51" s="254">
        <f>B14+B18+B22+B27+B32+B37+B47+B42</f>
        <v>57960.5</v>
      </c>
      <c r="C51" s="254">
        <f t="shared" ref="C51:I51" si="20">C14+C18+C22+C27+C32+C37+C47+C42</f>
        <v>58730.5</v>
      </c>
      <c r="D51" s="254">
        <f t="shared" si="20"/>
        <v>59614.5</v>
      </c>
      <c r="E51" s="254">
        <f t="shared" si="20"/>
        <v>60872.5</v>
      </c>
      <c r="F51" s="254">
        <f t="shared" si="20"/>
        <v>62211</v>
      </c>
      <c r="G51" s="254">
        <f t="shared" si="20"/>
        <v>63344.5</v>
      </c>
      <c r="H51" s="254">
        <f t="shared" si="20"/>
        <v>64128</v>
      </c>
      <c r="I51" s="254">
        <f t="shared" si="20"/>
        <v>64894</v>
      </c>
      <c r="J51" s="254">
        <f t="shared" ref="J51:Q51" si="21">J14+J18+J22+J27+J32+J37+J47+J42</f>
        <v>65524.5</v>
      </c>
      <c r="K51" s="254">
        <f t="shared" si="21"/>
        <v>65927</v>
      </c>
      <c r="L51" s="254">
        <f t="shared" si="21"/>
        <v>66584</v>
      </c>
      <c r="M51" s="253">
        <f t="shared" si="21"/>
        <v>67453.5</v>
      </c>
      <c r="N51" s="254">
        <f t="shared" si="21"/>
        <v>69466.984052257045</v>
      </c>
      <c r="O51" s="254">
        <f t="shared" si="21"/>
        <v>71541.023355824931</v>
      </c>
      <c r="P51" s="254">
        <f t="shared" si="21"/>
        <v>73677.236538212819</v>
      </c>
      <c r="Q51" s="254">
        <f t="shared" si="21"/>
        <v>75877.745796300442</v>
      </c>
      <c r="R51" s="270">
        <f>R14+R18+R22+R27+R32+R37+R47+R42</f>
        <v>78143.9769548201</v>
      </c>
      <c r="U51" s="177" t="s">
        <v>51</v>
      </c>
      <c r="V51" s="168">
        <f t="shared" ref="V51" si="22">V14+V18+V22+V27+V32+V37+V47+V42</f>
        <v>63653</v>
      </c>
      <c r="W51" s="168">
        <f t="shared" ref="W51:Y53" si="23">G51</f>
        <v>63344.5</v>
      </c>
      <c r="X51" s="168">
        <f t="shared" si="23"/>
        <v>64128</v>
      </c>
      <c r="Y51" s="168">
        <f t="shared" si="23"/>
        <v>64894</v>
      </c>
      <c r="Z51" s="168">
        <f t="shared" ref="Z51:AA53" si="24">Q51</f>
        <v>75877.745796300442</v>
      </c>
      <c r="AA51" s="168">
        <f t="shared" si="24"/>
        <v>78143.9769548201</v>
      </c>
    </row>
    <row r="52" spans="1:29" x14ac:dyDescent="0.2">
      <c r="A52" s="269" t="s">
        <v>48</v>
      </c>
      <c r="B52" s="254">
        <f>B15+B19+B23+B28+B33+B38+B48+B43</f>
        <v>1136840307.5</v>
      </c>
      <c r="C52" s="254">
        <f t="shared" ref="C52:I52" si="25">C15+C19+C23+C28+C33+C38+C48+C43</f>
        <v>1128300513.0634735</v>
      </c>
      <c r="D52" s="254">
        <f t="shared" si="25"/>
        <v>1125931170</v>
      </c>
      <c r="E52" s="254">
        <f t="shared" si="25"/>
        <v>1110963247</v>
      </c>
      <c r="F52" s="254">
        <f t="shared" si="25"/>
        <v>1143760516</v>
      </c>
      <c r="G52" s="254">
        <f t="shared" si="25"/>
        <v>1117251257</v>
      </c>
      <c r="H52" s="254">
        <f t="shared" si="25"/>
        <v>1082664508</v>
      </c>
      <c r="I52" s="254">
        <f t="shared" si="25"/>
        <v>1090938483</v>
      </c>
      <c r="J52" s="254">
        <f t="shared" ref="J52:R52" si="26">J15+J19+J23+J28+J33+J38+J48+J43</f>
        <v>1110518847</v>
      </c>
      <c r="K52" s="254">
        <f t="shared" si="26"/>
        <v>1073783871</v>
      </c>
      <c r="L52" s="254">
        <f t="shared" si="26"/>
        <v>1078161209</v>
      </c>
      <c r="M52" s="253">
        <f t="shared" si="26"/>
        <v>1091642390</v>
      </c>
      <c r="N52" s="254">
        <f t="shared" ca="1" si="26"/>
        <v>1116432536.9895813</v>
      </c>
      <c r="O52" s="254">
        <f t="shared" ca="1" si="26"/>
        <v>1131630482.302804</v>
      </c>
      <c r="P52" s="254">
        <f t="shared" ca="1" si="26"/>
        <v>1145673197.4182358</v>
      </c>
      <c r="Q52" s="254">
        <f t="shared" ca="1" si="26"/>
        <v>1161077354.2842677</v>
      </c>
      <c r="R52" s="270">
        <f t="shared" ca="1" si="26"/>
        <v>1169388487.36602</v>
      </c>
      <c r="U52" s="177" t="s">
        <v>48</v>
      </c>
      <c r="V52" s="168">
        <f t="shared" ref="V52" si="27">V15+V19+V23+V28+V33+V38+V48+V43</f>
        <v>1141200155</v>
      </c>
      <c r="W52" s="168">
        <f t="shared" si="23"/>
        <v>1117251257</v>
      </c>
      <c r="X52" s="168">
        <f t="shared" si="23"/>
        <v>1082664508</v>
      </c>
      <c r="Y52" s="168">
        <f t="shared" si="23"/>
        <v>1090938483</v>
      </c>
      <c r="Z52" s="168">
        <f t="shared" ca="1" si="24"/>
        <v>1161077354.2842677</v>
      </c>
      <c r="AA52" s="168">
        <f t="shared" ca="1" si="24"/>
        <v>1169388487.36602</v>
      </c>
    </row>
    <row r="53" spans="1:29" x14ac:dyDescent="0.2">
      <c r="A53" s="269" t="s">
        <v>50</v>
      </c>
      <c r="B53" s="254">
        <f t="shared" ref="B53:I53" si="28">B24+B29+B34+B39+B44</f>
        <v>1376310.4427777778</v>
      </c>
      <c r="C53" s="254">
        <f t="shared" si="28"/>
        <v>1359503.3072222222</v>
      </c>
      <c r="D53" s="254">
        <f t="shared" si="28"/>
        <v>1235025.9316666666</v>
      </c>
      <c r="E53" s="254">
        <f t="shared" si="28"/>
        <v>1231537.3194444445</v>
      </c>
      <c r="F53" s="254">
        <f t="shared" si="28"/>
        <v>1262855.0222222223</v>
      </c>
      <c r="G53" s="254">
        <f t="shared" si="28"/>
        <v>1231679.9805555556</v>
      </c>
      <c r="H53" s="254">
        <f t="shared" si="28"/>
        <v>1167952.2</v>
      </c>
      <c r="I53" s="254">
        <f t="shared" si="28"/>
        <v>1165174.4777777777</v>
      </c>
      <c r="J53" s="254">
        <f t="shared" ref="J53:R53" si="29">J24+J29+J34+J39+J44</f>
        <v>1171404</v>
      </c>
      <c r="K53" s="254">
        <f t="shared" si="29"/>
        <v>1146022</v>
      </c>
      <c r="L53" s="254">
        <f t="shared" si="29"/>
        <v>1145530</v>
      </c>
      <c r="M53" s="253">
        <f t="shared" si="29"/>
        <v>1137326</v>
      </c>
      <c r="N53" s="254">
        <f t="shared" ca="1" si="29"/>
        <v>1173698.5951248333</v>
      </c>
      <c r="O53" s="254">
        <f t="shared" ca="1" si="29"/>
        <v>1188193.5272971711</v>
      </c>
      <c r="P53" s="254">
        <f t="shared" ca="1" si="29"/>
        <v>1204983.7840457296</v>
      </c>
      <c r="Q53" s="254">
        <f t="shared" ca="1" si="29"/>
        <v>1223958.818391382</v>
      </c>
      <c r="R53" s="270">
        <f t="shared" ca="1" si="29"/>
        <v>1235731.2269390824</v>
      </c>
      <c r="U53" s="182" t="s">
        <v>50</v>
      </c>
      <c r="V53" s="183"/>
      <c r="W53" s="183">
        <f t="shared" si="23"/>
        <v>1231679.9805555556</v>
      </c>
      <c r="X53" s="183">
        <f t="shared" si="23"/>
        <v>1167952.2</v>
      </c>
      <c r="Y53" s="183">
        <f t="shared" si="23"/>
        <v>1165174.4777777777</v>
      </c>
      <c r="Z53" s="183">
        <f t="shared" ca="1" si="24"/>
        <v>1223958.818391382</v>
      </c>
      <c r="AA53" s="183">
        <f t="shared" ca="1" si="24"/>
        <v>1235731.2269390824</v>
      </c>
    </row>
    <row r="54" spans="1:29" x14ac:dyDescent="0.2">
      <c r="A54" s="269"/>
      <c r="B54" s="252"/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1"/>
      <c r="N54" s="252"/>
      <c r="O54" s="252"/>
      <c r="P54" s="252"/>
      <c r="Q54" s="252"/>
      <c r="R54" s="267"/>
      <c r="W54" s="158"/>
      <c r="X54" s="158"/>
      <c r="Y54" s="158"/>
      <c r="Z54" s="159"/>
      <c r="AA54" s="158"/>
    </row>
    <row r="55" spans="1:29" x14ac:dyDescent="0.2">
      <c r="A55" s="268" t="s">
        <v>65</v>
      </c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1"/>
      <c r="N55" s="252"/>
      <c r="O55" s="252"/>
      <c r="P55" s="252"/>
      <c r="Q55" s="252"/>
      <c r="R55" s="267"/>
      <c r="U55" s="163" t="s">
        <v>65</v>
      </c>
      <c r="V55" s="160"/>
      <c r="W55" s="162"/>
      <c r="X55" s="162"/>
      <c r="Y55" s="162"/>
      <c r="Z55" s="162"/>
      <c r="AA55" s="162"/>
      <c r="AB55" s="164"/>
      <c r="AC55" s="164"/>
    </row>
    <row r="56" spans="1:29" x14ac:dyDescent="0.2">
      <c r="A56" s="269" t="s">
        <v>51</v>
      </c>
      <c r="B56" s="254">
        <f>+'Chart III'!B56</f>
        <v>57960.5</v>
      </c>
      <c r="C56" s="254">
        <f>+'Chart III'!C56</f>
        <v>58730.5</v>
      </c>
      <c r="D56" s="254">
        <f>+'Chart III'!D56</f>
        <v>59614.5</v>
      </c>
      <c r="E56" s="254">
        <f>+'Chart III'!E56</f>
        <v>60872.5</v>
      </c>
      <c r="F56" s="254">
        <f>+'Chart III'!F56</f>
        <v>62211</v>
      </c>
      <c r="G56" s="254">
        <f>+'Chart III'!G56</f>
        <v>63344.5</v>
      </c>
      <c r="H56" s="254">
        <f>+'Chart III'!H56</f>
        <v>64128</v>
      </c>
      <c r="I56" s="254">
        <f>+'Chart III'!I56</f>
        <v>64894</v>
      </c>
      <c r="J56" s="254">
        <f>+'Chart III'!J56</f>
        <v>65524.5</v>
      </c>
      <c r="K56" s="254">
        <f>+'Chart III'!K56</f>
        <v>65927</v>
      </c>
      <c r="L56" s="254">
        <f>+'Chart III'!L56</f>
        <v>66584</v>
      </c>
      <c r="M56" s="253">
        <f>+'Chart III'!M56</f>
        <v>67453.5</v>
      </c>
      <c r="N56" s="254">
        <f>+'Chart III'!N56</f>
        <v>69466.984052257045</v>
      </c>
      <c r="O56" s="254">
        <f>+'Chart III'!O56</f>
        <v>71541.023355824931</v>
      </c>
      <c r="P56" s="254">
        <f>+'Chart III'!P56</f>
        <v>73677.236538212819</v>
      </c>
      <c r="Q56" s="254">
        <f>+'Chart III'!Q56</f>
        <v>75877.745796300442</v>
      </c>
      <c r="R56" s="270">
        <f>+'Chart III'!R56</f>
        <v>78143.9769548201</v>
      </c>
      <c r="U56" s="164" t="s">
        <v>51</v>
      </c>
      <c r="V56" s="162" t="e">
        <f>'Rate Class Customer Model'!#REF!</f>
        <v>#REF!</v>
      </c>
      <c r="W56" s="162">
        <f t="shared" ref="W56:Y58" si="30">G56</f>
        <v>63344.5</v>
      </c>
      <c r="X56" s="162">
        <f t="shared" si="30"/>
        <v>64128</v>
      </c>
      <c r="Y56" s="162">
        <f t="shared" si="30"/>
        <v>64894</v>
      </c>
      <c r="Z56" s="162">
        <f t="shared" ref="Z56:AA58" si="31">Q56</f>
        <v>75877.745796300442</v>
      </c>
      <c r="AA56" s="162">
        <f t="shared" si="31"/>
        <v>78143.9769548201</v>
      </c>
      <c r="AB56" s="164"/>
      <c r="AC56" s="164"/>
    </row>
    <row r="57" spans="1:29" x14ac:dyDescent="0.2">
      <c r="A57" s="269" t="s">
        <v>48</v>
      </c>
      <c r="B57" s="254">
        <f>+'Chart III'!B57</f>
        <v>1136840307.5</v>
      </c>
      <c r="C57" s="254">
        <f>+'Chart III'!C57</f>
        <v>1128300513.0634735</v>
      </c>
      <c r="D57" s="254">
        <f>+'Chart III'!D57</f>
        <v>1125931170</v>
      </c>
      <c r="E57" s="254">
        <f>+'Chart III'!E57</f>
        <v>1110963247</v>
      </c>
      <c r="F57" s="254">
        <f>+'Chart III'!F57</f>
        <v>1143760516</v>
      </c>
      <c r="G57" s="254">
        <f>+'Chart III'!G57</f>
        <v>1117251257</v>
      </c>
      <c r="H57" s="254">
        <f>+'Chart III'!H57</f>
        <v>1082664508</v>
      </c>
      <c r="I57" s="254">
        <f>+'Chart III'!I57</f>
        <v>1090938483</v>
      </c>
      <c r="J57" s="254">
        <f>+'Chart III'!J57</f>
        <v>1110518847</v>
      </c>
      <c r="K57" s="254">
        <f>+'Chart III'!K57</f>
        <v>1073783871</v>
      </c>
      <c r="L57" s="254">
        <f>+'Chart III'!L57</f>
        <v>1078161209</v>
      </c>
      <c r="M57" s="253">
        <f>+'Chart III'!M57</f>
        <v>1091642390</v>
      </c>
      <c r="N57" s="254">
        <f ca="1">+'Chart III'!N57</f>
        <v>1116432536.9895813</v>
      </c>
      <c r="O57" s="254">
        <f ca="1">+'Chart III'!O57</f>
        <v>1131630482.302804</v>
      </c>
      <c r="P57" s="254">
        <f ca="1">+'Chart III'!P57</f>
        <v>1145673197.4182358</v>
      </c>
      <c r="Q57" s="254">
        <f ca="1">+'Chart III'!Q57</f>
        <v>1161077354.2842677</v>
      </c>
      <c r="R57" s="270">
        <f ca="1">+'Chart III'!R57</f>
        <v>1169388487.36602</v>
      </c>
      <c r="U57" s="164" t="s">
        <v>48</v>
      </c>
      <c r="V57" s="162">
        <f>'Rate Class Energy Model'!U11</f>
        <v>0</v>
      </c>
      <c r="W57" s="162">
        <f t="shared" si="30"/>
        <v>1117251257</v>
      </c>
      <c r="X57" s="162">
        <f t="shared" si="30"/>
        <v>1082664508</v>
      </c>
      <c r="Y57" s="162">
        <f t="shared" si="30"/>
        <v>1090938483</v>
      </c>
      <c r="Z57" s="162">
        <f t="shared" ca="1" si="31"/>
        <v>1161077354.2842677</v>
      </c>
      <c r="AA57" s="162">
        <f t="shared" ca="1" si="31"/>
        <v>1169388487.36602</v>
      </c>
      <c r="AB57" s="164"/>
      <c r="AC57" s="164"/>
    </row>
    <row r="58" spans="1:29" x14ac:dyDescent="0.2">
      <c r="A58" s="269" t="s">
        <v>50</v>
      </c>
      <c r="B58" s="254">
        <f>+'Chart III'!B58</f>
        <v>1376310.4427777778</v>
      </c>
      <c r="C58" s="254">
        <f>+'Chart III'!C58</f>
        <v>1359503.3072222222</v>
      </c>
      <c r="D58" s="254">
        <f>+'Chart III'!D58</f>
        <v>1235025.9316666666</v>
      </c>
      <c r="E58" s="254">
        <f>+'Chart III'!E58</f>
        <v>1231537.3194444445</v>
      </c>
      <c r="F58" s="254">
        <f>+'Chart III'!F58</f>
        <v>1262855.0222222223</v>
      </c>
      <c r="G58" s="254">
        <f>+'Chart III'!G58</f>
        <v>1231679.9805555556</v>
      </c>
      <c r="H58" s="254">
        <f>+'Chart III'!H58</f>
        <v>1167952.2</v>
      </c>
      <c r="I58" s="256">
        <f>+'Chart III'!I58</f>
        <v>1165174.4777777777</v>
      </c>
      <c r="J58" s="256">
        <f>+'Chart III'!J58</f>
        <v>1171404</v>
      </c>
      <c r="K58" s="256">
        <f>+'Chart III'!K58</f>
        <v>1146022</v>
      </c>
      <c r="L58" s="256">
        <f>+'Chart III'!L58</f>
        <v>1145530</v>
      </c>
      <c r="M58" s="255">
        <f>+'Chart III'!M58</f>
        <v>1137326</v>
      </c>
      <c r="N58" s="256">
        <f ca="1">+'Chart III'!N58</f>
        <v>1173698.5951248333</v>
      </c>
      <c r="O58" s="256">
        <f ca="1">+'Chart III'!O58</f>
        <v>1188193.5272971711</v>
      </c>
      <c r="P58" s="256">
        <f ca="1">+'Chart III'!P58</f>
        <v>1204983.7840457296</v>
      </c>
      <c r="Q58" s="256">
        <f ca="1">+'Chart III'!Q58</f>
        <v>1223958.818391382</v>
      </c>
      <c r="R58" s="272">
        <f ca="1">+'Chart III'!R58</f>
        <v>1235731.2269390824</v>
      </c>
      <c r="U58" s="164" t="s">
        <v>50</v>
      </c>
      <c r="V58" s="162">
        <f>'Rate Class Load Model'!U6</f>
        <v>0</v>
      </c>
      <c r="W58" s="162">
        <f t="shared" si="30"/>
        <v>1231679.9805555556</v>
      </c>
      <c r="X58" s="162">
        <f t="shared" si="30"/>
        <v>1167952.2</v>
      </c>
      <c r="Y58" s="162">
        <f t="shared" si="30"/>
        <v>1165174.4777777777</v>
      </c>
      <c r="Z58" s="162">
        <f t="shared" ca="1" si="31"/>
        <v>1223958.818391382</v>
      </c>
      <c r="AA58" s="162">
        <f t="shared" ca="1" si="31"/>
        <v>1235731.2269390824</v>
      </c>
      <c r="AB58" s="164"/>
      <c r="AC58" s="164"/>
    </row>
    <row r="59" spans="1:29" x14ac:dyDescent="0.2">
      <c r="A59" s="269"/>
      <c r="B59" s="252"/>
      <c r="C59" s="252"/>
      <c r="D59" s="252"/>
      <c r="E59" s="252"/>
      <c r="F59" s="252"/>
      <c r="G59" s="252"/>
      <c r="H59" s="252"/>
      <c r="I59" s="252"/>
      <c r="J59" s="252"/>
      <c r="K59" s="252"/>
      <c r="L59" s="252"/>
      <c r="M59" s="251"/>
      <c r="N59" s="252"/>
      <c r="O59" s="252"/>
      <c r="P59" s="252"/>
      <c r="Q59" s="252"/>
      <c r="R59" s="267"/>
      <c r="U59" s="164"/>
      <c r="V59" s="160"/>
      <c r="W59" s="160"/>
      <c r="X59" s="160"/>
      <c r="Y59" s="160"/>
      <c r="Z59" s="160"/>
      <c r="AA59" s="160"/>
      <c r="AB59" s="164"/>
      <c r="AC59" s="164"/>
    </row>
    <row r="60" spans="1:29" x14ac:dyDescent="0.2">
      <c r="A60" s="268" t="s">
        <v>66</v>
      </c>
      <c r="B60" s="254"/>
      <c r="C60" s="254"/>
      <c r="D60" s="254"/>
      <c r="E60" s="254"/>
      <c r="F60" s="254"/>
      <c r="G60" s="254"/>
      <c r="H60" s="254"/>
      <c r="I60" s="252"/>
      <c r="J60" s="252"/>
      <c r="K60" s="252"/>
      <c r="L60" s="252"/>
      <c r="M60" s="251"/>
      <c r="N60" s="252"/>
      <c r="O60" s="252"/>
      <c r="P60" s="252"/>
      <c r="Q60" s="252"/>
      <c r="R60" s="267"/>
      <c r="U60" s="163" t="s">
        <v>66</v>
      </c>
      <c r="V60" s="162"/>
      <c r="W60" s="162"/>
      <c r="X60" s="162"/>
      <c r="Y60" s="160"/>
      <c r="Z60" s="160"/>
      <c r="AA60" s="160"/>
      <c r="AB60" s="164"/>
      <c r="AC60" s="164"/>
    </row>
    <row r="61" spans="1:29" x14ac:dyDescent="0.2">
      <c r="A61" s="269" t="s">
        <v>51</v>
      </c>
      <c r="B61" s="254">
        <f>B51-B56</f>
        <v>0</v>
      </c>
      <c r="C61" s="254">
        <f t="shared" ref="C61:I61" si="32">C51-C56</f>
        <v>0</v>
      </c>
      <c r="D61" s="254">
        <f t="shared" si="32"/>
        <v>0</v>
      </c>
      <c r="E61" s="254">
        <f t="shared" si="32"/>
        <v>0</v>
      </c>
      <c r="F61" s="254">
        <f t="shared" si="32"/>
        <v>0</v>
      </c>
      <c r="G61" s="254">
        <f t="shared" si="32"/>
        <v>0</v>
      </c>
      <c r="H61" s="254">
        <f t="shared" si="32"/>
        <v>0</v>
      </c>
      <c r="I61" s="254">
        <f t="shared" si="32"/>
        <v>0</v>
      </c>
      <c r="J61" s="254">
        <f t="shared" ref="J61:R61" si="33">J51-J56</f>
        <v>0</v>
      </c>
      <c r="K61" s="254">
        <f t="shared" si="33"/>
        <v>0</v>
      </c>
      <c r="L61" s="254">
        <f t="shared" si="33"/>
        <v>0</v>
      </c>
      <c r="M61" s="253">
        <f t="shared" si="33"/>
        <v>0</v>
      </c>
      <c r="N61" s="254">
        <f t="shared" si="33"/>
        <v>0</v>
      </c>
      <c r="O61" s="254">
        <f t="shared" si="33"/>
        <v>0</v>
      </c>
      <c r="P61" s="254">
        <f t="shared" si="33"/>
        <v>0</v>
      </c>
      <c r="Q61" s="254">
        <f t="shared" si="33"/>
        <v>0</v>
      </c>
      <c r="R61" s="270">
        <f t="shared" si="33"/>
        <v>0</v>
      </c>
      <c r="U61" s="164" t="s">
        <v>51</v>
      </c>
      <c r="V61" s="162" t="e">
        <f t="shared" ref="V61:AA61" si="34">V51-V56</f>
        <v>#REF!</v>
      </c>
      <c r="W61" s="162">
        <f t="shared" si="34"/>
        <v>0</v>
      </c>
      <c r="X61" s="162">
        <f t="shared" si="34"/>
        <v>0</v>
      </c>
      <c r="Y61" s="162">
        <f t="shared" si="34"/>
        <v>0</v>
      </c>
      <c r="Z61" s="162">
        <f t="shared" si="34"/>
        <v>0</v>
      </c>
      <c r="AA61" s="162">
        <f t="shared" si="34"/>
        <v>0</v>
      </c>
      <c r="AB61" s="164"/>
      <c r="AC61" s="164"/>
    </row>
    <row r="62" spans="1:29" x14ac:dyDescent="0.2">
      <c r="A62" s="269" t="s">
        <v>48</v>
      </c>
      <c r="B62" s="254">
        <f t="shared" ref="B62:I63" si="35">B52-B57</f>
        <v>0</v>
      </c>
      <c r="C62" s="254">
        <f t="shared" si="35"/>
        <v>0</v>
      </c>
      <c r="D62" s="254">
        <f t="shared" si="35"/>
        <v>0</v>
      </c>
      <c r="E62" s="254">
        <f t="shared" si="35"/>
        <v>0</v>
      </c>
      <c r="F62" s="254">
        <f t="shared" si="35"/>
        <v>0</v>
      </c>
      <c r="G62" s="254">
        <f t="shared" si="35"/>
        <v>0</v>
      </c>
      <c r="H62" s="254">
        <f t="shared" si="35"/>
        <v>0</v>
      </c>
      <c r="I62" s="254">
        <f t="shared" si="35"/>
        <v>0</v>
      </c>
      <c r="J62" s="254">
        <f t="shared" ref="J62:R62" si="36">J52-J57</f>
        <v>0</v>
      </c>
      <c r="K62" s="254">
        <f t="shared" si="36"/>
        <v>0</v>
      </c>
      <c r="L62" s="254">
        <f t="shared" si="36"/>
        <v>0</v>
      </c>
      <c r="M62" s="253">
        <f t="shared" si="36"/>
        <v>0</v>
      </c>
      <c r="N62" s="254">
        <f t="shared" ca="1" si="36"/>
        <v>0</v>
      </c>
      <c r="O62" s="254">
        <f t="shared" ca="1" si="36"/>
        <v>0</v>
      </c>
      <c r="P62" s="254">
        <f t="shared" ca="1" si="36"/>
        <v>0</v>
      </c>
      <c r="Q62" s="254">
        <f t="shared" ca="1" si="36"/>
        <v>0</v>
      </c>
      <c r="R62" s="270">
        <f t="shared" ca="1" si="36"/>
        <v>0</v>
      </c>
      <c r="U62" s="164" t="s">
        <v>48</v>
      </c>
      <c r="V62" s="162">
        <f t="shared" ref="V62:AA62" si="37">V52-V57</f>
        <v>1141200155</v>
      </c>
      <c r="W62" s="162">
        <f t="shared" si="37"/>
        <v>0</v>
      </c>
      <c r="X62" s="162">
        <f t="shared" si="37"/>
        <v>0</v>
      </c>
      <c r="Y62" s="162">
        <f t="shared" si="37"/>
        <v>0</v>
      </c>
      <c r="Z62" s="162">
        <f t="shared" ca="1" si="37"/>
        <v>0</v>
      </c>
      <c r="AA62" s="162">
        <f t="shared" ca="1" si="37"/>
        <v>0</v>
      </c>
      <c r="AB62" s="164"/>
      <c r="AC62" s="164"/>
    </row>
    <row r="63" spans="1:29" ht="13.5" thickBot="1" x14ac:dyDescent="0.25">
      <c r="A63" s="274" t="s">
        <v>50</v>
      </c>
      <c r="B63" s="275">
        <f t="shared" si="35"/>
        <v>0</v>
      </c>
      <c r="C63" s="275">
        <f t="shared" si="35"/>
        <v>0</v>
      </c>
      <c r="D63" s="275">
        <f t="shared" si="35"/>
        <v>0</v>
      </c>
      <c r="E63" s="275">
        <f t="shared" si="35"/>
        <v>0</v>
      </c>
      <c r="F63" s="275">
        <f t="shared" si="35"/>
        <v>0</v>
      </c>
      <c r="G63" s="275">
        <f t="shared" si="35"/>
        <v>0</v>
      </c>
      <c r="H63" s="275">
        <f t="shared" si="35"/>
        <v>0</v>
      </c>
      <c r="I63" s="275">
        <f t="shared" si="35"/>
        <v>0</v>
      </c>
      <c r="J63" s="275">
        <f t="shared" ref="J63:R63" si="38">J53-J58</f>
        <v>0</v>
      </c>
      <c r="K63" s="275">
        <f t="shared" si="38"/>
        <v>0</v>
      </c>
      <c r="L63" s="275">
        <f t="shared" si="38"/>
        <v>0</v>
      </c>
      <c r="M63" s="276">
        <f t="shared" si="38"/>
        <v>0</v>
      </c>
      <c r="N63" s="275">
        <f t="shared" ca="1" si="38"/>
        <v>0</v>
      </c>
      <c r="O63" s="275">
        <f t="shared" ca="1" si="38"/>
        <v>0</v>
      </c>
      <c r="P63" s="275">
        <f t="shared" ca="1" si="38"/>
        <v>0</v>
      </c>
      <c r="Q63" s="275">
        <f t="shared" ca="1" si="38"/>
        <v>0</v>
      </c>
      <c r="R63" s="277">
        <f t="shared" ca="1" si="38"/>
        <v>0</v>
      </c>
      <c r="U63" s="164" t="s">
        <v>50</v>
      </c>
      <c r="V63" s="162">
        <f t="shared" ref="V63:AA63" si="39">V53-V58</f>
        <v>0</v>
      </c>
      <c r="W63" s="162">
        <f t="shared" si="39"/>
        <v>0</v>
      </c>
      <c r="X63" s="162">
        <f t="shared" si="39"/>
        <v>0</v>
      </c>
      <c r="Y63" s="162">
        <f t="shared" si="39"/>
        <v>0</v>
      </c>
      <c r="Z63" s="162">
        <f t="shared" ca="1" si="39"/>
        <v>0</v>
      </c>
      <c r="AA63" s="162">
        <f t="shared" ca="1" si="39"/>
        <v>0</v>
      </c>
      <c r="AB63" s="164"/>
      <c r="AC63" s="164"/>
    </row>
    <row r="64" spans="1:29" x14ac:dyDescent="0.2">
      <c r="U64" s="164"/>
      <c r="V64" s="160"/>
      <c r="W64" s="160"/>
      <c r="X64" s="160"/>
      <c r="Y64" s="160"/>
      <c r="Z64" s="160"/>
      <c r="AA64" s="160"/>
      <c r="AB64" s="164"/>
      <c r="AC64" s="164"/>
    </row>
    <row r="65" spans="9:29" x14ac:dyDescent="0.2">
      <c r="U65" s="164"/>
      <c r="V65" s="160"/>
      <c r="W65" s="160"/>
      <c r="X65" s="160"/>
      <c r="Y65" s="160"/>
      <c r="Z65" s="160"/>
      <c r="AA65" s="160"/>
      <c r="AB65" s="164"/>
      <c r="AC65" s="164"/>
    </row>
    <row r="67" spans="9:29" x14ac:dyDescent="0.2">
      <c r="I67" s="130" t="s">
        <v>110</v>
      </c>
      <c r="J67" s="130"/>
      <c r="K67" s="130"/>
      <c r="L67" s="130"/>
      <c r="M67" s="130"/>
      <c r="N67" s="130"/>
      <c r="O67" s="130"/>
      <c r="P67" s="130"/>
      <c r="Q67" s="128">
        <f ca="1">(Q57-I57)/I57</f>
        <v>6.4292233134347745E-2</v>
      </c>
      <c r="R67" s="128">
        <f ca="1">(R57-Q57)/Q57</f>
        <v>7.1581217660347867E-3</v>
      </c>
      <c r="Y67" s="160" t="s">
        <v>110</v>
      </c>
      <c r="Z67" s="161">
        <f ca="1">(Z57-Y57)/Y57</f>
        <v>6.4292233134347745E-2</v>
      </c>
      <c r="AA67" s="161">
        <f ca="1">(AA57-Z57)/Z57</f>
        <v>7.1581217660347867E-3</v>
      </c>
    </row>
    <row r="68" spans="9:29" x14ac:dyDescent="0.2">
      <c r="I68" s="129" t="s">
        <v>111</v>
      </c>
      <c r="J68" s="129"/>
      <c r="K68" s="129"/>
      <c r="L68" s="129"/>
      <c r="M68" s="129"/>
      <c r="N68" s="129"/>
      <c r="O68" s="129"/>
      <c r="P68" s="129"/>
      <c r="Q68" s="128">
        <f ca="1">(Q58-I58)/I58</f>
        <v>5.0451105593831633E-2</v>
      </c>
      <c r="R68" s="128">
        <f ca="1">(R58-Q58)/Q58</f>
        <v>9.618304448488357E-3</v>
      </c>
      <c r="Y68" s="162" t="s">
        <v>111</v>
      </c>
      <c r="Z68" s="161">
        <f ca="1">(Z58-Y58)/Y58</f>
        <v>5.0451105593831633E-2</v>
      </c>
      <c r="AA68" s="161">
        <f ca="1">(AA58-Z58)/Z58</f>
        <v>9.618304448488357E-3</v>
      </c>
    </row>
  </sheetData>
  <mergeCells count="2">
    <mergeCell ref="B3:L3"/>
    <mergeCell ref="M3:R3"/>
  </mergeCells>
  <phoneticPr fontId="0" type="noConversion"/>
  <printOptions horizontalCentered="1"/>
  <pageMargins left="0.19685039370078741" right="0.35433070866141736" top="0.55118110236220474" bottom="0.35433070866141736" header="0.31496062992125984" footer="0.11811023622047245"/>
  <pageSetup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5</vt:i4>
      </vt:variant>
    </vt:vector>
  </HeadingPairs>
  <TitlesOfParts>
    <vt:vector size="30" baseType="lpstr">
      <vt:lpstr>Chart</vt:lpstr>
      <vt:lpstr>Chart II</vt:lpstr>
      <vt:lpstr>Chart III</vt:lpstr>
      <vt:lpstr>Chart IV</vt:lpstr>
      <vt:lpstr>Year End Customer</vt:lpstr>
      <vt:lpstr>City Expansion</vt:lpstr>
      <vt:lpstr>LED</vt:lpstr>
      <vt:lpstr> CDM Summary</vt:lpstr>
      <vt:lpstr>Summary</vt:lpstr>
      <vt:lpstr>Purchased Power Model </vt:lpstr>
      <vt:lpstr>Economic Indices</vt:lpstr>
      <vt:lpstr>Trends</vt:lpstr>
      <vt:lpstr>10 Year Average</vt:lpstr>
      <vt:lpstr>20 Year Trend</vt:lpstr>
      <vt:lpstr>Residential</vt:lpstr>
      <vt:lpstr>GS &lt; 50 kW</vt:lpstr>
      <vt:lpstr>GS &gt; 50 kW</vt:lpstr>
      <vt:lpstr>I2</vt:lpstr>
      <vt:lpstr>Large User</vt:lpstr>
      <vt:lpstr>Streetlights</vt:lpstr>
      <vt:lpstr>USL</vt:lpstr>
      <vt:lpstr>Rate Class Energy Model</vt:lpstr>
      <vt:lpstr>Rate Class Customer Model</vt:lpstr>
      <vt:lpstr>Rate Class Load Model</vt:lpstr>
      <vt:lpstr>CDM</vt:lpstr>
      <vt:lpstr>'Purchased Power Model '!Print_Area</vt:lpstr>
      <vt:lpstr>'Rate Class Customer Model'!Print_Area</vt:lpstr>
      <vt:lpstr>'Rate Class Energy Model'!Print_Area</vt:lpstr>
      <vt:lpstr>'Rate Class Load Model'!Print_Area</vt:lpstr>
      <vt:lpstr>Summary!Print_Area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Phil Martin</cp:lastModifiedBy>
  <cp:lastPrinted>2014-10-22T13:59:49Z</cp:lastPrinted>
  <dcterms:created xsi:type="dcterms:W3CDTF">2008-02-06T18:24:44Z</dcterms:created>
  <dcterms:modified xsi:type="dcterms:W3CDTF">2015-05-26T20:06:15Z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