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616" windowHeight="9348" firstSheet="17" activeTab="22"/>
  </bookViews>
  <sheets>
    <sheet name="Monthly Data" sheetId="14" r:id="rId1"/>
    <sheet name="Weather Data" sheetId="19" r:id="rId2"/>
    <sheet name="Ontario Employment Growth" sheetId="30" r:id="rId3"/>
    <sheet name="Res OLS Model" sheetId="15" r:id="rId4"/>
    <sheet name="Res Predicted Monthly" sheetId="16" r:id="rId5"/>
    <sheet name="GS &lt; 50 OLS Model" sheetId="20" r:id="rId6"/>
    <sheet name="GS &lt; 50 Predicted Monthly" sheetId="21" r:id="rId7"/>
    <sheet name="GS &gt; 50 OLS Model" sheetId="23" r:id="rId8"/>
    <sheet name="GS &gt; 50 Predicted Monthly" sheetId="25" r:id="rId9"/>
    <sheet name="LU OLS Model" sheetId="24" r:id="rId10"/>
    <sheet name="LU Predicted Monthly" sheetId="26" r:id="rId11"/>
    <sheet name="Model Annual Summary" sheetId="12" r:id="rId12"/>
    <sheet name="Res Normalized Monthly" sheetId="17" r:id="rId13"/>
    <sheet name="GS &lt; 50 Normalized Monthly" sheetId="22" r:id="rId14"/>
    <sheet name="GS &gt; 50 Normalized Monthly" sheetId="27" r:id="rId15"/>
    <sheet name="LU Normalized Monthly" sheetId="28" r:id="rId16"/>
    <sheet name="Connection count GS Adjusted " sheetId="31" r:id="rId17"/>
    <sheet name="Connection countGSNot Adjusted" sheetId="35" r:id="rId18"/>
    <sheet name="Normalized Annual Summary" sheetId="18" r:id="rId19"/>
    <sheet name="kW Forecast" sheetId="29" r:id="rId20"/>
    <sheet name="Annual CDM" sheetId="33" r:id="rId21"/>
    <sheet name="CDM Adjustments" sheetId="34" r:id="rId22"/>
    <sheet name="Summary Tables" sheetId="32" r:id="rId23"/>
  </sheets>
  <calcPr calcId="145621"/>
</workbook>
</file>

<file path=xl/calcChain.xml><?xml version="1.0" encoding="utf-8"?>
<calcChain xmlns="http://schemas.openxmlformats.org/spreadsheetml/2006/main">
  <c r="J75" i="32" l="1"/>
  <c r="K5" i="32"/>
  <c r="K6" i="32"/>
  <c r="K7" i="32"/>
  <c r="K8" i="32"/>
  <c r="K9" i="32"/>
  <c r="K4" i="32"/>
  <c r="E45" i="32" l="1"/>
  <c r="C64" i="32" l="1"/>
  <c r="D64" i="32"/>
  <c r="E64" i="32"/>
  <c r="F64" i="32"/>
  <c r="G64" i="32"/>
  <c r="H64" i="32"/>
  <c r="C34" i="32"/>
  <c r="D34" i="32"/>
  <c r="E34" i="32"/>
  <c r="G10" i="32"/>
  <c r="H10" i="32"/>
  <c r="C4" i="32"/>
  <c r="D4" i="32"/>
  <c r="E4" i="32"/>
  <c r="F4" i="32"/>
  <c r="G4" i="32"/>
  <c r="H4" i="32"/>
  <c r="I64" i="32" l="1"/>
  <c r="F34" i="32"/>
  <c r="I4" i="32"/>
  <c r="M8" i="35"/>
  <c r="M7" i="35"/>
  <c r="M6" i="35"/>
  <c r="M5" i="35"/>
  <c r="N5" i="35" s="1"/>
  <c r="O5" i="35" s="1"/>
  <c r="H8" i="35"/>
  <c r="H7" i="35"/>
  <c r="H6" i="35"/>
  <c r="H5" i="35"/>
  <c r="H4" i="35"/>
  <c r="W15" i="35"/>
  <c r="W14" i="35"/>
  <c r="W13" i="35"/>
  <c r="W12" i="35"/>
  <c r="S12" i="35"/>
  <c r="S13" i="35" s="1"/>
  <c r="S14" i="35" s="1"/>
  <c r="S15" i="35" s="1"/>
  <c r="W11" i="35"/>
  <c r="S11" i="35"/>
  <c r="R10" i="35"/>
  <c r="R11" i="35" s="1"/>
  <c r="R12" i="35" s="1"/>
  <c r="AA9" i="35"/>
  <c r="V9" i="35"/>
  <c r="W10" i="35" s="1"/>
  <c r="S9" i="35"/>
  <c r="R9" i="35"/>
  <c r="M9" i="35"/>
  <c r="H9" i="35"/>
  <c r="C9" i="35"/>
  <c r="AB8" i="35"/>
  <c r="AC8" i="35" s="1"/>
  <c r="AA8" i="35"/>
  <c r="V8" i="35"/>
  <c r="W8" i="35" s="1"/>
  <c r="X8" i="35" s="1"/>
  <c r="R8" i="35"/>
  <c r="C8" i="35"/>
  <c r="D9" i="35" s="1"/>
  <c r="E9" i="35" s="1"/>
  <c r="AA7" i="35"/>
  <c r="W7" i="35"/>
  <c r="X7" i="35" s="1"/>
  <c r="V7" i="35"/>
  <c r="R7" i="35"/>
  <c r="S8" i="35" s="1"/>
  <c r="C7" i="35"/>
  <c r="D7" i="35" s="1"/>
  <c r="E7" i="35" s="1"/>
  <c r="AA6" i="35"/>
  <c r="AB7" i="35" s="1"/>
  <c r="AC7" i="35" s="1"/>
  <c r="V6" i="35"/>
  <c r="W6" i="35" s="1"/>
  <c r="X6" i="35" s="1"/>
  <c r="R6" i="35"/>
  <c r="S6" i="35" s="1"/>
  <c r="D6" i="35"/>
  <c r="E6" i="35" s="1"/>
  <c r="C6" i="35"/>
  <c r="AA5" i="35"/>
  <c r="AB5" i="35" s="1"/>
  <c r="AC5" i="35" s="1"/>
  <c r="V5" i="35"/>
  <c r="W5" i="35" s="1"/>
  <c r="X5" i="35" s="1"/>
  <c r="S5" i="35"/>
  <c r="R5" i="35"/>
  <c r="C5" i="35"/>
  <c r="D5" i="35" s="1"/>
  <c r="E5" i="35" s="1"/>
  <c r="AA4" i="35"/>
  <c r="V4" i="35"/>
  <c r="R4" i="35"/>
  <c r="M4" i="35"/>
  <c r="C4" i="35"/>
  <c r="N9" i="35" l="1"/>
  <c r="O9" i="35" s="1"/>
  <c r="N8" i="35"/>
  <c r="O8" i="35" s="1"/>
  <c r="N7" i="35"/>
  <c r="O7" i="35" s="1"/>
  <c r="N6" i="35"/>
  <c r="O6" i="35" s="1"/>
  <c r="I8" i="35"/>
  <c r="J8" i="35" s="1"/>
  <c r="I7" i="35"/>
  <c r="J7" i="35" s="1"/>
  <c r="I6" i="35"/>
  <c r="J6" i="35" s="1"/>
  <c r="I5" i="35"/>
  <c r="J5" i="35" s="1"/>
  <c r="E10" i="35"/>
  <c r="D10" i="35" s="1"/>
  <c r="D11" i="35" s="1"/>
  <c r="D12" i="35" s="1"/>
  <c r="D13" i="35" s="1"/>
  <c r="D14" i="35" s="1"/>
  <c r="D15" i="35" s="1"/>
  <c r="R13" i="35"/>
  <c r="R14" i="35" s="1"/>
  <c r="R15" i="35" s="1"/>
  <c r="C10" i="35"/>
  <c r="C11" i="35" s="1"/>
  <c r="C12" i="35" s="1"/>
  <c r="C13" i="35" s="1"/>
  <c r="C14" i="35" s="1"/>
  <c r="C15" i="35" s="1"/>
  <c r="AB9" i="35"/>
  <c r="AC9" i="35" s="1"/>
  <c r="AB6" i="35"/>
  <c r="AC6" i="35" s="1"/>
  <c r="AC10" i="35" s="1"/>
  <c r="AB10" i="35" s="1"/>
  <c r="S7" i="35"/>
  <c r="D8" i="35"/>
  <c r="E8" i="35" s="1"/>
  <c r="I9" i="35"/>
  <c r="J9" i="35" s="1"/>
  <c r="W9" i="35"/>
  <c r="X9" i="35" s="1"/>
  <c r="X10" i="35" s="1"/>
  <c r="N14" i="29"/>
  <c r="O14" i="29" s="1"/>
  <c r="M14" i="29"/>
  <c r="I14" i="29"/>
  <c r="D14" i="29"/>
  <c r="C35" i="32"/>
  <c r="D35" i="32"/>
  <c r="C36" i="32"/>
  <c r="D36" i="32"/>
  <c r="C37" i="32"/>
  <c r="D37" i="32"/>
  <c r="C65" i="32"/>
  <c r="D65" i="32"/>
  <c r="E65" i="32"/>
  <c r="F65" i="32"/>
  <c r="G65" i="32"/>
  <c r="H65" i="32"/>
  <c r="C66" i="32"/>
  <c r="D66" i="32"/>
  <c r="E66" i="32"/>
  <c r="F66" i="32"/>
  <c r="G66" i="32"/>
  <c r="H66" i="32"/>
  <c r="C67" i="32"/>
  <c r="D67" i="32"/>
  <c r="E67" i="32"/>
  <c r="F67" i="32"/>
  <c r="G67" i="32"/>
  <c r="H67" i="32"/>
  <c r="U6" i="18"/>
  <c r="O7" i="18"/>
  <c r="I65" i="32" l="1"/>
  <c r="I67" i="32"/>
  <c r="O10" i="35"/>
  <c r="N10" i="35" s="1"/>
  <c r="N11" i="35" s="1"/>
  <c r="N12" i="35" s="1"/>
  <c r="N13" i="35" s="1"/>
  <c r="N14" i="35" s="1"/>
  <c r="N15" i="35" s="1"/>
  <c r="J10" i="35"/>
  <c r="I10" i="35" s="1"/>
  <c r="I11" i="35" s="1"/>
  <c r="I12" i="35" s="1"/>
  <c r="I13" i="35" s="1"/>
  <c r="I14" i="35" s="1"/>
  <c r="I15" i="35" s="1"/>
  <c r="AB11" i="35"/>
  <c r="AB12" i="35" s="1"/>
  <c r="AB13" i="35" s="1"/>
  <c r="AB14" i="35" s="1"/>
  <c r="AB15" i="35" s="1"/>
  <c r="AA10" i="35"/>
  <c r="I66" i="32"/>
  <c r="G11" i="32"/>
  <c r="H11" i="32"/>
  <c r="G12" i="32"/>
  <c r="H12" i="32"/>
  <c r="G13" i="32"/>
  <c r="H13" i="32"/>
  <c r="G14" i="32"/>
  <c r="H14" i="32"/>
  <c r="C26" i="33"/>
  <c r="C32" i="33" s="1"/>
  <c r="D7" i="34" s="1"/>
  <c r="M10" i="35" l="1"/>
  <c r="M11" i="35" s="1"/>
  <c r="M12" i="35" s="1"/>
  <c r="M13" i="35" s="1"/>
  <c r="M14" i="35" s="1"/>
  <c r="M15" i="35" s="1"/>
  <c r="H10" i="35"/>
  <c r="H11" i="35" s="1"/>
  <c r="H12" i="35" s="1"/>
  <c r="H13" i="35" s="1"/>
  <c r="H14" i="35" s="1"/>
  <c r="H15" i="35" s="1"/>
  <c r="AA11" i="35"/>
  <c r="AA12" i="35" s="1"/>
  <c r="AA13" i="35" s="1"/>
  <c r="AA14" i="35" s="1"/>
  <c r="AA15" i="35" s="1"/>
  <c r="C5" i="32"/>
  <c r="D5" i="32"/>
  <c r="E5" i="32"/>
  <c r="F5" i="32"/>
  <c r="G5" i="32"/>
  <c r="H5" i="32"/>
  <c r="C6" i="32"/>
  <c r="D6" i="32"/>
  <c r="E6" i="32"/>
  <c r="F6" i="32"/>
  <c r="G6" i="32"/>
  <c r="H6" i="32"/>
  <c r="C7" i="32"/>
  <c r="D7" i="32"/>
  <c r="E7" i="32"/>
  <c r="F7" i="32"/>
  <c r="G7" i="32"/>
  <c r="H7" i="32"/>
  <c r="I5" i="32" l="1"/>
  <c r="I7" i="32"/>
  <c r="I6" i="32"/>
  <c r="W15" i="31"/>
  <c r="W14" i="31"/>
  <c r="W13" i="31"/>
  <c r="W12" i="31"/>
  <c r="W11" i="31"/>
  <c r="X56" i="21" l="1"/>
  <c r="X55" i="21"/>
  <c r="X54" i="21"/>
  <c r="X53" i="21"/>
  <c r="X52" i="21"/>
  <c r="X51" i="21"/>
  <c r="X50" i="21"/>
  <c r="X49" i="21"/>
  <c r="X48" i="21"/>
  <c r="X47" i="21"/>
  <c r="X46" i="21"/>
  <c r="X45" i="21"/>
  <c r="X44" i="21"/>
  <c r="X43" i="21"/>
  <c r="X42" i="21"/>
  <c r="X41" i="21"/>
  <c r="X40" i="21"/>
  <c r="X39" i="21"/>
  <c r="X38" i="21"/>
  <c r="X37" i="21"/>
  <c r="X36" i="21"/>
  <c r="X35" i="21"/>
  <c r="X34" i="21"/>
  <c r="X33" i="21"/>
  <c r="X32" i="21"/>
  <c r="X31" i="21"/>
  <c r="X30" i="21"/>
  <c r="X29" i="21"/>
  <c r="X28" i="21"/>
  <c r="X27" i="21"/>
  <c r="X26" i="21"/>
  <c r="X25" i="21"/>
  <c r="X24" i="21"/>
  <c r="X23" i="21"/>
  <c r="X22" i="21"/>
  <c r="X21" i="21"/>
  <c r="X20" i="21"/>
  <c r="X19" i="21"/>
  <c r="X18" i="21"/>
  <c r="X17" i="21"/>
  <c r="X16" i="21"/>
  <c r="X15" i="21"/>
  <c r="X14" i="21"/>
  <c r="X13" i="21"/>
  <c r="X12" i="21"/>
  <c r="X11" i="21"/>
  <c r="X10" i="21"/>
  <c r="X9" i="21"/>
  <c r="X8" i="21"/>
  <c r="X7" i="21"/>
  <c r="X6" i="21"/>
  <c r="X5" i="21"/>
  <c r="X4" i="21"/>
  <c r="X3" i="21"/>
  <c r="X2" i="21"/>
  <c r="D39" i="32" l="1"/>
  <c r="C39" i="32"/>
  <c r="E10" i="29"/>
  <c r="G6" i="30" l="1"/>
  <c r="G7" i="30" s="1"/>
  <c r="G8" i="30" s="1"/>
  <c r="G5" i="30"/>
  <c r="G4" i="30"/>
  <c r="C73" i="28" l="1"/>
  <c r="C72" i="28"/>
  <c r="C71" i="28"/>
  <c r="C70" i="28"/>
  <c r="C69" i="28"/>
  <c r="C68" i="28"/>
  <c r="C67" i="28"/>
  <c r="C66" i="28"/>
  <c r="C65" i="28"/>
  <c r="C64" i="28"/>
  <c r="C63" i="28"/>
  <c r="C62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2" i="28"/>
  <c r="G73" i="28"/>
  <c r="G85" i="28" s="1"/>
  <c r="G97" i="28" s="1"/>
  <c r="G109" i="28" s="1"/>
  <c r="G121" i="28" s="1"/>
  <c r="G133" i="28" s="1"/>
  <c r="G145" i="28" s="1"/>
  <c r="G72" i="28"/>
  <c r="G84" i="28" s="1"/>
  <c r="G96" i="28" s="1"/>
  <c r="G108" i="28" s="1"/>
  <c r="G120" i="28" s="1"/>
  <c r="G132" i="28" s="1"/>
  <c r="G144" i="28" s="1"/>
  <c r="G71" i="28"/>
  <c r="G83" i="28" s="1"/>
  <c r="G95" i="28" s="1"/>
  <c r="G107" i="28" s="1"/>
  <c r="G119" i="28" s="1"/>
  <c r="G131" i="28" s="1"/>
  <c r="G143" i="28" s="1"/>
  <c r="G70" i="28"/>
  <c r="G82" i="28" s="1"/>
  <c r="G94" i="28" s="1"/>
  <c r="G106" i="28" s="1"/>
  <c r="G118" i="28" s="1"/>
  <c r="G130" i="28" s="1"/>
  <c r="G142" i="28" s="1"/>
  <c r="G69" i="28"/>
  <c r="G81" i="28" s="1"/>
  <c r="G93" i="28" s="1"/>
  <c r="G105" i="28" s="1"/>
  <c r="G117" i="28" s="1"/>
  <c r="G129" i="28" s="1"/>
  <c r="G141" i="28" s="1"/>
  <c r="G68" i="28"/>
  <c r="G80" i="28" s="1"/>
  <c r="G92" i="28" s="1"/>
  <c r="G104" i="28" s="1"/>
  <c r="G116" i="28" s="1"/>
  <c r="G128" i="28" s="1"/>
  <c r="G140" i="28" s="1"/>
  <c r="G67" i="28"/>
  <c r="G79" i="28" s="1"/>
  <c r="G91" i="28" s="1"/>
  <c r="G103" i="28" s="1"/>
  <c r="G115" i="28" s="1"/>
  <c r="G127" i="28" s="1"/>
  <c r="G139" i="28" s="1"/>
  <c r="G66" i="28"/>
  <c r="G78" i="28" s="1"/>
  <c r="G90" i="28" s="1"/>
  <c r="G102" i="28" s="1"/>
  <c r="G114" i="28" s="1"/>
  <c r="G126" i="28" s="1"/>
  <c r="G138" i="28" s="1"/>
  <c r="G65" i="28"/>
  <c r="G77" i="28" s="1"/>
  <c r="G89" i="28" s="1"/>
  <c r="G101" i="28" s="1"/>
  <c r="G113" i="28" s="1"/>
  <c r="G125" i="28" s="1"/>
  <c r="G137" i="28" s="1"/>
  <c r="G64" i="28"/>
  <c r="G76" i="28" s="1"/>
  <c r="G88" i="28" s="1"/>
  <c r="G100" i="28" s="1"/>
  <c r="G112" i="28" s="1"/>
  <c r="G124" i="28" s="1"/>
  <c r="G136" i="28" s="1"/>
  <c r="G63" i="28"/>
  <c r="G75" i="28" s="1"/>
  <c r="G87" i="28" s="1"/>
  <c r="G99" i="28" s="1"/>
  <c r="G111" i="28" s="1"/>
  <c r="G123" i="28" s="1"/>
  <c r="G135" i="28" s="1"/>
  <c r="G62" i="28"/>
  <c r="G74" i="28" s="1"/>
  <c r="G86" i="28" s="1"/>
  <c r="G98" i="28" s="1"/>
  <c r="G110" i="28" s="1"/>
  <c r="G122" i="28" s="1"/>
  <c r="G134" i="28" s="1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G2" i="28"/>
  <c r="L1" i="28"/>
  <c r="K1" i="28"/>
  <c r="J1" i="28"/>
  <c r="I1" i="28"/>
  <c r="H1" i="28"/>
  <c r="G1" i="28"/>
  <c r="F1" i="28"/>
  <c r="E1" i="28"/>
  <c r="D1" i="28"/>
  <c r="X143" i="27"/>
  <c r="W142" i="27"/>
  <c r="X139" i="27"/>
  <c r="W138" i="27"/>
  <c r="X131" i="27"/>
  <c r="W130" i="27"/>
  <c r="X127" i="27"/>
  <c r="W126" i="27"/>
  <c r="X123" i="27"/>
  <c r="X119" i="27"/>
  <c r="W118" i="27"/>
  <c r="X115" i="27"/>
  <c r="W114" i="27"/>
  <c r="X111" i="27"/>
  <c r="W110" i="27"/>
  <c r="X107" i="27"/>
  <c r="W106" i="27"/>
  <c r="X103" i="27"/>
  <c r="W102" i="27"/>
  <c r="X99" i="27"/>
  <c r="W98" i="27"/>
  <c r="X95" i="27"/>
  <c r="W94" i="27"/>
  <c r="X91" i="27"/>
  <c r="W90" i="27"/>
  <c r="X87" i="27"/>
  <c r="W86" i="27"/>
  <c r="X83" i="27"/>
  <c r="W82" i="27"/>
  <c r="X79" i="27"/>
  <c r="W78" i="27"/>
  <c r="X75" i="27"/>
  <c r="W74" i="27"/>
  <c r="W73" i="27"/>
  <c r="X71" i="27"/>
  <c r="W70" i="27"/>
  <c r="X67" i="27"/>
  <c r="W66" i="27"/>
  <c r="X63" i="27"/>
  <c r="W62" i="27"/>
  <c r="X59" i="27"/>
  <c r="W58" i="27"/>
  <c r="Y56" i="27"/>
  <c r="X56" i="27"/>
  <c r="W56" i="27"/>
  <c r="Y55" i="27"/>
  <c r="X55" i="27"/>
  <c r="W55" i="27"/>
  <c r="Y54" i="27"/>
  <c r="X54" i="27"/>
  <c r="W54" i="27"/>
  <c r="Y53" i="27"/>
  <c r="X53" i="27"/>
  <c r="W53" i="27"/>
  <c r="Y52" i="27"/>
  <c r="X52" i="27"/>
  <c r="W52" i="27"/>
  <c r="Y51" i="27"/>
  <c r="X51" i="27"/>
  <c r="W51" i="27"/>
  <c r="Y50" i="27"/>
  <c r="X50" i="27"/>
  <c r="W50" i="27"/>
  <c r="Y49" i="27"/>
  <c r="X49" i="27"/>
  <c r="W49" i="27"/>
  <c r="Y48" i="27"/>
  <c r="X48" i="27"/>
  <c r="W48" i="27"/>
  <c r="Y47" i="27"/>
  <c r="X47" i="27"/>
  <c r="W47" i="27"/>
  <c r="Y46" i="27"/>
  <c r="X46" i="27"/>
  <c r="W46" i="27"/>
  <c r="Y45" i="27"/>
  <c r="X45" i="27"/>
  <c r="W45" i="27"/>
  <c r="Y44" i="27"/>
  <c r="X44" i="27"/>
  <c r="W44" i="27"/>
  <c r="Y43" i="27"/>
  <c r="X43" i="27"/>
  <c r="W43" i="27"/>
  <c r="Y42" i="27"/>
  <c r="X42" i="27"/>
  <c r="W42" i="27"/>
  <c r="Y41" i="27"/>
  <c r="X41" i="27"/>
  <c r="W41" i="27"/>
  <c r="Y40" i="27"/>
  <c r="X40" i="27"/>
  <c r="W40" i="27"/>
  <c r="Y39" i="27"/>
  <c r="X39" i="27"/>
  <c r="W39" i="27"/>
  <c r="Y38" i="27"/>
  <c r="X38" i="27"/>
  <c r="W38" i="27"/>
  <c r="Y37" i="27"/>
  <c r="X37" i="27"/>
  <c r="W37" i="27"/>
  <c r="Y36" i="27"/>
  <c r="X36" i="27"/>
  <c r="W36" i="27"/>
  <c r="Y35" i="27"/>
  <c r="X35" i="27"/>
  <c r="W35" i="27"/>
  <c r="Y34" i="27"/>
  <c r="X34" i="27"/>
  <c r="W34" i="27"/>
  <c r="Y33" i="27"/>
  <c r="X33" i="27"/>
  <c r="W33" i="27"/>
  <c r="Y32" i="27"/>
  <c r="X32" i="27"/>
  <c r="W32" i="27"/>
  <c r="Y31" i="27"/>
  <c r="X31" i="27"/>
  <c r="W31" i="27"/>
  <c r="Y30" i="27"/>
  <c r="X30" i="27"/>
  <c r="W30" i="27"/>
  <c r="Y29" i="27"/>
  <c r="X29" i="27"/>
  <c r="W29" i="27"/>
  <c r="Y28" i="27"/>
  <c r="X28" i="27"/>
  <c r="W28" i="27"/>
  <c r="Y27" i="27"/>
  <c r="X27" i="27"/>
  <c r="W27" i="27"/>
  <c r="Y26" i="27"/>
  <c r="X26" i="27"/>
  <c r="W26" i="27"/>
  <c r="Y25" i="27"/>
  <c r="X25" i="27"/>
  <c r="W25" i="27"/>
  <c r="Y24" i="27"/>
  <c r="X24" i="27"/>
  <c r="W24" i="27"/>
  <c r="Y23" i="27"/>
  <c r="X23" i="27"/>
  <c r="W23" i="27"/>
  <c r="Y22" i="27"/>
  <c r="X22" i="27"/>
  <c r="W22" i="27"/>
  <c r="Y21" i="27"/>
  <c r="X21" i="27"/>
  <c r="W21" i="27"/>
  <c r="Y20" i="27"/>
  <c r="X20" i="27"/>
  <c r="W20" i="27"/>
  <c r="Y19" i="27"/>
  <c r="X19" i="27"/>
  <c r="W19" i="27"/>
  <c r="Y18" i="27"/>
  <c r="X18" i="27"/>
  <c r="W18" i="27"/>
  <c r="Y17" i="27"/>
  <c r="X17" i="27"/>
  <c r="W17" i="27"/>
  <c r="Y16" i="27"/>
  <c r="X16" i="27"/>
  <c r="W16" i="27"/>
  <c r="Y15" i="27"/>
  <c r="X15" i="27"/>
  <c r="W15" i="27"/>
  <c r="Y14" i="27"/>
  <c r="X14" i="27"/>
  <c r="W14" i="27"/>
  <c r="Y13" i="27"/>
  <c r="X13" i="27"/>
  <c r="W13" i="27"/>
  <c r="Y12" i="27"/>
  <c r="X12" i="27"/>
  <c r="W12" i="27"/>
  <c r="Y11" i="27"/>
  <c r="X11" i="27"/>
  <c r="W11" i="27"/>
  <c r="Y10" i="27"/>
  <c r="X10" i="27"/>
  <c r="W10" i="27"/>
  <c r="Y9" i="27"/>
  <c r="X9" i="27"/>
  <c r="W9" i="27"/>
  <c r="Y8" i="27"/>
  <c r="X8" i="27"/>
  <c r="W8" i="27"/>
  <c r="Y7" i="27"/>
  <c r="X7" i="27"/>
  <c r="W7" i="27"/>
  <c r="Y6" i="27"/>
  <c r="X6" i="27"/>
  <c r="W6" i="27"/>
  <c r="Y5" i="27"/>
  <c r="X5" i="27"/>
  <c r="W5" i="27"/>
  <c r="Y4" i="27"/>
  <c r="X4" i="27"/>
  <c r="W4" i="27"/>
  <c r="Y3" i="27"/>
  <c r="X3" i="27"/>
  <c r="W3" i="27"/>
  <c r="Y2" i="27"/>
  <c r="X2" i="27"/>
  <c r="W2" i="27"/>
  <c r="Y1" i="27"/>
  <c r="X1" i="27"/>
  <c r="W1" i="27"/>
  <c r="L73" i="27"/>
  <c r="L85" i="27" s="1"/>
  <c r="L97" i="27" s="1"/>
  <c r="L109" i="27" s="1"/>
  <c r="L121" i="27" s="1"/>
  <c r="L133" i="27" s="1"/>
  <c r="L145" i="27" s="1"/>
  <c r="X145" i="27" s="1"/>
  <c r="K73" i="27"/>
  <c r="K85" i="27" s="1"/>
  <c r="K97" i="27" s="1"/>
  <c r="K109" i="27" s="1"/>
  <c r="K121" i="27" s="1"/>
  <c r="K133" i="27" s="1"/>
  <c r="K145" i="27" s="1"/>
  <c r="W145" i="27" s="1"/>
  <c r="J73" i="27"/>
  <c r="J85" i="27" s="1"/>
  <c r="J97" i="27" s="1"/>
  <c r="J109" i="27" s="1"/>
  <c r="J121" i="27" s="1"/>
  <c r="J133" i="27" s="1"/>
  <c r="J145" i="27" s="1"/>
  <c r="I73" i="27"/>
  <c r="I85" i="27" s="1"/>
  <c r="I97" i="27" s="1"/>
  <c r="I109" i="27" s="1"/>
  <c r="I121" i="27" s="1"/>
  <c r="I133" i="27" s="1"/>
  <c r="I145" i="27" s="1"/>
  <c r="H73" i="27"/>
  <c r="H85" i="27" s="1"/>
  <c r="H97" i="27" s="1"/>
  <c r="H109" i="27" s="1"/>
  <c r="H121" i="27" s="1"/>
  <c r="H133" i="27" s="1"/>
  <c r="H145" i="27" s="1"/>
  <c r="G73" i="27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F73" i="27"/>
  <c r="F85" i="27" s="1"/>
  <c r="F97" i="27" s="1"/>
  <c r="F109" i="27" s="1"/>
  <c r="F121" i="27" s="1"/>
  <c r="F133" i="27" s="1"/>
  <c r="F145" i="27" s="1"/>
  <c r="L72" i="27"/>
  <c r="L84" i="27" s="1"/>
  <c r="L96" i="27" s="1"/>
  <c r="L108" i="27" s="1"/>
  <c r="L120" i="27" s="1"/>
  <c r="L132" i="27" s="1"/>
  <c r="L144" i="27" s="1"/>
  <c r="X144" i="27" s="1"/>
  <c r="K72" i="27"/>
  <c r="K84" i="27" s="1"/>
  <c r="K96" i="27" s="1"/>
  <c r="K108" i="27" s="1"/>
  <c r="K120" i="27" s="1"/>
  <c r="K132" i="27" s="1"/>
  <c r="K144" i="27" s="1"/>
  <c r="W144" i="27" s="1"/>
  <c r="J72" i="27"/>
  <c r="J84" i="27" s="1"/>
  <c r="J96" i="27" s="1"/>
  <c r="J108" i="27" s="1"/>
  <c r="J120" i="27" s="1"/>
  <c r="J132" i="27" s="1"/>
  <c r="J144" i="27" s="1"/>
  <c r="I72" i="27"/>
  <c r="I84" i="27" s="1"/>
  <c r="I96" i="27" s="1"/>
  <c r="I108" i="27" s="1"/>
  <c r="I120" i="27" s="1"/>
  <c r="I132" i="27" s="1"/>
  <c r="I144" i="27" s="1"/>
  <c r="H72" i="27"/>
  <c r="H84" i="27" s="1"/>
  <c r="H96" i="27" s="1"/>
  <c r="H108" i="27" s="1"/>
  <c r="H120" i="27" s="1"/>
  <c r="H132" i="27" s="1"/>
  <c r="H144" i="27" s="1"/>
  <c r="G72" i="27"/>
  <c r="F72" i="27"/>
  <c r="F84" i="27" s="1"/>
  <c r="F96" i="27" s="1"/>
  <c r="F108" i="27" s="1"/>
  <c r="F120" i="27" s="1"/>
  <c r="F132" i="27" s="1"/>
  <c r="F144" i="27" s="1"/>
  <c r="L71" i="27"/>
  <c r="L83" i="27" s="1"/>
  <c r="L95" i="27" s="1"/>
  <c r="L107" i="27" s="1"/>
  <c r="L119" i="27" s="1"/>
  <c r="L131" i="27" s="1"/>
  <c r="L143" i="27" s="1"/>
  <c r="K71" i="27"/>
  <c r="K83" i="27" s="1"/>
  <c r="K95" i="27" s="1"/>
  <c r="K107" i="27" s="1"/>
  <c r="K119" i="27" s="1"/>
  <c r="K131" i="27" s="1"/>
  <c r="K143" i="27" s="1"/>
  <c r="W143" i="27" s="1"/>
  <c r="J71" i="27"/>
  <c r="J83" i="27" s="1"/>
  <c r="J95" i="27" s="1"/>
  <c r="J107" i="27" s="1"/>
  <c r="J119" i="27" s="1"/>
  <c r="J131" i="27" s="1"/>
  <c r="J143" i="27" s="1"/>
  <c r="I71" i="27"/>
  <c r="I83" i="27" s="1"/>
  <c r="I95" i="27" s="1"/>
  <c r="I107" i="27" s="1"/>
  <c r="I119" i="27" s="1"/>
  <c r="I131" i="27" s="1"/>
  <c r="I143" i="27" s="1"/>
  <c r="H71" i="27"/>
  <c r="H83" i="27" s="1"/>
  <c r="H95" i="27" s="1"/>
  <c r="H107" i="27" s="1"/>
  <c r="H119" i="27" s="1"/>
  <c r="H131" i="27" s="1"/>
  <c r="H143" i="27" s="1"/>
  <c r="G71" i="27"/>
  <c r="F71" i="27"/>
  <c r="F83" i="27" s="1"/>
  <c r="F95" i="27" s="1"/>
  <c r="F107" i="27" s="1"/>
  <c r="F119" i="27" s="1"/>
  <c r="F131" i="27" s="1"/>
  <c r="F143" i="27" s="1"/>
  <c r="L70" i="27"/>
  <c r="L82" i="27" s="1"/>
  <c r="L94" i="27" s="1"/>
  <c r="L106" i="27" s="1"/>
  <c r="L118" i="27" s="1"/>
  <c r="L130" i="27" s="1"/>
  <c r="L142" i="27" s="1"/>
  <c r="X142" i="27" s="1"/>
  <c r="K70" i="27"/>
  <c r="K82" i="27" s="1"/>
  <c r="K94" i="27" s="1"/>
  <c r="K106" i="27" s="1"/>
  <c r="K118" i="27" s="1"/>
  <c r="K130" i="27" s="1"/>
  <c r="K142" i="27" s="1"/>
  <c r="J70" i="27"/>
  <c r="J82" i="27" s="1"/>
  <c r="J94" i="27" s="1"/>
  <c r="J106" i="27" s="1"/>
  <c r="J118" i="27" s="1"/>
  <c r="J130" i="27" s="1"/>
  <c r="J142" i="27" s="1"/>
  <c r="I70" i="27"/>
  <c r="I82" i="27" s="1"/>
  <c r="I94" i="27" s="1"/>
  <c r="I106" i="27" s="1"/>
  <c r="I118" i="27" s="1"/>
  <c r="I130" i="27" s="1"/>
  <c r="I142" i="27" s="1"/>
  <c r="H70" i="27"/>
  <c r="H82" i="27" s="1"/>
  <c r="H94" i="27" s="1"/>
  <c r="H106" i="27" s="1"/>
  <c r="H118" i="27" s="1"/>
  <c r="H130" i="27" s="1"/>
  <c r="H142" i="27" s="1"/>
  <c r="G70" i="27"/>
  <c r="F70" i="27"/>
  <c r="F82" i="27" s="1"/>
  <c r="F94" i="27" s="1"/>
  <c r="F106" i="27" s="1"/>
  <c r="F118" i="27" s="1"/>
  <c r="F130" i="27" s="1"/>
  <c r="F142" i="27" s="1"/>
  <c r="L69" i="27"/>
  <c r="L81" i="27" s="1"/>
  <c r="L93" i="27" s="1"/>
  <c r="L105" i="27" s="1"/>
  <c r="L117" i="27" s="1"/>
  <c r="L129" i="27" s="1"/>
  <c r="L141" i="27" s="1"/>
  <c r="X141" i="27" s="1"/>
  <c r="K69" i="27"/>
  <c r="K81" i="27" s="1"/>
  <c r="K93" i="27" s="1"/>
  <c r="K105" i="27" s="1"/>
  <c r="K117" i="27" s="1"/>
  <c r="K129" i="27" s="1"/>
  <c r="K141" i="27" s="1"/>
  <c r="W141" i="27" s="1"/>
  <c r="J69" i="27"/>
  <c r="J81" i="27" s="1"/>
  <c r="J93" i="27" s="1"/>
  <c r="J105" i="27" s="1"/>
  <c r="J117" i="27" s="1"/>
  <c r="J129" i="27" s="1"/>
  <c r="J141" i="27" s="1"/>
  <c r="I69" i="27"/>
  <c r="I81" i="27" s="1"/>
  <c r="I93" i="27" s="1"/>
  <c r="I105" i="27" s="1"/>
  <c r="I117" i="27" s="1"/>
  <c r="I129" i="27" s="1"/>
  <c r="I141" i="27" s="1"/>
  <c r="H69" i="27"/>
  <c r="H81" i="27" s="1"/>
  <c r="H93" i="27" s="1"/>
  <c r="H105" i="27" s="1"/>
  <c r="H117" i="27" s="1"/>
  <c r="H129" i="27" s="1"/>
  <c r="H141" i="27" s="1"/>
  <c r="G69" i="27"/>
  <c r="F69" i="27"/>
  <c r="F81" i="27" s="1"/>
  <c r="F93" i="27" s="1"/>
  <c r="F105" i="27" s="1"/>
  <c r="F117" i="27" s="1"/>
  <c r="F129" i="27" s="1"/>
  <c r="F141" i="27" s="1"/>
  <c r="M68" i="27"/>
  <c r="L68" i="27"/>
  <c r="L80" i="27" s="1"/>
  <c r="L92" i="27" s="1"/>
  <c r="L104" i="27" s="1"/>
  <c r="L116" i="27" s="1"/>
  <c r="L128" i="27" s="1"/>
  <c r="L140" i="27" s="1"/>
  <c r="X140" i="27" s="1"/>
  <c r="K68" i="27"/>
  <c r="K80" i="27" s="1"/>
  <c r="K92" i="27" s="1"/>
  <c r="K104" i="27" s="1"/>
  <c r="K116" i="27" s="1"/>
  <c r="K128" i="27" s="1"/>
  <c r="K140" i="27" s="1"/>
  <c r="W140" i="27" s="1"/>
  <c r="J68" i="27"/>
  <c r="J80" i="27" s="1"/>
  <c r="J92" i="27" s="1"/>
  <c r="J104" i="27" s="1"/>
  <c r="J116" i="27" s="1"/>
  <c r="J128" i="27" s="1"/>
  <c r="J140" i="27" s="1"/>
  <c r="I68" i="27"/>
  <c r="I80" i="27" s="1"/>
  <c r="I92" i="27" s="1"/>
  <c r="I104" i="27" s="1"/>
  <c r="I116" i="27" s="1"/>
  <c r="I128" i="27" s="1"/>
  <c r="I140" i="27" s="1"/>
  <c r="H68" i="27"/>
  <c r="H80" i="27" s="1"/>
  <c r="H92" i="27" s="1"/>
  <c r="H104" i="27" s="1"/>
  <c r="H116" i="27" s="1"/>
  <c r="H128" i="27" s="1"/>
  <c r="H140" i="27" s="1"/>
  <c r="G68" i="27"/>
  <c r="F68" i="27"/>
  <c r="F80" i="27" s="1"/>
  <c r="F92" i="27" s="1"/>
  <c r="F104" i="27" s="1"/>
  <c r="F116" i="27" s="1"/>
  <c r="F128" i="27" s="1"/>
  <c r="F140" i="27" s="1"/>
  <c r="M67" i="27"/>
  <c r="L67" i="27"/>
  <c r="L79" i="27" s="1"/>
  <c r="L91" i="27" s="1"/>
  <c r="L103" i="27" s="1"/>
  <c r="L115" i="27" s="1"/>
  <c r="L127" i="27" s="1"/>
  <c r="L139" i="27" s="1"/>
  <c r="K67" i="27"/>
  <c r="K79" i="27" s="1"/>
  <c r="K91" i="27" s="1"/>
  <c r="K103" i="27" s="1"/>
  <c r="K115" i="27" s="1"/>
  <c r="K127" i="27" s="1"/>
  <c r="K139" i="27" s="1"/>
  <c r="W139" i="27" s="1"/>
  <c r="J67" i="27"/>
  <c r="J79" i="27" s="1"/>
  <c r="J91" i="27" s="1"/>
  <c r="J103" i="27" s="1"/>
  <c r="J115" i="27" s="1"/>
  <c r="J127" i="27" s="1"/>
  <c r="J139" i="27" s="1"/>
  <c r="I67" i="27"/>
  <c r="I79" i="27" s="1"/>
  <c r="I91" i="27" s="1"/>
  <c r="I103" i="27" s="1"/>
  <c r="I115" i="27" s="1"/>
  <c r="I127" i="27" s="1"/>
  <c r="I139" i="27" s="1"/>
  <c r="H67" i="27"/>
  <c r="H79" i="27" s="1"/>
  <c r="H91" i="27" s="1"/>
  <c r="H103" i="27" s="1"/>
  <c r="H115" i="27" s="1"/>
  <c r="H127" i="27" s="1"/>
  <c r="H139" i="27" s="1"/>
  <c r="G67" i="27"/>
  <c r="F67" i="27"/>
  <c r="F79" i="27" s="1"/>
  <c r="F91" i="27" s="1"/>
  <c r="F103" i="27" s="1"/>
  <c r="F115" i="27" s="1"/>
  <c r="F127" i="27" s="1"/>
  <c r="F139" i="27" s="1"/>
  <c r="M66" i="27"/>
  <c r="L66" i="27"/>
  <c r="L78" i="27" s="1"/>
  <c r="L90" i="27" s="1"/>
  <c r="L102" i="27" s="1"/>
  <c r="L114" i="27" s="1"/>
  <c r="L126" i="27" s="1"/>
  <c r="L138" i="27" s="1"/>
  <c r="X138" i="27" s="1"/>
  <c r="K66" i="27"/>
  <c r="K78" i="27" s="1"/>
  <c r="K90" i="27" s="1"/>
  <c r="K102" i="27" s="1"/>
  <c r="K114" i="27" s="1"/>
  <c r="K126" i="27" s="1"/>
  <c r="K138" i="27" s="1"/>
  <c r="J66" i="27"/>
  <c r="J78" i="27" s="1"/>
  <c r="J90" i="27" s="1"/>
  <c r="J102" i="27" s="1"/>
  <c r="J114" i="27" s="1"/>
  <c r="J126" i="27" s="1"/>
  <c r="J138" i="27" s="1"/>
  <c r="I66" i="27"/>
  <c r="I78" i="27" s="1"/>
  <c r="I90" i="27" s="1"/>
  <c r="I102" i="27" s="1"/>
  <c r="I114" i="27" s="1"/>
  <c r="I126" i="27" s="1"/>
  <c r="I138" i="27" s="1"/>
  <c r="H66" i="27"/>
  <c r="H78" i="27" s="1"/>
  <c r="H90" i="27" s="1"/>
  <c r="H102" i="27" s="1"/>
  <c r="H114" i="27" s="1"/>
  <c r="H126" i="27" s="1"/>
  <c r="H138" i="27" s="1"/>
  <c r="G66" i="27"/>
  <c r="F66" i="27"/>
  <c r="F78" i="27" s="1"/>
  <c r="F90" i="27" s="1"/>
  <c r="F102" i="27" s="1"/>
  <c r="F114" i="27" s="1"/>
  <c r="F126" i="27" s="1"/>
  <c r="F138" i="27" s="1"/>
  <c r="M65" i="27"/>
  <c r="L65" i="27"/>
  <c r="L77" i="27" s="1"/>
  <c r="L89" i="27" s="1"/>
  <c r="L101" i="27" s="1"/>
  <c r="L113" i="27" s="1"/>
  <c r="L125" i="27" s="1"/>
  <c r="L137" i="27" s="1"/>
  <c r="X137" i="27" s="1"/>
  <c r="K65" i="27"/>
  <c r="K77" i="27" s="1"/>
  <c r="K89" i="27" s="1"/>
  <c r="K101" i="27" s="1"/>
  <c r="K113" i="27" s="1"/>
  <c r="K125" i="27" s="1"/>
  <c r="K137" i="27" s="1"/>
  <c r="W137" i="27" s="1"/>
  <c r="J65" i="27"/>
  <c r="J77" i="27" s="1"/>
  <c r="J89" i="27" s="1"/>
  <c r="J101" i="27" s="1"/>
  <c r="J113" i="27" s="1"/>
  <c r="J125" i="27" s="1"/>
  <c r="J137" i="27" s="1"/>
  <c r="I65" i="27"/>
  <c r="I77" i="27" s="1"/>
  <c r="I89" i="27" s="1"/>
  <c r="I101" i="27" s="1"/>
  <c r="I113" i="27" s="1"/>
  <c r="I125" i="27" s="1"/>
  <c r="I137" i="27" s="1"/>
  <c r="H65" i="27"/>
  <c r="H77" i="27" s="1"/>
  <c r="H89" i="27" s="1"/>
  <c r="H101" i="27" s="1"/>
  <c r="H113" i="27" s="1"/>
  <c r="H125" i="27" s="1"/>
  <c r="H137" i="27" s="1"/>
  <c r="G65" i="27"/>
  <c r="F65" i="27"/>
  <c r="F77" i="27" s="1"/>
  <c r="F89" i="27" s="1"/>
  <c r="F101" i="27" s="1"/>
  <c r="F113" i="27" s="1"/>
  <c r="F125" i="27" s="1"/>
  <c r="F137" i="27" s="1"/>
  <c r="M64" i="27"/>
  <c r="L64" i="27"/>
  <c r="L76" i="27" s="1"/>
  <c r="L88" i="27" s="1"/>
  <c r="L100" i="27" s="1"/>
  <c r="L112" i="27" s="1"/>
  <c r="L124" i="27" s="1"/>
  <c r="L136" i="27" s="1"/>
  <c r="X136" i="27" s="1"/>
  <c r="K64" i="27"/>
  <c r="K76" i="27" s="1"/>
  <c r="K88" i="27" s="1"/>
  <c r="K100" i="27" s="1"/>
  <c r="K112" i="27" s="1"/>
  <c r="K124" i="27" s="1"/>
  <c r="K136" i="27" s="1"/>
  <c r="W136" i="27" s="1"/>
  <c r="J64" i="27"/>
  <c r="J76" i="27" s="1"/>
  <c r="J88" i="27" s="1"/>
  <c r="J100" i="27" s="1"/>
  <c r="J112" i="27" s="1"/>
  <c r="J124" i="27" s="1"/>
  <c r="J136" i="27" s="1"/>
  <c r="I64" i="27"/>
  <c r="I76" i="27" s="1"/>
  <c r="I88" i="27" s="1"/>
  <c r="I100" i="27" s="1"/>
  <c r="I112" i="27" s="1"/>
  <c r="I124" i="27" s="1"/>
  <c r="I136" i="27" s="1"/>
  <c r="H64" i="27"/>
  <c r="H76" i="27" s="1"/>
  <c r="H88" i="27" s="1"/>
  <c r="H100" i="27" s="1"/>
  <c r="H112" i="27" s="1"/>
  <c r="H124" i="27" s="1"/>
  <c r="H136" i="27" s="1"/>
  <c r="G64" i="27"/>
  <c r="F64" i="27"/>
  <c r="F76" i="27" s="1"/>
  <c r="F88" i="27" s="1"/>
  <c r="F100" i="27" s="1"/>
  <c r="F112" i="27" s="1"/>
  <c r="F124" i="27" s="1"/>
  <c r="F136" i="27" s="1"/>
  <c r="M63" i="27"/>
  <c r="L63" i="27"/>
  <c r="L75" i="27" s="1"/>
  <c r="L87" i="27" s="1"/>
  <c r="L99" i="27" s="1"/>
  <c r="L111" i="27" s="1"/>
  <c r="L123" i="27" s="1"/>
  <c r="L135" i="27" s="1"/>
  <c r="X135" i="27" s="1"/>
  <c r="K63" i="27"/>
  <c r="K75" i="27" s="1"/>
  <c r="K87" i="27" s="1"/>
  <c r="K99" i="27" s="1"/>
  <c r="K111" i="27" s="1"/>
  <c r="K123" i="27" s="1"/>
  <c r="K135" i="27" s="1"/>
  <c r="W135" i="27" s="1"/>
  <c r="J63" i="27"/>
  <c r="J75" i="27" s="1"/>
  <c r="J87" i="27" s="1"/>
  <c r="J99" i="27" s="1"/>
  <c r="J111" i="27" s="1"/>
  <c r="J123" i="27" s="1"/>
  <c r="J135" i="27" s="1"/>
  <c r="I63" i="27"/>
  <c r="I75" i="27" s="1"/>
  <c r="I87" i="27" s="1"/>
  <c r="I99" i="27" s="1"/>
  <c r="I111" i="27" s="1"/>
  <c r="I123" i="27" s="1"/>
  <c r="I135" i="27" s="1"/>
  <c r="H63" i="27"/>
  <c r="H75" i="27" s="1"/>
  <c r="H87" i="27" s="1"/>
  <c r="H99" i="27" s="1"/>
  <c r="H111" i="27" s="1"/>
  <c r="H123" i="27" s="1"/>
  <c r="H135" i="27" s="1"/>
  <c r="G63" i="27"/>
  <c r="F63" i="27"/>
  <c r="F75" i="27" s="1"/>
  <c r="F87" i="27" s="1"/>
  <c r="F99" i="27" s="1"/>
  <c r="F111" i="27" s="1"/>
  <c r="F123" i="27" s="1"/>
  <c r="F135" i="27" s="1"/>
  <c r="M62" i="27"/>
  <c r="L62" i="27"/>
  <c r="L74" i="27" s="1"/>
  <c r="L86" i="27" s="1"/>
  <c r="L98" i="27" s="1"/>
  <c r="L110" i="27" s="1"/>
  <c r="L122" i="27" s="1"/>
  <c r="L134" i="27" s="1"/>
  <c r="X134" i="27" s="1"/>
  <c r="K62" i="27"/>
  <c r="K74" i="27" s="1"/>
  <c r="K86" i="27" s="1"/>
  <c r="K98" i="27" s="1"/>
  <c r="K110" i="27" s="1"/>
  <c r="K122" i="27" s="1"/>
  <c r="K134" i="27" s="1"/>
  <c r="W134" i="27" s="1"/>
  <c r="J62" i="27"/>
  <c r="J74" i="27" s="1"/>
  <c r="J86" i="27" s="1"/>
  <c r="J98" i="27" s="1"/>
  <c r="J110" i="27" s="1"/>
  <c r="J122" i="27" s="1"/>
  <c r="J134" i="27" s="1"/>
  <c r="I62" i="27"/>
  <c r="I74" i="27" s="1"/>
  <c r="I86" i="27" s="1"/>
  <c r="I98" i="27" s="1"/>
  <c r="I110" i="27" s="1"/>
  <c r="I122" i="27" s="1"/>
  <c r="I134" i="27" s="1"/>
  <c r="H62" i="27"/>
  <c r="H74" i="27" s="1"/>
  <c r="H86" i="27" s="1"/>
  <c r="H98" i="27" s="1"/>
  <c r="H110" i="27" s="1"/>
  <c r="H122" i="27" s="1"/>
  <c r="H134" i="27" s="1"/>
  <c r="G62" i="27"/>
  <c r="F62" i="27"/>
  <c r="F74" i="27" s="1"/>
  <c r="F86" i="27" s="1"/>
  <c r="F98" i="27" s="1"/>
  <c r="F110" i="27" s="1"/>
  <c r="F122" i="27" s="1"/>
  <c r="F134" i="27" s="1"/>
  <c r="M61" i="27"/>
  <c r="Y61" i="27" s="1"/>
  <c r="L61" i="27"/>
  <c r="X61" i="27" s="1"/>
  <c r="K61" i="27"/>
  <c r="W61" i="27" s="1"/>
  <c r="J61" i="27"/>
  <c r="I61" i="27"/>
  <c r="H61" i="27"/>
  <c r="G61" i="27"/>
  <c r="F61" i="27"/>
  <c r="M60" i="27"/>
  <c r="Y60" i="27" s="1"/>
  <c r="L60" i="27"/>
  <c r="X60" i="27" s="1"/>
  <c r="K60" i="27"/>
  <c r="W60" i="27" s="1"/>
  <c r="J60" i="27"/>
  <c r="I60" i="27"/>
  <c r="H60" i="27"/>
  <c r="G60" i="27"/>
  <c r="F60" i="27"/>
  <c r="M59" i="27"/>
  <c r="Y59" i="27" s="1"/>
  <c r="L59" i="27"/>
  <c r="K59" i="27"/>
  <c r="W59" i="27" s="1"/>
  <c r="J59" i="27"/>
  <c r="I59" i="27"/>
  <c r="H59" i="27"/>
  <c r="G59" i="27"/>
  <c r="F59" i="27"/>
  <c r="M58" i="27"/>
  <c r="Y58" i="27" s="1"/>
  <c r="L58" i="27"/>
  <c r="X58" i="27" s="1"/>
  <c r="K58" i="27"/>
  <c r="J58" i="27"/>
  <c r="I58" i="27"/>
  <c r="H58" i="27"/>
  <c r="G58" i="27"/>
  <c r="F58" i="27"/>
  <c r="M57" i="27"/>
  <c r="Y57" i="27" s="1"/>
  <c r="L57" i="27"/>
  <c r="X57" i="27" s="1"/>
  <c r="K57" i="27"/>
  <c r="W57" i="27" s="1"/>
  <c r="J57" i="27"/>
  <c r="I57" i="27"/>
  <c r="H57" i="27"/>
  <c r="G57" i="27"/>
  <c r="F57" i="27"/>
  <c r="M56" i="27"/>
  <c r="L56" i="27"/>
  <c r="K56" i="27"/>
  <c r="J56" i="27"/>
  <c r="I56" i="27"/>
  <c r="H56" i="27"/>
  <c r="G56" i="27"/>
  <c r="F56" i="27"/>
  <c r="M55" i="27"/>
  <c r="L55" i="27"/>
  <c r="K55" i="27"/>
  <c r="J55" i="27"/>
  <c r="I55" i="27"/>
  <c r="H55" i="27"/>
  <c r="G55" i="27"/>
  <c r="F55" i="27"/>
  <c r="M54" i="27"/>
  <c r="L54" i="27"/>
  <c r="K54" i="27"/>
  <c r="J54" i="27"/>
  <c r="I54" i="27"/>
  <c r="H54" i="27"/>
  <c r="G54" i="27"/>
  <c r="F54" i="27"/>
  <c r="M53" i="27"/>
  <c r="L53" i="27"/>
  <c r="K53" i="27"/>
  <c r="J53" i="27"/>
  <c r="I53" i="27"/>
  <c r="H53" i="27"/>
  <c r="G53" i="27"/>
  <c r="F53" i="27"/>
  <c r="M52" i="27"/>
  <c r="L52" i="27"/>
  <c r="K52" i="27"/>
  <c r="J52" i="27"/>
  <c r="I52" i="27"/>
  <c r="H52" i="27"/>
  <c r="G52" i="27"/>
  <c r="F52" i="27"/>
  <c r="M51" i="27"/>
  <c r="L51" i="27"/>
  <c r="K51" i="27"/>
  <c r="J51" i="27"/>
  <c r="I51" i="27"/>
  <c r="H51" i="27"/>
  <c r="G51" i="27"/>
  <c r="F51" i="27"/>
  <c r="M50" i="27"/>
  <c r="L50" i="27"/>
  <c r="K50" i="27"/>
  <c r="J50" i="27"/>
  <c r="I50" i="27"/>
  <c r="H50" i="27"/>
  <c r="G50" i="27"/>
  <c r="F50" i="27"/>
  <c r="M49" i="27"/>
  <c r="L49" i="27"/>
  <c r="K49" i="27"/>
  <c r="J49" i="27"/>
  <c r="I49" i="27"/>
  <c r="H49" i="27"/>
  <c r="G49" i="27"/>
  <c r="F49" i="27"/>
  <c r="M48" i="27"/>
  <c r="L48" i="27"/>
  <c r="K48" i="27"/>
  <c r="J48" i="27"/>
  <c r="I48" i="27"/>
  <c r="H48" i="27"/>
  <c r="G48" i="27"/>
  <c r="F48" i="27"/>
  <c r="M47" i="27"/>
  <c r="L47" i="27"/>
  <c r="K47" i="27"/>
  <c r="J47" i="27"/>
  <c r="I47" i="27"/>
  <c r="H47" i="27"/>
  <c r="G47" i="27"/>
  <c r="F47" i="27"/>
  <c r="M46" i="27"/>
  <c r="L46" i="27"/>
  <c r="K46" i="27"/>
  <c r="J46" i="27"/>
  <c r="I46" i="27"/>
  <c r="H46" i="27"/>
  <c r="G46" i="27"/>
  <c r="F46" i="27"/>
  <c r="M45" i="27"/>
  <c r="L45" i="27"/>
  <c r="K45" i="27"/>
  <c r="J45" i="27"/>
  <c r="I45" i="27"/>
  <c r="H45" i="27"/>
  <c r="G45" i="27"/>
  <c r="F45" i="27"/>
  <c r="M44" i="27"/>
  <c r="L44" i="27"/>
  <c r="K44" i="27"/>
  <c r="J44" i="27"/>
  <c r="I44" i="27"/>
  <c r="H44" i="27"/>
  <c r="G44" i="27"/>
  <c r="F44" i="27"/>
  <c r="M43" i="27"/>
  <c r="L43" i="27"/>
  <c r="K43" i="27"/>
  <c r="J43" i="27"/>
  <c r="I43" i="27"/>
  <c r="H43" i="27"/>
  <c r="G43" i="27"/>
  <c r="F43" i="27"/>
  <c r="M42" i="27"/>
  <c r="L42" i="27"/>
  <c r="K42" i="27"/>
  <c r="J42" i="27"/>
  <c r="I42" i="27"/>
  <c r="H42" i="27"/>
  <c r="G42" i="27"/>
  <c r="F42" i="27"/>
  <c r="M41" i="27"/>
  <c r="L41" i="27"/>
  <c r="K41" i="27"/>
  <c r="J41" i="27"/>
  <c r="I41" i="27"/>
  <c r="H41" i="27"/>
  <c r="G41" i="27"/>
  <c r="F41" i="27"/>
  <c r="M40" i="27"/>
  <c r="L40" i="27"/>
  <c r="K40" i="27"/>
  <c r="J40" i="27"/>
  <c r="I40" i="27"/>
  <c r="H40" i="27"/>
  <c r="G40" i="27"/>
  <c r="F40" i="27"/>
  <c r="M39" i="27"/>
  <c r="L39" i="27"/>
  <c r="K39" i="27"/>
  <c r="J39" i="27"/>
  <c r="I39" i="27"/>
  <c r="H39" i="27"/>
  <c r="G39" i="27"/>
  <c r="F39" i="27"/>
  <c r="M38" i="27"/>
  <c r="L38" i="27"/>
  <c r="K38" i="27"/>
  <c r="J38" i="27"/>
  <c r="I38" i="27"/>
  <c r="H38" i="27"/>
  <c r="G38" i="27"/>
  <c r="F38" i="27"/>
  <c r="M37" i="27"/>
  <c r="L37" i="27"/>
  <c r="K37" i="27"/>
  <c r="J37" i="27"/>
  <c r="I37" i="27"/>
  <c r="H37" i="27"/>
  <c r="G37" i="27"/>
  <c r="F37" i="27"/>
  <c r="M36" i="27"/>
  <c r="L36" i="27"/>
  <c r="K36" i="27"/>
  <c r="J36" i="27"/>
  <c r="I36" i="27"/>
  <c r="H36" i="27"/>
  <c r="G36" i="27"/>
  <c r="F36" i="27"/>
  <c r="M35" i="27"/>
  <c r="L35" i="27"/>
  <c r="K35" i="27"/>
  <c r="J35" i="27"/>
  <c r="I35" i="27"/>
  <c r="H35" i="27"/>
  <c r="G35" i="27"/>
  <c r="F35" i="27"/>
  <c r="M34" i="27"/>
  <c r="L34" i="27"/>
  <c r="K34" i="27"/>
  <c r="J34" i="27"/>
  <c r="I34" i="27"/>
  <c r="H34" i="27"/>
  <c r="G34" i="27"/>
  <c r="F34" i="27"/>
  <c r="M33" i="27"/>
  <c r="L33" i="27"/>
  <c r="K33" i="27"/>
  <c r="J33" i="27"/>
  <c r="I33" i="27"/>
  <c r="H33" i="27"/>
  <c r="G33" i="27"/>
  <c r="F33" i="27"/>
  <c r="M32" i="27"/>
  <c r="L32" i="27"/>
  <c r="K32" i="27"/>
  <c r="J32" i="27"/>
  <c r="I32" i="27"/>
  <c r="H32" i="27"/>
  <c r="G32" i="27"/>
  <c r="F32" i="27"/>
  <c r="M31" i="27"/>
  <c r="L31" i="27"/>
  <c r="K31" i="27"/>
  <c r="J31" i="27"/>
  <c r="I31" i="27"/>
  <c r="H31" i="27"/>
  <c r="G31" i="27"/>
  <c r="F31" i="27"/>
  <c r="M30" i="27"/>
  <c r="L30" i="27"/>
  <c r="K30" i="27"/>
  <c r="J30" i="27"/>
  <c r="I30" i="27"/>
  <c r="H30" i="27"/>
  <c r="G30" i="27"/>
  <c r="F30" i="27"/>
  <c r="M29" i="27"/>
  <c r="L29" i="27"/>
  <c r="K29" i="27"/>
  <c r="J29" i="27"/>
  <c r="I29" i="27"/>
  <c r="H29" i="27"/>
  <c r="G29" i="27"/>
  <c r="F29" i="27"/>
  <c r="M28" i="27"/>
  <c r="L28" i="27"/>
  <c r="K28" i="27"/>
  <c r="J28" i="27"/>
  <c r="I28" i="27"/>
  <c r="H28" i="27"/>
  <c r="G28" i="27"/>
  <c r="F28" i="27"/>
  <c r="M27" i="27"/>
  <c r="L27" i="27"/>
  <c r="K27" i="27"/>
  <c r="J27" i="27"/>
  <c r="I27" i="27"/>
  <c r="H27" i="27"/>
  <c r="G27" i="27"/>
  <c r="F27" i="27"/>
  <c r="M26" i="27"/>
  <c r="L26" i="27"/>
  <c r="K26" i="27"/>
  <c r="J26" i="27"/>
  <c r="I26" i="27"/>
  <c r="H26" i="27"/>
  <c r="G26" i="27"/>
  <c r="F26" i="27"/>
  <c r="M25" i="27"/>
  <c r="L25" i="27"/>
  <c r="K25" i="27"/>
  <c r="J25" i="27"/>
  <c r="I25" i="27"/>
  <c r="H25" i="27"/>
  <c r="G25" i="27"/>
  <c r="F25" i="27"/>
  <c r="M24" i="27"/>
  <c r="L24" i="27"/>
  <c r="K24" i="27"/>
  <c r="J24" i="27"/>
  <c r="I24" i="27"/>
  <c r="H24" i="27"/>
  <c r="G24" i="27"/>
  <c r="F24" i="27"/>
  <c r="M23" i="27"/>
  <c r="L23" i="27"/>
  <c r="K23" i="27"/>
  <c r="J23" i="27"/>
  <c r="I23" i="27"/>
  <c r="H23" i="27"/>
  <c r="G23" i="27"/>
  <c r="F23" i="27"/>
  <c r="M22" i="27"/>
  <c r="L22" i="27"/>
  <c r="K22" i="27"/>
  <c r="J22" i="27"/>
  <c r="I22" i="27"/>
  <c r="H22" i="27"/>
  <c r="G22" i="27"/>
  <c r="F22" i="27"/>
  <c r="M21" i="27"/>
  <c r="L21" i="27"/>
  <c r="K21" i="27"/>
  <c r="J21" i="27"/>
  <c r="I21" i="27"/>
  <c r="H21" i="27"/>
  <c r="G21" i="27"/>
  <c r="F21" i="27"/>
  <c r="M20" i="27"/>
  <c r="L20" i="27"/>
  <c r="K20" i="27"/>
  <c r="J20" i="27"/>
  <c r="I20" i="27"/>
  <c r="H20" i="27"/>
  <c r="G20" i="27"/>
  <c r="F20" i="27"/>
  <c r="M19" i="27"/>
  <c r="L19" i="27"/>
  <c r="K19" i="27"/>
  <c r="J19" i="27"/>
  <c r="I19" i="27"/>
  <c r="H19" i="27"/>
  <c r="G19" i="27"/>
  <c r="F19" i="27"/>
  <c r="M18" i="27"/>
  <c r="L18" i="27"/>
  <c r="K18" i="27"/>
  <c r="J18" i="27"/>
  <c r="I18" i="27"/>
  <c r="H18" i="27"/>
  <c r="G18" i="27"/>
  <c r="F18" i="27"/>
  <c r="M17" i="27"/>
  <c r="L17" i="27"/>
  <c r="K17" i="27"/>
  <c r="J17" i="27"/>
  <c r="I17" i="27"/>
  <c r="H17" i="27"/>
  <c r="G17" i="27"/>
  <c r="F17" i="27"/>
  <c r="M16" i="27"/>
  <c r="L16" i="27"/>
  <c r="K16" i="27"/>
  <c r="J16" i="27"/>
  <c r="I16" i="27"/>
  <c r="H16" i="27"/>
  <c r="G16" i="27"/>
  <c r="F16" i="27"/>
  <c r="M15" i="27"/>
  <c r="L15" i="27"/>
  <c r="K15" i="27"/>
  <c r="J15" i="27"/>
  <c r="I15" i="27"/>
  <c r="H15" i="27"/>
  <c r="G15" i="27"/>
  <c r="F15" i="27"/>
  <c r="M14" i="27"/>
  <c r="L14" i="27"/>
  <c r="K14" i="27"/>
  <c r="J14" i="27"/>
  <c r="I14" i="27"/>
  <c r="H14" i="27"/>
  <c r="G14" i="27"/>
  <c r="F14" i="27"/>
  <c r="M13" i="27"/>
  <c r="L13" i="27"/>
  <c r="K13" i="27"/>
  <c r="J13" i="27"/>
  <c r="I13" i="27"/>
  <c r="H13" i="27"/>
  <c r="G13" i="27"/>
  <c r="F13" i="27"/>
  <c r="M12" i="27"/>
  <c r="L12" i="27"/>
  <c r="K12" i="27"/>
  <c r="J12" i="27"/>
  <c r="I12" i="27"/>
  <c r="H12" i="27"/>
  <c r="G12" i="27"/>
  <c r="F12" i="27"/>
  <c r="M11" i="27"/>
  <c r="L11" i="27"/>
  <c r="K11" i="27"/>
  <c r="J11" i="27"/>
  <c r="I11" i="27"/>
  <c r="H11" i="27"/>
  <c r="G11" i="27"/>
  <c r="F11" i="27"/>
  <c r="M10" i="27"/>
  <c r="L10" i="27"/>
  <c r="K10" i="27"/>
  <c r="J10" i="27"/>
  <c r="I10" i="27"/>
  <c r="H10" i="27"/>
  <c r="G10" i="27"/>
  <c r="F10" i="27"/>
  <c r="M9" i="27"/>
  <c r="L9" i="27"/>
  <c r="K9" i="27"/>
  <c r="J9" i="27"/>
  <c r="I9" i="27"/>
  <c r="H9" i="27"/>
  <c r="G9" i="27"/>
  <c r="F9" i="27"/>
  <c r="M8" i="27"/>
  <c r="L8" i="27"/>
  <c r="K8" i="27"/>
  <c r="J8" i="27"/>
  <c r="I8" i="27"/>
  <c r="H8" i="27"/>
  <c r="G8" i="27"/>
  <c r="F8" i="27"/>
  <c r="M7" i="27"/>
  <c r="L7" i="27"/>
  <c r="K7" i="27"/>
  <c r="J7" i="27"/>
  <c r="I7" i="27"/>
  <c r="H7" i="27"/>
  <c r="G7" i="27"/>
  <c r="F7" i="27"/>
  <c r="M6" i="27"/>
  <c r="L6" i="27"/>
  <c r="K6" i="27"/>
  <c r="J6" i="27"/>
  <c r="I6" i="27"/>
  <c r="H6" i="27"/>
  <c r="G6" i="27"/>
  <c r="F6" i="27"/>
  <c r="M5" i="27"/>
  <c r="L5" i="27"/>
  <c r="K5" i="27"/>
  <c r="J5" i="27"/>
  <c r="I5" i="27"/>
  <c r="H5" i="27"/>
  <c r="G5" i="27"/>
  <c r="F5" i="27"/>
  <c r="M4" i="27"/>
  <c r="L4" i="27"/>
  <c r="K4" i="27"/>
  <c r="J4" i="27"/>
  <c r="I4" i="27"/>
  <c r="H4" i="27"/>
  <c r="G4" i="27"/>
  <c r="F4" i="27"/>
  <c r="M3" i="27"/>
  <c r="L3" i="27"/>
  <c r="K3" i="27"/>
  <c r="J3" i="27"/>
  <c r="I3" i="27"/>
  <c r="H3" i="27"/>
  <c r="G3" i="27"/>
  <c r="F3" i="27"/>
  <c r="M2" i="27"/>
  <c r="L2" i="27"/>
  <c r="K2" i="27"/>
  <c r="J2" i="27"/>
  <c r="I2" i="27"/>
  <c r="H2" i="27"/>
  <c r="G2" i="27"/>
  <c r="F2" i="27"/>
  <c r="M1" i="27"/>
  <c r="L1" i="27"/>
  <c r="K1" i="27"/>
  <c r="J1" i="27"/>
  <c r="V1" i="27" s="1"/>
  <c r="I1" i="27"/>
  <c r="U1" i="27" s="1"/>
  <c r="H1" i="27"/>
  <c r="T1" i="27" s="1"/>
  <c r="G1" i="27"/>
  <c r="S1" i="27" s="1"/>
  <c r="F1" i="27"/>
  <c r="R1" i="27" s="1"/>
  <c r="E1" i="27"/>
  <c r="Q1" i="27" s="1"/>
  <c r="D1" i="27"/>
  <c r="P1" i="27" s="1"/>
  <c r="J85" i="22"/>
  <c r="J97" i="22" s="1"/>
  <c r="I84" i="22"/>
  <c r="J83" i="22"/>
  <c r="J95" i="22" s="1"/>
  <c r="I82" i="22"/>
  <c r="I94" i="22" s="1"/>
  <c r="J81" i="22"/>
  <c r="J93" i="22" s="1"/>
  <c r="I80" i="22"/>
  <c r="S80" i="22" s="1"/>
  <c r="J79" i="22"/>
  <c r="J91" i="22" s="1"/>
  <c r="I78" i="22"/>
  <c r="I90" i="22" s="1"/>
  <c r="J77" i="22"/>
  <c r="J89" i="22" s="1"/>
  <c r="J75" i="22"/>
  <c r="I75" i="22"/>
  <c r="I87" i="22" s="1"/>
  <c r="C73" i="22"/>
  <c r="C73" i="17"/>
  <c r="C72" i="17"/>
  <c r="C71" i="17"/>
  <c r="C70" i="17"/>
  <c r="C69" i="17"/>
  <c r="C68" i="17"/>
  <c r="C67" i="17"/>
  <c r="C66" i="17"/>
  <c r="C65" i="17"/>
  <c r="C64" i="17"/>
  <c r="C63" i="17"/>
  <c r="C62" i="17"/>
  <c r="C72" i="22"/>
  <c r="C71" i="22"/>
  <c r="C70" i="22"/>
  <c r="C69" i="22"/>
  <c r="C68" i="22"/>
  <c r="C67" i="22"/>
  <c r="C66" i="22"/>
  <c r="C65" i="22"/>
  <c r="C64" i="22"/>
  <c r="C63" i="22"/>
  <c r="C62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K73" i="22"/>
  <c r="K85" i="22" s="1"/>
  <c r="K97" i="22" s="1"/>
  <c r="J73" i="22"/>
  <c r="I73" i="22"/>
  <c r="I85" i="22" s="1"/>
  <c r="H73" i="22"/>
  <c r="H85" i="22" s="1"/>
  <c r="H97" i="22" s="1"/>
  <c r="H109" i="22" s="1"/>
  <c r="H121" i="22" s="1"/>
  <c r="H133" i="22" s="1"/>
  <c r="H145" i="22" s="1"/>
  <c r="G73" i="22"/>
  <c r="F73" i="22"/>
  <c r="K72" i="22"/>
  <c r="J72" i="22"/>
  <c r="I72" i="22"/>
  <c r="H72" i="22"/>
  <c r="H84" i="22" s="1"/>
  <c r="H96" i="22" s="1"/>
  <c r="H108" i="22" s="1"/>
  <c r="H120" i="22" s="1"/>
  <c r="H132" i="22" s="1"/>
  <c r="H144" i="22" s="1"/>
  <c r="G72" i="22"/>
  <c r="F72" i="22"/>
  <c r="K71" i="22"/>
  <c r="K83" i="22" s="1"/>
  <c r="K95" i="22" s="1"/>
  <c r="J71" i="22"/>
  <c r="I71" i="22"/>
  <c r="S71" i="22" s="1"/>
  <c r="H71" i="22"/>
  <c r="H83" i="22" s="1"/>
  <c r="H95" i="22" s="1"/>
  <c r="H107" i="22" s="1"/>
  <c r="H119" i="22" s="1"/>
  <c r="H131" i="22" s="1"/>
  <c r="H143" i="22" s="1"/>
  <c r="G71" i="22"/>
  <c r="F71" i="22"/>
  <c r="K70" i="22"/>
  <c r="K82" i="22" s="1"/>
  <c r="K94" i="22" s="1"/>
  <c r="J70" i="22"/>
  <c r="I70" i="22"/>
  <c r="H70" i="22"/>
  <c r="H82" i="22" s="1"/>
  <c r="H94" i="22" s="1"/>
  <c r="H106" i="22" s="1"/>
  <c r="H118" i="22" s="1"/>
  <c r="H130" i="22" s="1"/>
  <c r="H142" i="22" s="1"/>
  <c r="G70" i="22"/>
  <c r="F70" i="22"/>
  <c r="K69" i="22"/>
  <c r="K81" i="22" s="1"/>
  <c r="K93" i="22" s="1"/>
  <c r="J69" i="22"/>
  <c r="I69" i="22"/>
  <c r="I81" i="22" s="1"/>
  <c r="I93" i="22" s="1"/>
  <c r="H69" i="22"/>
  <c r="H81" i="22" s="1"/>
  <c r="H93" i="22" s="1"/>
  <c r="H105" i="22" s="1"/>
  <c r="H117" i="22" s="1"/>
  <c r="H129" i="22" s="1"/>
  <c r="H141" i="22" s="1"/>
  <c r="G69" i="22"/>
  <c r="F69" i="22"/>
  <c r="K68" i="22"/>
  <c r="J68" i="22"/>
  <c r="I68" i="22"/>
  <c r="H68" i="22"/>
  <c r="H80" i="22" s="1"/>
  <c r="H92" i="22" s="1"/>
  <c r="H104" i="22" s="1"/>
  <c r="H116" i="22" s="1"/>
  <c r="H128" i="22" s="1"/>
  <c r="H140" i="22" s="1"/>
  <c r="G68" i="22"/>
  <c r="F68" i="22"/>
  <c r="K67" i="22"/>
  <c r="K79" i="22" s="1"/>
  <c r="K91" i="22" s="1"/>
  <c r="J67" i="22"/>
  <c r="I67" i="22"/>
  <c r="S67" i="22" s="1"/>
  <c r="H67" i="22"/>
  <c r="H79" i="22" s="1"/>
  <c r="H91" i="22" s="1"/>
  <c r="H103" i="22" s="1"/>
  <c r="H115" i="22" s="1"/>
  <c r="H127" i="22" s="1"/>
  <c r="H139" i="22" s="1"/>
  <c r="G67" i="22"/>
  <c r="F67" i="22"/>
  <c r="K66" i="22"/>
  <c r="K78" i="22" s="1"/>
  <c r="K90" i="22" s="1"/>
  <c r="J66" i="22"/>
  <c r="J78" i="22" s="1"/>
  <c r="I66" i="22"/>
  <c r="H66" i="22"/>
  <c r="H78" i="22" s="1"/>
  <c r="H90" i="22" s="1"/>
  <c r="H102" i="22" s="1"/>
  <c r="H114" i="22" s="1"/>
  <c r="H126" i="22" s="1"/>
  <c r="H138" i="22" s="1"/>
  <c r="G66" i="22"/>
  <c r="F66" i="22"/>
  <c r="K65" i="22"/>
  <c r="K77" i="22" s="1"/>
  <c r="K89" i="22" s="1"/>
  <c r="J65" i="22"/>
  <c r="I65" i="22"/>
  <c r="I77" i="22" s="1"/>
  <c r="I89" i="22" s="1"/>
  <c r="H65" i="22"/>
  <c r="H77" i="22" s="1"/>
  <c r="H89" i="22" s="1"/>
  <c r="H101" i="22" s="1"/>
  <c r="H113" i="22" s="1"/>
  <c r="H125" i="22" s="1"/>
  <c r="H137" i="22" s="1"/>
  <c r="G65" i="22"/>
  <c r="F65" i="22"/>
  <c r="K64" i="22"/>
  <c r="U64" i="22" s="1"/>
  <c r="J64" i="22"/>
  <c r="T64" i="22" s="1"/>
  <c r="I64" i="22"/>
  <c r="I76" i="22" s="1"/>
  <c r="S76" i="22" s="1"/>
  <c r="H64" i="22"/>
  <c r="H76" i="22" s="1"/>
  <c r="H88" i="22" s="1"/>
  <c r="H100" i="22" s="1"/>
  <c r="H112" i="22" s="1"/>
  <c r="H124" i="22" s="1"/>
  <c r="H136" i="22" s="1"/>
  <c r="G64" i="22"/>
  <c r="F64" i="22"/>
  <c r="K63" i="22"/>
  <c r="K75" i="22" s="1"/>
  <c r="J63" i="22"/>
  <c r="I63" i="22"/>
  <c r="S63" i="22" s="1"/>
  <c r="H63" i="22"/>
  <c r="H75" i="22" s="1"/>
  <c r="H87" i="22" s="1"/>
  <c r="H99" i="22" s="1"/>
  <c r="H111" i="22" s="1"/>
  <c r="H123" i="22" s="1"/>
  <c r="H135" i="22" s="1"/>
  <c r="G63" i="22"/>
  <c r="F63" i="22"/>
  <c r="K62" i="22"/>
  <c r="K74" i="22" s="1"/>
  <c r="K86" i="22" s="1"/>
  <c r="J62" i="22"/>
  <c r="T62" i="22" s="1"/>
  <c r="I62" i="22"/>
  <c r="I74" i="22" s="1"/>
  <c r="I86" i="22" s="1"/>
  <c r="H62" i="22"/>
  <c r="H74" i="22" s="1"/>
  <c r="H86" i="22" s="1"/>
  <c r="H98" i="22" s="1"/>
  <c r="H110" i="22" s="1"/>
  <c r="H122" i="22" s="1"/>
  <c r="H134" i="22" s="1"/>
  <c r="G62" i="22"/>
  <c r="F62" i="22"/>
  <c r="K61" i="22"/>
  <c r="J61" i="22"/>
  <c r="I61" i="22"/>
  <c r="H61" i="22"/>
  <c r="G61" i="22"/>
  <c r="F61" i="22"/>
  <c r="K60" i="22"/>
  <c r="U60" i="22" s="1"/>
  <c r="J60" i="22"/>
  <c r="T60" i="22" s="1"/>
  <c r="I60" i="22"/>
  <c r="H60" i="22"/>
  <c r="G60" i="22"/>
  <c r="F60" i="22"/>
  <c r="K59" i="22"/>
  <c r="J59" i="22"/>
  <c r="I59" i="22"/>
  <c r="S59" i="22" s="1"/>
  <c r="H59" i="22"/>
  <c r="G59" i="22"/>
  <c r="F59" i="22"/>
  <c r="K58" i="22"/>
  <c r="J58" i="22"/>
  <c r="T58" i="22" s="1"/>
  <c r="I58" i="22"/>
  <c r="H58" i="22"/>
  <c r="G58" i="22"/>
  <c r="F58" i="22"/>
  <c r="K57" i="22"/>
  <c r="U57" i="22" s="1"/>
  <c r="J57" i="22"/>
  <c r="I57" i="22"/>
  <c r="H57" i="22"/>
  <c r="G57" i="22"/>
  <c r="F57" i="22"/>
  <c r="K56" i="22"/>
  <c r="U56" i="22" s="1"/>
  <c r="J56" i="22"/>
  <c r="I56" i="22"/>
  <c r="H56" i="22"/>
  <c r="G56" i="22"/>
  <c r="F56" i="22"/>
  <c r="K55" i="22"/>
  <c r="J55" i="22"/>
  <c r="I55" i="22"/>
  <c r="S55" i="22" s="1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U52" i="22" s="1"/>
  <c r="J52" i="22"/>
  <c r="I52" i="22"/>
  <c r="H52" i="22"/>
  <c r="G52" i="22"/>
  <c r="F52" i="22"/>
  <c r="K51" i="22"/>
  <c r="J51" i="22"/>
  <c r="I51" i="22"/>
  <c r="S51" i="22" s="1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U48" i="22" s="1"/>
  <c r="J48" i="22"/>
  <c r="I48" i="22"/>
  <c r="H48" i="22"/>
  <c r="G48" i="22"/>
  <c r="F48" i="22"/>
  <c r="K47" i="22"/>
  <c r="J47" i="22"/>
  <c r="I47" i="22"/>
  <c r="S47" i="22" s="1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U44" i="22" s="1"/>
  <c r="J44" i="22"/>
  <c r="I44" i="22"/>
  <c r="H44" i="22"/>
  <c r="G44" i="22"/>
  <c r="F44" i="22"/>
  <c r="K43" i="22"/>
  <c r="J43" i="22"/>
  <c r="I43" i="22"/>
  <c r="S43" i="22" s="1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U40" i="22" s="1"/>
  <c r="J40" i="22"/>
  <c r="I40" i="22"/>
  <c r="H40" i="22"/>
  <c r="G40" i="22"/>
  <c r="F40" i="22"/>
  <c r="K39" i="22"/>
  <c r="J39" i="22"/>
  <c r="I39" i="22"/>
  <c r="S39" i="22" s="1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U36" i="22" s="1"/>
  <c r="J36" i="22"/>
  <c r="I36" i="22"/>
  <c r="H36" i="22"/>
  <c r="G36" i="22"/>
  <c r="F36" i="22"/>
  <c r="K35" i="22"/>
  <c r="J35" i="22"/>
  <c r="I35" i="22"/>
  <c r="S35" i="22" s="1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U32" i="22" s="1"/>
  <c r="J32" i="22"/>
  <c r="I32" i="22"/>
  <c r="H32" i="22"/>
  <c r="G32" i="22"/>
  <c r="F32" i="22"/>
  <c r="K31" i="22"/>
  <c r="J31" i="22"/>
  <c r="I31" i="22"/>
  <c r="S31" i="22" s="1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U28" i="22" s="1"/>
  <c r="J28" i="22"/>
  <c r="I28" i="22"/>
  <c r="H28" i="22"/>
  <c r="G28" i="22"/>
  <c r="F28" i="22"/>
  <c r="K27" i="22"/>
  <c r="J27" i="22"/>
  <c r="I27" i="22"/>
  <c r="S27" i="22" s="1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U24" i="22" s="1"/>
  <c r="J24" i="22"/>
  <c r="I24" i="22"/>
  <c r="H24" i="22"/>
  <c r="G24" i="22"/>
  <c r="F24" i="22"/>
  <c r="K23" i="22"/>
  <c r="J23" i="22"/>
  <c r="I23" i="22"/>
  <c r="S23" i="22" s="1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U20" i="22" s="1"/>
  <c r="J20" i="22"/>
  <c r="I20" i="22"/>
  <c r="H20" i="22"/>
  <c r="G20" i="22"/>
  <c r="F20" i="22"/>
  <c r="K19" i="22"/>
  <c r="J19" i="22"/>
  <c r="I19" i="22"/>
  <c r="S19" i="22" s="1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U16" i="22" s="1"/>
  <c r="J16" i="22"/>
  <c r="I16" i="22"/>
  <c r="H16" i="22"/>
  <c r="G16" i="22"/>
  <c r="F16" i="22"/>
  <c r="K15" i="22"/>
  <c r="J15" i="22"/>
  <c r="I15" i="22"/>
  <c r="S15" i="22" s="1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U12" i="22" s="1"/>
  <c r="J12" i="22"/>
  <c r="I12" i="22"/>
  <c r="H12" i="22"/>
  <c r="G12" i="22"/>
  <c r="F12" i="22"/>
  <c r="K11" i="22"/>
  <c r="J11" i="22"/>
  <c r="I11" i="22"/>
  <c r="S11" i="22" s="1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U8" i="22" s="1"/>
  <c r="J8" i="22"/>
  <c r="I8" i="22"/>
  <c r="H8" i="22"/>
  <c r="G8" i="22"/>
  <c r="F8" i="22"/>
  <c r="K7" i="22"/>
  <c r="J7" i="22"/>
  <c r="I7" i="22"/>
  <c r="S7" i="22" s="1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F5" i="22"/>
  <c r="K4" i="22"/>
  <c r="U4" i="22" s="1"/>
  <c r="J4" i="22"/>
  <c r="I4" i="22"/>
  <c r="H4" i="22"/>
  <c r="G4" i="22"/>
  <c r="F4" i="22"/>
  <c r="K3" i="22"/>
  <c r="J3" i="22"/>
  <c r="I3" i="22"/>
  <c r="S3" i="22" s="1"/>
  <c r="H3" i="22"/>
  <c r="G3" i="22"/>
  <c r="F3" i="22"/>
  <c r="K2" i="22"/>
  <c r="J2" i="22"/>
  <c r="I2" i="22"/>
  <c r="H2" i="22"/>
  <c r="G2" i="22"/>
  <c r="F2" i="22"/>
  <c r="U85" i="22"/>
  <c r="T85" i="22"/>
  <c r="U83" i="22"/>
  <c r="T83" i="22"/>
  <c r="U82" i="22"/>
  <c r="T81" i="22"/>
  <c r="S81" i="22"/>
  <c r="T79" i="22"/>
  <c r="U78" i="22"/>
  <c r="T77" i="22"/>
  <c r="S77" i="22"/>
  <c r="U74" i="22"/>
  <c r="U73" i="22"/>
  <c r="T73" i="22"/>
  <c r="S73" i="22"/>
  <c r="S72" i="22"/>
  <c r="U71" i="22"/>
  <c r="T71" i="22"/>
  <c r="U70" i="22"/>
  <c r="S70" i="22"/>
  <c r="U69" i="22"/>
  <c r="T69" i="22"/>
  <c r="S69" i="22"/>
  <c r="S68" i="22"/>
  <c r="U67" i="22"/>
  <c r="T67" i="22"/>
  <c r="U66" i="22"/>
  <c r="S66" i="22"/>
  <c r="U65" i="22"/>
  <c r="T65" i="22"/>
  <c r="S65" i="22"/>
  <c r="S64" i="22"/>
  <c r="U63" i="22"/>
  <c r="T63" i="22"/>
  <c r="U62" i="22"/>
  <c r="S62" i="22"/>
  <c r="U61" i="22"/>
  <c r="T61" i="22"/>
  <c r="S61" i="22"/>
  <c r="S60" i="22"/>
  <c r="U59" i="22"/>
  <c r="T59" i="22"/>
  <c r="U58" i="22"/>
  <c r="S58" i="22"/>
  <c r="T57" i="22"/>
  <c r="S57" i="22"/>
  <c r="T56" i="22"/>
  <c r="S56" i="22"/>
  <c r="U55" i="22"/>
  <c r="T55" i="22"/>
  <c r="U54" i="22"/>
  <c r="T54" i="22"/>
  <c r="S54" i="22"/>
  <c r="U53" i="22"/>
  <c r="T53" i="22"/>
  <c r="S53" i="22"/>
  <c r="T52" i="22"/>
  <c r="S52" i="22"/>
  <c r="U51" i="22"/>
  <c r="T51" i="22"/>
  <c r="U50" i="22"/>
  <c r="T50" i="22"/>
  <c r="S50" i="22"/>
  <c r="U49" i="22"/>
  <c r="T49" i="22"/>
  <c r="S49" i="22"/>
  <c r="T48" i="22"/>
  <c r="S48" i="22"/>
  <c r="U47" i="22"/>
  <c r="T47" i="22"/>
  <c r="U46" i="22"/>
  <c r="T46" i="22"/>
  <c r="S46" i="22"/>
  <c r="U45" i="22"/>
  <c r="T45" i="22"/>
  <c r="S45" i="22"/>
  <c r="T44" i="22"/>
  <c r="S44" i="22"/>
  <c r="U43" i="22"/>
  <c r="T43" i="22"/>
  <c r="U42" i="22"/>
  <c r="T42" i="22"/>
  <c r="S42" i="22"/>
  <c r="U41" i="22"/>
  <c r="T41" i="22"/>
  <c r="S41" i="22"/>
  <c r="T40" i="22"/>
  <c r="S40" i="22"/>
  <c r="U39" i="22"/>
  <c r="T39" i="22"/>
  <c r="U38" i="22"/>
  <c r="T38" i="22"/>
  <c r="S38" i="22"/>
  <c r="U37" i="22"/>
  <c r="T37" i="22"/>
  <c r="S37" i="22"/>
  <c r="T36" i="22"/>
  <c r="S36" i="22"/>
  <c r="U35" i="22"/>
  <c r="T35" i="22"/>
  <c r="U34" i="22"/>
  <c r="T34" i="22"/>
  <c r="S34" i="22"/>
  <c r="U33" i="22"/>
  <c r="T33" i="22"/>
  <c r="S33" i="22"/>
  <c r="T32" i="22"/>
  <c r="S32" i="22"/>
  <c r="U31" i="22"/>
  <c r="T31" i="22"/>
  <c r="U30" i="22"/>
  <c r="T30" i="22"/>
  <c r="S30" i="22"/>
  <c r="U29" i="22"/>
  <c r="T29" i="22"/>
  <c r="S29" i="22"/>
  <c r="T28" i="22"/>
  <c r="S28" i="22"/>
  <c r="U27" i="22"/>
  <c r="T27" i="22"/>
  <c r="U26" i="22"/>
  <c r="T26" i="22"/>
  <c r="S26" i="22"/>
  <c r="U25" i="22"/>
  <c r="T25" i="22"/>
  <c r="S25" i="22"/>
  <c r="T24" i="22"/>
  <c r="S24" i="22"/>
  <c r="U23" i="22"/>
  <c r="T23" i="22"/>
  <c r="U22" i="22"/>
  <c r="T22" i="22"/>
  <c r="S22" i="22"/>
  <c r="U21" i="22"/>
  <c r="T21" i="22"/>
  <c r="S21" i="22"/>
  <c r="T20" i="22"/>
  <c r="S20" i="22"/>
  <c r="U19" i="22"/>
  <c r="T19" i="22"/>
  <c r="U18" i="22"/>
  <c r="T18" i="22"/>
  <c r="S18" i="22"/>
  <c r="U17" i="22"/>
  <c r="T17" i="22"/>
  <c r="S17" i="22"/>
  <c r="T16" i="22"/>
  <c r="S16" i="22"/>
  <c r="U15" i="22"/>
  <c r="T15" i="22"/>
  <c r="U14" i="22"/>
  <c r="T14" i="22"/>
  <c r="S14" i="22"/>
  <c r="U13" i="22"/>
  <c r="T13" i="22"/>
  <c r="S13" i="22"/>
  <c r="T12" i="22"/>
  <c r="S12" i="22"/>
  <c r="U11" i="22"/>
  <c r="T11" i="22"/>
  <c r="U10" i="22"/>
  <c r="T10" i="22"/>
  <c r="S10" i="22"/>
  <c r="U9" i="22"/>
  <c r="T9" i="22"/>
  <c r="S9" i="22"/>
  <c r="T8" i="22"/>
  <c r="S8" i="22"/>
  <c r="U7" i="22"/>
  <c r="T7" i="22"/>
  <c r="U6" i="22"/>
  <c r="T6" i="22"/>
  <c r="S6" i="22"/>
  <c r="U5" i="22"/>
  <c r="T5" i="22"/>
  <c r="S5" i="22"/>
  <c r="T4" i="22"/>
  <c r="S4" i="22"/>
  <c r="U3" i="22"/>
  <c r="T3" i="22"/>
  <c r="U2" i="22"/>
  <c r="T2" i="22"/>
  <c r="S2" i="22"/>
  <c r="U1" i="22"/>
  <c r="T1" i="22"/>
  <c r="S1" i="22"/>
  <c r="R1" i="22"/>
  <c r="Q1" i="22"/>
  <c r="P1" i="22"/>
  <c r="O1" i="22"/>
  <c r="N1" i="22"/>
  <c r="K1" i="22"/>
  <c r="J1" i="22"/>
  <c r="I1" i="22"/>
  <c r="H1" i="22"/>
  <c r="G1" i="22"/>
  <c r="F1" i="22"/>
  <c r="E1" i="22"/>
  <c r="D1" i="22"/>
  <c r="G73" i="17"/>
  <c r="M73" i="17" s="1"/>
  <c r="G72" i="17"/>
  <c r="G71" i="17"/>
  <c r="G70" i="17"/>
  <c r="G69" i="17"/>
  <c r="M69" i="17" s="1"/>
  <c r="G68" i="17"/>
  <c r="M68" i="17" s="1"/>
  <c r="G67" i="17"/>
  <c r="M67" i="17" s="1"/>
  <c r="G66" i="17"/>
  <c r="G65" i="17"/>
  <c r="M65" i="17" s="1"/>
  <c r="G64" i="17"/>
  <c r="G63" i="17"/>
  <c r="G62" i="17"/>
  <c r="G61" i="17"/>
  <c r="M61" i="17" s="1"/>
  <c r="G60" i="17"/>
  <c r="M60" i="17" s="1"/>
  <c r="G59" i="17"/>
  <c r="M59" i="17" s="1"/>
  <c r="G58" i="17"/>
  <c r="G57" i="17"/>
  <c r="M57" i="17" s="1"/>
  <c r="G56" i="17"/>
  <c r="G55" i="17"/>
  <c r="G54" i="17"/>
  <c r="G53" i="17"/>
  <c r="G52" i="17"/>
  <c r="M52" i="17" s="1"/>
  <c r="G51" i="17"/>
  <c r="M51" i="17" s="1"/>
  <c r="G50" i="17"/>
  <c r="G49" i="17"/>
  <c r="G48" i="17"/>
  <c r="G47" i="17"/>
  <c r="G46" i="17"/>
  <c r="G45" i="17"/>
  <c r="G44" i="17"/>
  <c r="M44" i="17" s="1"/>
  <c r="G43" i="17"/>
  <c r="M43" i="17" s="1"/>
  <c r="G42" i="17"/>
  <c r="G41" i="17"/>
  <c r="G40" i="17"/>
  <c r="G39" i="17"/>
  <c r="G38" i="17"/>
  <c r="G37" i="17"/>
  <c r="G36" i="17"/>
  <c r="M36" i="17" s="1"/>
  <c r="G35" i="17"/>
  <c r="M35" i="17" s="1"/>
  <c r="G34" i="17"/>
  <c r="G33" i="17"/>
  <c r="G32" i="17"/>
  <c r="G31" i="17"/>
  <c r="G30" i="17"/>
  <c r="G29" i="17"/>
  <c r="G28" i="17"/>
  <c r="M28" i="17" s="1"/>
  <c r="G27" i="17"/>
  <c r="M27" i="17" s="1"/>
  <c r="G26" i="17"/>
  <c r="G25" i="17"/>
  <c r="G24" i="17"/>
  <c r="G23" i="17"/>
  <c r="G22" i="17"/>
  <c r="G21" i="17"/>
  <c r="G20" i="17"/>
  <c r="M20" i="17" s="1"/>
  <c r="G19" i="17"/>
  <c r="M19" i="17" s="1"/>
  <c r="G18" i="17"/>
  <c r="G17" i="17"/>
  <c r="G16" i="17"/>
  <c r="G15" i="17"/>
  <c r="G14" i="17"/>
  <c r="G13" i="17"/>
  <c r="G12" i="17"/>
  <c r="M12" i="17" s="1"/>
  <c r="G11" i="17"/>
  <c r="M11" i="17" s="1"/>
  <c r="G10" i="17"/>
  <c r="G9" i="17"/>
  <c r="G8" i="17"/>
  <c r="G7" i="17"/>
  <c r="G6" i="17"/>
  <c r="G5" i="17"/>
  <c r="G4" i="17"/>
  <c r="M4" i="17" s="1"/>
  <c r="G3" i="17"/>
  <c r="M3" i="17" s="1"/>
  <c r="M72" i="17"/>
  <c r="M71" i="17"/>
  <c r="M70" i="17"/>
  <c r="M66" i="17"/>
  <c r="M64" i="17"/>
  <c r="M63" i="17"/>
  <c r="M62" i="17"/>
  <c r="M58" i="17"/>
  <c r="M56" i="17"/>
  <c r="M55" i="17"/>
  <c r="M54" i="17"/>
  <c r="M53" i="17"/>
  <c r="M50" i="17"/>
  <c r="M49" i="17"/>
  <c r="M48" i="17"/>
  <c r="M47" i="17"/>
  <c r="M46" i="17"/>
  <c r="M45" i="17"/>
  <c r="M42" i="17"/>
  <c r="M41" i="17"/>
  <c r="M40" i="17"/>
  <c r="M39" i="17"/>
  <c r="M38" i="17"/>
  <c r="M37" i="17"/>
  <c r="M34" i="17"/>
  <c r="M33" i="17"/>
  <c r="M32" i="17"/>
  <c r="M31" i="17"/>
  <c r="M30" i="17"/>
  <c r="M29" i="17"/>
  <c r="M26" i="17"/>
  <c r="M25" i="17"/>
  <c r="M24" i="17"/>
  <c r="M23" i="17"/>
  <c r="M22" i="17"/>
  <c r="M21" i="17"/>
  <c r="M18" i="17"/>
  <c r="M17" i="17"/>
  <c r="M16" i="17"/>
  <c r="M15" i="17"/>
  <c r="M14" i="17"/>
  <c r="M13" i="17"/>
  <c r="M10" i="17"/>
  <c r="M9" i="17"/>
  <c r="M8" i="17"/>
  <c r="M7" i="17"/>
  <c r="M6" i="17"/>
  <c r="M5" i="17"/>
  <c r="G2" i="17"/>
  <c r="M1" i="17"/>
  <c r="L1" i="17"/>
  <c r="K1" i="17"/>
  <c r="J1" i="17"/>
  <c r="M2" i="17"/>
  <c r="G1" i="17"/>
  <c r="F1" i="17"/>
  <c r="N73" i="26"/>
  <c r="K73" i="26"/>
  <c r="V73" i="26" s="1"/>
  <c r="J73" i="26"/>
  <c r="U73" i="26" s="1"/>
  <c r="I73" i="26"/>
  <c r="T73" i="26" s="1"/>
  <c r="H73" i="26"/>
  <c r="S73" i="26" s="1"/>
  <c r="G73" i="26"/>
  <c r="R73" i="26" s="1"/>
  <c r="F73" i="26"/>
  <c r="Q73" i="26" s="1"/>
  <c r="E73" i="26"/>
  <c r="P73" i="26" s="1"/>
  <c r="D73" i="26"/>
  <c r="O73" i="26" s="1"/>
  <c r="C73" i="26"/>
  <c r="A73" i="26"/>
  <c r="B73" i="26" s="1"/>
  <c r="N72" i="26"/>
  <c r="K72" i="26"/>
  <c r="V72" i="26" s="1"/>
  <c r="J72" i="26"/>
  <c r="U72" i="26" s="1"/>
  <c r="I72" i="26"/>
  <c r="T72" i="26" s="1"/>
  <c r="H72" i="26"/>
  <c r="S72" i="26" s="1"/>
  <c r="G72" i="26"/>
  <c r="R72" i="26" s="1"/>
  <c r="F72" i="26"/>
  <c r="Q72" i="26" s="1"/>
  <c r="E72" i="26"/>
  <c r="P72" i="26" s="1"/>
  <c r="D72" i="26"/>
  <c r="O72" i="26" s="1"/>
  <c r="C72" i="26"/>
  <c r="A72" i="26"/>
  <c r="B72" i="26" s="1"/>
  <c r="N71" i="26"/>
  <c r="K71" i="26"/>
  <c r="V71" i="26" s="1"/>
  <c r="J71" i="26"/>
  <c r="U71" i="26" s="1"/>
  <c r="I71" i="26"/>
  <c r="T71" i="26" s="1"/>
  <c r="H71" i="26"/>
  <c r="S71" i="26" s="1"/>
  <c r="G71" i="26"/>
  <c r="R71" i="26" s="1"/>
  <c r="F71" i="26"/>
  <c r="Q71" i="26" s="1"/>
  <c r="E71" i="26"/>
  <c r="P71" i="26" s="1"/>
  <c r="D71" i="26"/>
  <c r="O71" i="26" s="1"/>
  <c r="C71" i="26"/>
  <c r="A71" i="26"/>
  <c r="B71" i="26" s="1"/>
  <c r="N70" i="26"/>
  <c r="K70" i="26"/>
  <c r="V70" i="26" s="1"/>
  <c r="J70" i="26"/>
  <c r="U70" i="26" s="1"/>
  <c r="I70" i="26"/>
  <c r="T70" i="26" s="1"/>
  <c r="H70" i="26"/>
  <c r="S70" i="26" s="1"/>
  <c r="G70" i="26"/>
  <c r="R70" i="26" s="1"/>
  <c r="F70" i="26"/>
  <c r="Q70" i="26" s="1"/>
  <c r="E70" i="26"/>
  <c r="P70" i="26" s="1"/>
  <c r="D70" i="26"/>
  <c r="O70" i="26" s="1"/>
  <c r="C70" i="26"/>
  <c r="A70" i="26"/>
  <c r="B70" i="26" s="1"/>
  <c r="T69" i="26"/>
  <c r="N69" i="26"/>
  <c r="K69" i="26"/>
  <c r="V69" i="26" s="1"/>
  <c r="J69" i="26"/>
  <c r="U69" i="26" s="1"/>
  <c r="I69" i="26"/>
  <c r="H69" i="26"/>
  <c r="S69" i="26" s="1"/>
  <c r="G69" i="26"/>
  <c r="R69" i="26" s="1"/>
  <c r="F69" i="26"/>
  <c r="Q69" i="26" s="1"/>
  <c r="E69" i="26"/>
  <c r="P69" i="26" s="1"/>
  <c r="D69" i="26"/>
  <c r="O69" i="26" s="1"/>
  <c r="C69" i="26"/>
  <c r="B69" i="26"/>
  <c r="A69" i="26"/>
  <c r="W68" i="26"/>
  <c r="O68" i="26"/>
  <c r="N68" i="26"/>
  <c r="L68" i="26"/>
  <c r="K68" i="26"/>
  <c r="V68" i="26" s="1"/>
  <c r="J68" i="26"/>
  <c r="U68" i="26" s="1"/>
  <c r="I68" i="26"/>
  <c r="T68" i="26" s="1"/>
  <c r="H68" i="26"/>
  <c r="S68" i="26" s="1"/>
  <c r="G68" i="26"/>
  <c r="R68" i="26" s="1"/>
  <c r="F68" i="26"/>
  <c r="Q68" i="26" s="1"/>
  <c r="E68" i="26"/>
  <c r="P68" i="26" s="1"/>
  <c r="D68" i="26"/>
  <c r="C68" i="26"/>
  <c r="B68" i="26"/>
  <c r="A68" i="26"/>
  <c r="N67" i="26"/>
  <c r="L67" i="26"/>
  <c r="W67" i="26" s="1"/>
  <c r="K67" i="26"/>
  <c r="V67" i="26" s="1"/>
  <c r="J67" i="26"/>
  <c r="U67" i="26" s="1"/>
  <c r="I67" i="26"/>
  <c r="T67" i="26" s="1"/>
  <c r="H67" i="26"/>
  <c r="S67" i="26" s="1"/>
  <c r="G67" i="26"/>
  <c r="R67" i="26" s="1"/>
  <c r="F67" i="26"/>
  <c r="Q67" i="26" s="1"/>
  <c r="E67" i="26"/>
  <c r="P67" i="26" s="1"/>
  <c r="D67" i="26"/>
  <c r="O67" i="26" s="1"/>
  <c r="C67" i="26"/>
  <c r="B67" i="26"/>
  <c r="A67" i="26"/>
  <c r="W66" i="26"/>
  <c r="S66" i="26"/>
  <c r="N66" i="26"/>
  <c r="L66" i="26"/>
  <c r="K66" i="26"/>
  <c r="V66" i="26" s="1"/>
  <c r="J66" i="26"/>
  <c r="U66" i="26" s="1"/>
  <c r="I66" i="26"/>
  <c r="T66" i="26" s="1"/>
  <c r="H66" i="26"/>
  <c r="G66" i="26"/>
  <c r="R66" i="26" s="1"/>
  <c r="F66" i="26"/>
  <c r="Q66" i="26" s="1"/>
  <c r="E66" i="26"/>
  <c r="P66" i="26" s="1"/>
  <c r="D66" i="26"/>
  <c r="O66" i="26" s="1"/>
  <c r="C66" i="26"/>
  <c r="A66" i="26"/>
  <c r="B66" i="26" s="1"/>
  <c r="T65" i="26"/>
  <c r="O65" i="26"/>
  <c r="N65" i="26"/>
  <c r="L65" i="26"/>
  <c r="W65" i="26" s="1"/>
  <c r="K65" i="26"/>
  <c r="V65" i="26" s="1"/>
  <c r="J65" i="26"/>
  <c r="U65" i="26" s="1"/>
  <c r="I65" i="26"/>
  <c r="H65" i="26"/>
  <c r="S65" i="26" s="1"/>
  <c r="G65" i="26"/>
  <c r="R65" i="26" s="1"/>
  <c r="F65" i="26"/>
  <c r="Q65" i="26" s="1"/>
  <c r="E65" i="26"/>
  <c r="P65" i="26" s="1"/>
  <c r="D65" i="26"/>
  <c r="C65" i="26"/>
  <c r="B65" i="26"/>
  <c r="A65" i="26"/>
  <c r="W64" i="26"/>
  <c r="S64" i="26"/>
  <c r="N64" i="26"/>
  <c r="L64" i="26"/>
  <c r="K64" i="26"/>
  <c r="V64" i="26" s="1"/>
  <c r="J64" i="26"/>
  <c r="U64" i="26" s="1"/>
  <c r="I64" i="26"/>
  <c r="T64" i="26" s="1"/>
  <c r="H64" i="26"/>
  <c r="G64" i="26"/>
  <c r="R64" i="26" s="1"/>
  <c r="F64" i="26"/>
  <c r="Q64" i="26" s="1"/>
  <c r="E64" i="26"/>
  <c r="P64" i="26" s="1"/>
  <c r="D64" i="26"/>
  <c r="O64" i="26" s="1"/>
  <c r="C64" i="26"/>
  <c r="A64" i="26"/>
  <c r="B64" i="26" s="1"/>
  <c r="T63" i="26"/>
  <c r="N63" i="26"/>
  <c r="L63" i="26"/>
  <c r="W63" i="26" s="1"/>
  <c r="K63" i="26"/>
  <c r="V63" i="26" s="1"/>
  <c r="J63" i="26"/>
  <c r="U63" i="26" s="1"/>
  <c r="I63" i="26"/>
  <c r="H63" i="26"/>
  <c r="S63" i="26" s="1"/>
  <c r="G63" i="26"/>
  <c r="R63" i="26" s="1"/>
  <c r="F63" i="26"/>
  <c r="Q63" i="26" s="1"/>
  <c r="E63" i="26"/>
  <c r="P63" i="26" s="1"/>
  <c r="D63" i="26"/>
  <c r="O63" i="26" s="1"/>
  <c r="C63" i="26"/>
  <c r="B63" i="26"/>
  <c r="A63" i="26"/>
  <c r="T62" i="26"/>
  <c r="N62" i="26"/>
  <c r="L62" i="26"/>
  <c r="W62" i="26" s="1"/>
  <c r="K62" i="26"/>
  <c r="V62" i="26" s="1"/>
  <c r="J62" i="26"/>
  <c r="U62" i="26" s="1"/>
  <c r="I62" i="26"/>
  <c r="H62" i="26"/>
  <c r="S62" i="26" s="1"/>
  <c r="G62" i="26"/>
  <c r="R62" i="26" s="1"/>
  <c r="F62" i="26"/>
  <c r="Q62" i="26" s="1"/>
  <c r="E62" i="26"/>
  <c r="P62" i="26" s="1"/>
  <c r="D62" i="26"/>
  <c r="O62" i="26" s="1"/>
  <c r="C62" i="26"/>
  <c r="A62" i="26"/>
  <c r="B62" i="26" s="1"/>
  <c r="I61" i="26"/>
  <c r="I60" i="26"/>
  <c r="T60" i="26" s="1"/>
  <c r="I59" i="26"/>
  <c r="I58" i="26"/>
  <c r="I57" i="26"/>
  <c r="I56" i="26"/>
  <c r="I55" i="26"/>
  <c r="T55" i="26" s="1"/>
  <c r="I54" i="26"/>
  <c r="I53" i="26"/>
  <c r="I52" i="26"/>
  <c r="I51" i="26"/>
  <c r="I50" i="26"/>
  <c r="I49" i="26"/>
  <c r="I48" i="26"/>
  <c r="T48" i="26" s="1"/>
  <c r="I47" i="26"/>
  <c r="T47" i="26" s="1"/>
  <c r="I46" i="26"/>
  <c r="I45" i="26"/>
  <c r="I44" i="26"/>
  <c r="I43" i="26"/>
  <c r="I42" i="26"/>
  <c r="I41" i="26"/>
  <c r="I40" i="26"/>
  <c r="I39" i="26"/>
  <c r="T39" i="26" s="1"/>
  <c r="I38" i="26"/>
  <c r="I37" i="26"/>
  <c r="I36" i="26"/>
  <c r="I35" i="26"/>
  <c r="I34" i="26"/>
  <c r="I33" i="26"/>
  <c r="I32" i="26"/>
  <c r="I31" i="26"/>
  <c r="T31" i="26" s="1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T15" i="26" s="1"/>
  <c r="I14" i="26"/>
  <c r="I13" i="26"/>
  <c r="I12" i="26"/>
  <c r="I11" i="26"/>
  <c r="I10" i="26"/>
  <c r="I9" i="26"/>
  <c r="I8" i="26"/>
  <c r="T8" i="26" s="1"/>
  <c r="I7" i="26"/>
  <c r="T7" i="26" s="1"/>
  <c r="I6" i="26"/>
  <c r="I5" i="26"/>
  <c r="I4" i="26"/>
  <c r="I3" i="26"/>
  <c r="I2" i="26"/>
  <c r="T16" i="26"/>
  <c r="T24" i="26"/>
  <c r="T40" i="26"/>
  <c r="T56" i="26"/>
  <c r="T23" i="26"/>
  <c r="I1" i="26"/>
  <c r="T61" i="26"/>
  <c r="N61" i="26"/>
  <c r="V60" i="26"/>
  <c r="R60" i="26"/>
  <c r="N60" i="26"/>
  <c r="T59" i="26"/>
  <c r="P59" i="26"/>
  <c r="N59" i="26"/>
  <c r="V58" i="26"/>
  <c r="T58" i="26"/>
  <c r="R58" i="26"/>
  <c r="N58" i="26"/>
  <c r="T57" i="26"/>
  <c r="N57" i="26"/>
  <c r="W56" i="26"/>
  <c r="V56" i="26"/>
  <c r="U56" i="26"/>
  <c r="S56" i="26"/>
  <c r="R56" i="26"/>
  <c r="Q56" i="26"/>
  <c r="P56" i="26"/>
  <c r="O56" i="26"/>
  <c r="N56" i="26"/>
  <c r="W55" i="26"/>
  <c r="V55" i="26"/>
  <c r="U55" i="26"/>
  <c r="S55" i="26"/>
  <c r="R55" i="26"/>
  <c r="Q55" i="26"/>
  <c r="P55" i="26"/>
  <c r="O55" i="26"/>
  <c r="N55" i="26"/>
  <c r="W54" i="26"/>
  <c r="V54" i="26"/>
  <c r="U54" i="26"/>
  <c r="T54" i="26"/>
  <c r="S54" i="26"/>
  <c r="R54" i="26"/>
  <c r="Q54" i="26"/>
  <c r="P54" i="26"/>
  <c r="O54" i="26"/>
  <c r="N54" i="26"/>
  <c r="W53" i="26"/>
  <c r="V53" i="26"/>
  <c r="U53" i="26"/>
  <c r="T53" i="26"/>
  <c r="S53" i="26"/>
  <c r="R53" i="26"/>
  <c r="Q53" i="26"/>
  <c r="P53" i="26"/>
  <c r="O53" i="26"/>
  <c r="N53" i="26"/>
  <c r="W52" i="26"/>
  <c r="V52" i="26"/>
  <c r="U52" i="26"/>
  <c r="T52" i="26"/>
  <c r="S52" i="26"/>
  <c r="R52" i="26"/>
  <c r="Q52" i="26"/>
  <c r="P52" i="26"/>
  <c r="O52" i="26"/>
  <c r="N52" i="26"/>
  <c r="W51" i="26"/>
  <c r="V51" i="26"/>
  <c r="U51" i="26"/>
  <c r="T51" i="26"/>
  <c r="S51" i="26"/>
  <c r="R51" i="26"/>
  <c r="Q51" i="26"/>
  <c r="P51" i="26"/>
  <c r="O51" i="26"/>
  <c r="N51" i="26"/>
  <c r="X51" i="26" s="1"/>
  <c r="Y51" i="26" s="1"/>
  <c r="W50" i="26"/>
  <c r="V50" i="26"/>
  <c r="U50" i="26"/>
  <c r="T50" i="26"/>
  <c r="S50" i="26"/>
  <c r="R50" i="26"/>
  <c r="Q50" i="26"/>
  <c r="P50" i="26"/>
  <c r="O50" i="26"/>
  <c r="N50" i="26"/>
  <c r="W49" i="26"/>
  <c r="V49" i="26"/>
  <c r="U49" i="26"/>
  <c r="T49" i="26"/>
  <c r="S49" i="26"/>
  <c r="R49" i="26"/>
  <c r="Q49" i="26"/>
  <c r="P49" i="26"/>
  <c r="O49" i="26"/>
  <c r="N49" i="26"/>
  <c r="W48" i="26"/>
  <c r="V48" i="26"/>
  <c r="U48" i="26"/>
  <c r="S48" i="26"/>
  <c r="R48" i="26"/>
  <c r="Q48" i="26"/>
  <c r="P48" i="26"/>
  <c r="O48" i="26"/>
  <c r="N48" i="26"/>
  <c r="W47" i="26"/>
  <c r="V47" i="26"/>
  <c r="U47" i="26"/>
  <c r="S47" i="26"/>
  <c r="R47" i="26"/>
  <c r="Q47" i="26"/>
  <c r="P47" i="26"/>
  <c r="O47" i="26"/>
  <c r="N47" i="26"/>
  <c r="W46" i="26"/>
  <c r="V46" i="26"/>
  <c r="U46" i="26"/>
  <c r="T46" i="26"/>
  <c r="S46" i="26"/>
  <c r="R46" i="26"/>
  <c r="Q46" i="26"/>
  <c r="P46" i="26"/>
  <c r="O46" i="26"/>
  <c r="N46" i="26"/>
  <c r="W45" i="26"/>
  <c r="V45" i="26"/>
  <c r="U45" i="26"/>
  <c r="T45" i="26"/>
  <c r="S45" i="26"/>
  <c r="R45" i="26"/>
  <c r="Q45" i="26"/>
  <c r="P45" i="26"/>
  <c r="O45" i="26"/>
  <c r="N45" i="26"/>
  <c r="W44" i="26"/>
  <c r="V44" i="26"/>
  <c r="U44" i="26"/>
  <c r="T44" i="26"/>
  <c r="S44" i="26"/>
  <c r="R44" i="26"/>
  <c r="Q44" i="26"/>
  <c r="P44" i="26"/>
  <c r="O44" i="26"/>
  <c r="N44" i="26"/>
  <c r="W43" i="26"/>
  <c r="V43" i="26"/>
  <c r="U43" i="26"/>
  <c r="T43" i="26"/>
  <c r="S43" i="26"/>
  <c r="R43" i="26"/>
  <c r="Q43" i="26"/>
  <c r="P43" i="26"/>
  <c r="O43" i="26"/>
  <c r="N43" i="26"/>
  <c r="W42" i="26"/>
  <c r="V42" i="26"/>
  <c r="U42" i="26"/>
  <c r="T42" i="26"/>
  <c r="S42" i="26"/>
  <c r="R42" i="26"/>
  <c r="Q42" i="26"/>
  <c r="P42" i="26"/>
  <c r="O42" i="26"/>
  <c r="N42" i="26"/>
  <c r="W41" i="26"/>
  <c r="V41" i="26"/>
  <c r="U41" i="26"/>
  <c r="T41" i="26"/>
  <c r="S41" i="26"/>
  <c r="R41" i="26"/>
  <c r="Q41" i="26"/>
  <c r="P41" i="26"/>
  <c r="O41" i="26"/>
  <c r="N41" i="26"/>
  <c r="X41" i="26" s="1"/>
  <c r="Y41" i="26" s="1"/>
  <c r="W40" i="26"/>
  <c r="V40" i="26"/>
  <c r="U40" i="26"/>
  <c r="S40" i="26"/>
  <c r="R40" i="26"/>
  <c r="Q40" i="26"/>
  <c r="P40" i="26"/>
  <c r="O40" i="26"/>
  <c r="N40" i="26"/>
  <c r="W39" i="26"/>
  <c r="V39" i="26"/>
  <c r="U39" i="26"/>
  <c r="S39" i="26"/>
  <c r="R39" i="26"/>
  <c r="Q39" i="26"/>
  <c r="P39" i="26"/>
  <c r="O39" i="26"/>
  <c r="N39" i="26"/>
  <c r="W38" i="26"/>
  <c r="V38" i="26"/>
  <c r="U38" i="26"/>
  <c r="T38" i="26"/>
  <c r="S38" i="26"/>
  <c r="R38" i="26"/>
  <c r="Q38" i="26"/>
  <c r="P38" i="26"/>
  <c r="O38" i="26"/>
  <c r="N38" i="26"/>
  <c r="W37" i="26"/>
  <c r="V37" i="26"/>
  <c r="U37" i="26"/>
  <c r="T37" i="26"/>
  <c r="S37" i="26"/>
  <c r="R37" i="26"/>
  <c r="Q37" i="26"/>
  <c r="P37" i="26"/>
  <c r="O37" i="26"/>
  <c r="N37" i="26"/>
  <c r="X37" i="26" s="1"/>
  <c r="Y37" i="26" s="1"/>
  <c r="W36" i="26"/>
  <c r="V36" i="26"/>
  <c r="U36" i="26"/>
  <c r="T36" i="26"/>
  <c r="S36" i="26"/>
  <c r="R36" i="26"/>
  <c r="Q36" i="26"/>
  <c r="P36" i="26"/>
  <c r="O36" i="26"/>
  <c r="N36" i="26"/>
  <c r="W35" i="26"/>
  <c r="V35" i="26"/>
  <c r="U35" i="26"/>
  <c r="T35" i="26"/>
  <c r="S35" i="26"/>
  <c r="R35" i="26"/>
  <c r="Q35" i="26"/>
  <c r="P35" i="26"/>
  <c r="O35" i="26"/>
  <c r="N35" i="26"/>
  <c r="X35" i="26" s="1"/>
  <c r="Y35" i="26" s="1"/>
  <c r="W34" i="26"/>
  <c r="V34" i="26"/>
  <c r="U34" i="26"/>
  <c r="T34" i="26"/>
  <c r="S34" i="26"/>
  <c r="R34" i="26"/>
  <c r="Q34" i="26"/>
  <c r="P34" i="26"/>
  <c r="O34" i="26"/>
  <c r="N34" i="26"/>
  <c r="W33" i="26"/>
  <c r="V33" i="26"/>
  <c r="U33" i="26"/>
  <c r="T33" i="26"/>
  <c r="S33" i="26"/>
  <c r="R33" i="26"/>
  <c r="Q33" i="26"/>
  <c r="P33" i="26"/>
  <c r="O33" i="26"/>
  <c r="N33" i="26"/>
  <c r="X33" i="26" s="1"/>
  <c r="Y33" i="26" s="1"/>
  <c r="W32" i="26"/>
  <c r="V32" i="26"/>
  <c r="U32" i="26"/>
  <c r="T32" i="26"/>
  <c r="S32" i="26"/>
  <c r="R32" i="26"/>
  <c r="Q32" i="26"/>
  <c r="P32" i="26"/>
  <c r="O32" i="26"/>
  <c r="N32" i="26"/>
  <c r="W31" i="26"/>
  <c r="V31" i="26"/>
  <c r="U31" i="26"/>
  <c r="S31" i="26"/>
  <c r="R31" i="26"/>
  <c r="Q31" i="26"/>
  <c r="P31" i="26"/>
  <c r="O31" i="26"/>
  <c r="N31" i="26"/>
  <c r="W30" i="26"/>
  <c r="V30" i="26"/>
  <c r="U30" i="26"/>
  <c r="T30" i="26"/>
  <c r="S30" i="26"/>
  <c r="R30" i="26"/>
  <c r="Q30" i="26"/>
  <c r="P30" i="26"/>
  <c r="O30" i="26"/>
  <c r="N30" i="26"/>
  <c r="W29" i="26"/>
  <c r="V29" i="26"/>
  <c r="U29" i="26"/>
  <c r="T29" i="26"/>
  <c r="S29" i="26"/>
  <c r="R29" i="26"/>
  <c r="Q29" i="26"/>
  <c r="P29" i="26"/>
  <c r="O29" i="26"/>
  <c r="N29" i="26"/>
  <c r="W28" i="26"/>
  <c r="V28" i="26"/>
  <c r="U28" i="26"/>
  <c r="T28" i="26"/>
  <c r="S28" i="26"/>
  <c r="R28" i="26"/>
  <c r="Q28" i="26"/>
  <c r="P28" i="26"/>
  <c r="O28" i="26"/>
  <c r="N28" i="26"/>
  <c r="W27" i="26"/>
  <c r="V27" i="26"/>
  <c r="U27" i="26"/>
  <c r="T27" i="26"/>
  <c r="S27" i="26"/>
  <c r="R27" i="26"/>
  <c r="Q27" i="26"/>
  <c r="P27" i="26"/>
  <c r="O27" i="26"/>
  <c r="N27" i="26"/>
  <c r="W26" i="26"/>
  <c r="V26" i="26"/>
  <c r="U26" i="26"/>
  <c r="T26" i="26"/>
  <c r="S26" i="26"/>
  <c r="R26" i="26"/>
  <c r="Q26" i="26"/>
  <c r="P26" i="26"/>
  <c r="O26" i="26"/>
  <c r="N26" i="26"/>
  <c r="W25" i="26"/>
  <c r="V25" i="26"/>
  <c r="U25" i="26"/>
  <c r="T25" i="26"/>
  <c r="S25" i="26"/>
  <c r="R25" i="26"/>
  <c r="Q25" i="26"/>
  <c r="P25" i="26"/>
  <c r="O25" i="26"/>
  <c r="N25" i="26"/>
  <c r="W24" i="26"/>
  <c r="V24" i="26"/>
  <c r="U24" i="26"/>
  <c r="S24" i="26"/>
  <c r="R24" i="26"/>
  <c r="Q24" i="26"/>
  <c r="P24" i="26"/>
  <c r="O24" i="26"/>
  <c r="N24" i="26"/>
  <c r="W23" i="26"/>
  <c r="V23" i="26"/>
  <c r="U23" i="26"/>
  <c r="S23" i="26"/>
  <c r="R23" i="26"/>
  <c r="Q23" i="26"/>
  <c r="P23" i="26"/>
  <c r="O23" i="26"/>
  <c r="N23" i="26"/>
  <c r="W22" i="26"/>
  <c r="V22" i="26"/>
  <c r="U22" i="26"/>
  <c r="T22" i="26"/>
  <c r="S22" i="26"/>
  <c r="R22" i="26"/>
  <c r="Q22" i="26"/>
  <c r="P22" i="26"/>
  <c r="O22" i="26"/>
  <c r="N22" i="26"/>
  <c r="W21" i="26"/>
  <c r="V21" i="26"/>
  <c r="U21" i="26"/>
  <c r="T21" i="26"/>
  <c r="S21" i="26"/>
  <c r="R21" i="26"/>
  <c r="Q21" i="26"/>
  <c r="P21" i="26"/>
  <c r="O21" i="26"/>
  <c r="N21" i="26"/>
  <c r="X21" i="26" s="1"/>
  <c r="Y21" i="26" s="1"/>
  <c r="W20" i="26"/>
  <c r="V20" i="26"/>
  <c r="U20" i="26"/>
  <c r="T20" i="26"/>
  <c r="S20" i="26"/>
  <c r="R20" i="26"/>
  <c r="Q20" i="26"/>
  <c r="P20" i="26"/>
  <c r="O20" i="26"/>
  <c r="N20" i="26"/>
  <c r="W19" i="26"/>
  <c r="V19" i="26"/>
  <c r="U19" i="26"/>
  <c r="T19" i="26"/>
  <c r="S19" i="26"/>
  <c r="R19" i="26"/>
  <c r="Q19" i="26"/>
  <c r="P19" i="26"/>
  <c r="O19" i="26"/>
  <c r="N19" i="26"/>
  <c r="W18" i="26"/>
  <c r="V18" i="26"/>
  <c r="U18" i="26"/>
  <c r="T18" i="26"/>
  <c r="S18" i="26"/>
  <c r="R18" i="26"/>
  <c r="Q18" i="26"/>
  <c r="P18" i="26"/>
  <c r="O18" i="26"/>
  <c r="N18" i="26"/>
  <c r="W17" i="26"/>
  <c r="V17" i="26"/>
  <c r="U17" i="26"/>
  <c r="T17" i="26"/>
  <c r="S17" i="26"/>
  <c r="R17" i="26"/>
  <c r="Q17" i="26"/>
  <c r="P17" i="26"/>
  <c r="O17" i="26"/>
  <c r="N17" i="26"/>
  <c r="X17" i="26" s="1"/>
  <c r="Y17" i="26" s="1"/>
  <c r="W16" i="26"/>
  <c r="V16" i="26"/>
  <c r="U16" i="26"/>
  <c r="S16" i="26"/>
  <c r="R16" i="26"/>
  <c r="Q16" i="26"/>
  <c r="P16" i="26"/>
  <c r="O16" i="26"/>
  <c r="N16" i="26"/>
  <c r="W15" i="26"/>
  <c r="V15" i="26"/>
  <c r="U15" i="26"/>
  <c r="S15" i="26"/>
  <c r="R15" i="26"/>
  <c r="Q15" i="26"/>
  <c r="P15" i="26"/>
  <c r="O15" i="26"/>
  <c r="N15" i="26"/>
  <c r="W14" i="26"/>
  <c r="V14" i="26"/>
  <c r="U14" i="26"/>
  <c r="T14" i="26"/>
  <c r="S14" i="26"/>
  <c r="R14" i="26"/>
  <c r="Q14" i="26"/>
  <c r="P14" i="26"/>
  <c r="O14" i="26"/>
  <c r="N14" i="26"/>
  <c r="W13" i="26"/>
  <c r="V13" i="26"/>
  <c r="U13" i="26"/>
  <c r="T13" i="26"/>
  <c r="S13" i="26"/>
  <c r="R13" i="26"/>
  <c r="Q13" i="26"/>
  <c r="P13" i="26"/>
  <c r="O13" i="26"/>
  <c r="N13" i="26"/>
  <c r="W12" i="26"/>
  <c r="V12" i="26"/>
  <c r="U12" i="26"/>
  <c r="T12" i="26"/>
  <c r="S12" i="26"/>
  <c r="R12" i="26"/>
  <c r="Q12" i="26"/>
  <c r="P12" i="26"/>
  <c r="O12" i="26"/>
  <c r="N12" i="26"/>
  <c r="W11" i="26"/>
  <c r="V11" i="26"/>
  <c r="U11" i="26"/>
  <c r="T11" i="26"/>
  <c r="S11" i="26"/>
  <c r="R11" i="26"/>
  <c r="Q11" i="26"/>
  <c r="P11" i="26"/>
  <c r="O11" i="26"/>
  <c r="N11" i="26"/>
  <c r="W10" i="26"/>
  <c r="V10" i="26"/>
  <c r="U10" i="26"/>
  <c r="T10" i="26"/>
  <c r="S10" i="26"/>
  <c r="R10" i="26"/>
  <c r="Q10" i="26"/>
  <c r="P10" i="26"/>
  <c r="O10" i="26"/>
  <c r="N10" i="26"/>
  <c r="W9" i="26"/>
  <c r="V9" i="26"/>
  <c r="U9" i="26"/>
  <c r="T9" i="26"/>
  <c r="S9" i="26"/>
  <c r="R9" i="26"/>
  <c r="Q9" i="26"/>
  <c r="P9" i="26"/>
  <c r="O9" i="26"/>
  <c r="N9" i="26"/>
  <c r="X9" i="26" s="1"/>
  <c r="Y9" i="26" s="1"/>
  <c r="W8" i="26"/>
  <c r="V8" i="26"/>
  <c r="U8" i="26"/>
  <c r="S8" i="26"/>
  <c r="R8" i="26"/>
  <c r="Q8" i="26"/>
  <c r="P8" i="26"/>
  <c r="O8" i="26"/>
  <c r="N8" i="26"/>
  <c r="W7" i="26"/>
  <c r="V7" i="26"/>
  <c r="U7" i="26"/>
  <c r="S7" i="26"/>
  <c r="R7" i="26"/>
  <c r="Q7" i="26"/>
  <c r="P7" i="26"/>
  <c r="O7" i="26"/>
  <c r="N7" i="26"/>
  <c r="W6" i="26"/>
  <c r="V6" i="26"/>
  <c r="U6" i="26"/>
  <c r="T6" i="26"/>
  <c r="S6" i="26"/>
  <c r="R6" i="26"/>
  <c r="Q6" i="26"/>
  <c r="P6" i="26"/>
  <c r="O6" i="26"/>
  <c r="N6" i="26"/>
  <c r="W5" i="26"/>
  <c r="V5" i="26"/>
  <c r="U5" i="26"/>
  <c r="T5" i="26"/>
  <c r="S5" i="26"/>
  <c r="R5" i="26"/>
  <c r="Q5" i="26"/>
  <c r="P5" i="26"/>
  <c r="O5" i="26"/>
  <c r="N5" i="26"/>
  <c r="X5" i="26" s="1"/>
  <c r="Y5" i="26" s="1"/>
  <c r="W4" i="26"/>
  <c r="V4" i="26"/>
  <c r="U4" i="26"/>
  <c r="T4" i="26"/>
  <c r="S4" i="26"/>
  <c r="R4" i="26"/>
  <c r="Q4" i="26"/>
  <c r="P4" i="26"/>
  <c r="O4" i="26"/>
  <c r="N4" i="26"/>
  <c r="W3" i="26"/>
  <c r="V3" i="26"/>
  <c r="U3" i="26"/>
  <c r="T3" i="26"/>
  <c r="S3" i="26"/>
  <c r="R3" i="26"/>
  <c r="Q3" i="26"/>
  <c r="P3" i="26"/>
  <c r="O3" i="26"/>
  <c r="N3" i="26"/>
  <c r="X3" i="26" s="1"/>
  <c r="Y3" i="26" s="1"/>
  <c r="L61" i="26"/>
  <c r="W61" i="26" s="1"/>
  <c r="K61" i="26"/>
  <c r="V61" i="26" s="1"/>
  <c r="J61" i="26"/>
  <c r="U61" i="26" s="1"/>
  <c r="H61" i="26"/>
  <c r="S61" i="26" s="1"/>
  <c r="G61" i="26"/>
  <c r="R61" i="26" s="1"/>
  <c r="F61" i="26"/>
  <c r="Q61" i="26" s="1"/>
  <c r="E61" i="26"/>
  <c r="P61" i="26" s="1"/>
  <c r="D61" i="26"/>
  <c r="O61" i="26" s="1"/>
  <c r="L60" i="26"/>
  <c r="W60" i="26" s="1"/>
  <c r="K60" i="26"/>
  <c r="J60" i="26"/>
  <c r="U60" i="26" s="1"/>
  <c r="H60" i="26"/>
  <c r="S60" i="26" s="1"/>
  <c r="G60" i="26"/>
  <c r="F60" i="26"/>
  <c r="Q60" i="26" s="1"/>
  <c r="E60" i="26"/>
  <c r="P60" i="26" s="1"/>
  <c r="D60" i="26"/>
  <c r="O60" i="26" s="1"/>
  <c r="L59" i="26"/>
  <c r="W59" i="26" s="1"/>
  <c r="K59" i="26"/>
  <c r="V59" i="26" s="1"/>
  <c r="J59" i="26"/>
  <c r="U59" i="26" s="1"/>
  <c r="H59" i="26"/>
  <c r="S59" i="26" s="1"/>
  <c r="G59" i="26"/>
  <c r="R59" i="26" s="1"/>
  <c r="F59" i="26"/>
  <c r="Q59" i="26" s="1"/>
  <c r="E59" i="26"/>
  <c r="D59" i="26"/>
  <c r="O59" i="26" s="1"/>
  <c r="L58" i="26"/>
  <c r="W58" i="26" s="1"/>
  <c r="K58" i="26"/>
  <c r="J58" i="26"/>
  <c r="U58" i="26" s="1"/>
  <c r="H58" i="26"/>
  <c r="S58" i="26" s="1"/>
  <c r="G58" i="26"/>
  <c r="F58" i="26"/>
  <c r="Q58" i="26" s="1"/>
  <c r="E58" i="26"/>
  <c r="P58" i="26" s="1"/>
  <c r="D58" i="26"/>
  <c r="O58" i="26" s="1"/>
  <c r="L57" i="26"/>
  <c r="W57" i="26" s="1"/>
  <c r="K57" i="26"/>
  <c r="V57" i="26" s="1"/>
  <c r="J57" i="26"/>
  <c r="U57" i="26" s="1"/>
  <c r="H57" i="26"/>
  <c r="S57" i="26" s="1"/>
  <c r="G57" i="26"/>
  <c r="R57" i="26" s="1"/>
  <c r="F57" i="26"/>
  <c r="Q57" i="26" s="1"/>
  <c r="E57" i="26"/>
  <c r="P57" i="26" s="1"/>
  <c r="D57" i="26"/>
  <c r="O57" i="26" s="1"/>
  <c r="L56" i="26"/>
  <c r="K56" i="26"/>
  <c r="J56" i="26"/>
  <c r="H56" i="26"/>
  <c r="G56" i="26"/>
  <c r="F56" i="26"/>
  <c r="E56" i="26"/>
  <c r="D56" i="26"/>
  <c r="L55" i="26"/>
  <c r="K55" i="26"/>
  <c r="J55" i="26"/>
  <c r="H55" i="26"/>
  <c r="G55" i="26"/>
  <c r="F55" i="26"/>
  <c r="E55" i="26"/>
  <c r="D55" i="26"/>
  <c r="L54" i="26"/>
  <c r="K54" i="26"/>
  <c r="J54" i="26"/>
  <c r="H54" i="26"/>
  <c r="G54" i="26"/>
  <c r="F54" i="26"/>
  <c r="E54" i="26"/>
  <c r="D54" i="26"/>
  <c r="L53" i="26"/>
  <c r="K53" i="26"/>
  <c r="J53" i="26"/>
  <c r="H53" i="26"/>
  <c r="G53" i="26"/>
  <c r="F53" i="26"/>
  <c r="E53" i="26"/>
  <c r="D53" i="26"/>
  <c r="L52" i="26"/>
  <c r="K52" i="26"/>
  <c r="J52" i="26"/>
  <c r="H52" i="26"/>
  <c r="G52" i="26"/>
  <c r="F52" i="26"/>
  <c r="E52" i="26"/>
  <c r="D52" i="26"/>
  <c r="L51" i="26"/>
  <c r="K51" i="26"/>
  <c r="J51" i="26"/>
  <c r="H51" i="26"/>
  <c r="G51" i="26"/>
  <c r="F51" i="26"/>
  <c r="E51" i="26"/>
  <c r="D51" i="26"/>
  <c r="L50" i="26"/>
  <c r="K50" i="26"/>
  <c r="J50" i="26"/>
  <c r="H50" i="26"/>
  <c r="G50" i="26"/>
  <c r="F50" i="26"/>
  <c r="E50" i="26"/>
  <c r="D50" i="26"/>
  <c r="L49" i="26"/>
  <c r="K49" i="26"/>
  <c r="J49" i="26"/>
  <c r="H49" i="26"/>
  <c r="G49" i="26"/>
  <c r="F49" i="26"/>
  <c r="E49" i="26"/>
  <c r="D49" i="26"/>
  <c r="L48" i="26"/>
  <c r="K48" i="26"/>
  <c r="J48" i="26"/>
  <c r="H48" i="26"/>
  <c r="G48" i="26"/>
  <c r="F48" i="26"/>
  <c r="E48" i="26"/>
  <c r="D48" i="26"/>
  <c r="L47" i="26"/>
  <c r="K47" i="26"/>
  <c r="J47" i="26"/>
  <c r="H47" i="26"/>
  <c r="G47" i="26"/>
  <c r="F47" i="26"/>
  <c r="E47" i="26"/>
  <c r="D47" i="26"/>
  <c r="L46" i="26"/>
  <c r="K46" i="26"/>
  <c r="J46" i="26"/>
  <c r="H46" i="26"/>
  <c r="G46" i="26"/>
  <c r="F46" i="26"/>
  <c r="E46" i="26"/>
  <c r="D46" i="26"/>
  <c r="L45" i="26"/>
  <c r="K45" i="26"/>
  <c r="J45" i="26"/>
  <c r="H45" i="26"/>
  <c r="G45" i="26"/>
  <c r="F45" i="26"/>
  <c r="E45" i="26"/>
  <c r="D45" i="26"/>
  <c r="L44" i="26"/>
  <c r="K44" i="26"/>
  <c r="J44" i="26"/>
  <c r="H44" i="26"/>
  <c r="G44" i="26"/>
  <c r="F44" i="26"/>
  <c r="E44" i="26"/>
  <c r="D44" i="26"/>
  <c r="L43" i="26"/>
  <c r="K43" i="26"/>
  <c r="J43" i="26"/>
  <c r="H43" i="26"/>
  <c r="G43" i="26"/>
  <c r="F43" i="26"/>
  <c r="E43" i="26"/>
  <c r="D43" i="26"/>
  <c r="L42" i="26"/>
  <c r="K42" i="26"/>
  <c r="J42" i="26"/>
  <c r="H42" i="26"/>
  <c r="G42" i="26"/>
  <c r="F42" i="26"/>
  <c r="E42" i="26"/>
  <c r="D42" i="26"/>
  <c r="L41" i="26"/>
  <c r="K41" i="26"/>
  <c r="J41" i="26"/>
  <c r="H41" i="26"/>
  <c r="G41" i="26"/>
  <c r="F41" i="26"/>
  <c r="E41" i="26"/>
  <c r="D41" i="26"/>
  <c r="L40" i="26"/>
  <c r="K40" i="26"/>
  <c r="J40" i="26"/>
  <c r="H40" i="26"/>
  <c r="G40" i="26"/>
  <c r="F40" i="26"/>
  <c r="E40" i="26"/>
  <c r="D40" i="26"/>
  <c r="L39" i="26"/>
  <c r="K39" i="26"/>
  <c r="J39" i="26"/>
  <c r="H39" i="26"/>
  <c r="G39" i="26"/>
  <c r="F39" i="26"/>
  <c r="E39" i="26"/>
  <c r="D39" i="26"/>
  <c r="L38" i="26"/>
  <c r="K38" i="26"/>
  <c r="J38" i="26"/>
  <c r="H38" i="26"/>
  <c r="G38" i="26"/>
  <c r="F38" i="26"/>
  <c r="E38" i="26"/>
  <c r="D38" i="26"/>
  <c r="L37" i="26"/>
  <c r="K37" i="26"/>
  <c r="J37" i="26"/>
  <c r="H37" i="26"/>
  <c r="G37" i="26"/>
  <c r="F37" i="26"/>
  <c r="E37" i="26"/>
  <c r="D37" i="26"/>
  <c r="L36" i="26"/>
  <c r="K36" i="26"/>
  <c r="J36" i="26"/>
  <c r="H36" i="26"/>
  <c r="G36" i="26"/>
  <c r="F36" i="26"/>
  <c r="E36" i="26"/>
  <c r="D36" i="26"/>
  <c r="L35" i="26"/>
  <c r="K35" i="26"/>
  <c r="J35" i="26"/>
  <c r="H35" i="26"/>
  <c r="G35" i="26"/>
  <c r="F35" i="26"/>
  <c r="E35" i="26"/>
  <c r="D35" i="26"/>
  <c r="L34" i="26"/>
  <c r="K34" i="26"/>
  <c r="J34" i="26"/>
  <c r="H34" i="26"/>
  <c r="G34" i="26"/>
  <c r="F34" i="26"/>
  <c r="E34" i="26"/>
  <c r="D34" i="26"/>
  <c r="L33" i="26"/>
  <c r="K33" i="26"/>
  <c r="J33" i="26"/>
  <c r="H33" i="26"/>
  <c r="G33" i="26"/>
  <c r="F33" i="26"/>
  <c r="E33" i="26"/>
  <c r="D33" i="26"/>
  <c r="L32" i="26"/>
  <c r="K32" i="26"/>
  <c r="J32" i="26"/>
  <c r="H32" i="26"/>
  <c r="G32" i="26"/>
  <c r="F32" i="26"/>
  <c r="E32" i="26"/>
  <c r="D32" i="26"/>
  <c r="L31" i="26"/>
  <c r="K31" i="26"/>
  <c r="J31" i="26"/>
  <c r="H31" i="26"/>
  <c r="G31" i="26"/>
  <c r="F31" i="26"/>
  <c r="E31" i="26"/>
  <c r="D31" i="26"/>
  <c r="L30" i="26"/>
  <c r="K30" i="26"/>
  <c r="J30" i="26"/>
  <c r="H30" i="26"/>
  <c r="G30" i="26"/>
  <c r="F30" i="26"/>
  <c r="E30" i="26"/>
  <c r="D30" i="26"/>
  <c r="L29" i="26"/>
  <c r="K29" i="26"/>
  <c r="J29" i="26"/>
  <c r="H29" i="26"/>
  <c r="G29" i="26"/>
  <c r="F29" i="26"/>
  <c r="E29" i="26"/>
  <c r="D29" i="26"/>
  <c r="L28" i="26"/>
  <c r="K28" i="26"/>
  <c r="J28" i="26"/>
  <c r="H28" i="26"/>
  <c r="G28" i="26"/>
  <c r="F28" i="26"/>
  <c r="E28" i="26"/>
  <c r="D28" i="26"/>
  <c r="L27" i="26"/>
  <c r="K27" i="26"/>
  <c r="J27" i="26"/>
  <c r="H27" i="26"/>
  <c r="G27" i="26"/>
  <c r="F27" i="26"/>
  <c r="E27" i="26"/>
  <c r="D27" i="26"/>
  <c r="L26" i="26"/>
  <c r="K26" i="26"/>
  <c r="J26" i="26"/>
  <c r="H26" i="26"/>
  <c r="G26" i="26"/>
  <c r="F26" i="26"/>
  <c r="E26" i="26"/>
  <c r="D26" i="26"/>
  <c r="L25" i="26"/>
  <c r="K25" i="26"/>
  <c r="J25" i="26"/>
  <c r="H25" i="26"/>
  <c r="G25" i="26"/>
  <c r="F25" i="26"/>
  <c r="E25" i="26"/>
  <c r="D25" i="26"/>
  <c r="L24" i="26"/>
  <c r="K24" i="26"/>
  <c r="J24" i="26"/>
  <c r="H24" i="26"/>
  <c r="G24" i="26"/>
  <c r="F24" i="26"/>
  <c r="E24" i="26"/>
  <c r="D24" i="26"/>
  <c r="L23" i="26"/>
  <c r="K23" i="26"/>
  <c r="J23" i="26"/>
  <c r="H23" i="26"/>
  <c r="G23" i="26"/>
  <c r="F23" i="26"/>
  <c r="E23" i="26"/>
  <c r="D23" i="26"/>
  <c r="L22" i="26"/>
  <c r="K22" i="26"/>
  <c r="J22" i="26"/>
  <c r="H22" i="26"/>
  <c r="G22" i="26"/>
  <c r="F22" i="26"/>
  <c r="E22" i="26"/>
  <c r="D22" i="26"/>
  <c r="L21" i="26"/>
  <c r="K21" i="26"/>
  <c r="J21" i="26"/>
  <c r="H21" i="26"/>
  <c r="G21" i="26"/>
  <c r="F21" i="26"/>
  <c r="E21" i="26"/>
  <c r="D21" i="26"/>
  <c r="L20" i="26"/>
  <c r="K20" i="26"/>
  <c r="J20" i="26"/>
  <c r="H20" i="26"/>
  <c r="G20" i="26"/>
  <c r="F20" i="26"/>
  <c r="E20" i="26"/>
  <c r="D20" i="26"/>
  <c r="L19" i="26"/>
  <c r="K19" i="26"/>
  <c r="J19" i="26"/>
  <c r="H19" i="26"/>
  <c r="G19" i="26"/>
  <c r="F19" i="26"/>
  <c r="E19" i="26"/>
  <c r="D19" i="26"/>
  <c r="L18" i="26"/>
  <c r="K18" i="26"/>
  <c r="J18" i="26"/>
  <c r="H18" i="26"/>
  <c r="G18" i="26"/>
  <c r="F18" i="26"/>
  <c r="E18" i="26"/>
  <c r="D18" i="26"/>
  <c r="L17" i="26"/>
  <c r="K17" i="26"/>
  <c r="J17" i="26"/>
  <c r="H17" i="26"/>
  <c r="G17" i="26"/>
  <c r="F17" i="26"/>
  <c r="E17" i="26"/>
  <c r="D17" i="26"/>
  <c r="L16" i="26"/>
  <c r="K16" i="26"/>
  <c r="J16" i="26"/>
  <c r="H16" i="26"/>
  <c r="G16" i="26"/>
  <c r="F16" i="26"/>
  <c r="E16" i="26"/>
  <c r="D16" i="26"/>
  <c r="L15" i="26"/>
  <c r="K15" i="26"/>
  <c r="J15" i="26"/>
  <c r="H15" i="26"/>
  <c r="G15" i="26"/>
  <c r="F15" i="26"/>
  <c r="E15" i="26"/>
  <c r="D15" i="26"/>
  <c r="L14" i="26"/>
  <c r="K14" i="26"/>
  <c r="J14" i="26"/>
  <c r="H14" i="26"/>
  <c r="G14" i="26"/>
  <c r="F14" i="26"/>
  <c r="E14" i="26"/>
  <c r="D14" i="26"/>
  <c r="L13" i="26"/>
  <c r="K13" i="26"/>
  <c r="J13" i="26"/>
  <c r="H13" i="26"/>
  <c r="G13" i="26"/>
  <c r="F13" i="26"/>
  <c r="E13" i="26"/>
  <c r="D13" i="26"/>
  <c r="L12" i="26"/>
  <c r="K12" i="26"/>
  <c r="J12" i="26"/>
  <c r="H12" i="26"/>
  <c r="G12" i="26"/>
  <c r="F12" i="26"/>
  <c r="E12" i="26"/>
  <c r="D12" i="26"/>
  <c r="L11" i="26"/>
  <c r="K11" i="26"/>
  <c r="J11" i="26"/>
  <c r="H11" i="26"/>
  <c r="G11" i="26"/>
  <c r="F11" i="26"/>
  <c r="E11" i="26"/>
  <c r="D11" i="26"/>
  <c r="L10" i="26"/>
  <c r="K10" i="26"/>
  <c r="J10" i="26"/>
  <c r="H10" i="26"/>
  <c r="G10" i="26"/>
  <c r="F10" i="26"/>
  <c r="E10" i="26"/>
  <c r="D10" i="26"/>
  <c r="L9" i="26"/>
  <c r="K9" i="26"/>
  <c r="J9" i="26"/>
  <c r="H9" i="26"/>
  <c r="G9" i="26"/>
  <c r="F9" i="26"/>
  <c r="E9" i="26"/>
  <c r="D9" i="26"/>
  <c r="L8" i="26"/>
  <c r="K8" i="26"/>
  <c r="J8" i="26"/>
  <c r="H8" i="26"/>
  <c r="G8" i="26"/>
  <c r="F8" i="26"/>
  <c r="E8" i="26"/>
  <c r="D8" i="26"/>
  <c r="L7" i="26"/>
  <c r="K7" i="26"/>
  <c r="J7" i="26"/>
  <c r="H7" i="26"/>
  <c r="G7" i="26"/>
  <c r="F7" i="26"/>
  <c r="E7" i="26"/>
  <c r="D7" i="26"/>
  <c r="L6" i="26"/>
  <c r="K6" i="26"/>
  <c r="J6" i="26"/>
  <c r="H6" i="26"/>
  <c r="G6" i="26"/>
  <c r="F6" i="26"/>
  <c r="E6" i="26"/>
  <c r="D6" i="26"/>
  <c r="L5" i="26"/>
  <c r="K5" i="26"/>
  <c r="J5" i="26"/>
  <c r="H5" i="26"/>
  <c r="G5" i="26"/>
  <c r="F5" i="26"/>
  <c r="E5" i="26"/>
  <c r="D5" i="26"/>
  <c r="L4" i="26"/>
  <c r="K4" i="26"/>
  <c r="J4" i="26"/>
  <c r="H4" i="26"/>
  <c r="G4" i="26"/>
  <c r="F4" i="26"/>
  <c r="E4" i="26"/>
  <c r="D4" i="26"/>
  <c r="L3" i="26"/>
  <c r="K3" i="26"/>
  <c r="J3" i="26"/>
  <c r="H3" i="26"/>
  <c r="G3" i="26"/>
  <c r="F3" i="26"/>
  <c r="E3" i="26"/>
  <c r="D3" i="26"/>
  <c r="L2" i="26"/>
  <c r="K2" i="26"/>
  <c r="J2" i="26"/>
  <c r="H2" i="26"/>
  <c r="G2" i="26"/>
  <c r="F2" i="26"/>
  <c r="E2" i="26"/>
  <c r="D2" i="26"/>
  <c r="J1" i="26"/>
  <c r="C1" i="26"/>
  <c r="F1" i="26"/>
  <c r="G1" i="26"/>
  <c r="H1" i="26"/>
  <c r="E1" i="26"/>
  <c r="D1" i="26"/>
  <c r="K1" i="26"/>
  <c r="V73" i="25"/>
  <c r="T73" i="25"/>
  <c r="O73" i="25"/>
  <c r="L73" i="25"/>
  <c r="X73" i="25" s="1"/>
  <c r="K73" i="25"/>
  <c r="W73" i="25" s="1"/>
  <c r="J73" i="25"/>
  <c r="I73" i="25"/>
  <c r="U73" i="25" s="1"/>
  <c r="H73" i="25"/>
  <c r="G73" i="25"/>
  <c r="S73" i="25" s="1"/>
  <c r="F73" i="25"/>
  <c r="R73" i="25" s="1"/>
  <c r="E73" i="25"/>
  <c r="Q73" i="25" s="1"/>
  <c r="D73" i="25"/>
  <c r="P73" i="25" s="1"/>
  <c r="A73" i="25"/>
  <c r="B73" i="25" s="1"/>
  <c r="X72" i="25"/>
  <c r="O72" i="25"/>
  <c r="L72" i="25"/>
  <c r="K72" i="25"/>
  <c r="W72" i="25" s="1"/>
  <c r="J72" i="25"/>
  <c r="V72" i="25" s="1"/>
  <c r="I72" i="25"/>
  <c r="U72" i="25" s="1"/>
  <c r="H72" i="25"/>
  <c r="T72" i="25" s="1"/>
  <c r="G72" i="25"/>
  <c r="S72" i="25" s="1"/>
  <c r="F72" i="25"/>
  <c r="R72" i="25" s="1"/>
  <c r="E72" i="25"/>
  <c r="Q72" i="25" s="1"/>
  <c r="D72" i="25"/>
  <c r="P72" i="25" s="1"/>
  <c r="A72" i="25"/>
  <c r="B72" i="25" s="1"/>
  <c r="X71" i="25"/>
  <c r="Q71" i="25"/>
  <c r="O71" i="25"/>
  <c r="L71" i="25"/>
  <c r="K71" i="25"/>
  <c r="W71" i="25" s="1"/>
  <c r="J71" i="25"/>
  <c r="V71" i="25" s="1"/>
  <c r="I71" i="25"/>
  <c r="U71" i="25" s="1"/>
  <c r="H71" i="25"/>
  <c r="T71" i="25" s="1"/>
  <c r="G71" i="25"/>
  <c r="S71" i="25" s="1"/>
  <c r="F71" i="25"/>
  <c r="R71" i="25" s="1"/>
  <c r="E71" i="25"/>
  <c r="D71" i="25"/>
  <c r="P71" i="25" s="1"/>
  <c r="A71" i="25"/>
  <c r="B71" i="25" s="1"/>
  <c r="S70" i="25"/>
  <c r="O70" i="25"/>
  <c r="L70" i="25"/>
  <c r="X70" i="25" s="1"/>
  <c r="K70" i="25"/>
  <c r="W70" i="25" s="1"/>
  <c r="J70" i="25"/>
  <c r="V70" i="25" s="1"/>
  <c r="I70" i="25"/>
  <c r="U70" i="25" s="1"/>
  <c r="H70" i="25"/>
  <c r="T70" i="25" s="1"/>
  <c r="G70" i="25"/>
  <c r="F70" i="25"/>
  <c r="R70" i="25" s="1"/>
  <c r="E70" i="25"/>
  <c r="Q70" i="25" s="1"/>
  <c r="D70" i="25"/>
  <c r="P70" i="25" s="1"/>
  <c r="B70" i="25"/>
  <c r="A70" i="25"/>
  <c r="V69" i="25"/>
  <c r="T69" i="25"/>
  <c r="O69" i="25"/>
  <c r="L69" i="25"/>
  <c r="X69" i="25" s="1"/>
  <c r="K69" i="25"/>
  <c r="W69" i="25" s="1"/>
  <c r="J69" i="25"/>
  <c r="I69" i="25"/>
  <c r="U69" i="25" s="1"/>
  <c r="H69" i="25"/>
  <c r="G69" i="25"/>
  <c r="S69" i="25" s="1"/>
  <c r="F69" i="25"/>
  <c r="R69" i="25" s="1"/>
  <c r="E69" i="25"/>
  <c r="Q69" i="25" s="1"/>
  <c r="D69" i="25"/>
  <c r="P69" i="25" s="1"/>
  <c r="A69" i="25"/>
  <c r="B69" i="25" s="1"/>
  <c r="X68" i="25"/>
  <c r="P68" i="25"/>
  <c r="O68" i="25"/>
  <c r="M68" i="25"/>
  <c r="Y68" i="25" s="1"/>
  <c r="L68" i="25"/>
  <c r="K68" i="25"/>
  <c r="W68" i="25" s="1"/>
  <c r="J68" i="25"/>
  <c r="V68" i="25" s="1"/>
  <c r="I68" i="25"/>
  <c r="U68" i="25" s="1"/>
  <c r="H68" i="25"/>
  <c r="T68" i="25" s="1"/>
  <c r="G68" i="25"/>
  <c r="S68" i="25" s="1"/>
  <c r="F68" i="25"/>
  <c r="R68" i="25" s="1"/>
  <c r="E68" i="25"/>
  <c r="Q68" i="25" s="1"/>
  <c r="D68" i="25"/>
  <c r="A68" i="25"/>
  <c r="B68" i="25" s="1"/>
  <c r="R67" i="25"/>
  <c r="Q67" i="25"/>
  <c r="O67" i="25"/>
  <c r="M67" i="25"/>
  <c r="Y67" i="25" s="1"/>
  <c r="L67" i="25"/>
  <c r="X67" i="25" s="1"/>
  <c r="K67" i="25"/>
  <c r="W67" i="25" s="1"/>
  <c r="J67" i="25"/>
  <c r="V67" i="25" s="1"/>
  <c r="I67" i="25"/>
  <c r="U67" i="25" s="1"/>
  <c r="H67" i="25"/>
  <c r="T67" i="25" s="1"/>
  <c r="G67" i="25"/>
  <c r="S67" i="25" s="1"/>
  <c r="F67" i="25"/>
  <c r="E67" i="25"/>
  <c r="D67" i="25"/>
  <c r="P67" i="25" s="1"/>
  <c r="A67" i="25"/>
  <c r="B67" i="25" s="1"/>
  <c r="S66" i="25"/>
  <c r="R66" i="25"/>
  <c r="O66" i="25"/>
  <c r="M66" i="25"/>
  <c r="Y66" i="25" s="1"/>
  <c r="L66" i="25"/>
  <c r="X66" i="25" s="1"/>
  <c r="K66" i="25"/>
  <c r="W66" i="25" s="1"/>
  <c r="J66" i="25"/>
  <c r="V66" i="25" s="1"/>
  <c r="I66" i="25"/>
  <c r="U66" i="25" s="1"/>
  <c r="H66" i="25"/>
  <c r="T66" i="25" s="1"/>
  <c r="G66" i="25"/>
  <c r="F66" i="25"/>
  <c r="E66" i="25"/>
  <c r="Q66" i="25" s="1"/>
  <c r="D66" i="25"/>
  <c r="P66" i="25" s="1"/>
  <c r="A66" i="25"/>
  <c r="B66" i="25" s="1"/>
  <c r="V65" i="25"/>
  <c r="O65" i="25"/>
  <c r="M65" i="25"/>
  <c r="Y65" i="25" s="1"/>
  <c r="L65" i="25"/>
  <c r="X65" i="25" s="1"/>
  <c r="K65" i="25"/>
  <c r="W65" i="25" s="1"/>
  <c r="J65" i="25"/>
  <c r="I65" i="25"/>
  <c r="U65" i="25" s="1"/>
  <c r="H65" i="25"/>
  <c r="T65" i="25" s="1"/>
  <c r="G65" i="25"/>
  <c r="S65" i="25" s="1"/>
  <c r="F65" i="25"/>
  <c r="R65" i="25" s="1"/>
  <c r="E65" i="25"/>
  <c r="Q65" i="25" s="1"/>
  <c r="D65" i="25"/>
  <c r="P65" i="25" s="1"/>
  <c r="A65" i="25"/>
  <c r="B65" i="25" s="1"/>
  <c r="X64" i="25"/>
  <c r="P64" i="25"/>
  <c r="O64" i="25"/>
  <c r="M64" i="25"/>
  <c r="Y64" i="25" s="1"/>
  <c r="L64" i="25"/>
  <c r="K64" i="25"/>
  <c r="W64" i="25" s="1"/>
  <c r="J64" i="25"/>
  <c r="V64" i="25" s="1"/>
  <c r="I64" i="25"/>
  <c r="U64" i="25" s="1"/>
  <c r="H64" i="25"/>
  <c r="T64" i="25" s="1"/>
  <c r="G64" i="25"/>
  <c r="S64" i="25" s="1"/>
  <c r="F64" i="25"/>
  <c r="R64" i="25" s="1"/>
  <c r="E64" i="25"/>
  <c r="Q64" i="25" s="1"/>
  <c r="D64" i="25"/>
  <c r="A64" i="25"/>
  <c r="B64" i="25" s="1"/>
  <c r="O63" i="25"/>
  <c r="M63" i="25"/>
  <c r="Y63" i="25" s="1"/>
  <c r="L63" i="25"/>
  <c r="X63" i="25" s="1"/>
  <c r="K63" i="25"/>
  <c r="W63" i="25" s="1"/>
  <c r="J63" i="25"/>
  <c r="V63" i="25" s="1"/>
  <c r="I63" i="25"/>
  <c r="U63" i="25" s="1"/>
  <c r="H63" i="25"/>
  <c r="T63" i="25" s="1"/>
  <c r="G63" i="25"/>
  <c r="S63" i="25" s="1"/>
  <c r="F63" i="25"/>
  <c r="R63" i="25" s="1"/>
  <c r="E63" i="25"/>
  <c r="Q63" i="25" s="1"/>
  <c r="D63" i="25"/>
  <c r="P63" i="25" s="1"/>
  <c r="A63" i="25"/>
  <c r="B63" i="25" s="1"/>
  <c r="O62" i="25"/>
  <c r="M62" i="25"/>
  <c r="Y62" i="25" s="1"/>
  <c r="L62" i="25"/>
  <c r="X62" i="25" s="1"/>
  <c r="K62" i="25"/>
  <c r="W62" i="25" s="1"/>
  <c r="J62" i="25"/>
  <c r="V62" i="25" s="1"/>
  <c r="I62" i="25"/>
  <c r="U62" i="25" s="1"/>
  <c r="H62" i="25"/>
  <c r="T62" i="25" s="1"/>
  <c r="G62" i="25"/>
  <c r="S62" i="25" s="1"/>
  <c r="F62" i="25"/>
  <c r="R62" i="25" s="1"/>
  <c r="E62" i="25"/>
  <c r="Q62" i="25" s="1"/>
  <c r="D62" i="25"/>
  <c r="P62" i="25" s="1"/>
  <c r="A62" i="25"/>
  <c r="B62" i="25" s="1"/>
  <c r="O61" i="25"/>
  <c r="M61" i="25"/>
  <c r="Y61" i="25" s="1"/>
  <c r="L61" i="25"/>
  <c r="X61" i="25" s="1"/>
  <c r="K61" i="25"/>
  <c r="W61" i="25" s="1"/>
  <c r="J61" i="25"/>
  <c r="V61" i="25" s="1"/>
  <c r="I61" i="25"/>
  <c r="U61" i="25" s="1"/>
  <c r="H61" i="25"/>
  <c r="T61" i="25" s="1"/>
  <c r="G61" i="25"/>
  <c r="S61" i="25" s="1"/>
  <c r="F61" i="25"/>
  <c r="R61" i="25" s="1"/>
  <c r="E61" i="25"/>
  <c r="Q61" i="25" s="1"/>
  <c r="D61" i="25"/>
  <c r="P61" i="25" s="1"/>
  <c r="A61" i="25"/>
  <c r="B61" i="25" s="1"/>
  <c r="X60" i="25"/>
  <c r="W60" i="25"/>
  <c r="O60" i="25"/>
  <c r="M60" i="25"/>
  <c r="Y60" i="25" s="1"/>
  <c r="L60" i="25"/>
  <c r="K60" i="25"/>
  <c r="J60" i="25"/>
  <c r="V60" i="25" s="1"/>
  <c r="I60" i="25"/>
  <c r="U60" i="25" s="1"/>
  <c r="H60" i="25"/>
  <c r="T60" i="25" s="1"/>
  <c r="G60" i="25"/>
  <c r="S60" i="25" s="1"/>
  <c r="F60" i="25"/>
  <c r="R60" i="25" s="1"/>
  <c r="E60" i="25"/>
  <c r="Q60" i="25" s="1"/>
  <c r="D60" i="25"/>
  <c r="P60" i="25" s="1"/>
  <c r="A60" i="25"/>
  <c r="B60" i="25" s="1"/>
  <c r="O59" i="25"/>
  <c r="M59" i="25"/>
  <c r="Y59" i="25" s="1"/>
  <c r="L59" i="25"/>
  <c r="X59" i="25" s="1"/>
  <c r="K59" i="25"/>
  <c r="W59" i="25" s="1"/>
  <c r="J59" i="25"/>
  <c r="V59" i="25" s="1"/>
  <c r="I59" i="25"/>
  <c r="U59" i="25" s="1"/>
  <c r="H59" i="25"/>
  <c r="T59" i="25" s="1"/>
  <c r="G59" i="25"/>
  <c r="S59" i="25" s="1"/>
  <c r="F59" i="25"/>
  <c r="R59" i="25" s="1"/>
  <c r="E59" i="25"/>
  <c r="Q59" i="25" s="1"/>
  <c r="D59" i="25"/>
  <c r="P59" i="25" s="1"/>
  <c r="A59" i="25"/>
  <c r="B59" i="25" s="1"/>
  <c r="T58" i="25"/>
  <c r="O58" i="25"/>
  <c r="M58" i="25"/>
  <c r="Y58" i="25" s="1"/>
  <c r="L58" i="25"/>
  <c r="X58" i="25" s="1"/>
  <c r="K58" i="25"/>
  <c r="W58" i="25" s="1"/>
  <c r="J58" i="25"/>
  <c r="V58" i="25" s="1"/>
  <c r="I58" i="25"/>
  <c r="U58" i="25" s="1"/>
  <c r="H58" i="25"/>
  <c r="G58" i="25"/>
  <c r="S58" i="25" s="1"/>
  <c r="F58" i="25"/>
  <c r="R58" i="25" s="1"/>
  <c r="E58" i="25"/>
  <c r="Q58" i="25" s="1"/>
  <c r="D58" i="25"/>
  <c r="P58" i="25" s="1"/>
  <c r="A58" i="25"/>
  <c r="B58" i="25" s="1"/>
  <c r="V57" i="25"/>
  <c r="O57" i="25"/>
  <c r="M57" i="25"/>
  <c r="Y57" i="25" s="1"/>
  <c r="L57" i="25"/>
  <c r="X57" i="25" s="1"/>
  <c r="K57" i="25"/>
  <c r="W57" i="25" s="1"/>
  <c r="J57" i="25"/>
  <c r="I57" i="25"/>
  <c r="U57" i="25" s="1"/>
  <c r="H57" i="25"/>
  <c r="T57" i="25" s="1"/>
  <c r="G57" i="25"/>
  <c r="S57" i="25" s="1"/>
  <c r="F57" i="25"/>
  <c r="R57" i="25" s="1"/>
  <c r="E57" i="25"/>
  <c r="Q57" i="25" s="1"/>
  <c r="D57" i="25"/>
  <c r="P57" i="25" s="1"/>
  <c r="A57" i="25"/>
  <c r="B57" i="25" s="1"/>
  <c r="X56" i="25"/>
  <c r="W56" i="25"/>
  <c r="P56" i="25"/>
  <c r="O56" i="25"/>
  <c r="M56" i="25"/>
  <c r="Y56" i="25" s="1"/>
  <c r="L56" i="25"/>
  <c r="K56" i="25"/>
  <c r="J56" i="25"/>
  <c r="V56" i="25" s="1"/>
  <c r="I56" i="25"/>
  <c r="U56" i="25" s="1"/>
  <c r="H56" i="25"/>
  <c r="T56" i="25" s="1"/>
  <c r="G56" i="25"/>
  <c r="S56" i="25" s="1"/>
  <c r="F56" i="25"/>
  <c r="R56" i="25" s="1"/>
  <c r="E56" i="25"/>
  <c r="Q56" i="25" s="1"/>
  <c r="D56" i="25"/>
  <c r="C56" i="25"/>
  <c r="A56" i="25"/>
  <c r="B56" i="25" s="1"/>
  <c r="Y55" i="25"/>
  <c r="R55" i="25"/>
  <c r="Q55" i="25"/>
  <c r="O55" i="25"/>
  <c r="M55" i="25"/>
  <c r="L55" i="25"/>
  <c r="X55" i="25" s="1"/>
  <c r="K55" i="25"/>
  <c r="W55" i="25" s="1"/>
  <c r="J55" i="25"/>
  <c r="V55" i="25" s="1"/>
  <c r="I55" i="25"/>
  <c r="U55" i="25" s="1"/>
  <c r="H55" i="25"/>
  <c r="T55" i="25" s="1"/>
  <c r="G55" i="25"/>
  <c r="S55" i="25" s="1"/>
  <c r="F55" i="25"/>
  <c r="E55" i="25"/>
  <c r="D55" i="25"/>
  <c r="P55" i="25" s="1"/>
  <c r="Z55" i="25" s="1"/>
  <c r="AA55" i="25" s="1"/>
  <c r="C55" i="25"/>
  <c r="A55" i="25"/>
  <c r="B55" i="25" s="1"/>
  <c r="T54" i="25"/>
  <c r="S54" i="25"/>
  <c r="O54" i="25"/>
  <c r="M54" i="25"/>
  <c r="Y54" i="25" s="1"/>
  <c r="L54" i="25"/>
  <c r="X54" i="25" s="1"/>
  <c r="K54" i="25"/>
  <c r="W54" i="25" s="1"/>
  <c r="J54" i="25"/>
  <c r="V54" i="25" s="1"/>
  <c r="I54" i="25"/>
  <c r="U54" i="25" s="1"/>
  <c r="H54" i="25"/>
  <c r="G54" i="25"/>
  <c r="F54" i="25"/>
  <c r="R54" i="25" s="1"/>
  <c r="E54" i="25"/>
  <c r="Q54" i="25" s="1"/>
  <c r="D54" i="25"/>
  <c r="P54" i="25" s="1"/>
  <c r="C54" i="25"/>
  <c r="B54" i="25"/>
  <c r="A54" i="25"/>
  <c r="V53" i="25"/>
  <c r="U53" i="25"/>
  <c r="O53" i="25"/>
  <c r="M53" i="25"/>
  <c r="Y53" i="25" s="1"/>
  <c r="L53" i="25"/>
  <c r="X53" i="25" s="1"/>
  <c r="K53" i="25"/>
  <c r="W53" i="25" s="1"/>
  <c r="J53" i="25"/>
  <c r="I53" i="25"/>
  <c r="H53" i="25"/>
  <c r="T53" i="25" s="1"/>
  <c r="G53" i="25"/>
  <c r="S53" i="25" s="1"/>
  <c r="F53" i="25"/>
  <c r="R53" i="25" s="1"/>
  <c r="E53" i="25"/>
  <c r="Q53" i="25" s="1"/>
  <c r="D53" i="25"/>
  <c r="P53" i="25" s="1"/>
  <c r="C53" i="25"/>
  <c r="A53" i="25"/>
  <c r="B53" i="25" s="1"/>
  <c r="X52" i="25"/>
  <c r="W52" i="25"/>
  <c r="P52" i="25"/>
  <c r="O52" i="25"/>
  <c r="Z52" i="25" s="1"/>
  <c r="AA52" i="25" s="1"/>
  <c r="M52" i="25"/>
  <c r="Y52" i="25" s="1"/>
  <c r="L52" i="25"/>
  <c r="K52" i="25"/>
  <c r="J52" i="25"/>
  <c r="V52" i="25" s="1"/>
  <c r="I52" i="25"/>
  <c r="U52" i="25" s="1"/>
  <c r="H52" i="25"/>
  <c r="T52" i="25" s="1"/>
  <c r="G52" i="25"/>
  <c r="S52" i="25" s="1"/>
  <c r="F52" i="25"/>
  <c r="R52" i="25" s="1"/>
  <c r="E52" i="25"/>
  <c r="Q52" i="25" s="1"/>
  <c r="D52" i="25"/>
  <c r="C52" i="25"/>
  <c r="A52" i="25"/>
  <c r="B52" i="25" s="1"/>
  <c r="Y51" i="25"/>
  <c r="R51" i="25"/>
  <c r="Q51" i="25"/>
  <c r="O51" i="25"/>
  <c r="M51" i="25"/>
  <c r="L51" i="25"/>
  <c r="X51" i="25" s="1"/>
  <c r="K51" i="25"/>
  <c r="W51" i="25" s="1"/>
  <c r="J51" i="25"/>
  <c r="V51" i="25" s="1"/>
  <c r="I51" i="25"/>
  <c r="U51" i="25" s="1"/>
  <c r="H51" i="25"/>
  <c r="T51" i="25" s="1"/>
  <c r="G51" i="25"/>
  <c r="S51" i="25" s="1"/>
  <c r="F51" i="25"/>
  <c r="E51" i="25"/>
  <c r="D51" i="25"/>
  <c r="P51" i="25" s="1"/>
  <c r="Z51" i="25" s="1"/>
  <c r="AA51" i="25" s="1"/>
  <c r="C51" i="25"/>
  <c r="A51" i="25"/>
  <c r="B51" i="25" s="1"/>
  <c r="T50" i="25"/>
  <c r="S50" i="25"/>
  <c r="O50" i="25"/>
  <c r="M50" i="25"/>
  <c r="Y50" i="25" s="1"/>
  <c r="L50" i="25"/>
  <c r="X50" i="25" s="1"/>
  <c r="K50" i="25"/>
  <c r="W50" i="25" s="1"/>
  <c r="J50" i="25"/>
  <c r="V50" i="25" s="1"/>
  <c r="I50" i="25"/>
  <c r="U50" i="25" s="1"/>
  <c r="H50" i="25"/>
  <c r="G50" i="25"/>
  <c r="F50" i="25"/>
  <c r="R50" i="25" s="1"/>
  <c r="E50" i="25"/>
  <c r="Q50" i="25" s="1"/>
  <c r="D50" i="25"/>
  <c r="P50" i="25" s="1"/>
  <c r="C50" i="25"/>
  <c r="B50" i="25"/>
  <c r="A50" i="25"/>
  <c r="V49" i="25"/>
  <c r="U49" i="25"/>
  <c r="O49" i="25"/>
  <c r="M49" i="25"/>
  <c r="Y49" i="25" s="1"/>
  <c r="L49" i="25"/>
  <c r="X49" i="25" s="1"/>
  <c r="K49" i="25"/>
  <c r="W49" i="25" s="1"/>
  <c r="J49" i="25"/>
  <c r="I49" i="25"/>
  <c r="H49" i="25"/>
  <c r="T49" i="25" s="1"/>
  <c r="G49" i="25"/>
  <c r="S49" i="25" s="1"/>
  <c r="F49" i="25"/>
  <c r="R49" i="25" s="1"/>
  <c r="E49" i="25"/>
  <c r="Q49" i="25" s="1"/>
  <c r="D49" i="25"/>
  <c r="P49" i="25" s="1"/>
  <c r="C49" i="25"/>
  <c r="A49" i="25"/>
  <c r="B49" i="25" s="1"/>
  <c r="W48" i="25"/>
  <c r="O48" i="25"/>
  <c r="M48" i="25"/>
  <c r="Y48" i="25" s="1"/>
  <c r="L48" i="25"/>
  <c r="X48" i="25" s="1"/>
  <c r="K48" i="25"/>
  <c r="J48" i="25"/>
  <c r="V48" i="25" s="1"/>
  <c r="I48" i="25"/>
  <c r="U48" i="25" s="1"/>
  <c r="H48" i="25"/>
  <c r="T48" i="25" s="1"/>
  <c r="G48" i="25"/>
  <c r="S48" i="25" s="1"/>
  <c r="F48" i="25"/>
  <c r="R48" i="25" s="1"/>
  <c r="E48" i="25"/>
  <c r="Q48" i="25" s="1"/>
  <c r="D48" i="25"/>
  <c r="P48" i="25" s="1"/>
  <c r="C48" i="25"/>
  <c r="A48" i="25"/>
  <c r="B48" i="25" s="1"/>
  <c r="Y47" i="25"/>
  <c r="Q47" i="25"/>
  <c r="O47" i="25"/>
  <c r="M47" i="25"/>
  <c r="L47" i="25"/>
  <c r="X47" i="25" s="1"/>
  <c r="K47" i="25"/>
  <c r="W47" i="25" s="1"/>
  <c r="J47" i="25"/>
  <c r="V47" i="25" s="1"/>
  <c r="I47" i="25"/>
  <c r="U47" i="25" s="1"/>
  <c r="H47" i="25"/>
  <c r="T47" i="25" s="1"/>
  <c r="G47" i="25"/>
  <c r="S47" i="25" s="1"/>
  <c r="F47" i="25"/>
  <c r="R47" i="25" s="1"/>
  <c r="E47" i="25"/>
  <c r="D47" i="25"/>
  <c r="P47" i="25" s="1"/>
  <c r="C47" i="25"/>
  <c r="A47" i="25"/>
  <c r="B47" i="25" s="1"/>
  <c r="S46" i="25"/>
  <c r="O46" i="25"/>
  <c r="M46" i="25"/>
  <c r="Y46" i="25" s="1"/>
  <c r="L46" i="25"/>
  <c r="X46" i="25" s="1"/>
  <c r="K46" i="25"/>
  <c r="W46" i="25" s="1"/>
  <c r="J46" i="25"/>
  <c r="V46" i="25" s="1"/>
  <c r="I46" i="25"/>
  <c r="U46" i="25" s="1"/>
  <c r="H46" i="25"/>
  <c r="T46" i="25" s="1"/>
  <c r="G46" i="25"/>
  <c r="F46" i="25"/>
  <c r="R46" i="25" s="1"/>
  <c r="E46" i="25"/>
  <c r="Q46" i="25" s="1"/>
  <c r="D46" i="25"/>
  <c r="P46" i="25" s="1"/>
  <c r="C46" i="25"/>
  <c r="B46" i="25"/>
  <c r="A46" i="25"/>
  <c r="U45" i="25"/>
  <c r="O45" i="25"/>
  <c r="M45" i="25"/>
  <c r="Y45" i="25" s="1"/>
  <c r="L45" i="25"/>
  <c r="X45" i="25" s="1"/>
  <c r="K45" i="25"/>
  <c r="W45" i="25" s="1"/>
  <c r="J45" i="25"/>
  <c r="V45" i="25" s="1"/>
  <c r="I45" i="25"/>
  <c r="H45" i="25"/>
  <c r="T45" i="25" s="1"/>
  <c r="G45" i="25"/>
  <c r="S45" i="25" s="1"/>
  <c r="F45" i="25"/>
  <c r="R45" i="25" s="1"/>
  <c r="E45" i="25"/>
  <c r="Q45" i="25" s="1"/>
  <c r="D45" i="25"/>
  <c r="P45" i="25" s="1"/>
  <c r="C45" i="25"/>
  <c r="A45" i="25"/>
  <c r="B45" i="25" s="1"/>
  <c r="W44" i="25"/>
  <c r="O44" i="25"/>
  <c r="M44" i="25"/>
  <c r="Y44" i="25" s="1"/>
  <c r="L44" i="25"/>
  <c r="X44" i="25" s="1"/>
  <c r="K44" i="25"/>
  <c r="J44" i="25"/>
  <c r="V44" i="25" s="1"/>
  <c r="I44" i="25"/>
  <c r="U44" i="25" s="1"/>
  <c r="H44" i="25"/>
  <c r="T44" i="25" s="1"/>
  <c r="G44" i="25"/>
  <c r="S44" i="25" s="1"/>
  <c r="F44" i="25"/>
  <c r="R44" i="25" s="1"/>
  <c r="E44" i="25"/>
  <c r="Q44" i="25" s="1"/>
  <c r="D44" i="25"/>
  <c r="P44" i="25" s="1"/>
  <c r="C44" i="25"/>
  <c r="A44" i="25"/>
  <c r="B44" i="25" s="1"/>
  <c r="Y43" i="25"/>
  <c r="Q43" i="25"/>
  <c r="O43" i="25"/>
  <c r="M43" i="25"/>
  <c r="L43" i="25"/>
  <c r="X43" i="25" s="1"/>
  <c r="K43" i="25"/>
  <c r="W43" i="25" s="1"/>
  <c r="J43" i="25"/>
  <c r="V43" i="25" s="1"/>
  <c r="I43" i="25"/>
  <c r="U43" i="25" s="1"/>
  <c r="H43" i="25"/>
  <c r="T43" i="25" s="1"/>
  <c r="G43" i="25"/>
  <c r="S43" i="25" s="1"/>
  <c r="F43" i="25"/>
  <c r="R43" i="25" s="1"/>
  <c r="E43" i="25"/>
  <c r="D43" i="25"/>
  <c r="P43" i="25" s="1"/>
  <c r="C43" i="25"/>
  <c r="A43" i="25"/>
  <c r="B43" i="25" s="1"/>
  <c r="S42" i="25"/>
  <c r="O42" i="25"/>
  <c r="M42" i="25"/>
  <c r="Y42" i="25" s="1"/>
  <c r="L42" i="25"/>
  <c r="X42" i="25" s="1"/>
  <c r="K42" i="25"/>
  <c r="W42" i="25" s="1"/>
  <c r="J42" i="25"/>
  <c r="V42" i="25" s="1"/>
  <c r="I42" i="25"/>
  <c r="U42" i="25" s="1"/>
  <c r="H42" i="25"/>
  <c r="T42" i="25" s="1"/>
  <c r="G42" i="25"/>
  <c r="F42" i="25"/>
  <c r="R42" i="25" s="1"/>
  <c r="E42" i="25"/>
  <c r="Q42" i="25" s="1"/>
  <c r="D42" i="25"/>
  <c r="P42" i="25" s="1"/>
  <c r="C42" i="25"/>
  <c r="B42" i="25"/>
  <c r="A42" i="25"/>
  <c r="U41" i="25"/>
  <c r="O41" i="25"/>
  <c r="M41" i="25"/>
  <c r="Y41" i="25" s="1"/>
  <c r="L41" i="25"/>
  <c r="X41" i="25" s="1"/>
  <c r="K41" i="25"/>
  <c r="W41" i="25" s="1"/>
  <c r="J41" i="25"/>
  <c r="V41" i="25" s="1"/>
  <c r="I41" i="25"/>
  <c r="H41" i="25"/>
  <c r="T41" i="25" s="1"/>
  <c r="G41" i="25"/>
  <c r="S41" i="25" s="1"/>
  <c r="F41" i="25"/>
  <c r="R41" i="25" s="1"/>
  <c r="E41" i="25"/>
  <c r="Q41" i="25" s="1"/>
  <c r="D41" i="25"/>
  <c r="P41" i="25" s="1"/>
  <c r="C41" i="25"/>
  <c r="A41" i="25"/>
  <c r="B41" i="25" s="1"/>
  <c r="W40" i="25"/>
  <c r="O40" i="25"/>
  <c r="M40" i="25"/>
  <c r="Y40" i="25" s="1"/>
  <c r="L40" i="25"/>
  <c r="X40" i="25" s="1"/>
  <c r="K40" i="25"/>
  <c r="J40" i="25"/>
  <c r="V40" i="25" s="1"/>
  <c r="I40" i="25"/>
  <c r="U40" i="25" s="1"/>
  <c r="H40" i="25"/>
  <c r="T40" i="25" s="1"/>
  <c r="G40" i="25"/>
  <c r="S40" i="25" s="1"/>
  <c r="F40" i="25"/>
  <c r="R40" i="25" s="1"/>
  <c r="E40" i="25"/>
  <c r="Q40" i="25" s="1"/>
  <c r="D40" i="25"/>
  <c r="P40" i="25" s="1"/>
  <c r="C40" i="25"/>
  <c r="A40" i="25"/>
  <c r="B40" i="25" s="1"/>
  <c r="Y39" i="25"/>
  <c r="Q39" i="25"/>
  <c r="O39" i="25"/>
  <c r="M39" i="25"/>
  <c r="L39" i="25"/>
  <c r="X39" i="25" s="1"/>
  <c r="K39" i="25"/>
  <c r="W39" i="25" s="1"/>
  <c r="J39" i="25"/>
  <c r="V39" i="25" s="1"/>
  <c r="I39" i="25"/>
  <c r="U39" i="25" s="1"/>
  <c r="H39" i="25"/>
  <c r="T39" i="25" s="1"/>
  <c r="G39" i="25"/>
  <c r="S39" i="25" s="1"/>
  <c r="F39" i="25"/>
  <c r="R39" i="25" s="1"/>
  <c r="E39" i="25"/>
  <c r="D39" i="25"/>
  <c r="P39" i="25" s="1"/>
  <c r="C39" i="25"/>
  <c r="A39" i="25"/>
  <c r="B39" i="25" s="1"/>
  <c r="S38" i="25"/>
  <c r="O38" i="25"/>
  <c r="M38" i="25"/>
  <c r="Y38" i="25" s="1"/>
  <c r="L38" i="25"/>
  <c r="X38" i="25" s="1"/>
  <c r="K38" i="25"/>
  <c r="W38" i="25" s="1"/>
  <c r="J38" i="25"/>
  <c r="V38" i="25" s="1"/>
  <c r="I38" i="25"/>
  <c r="U38" i="25" s="1"/>
  <c r="H38" i="25"/>
  <c r="T38" i="25" s="1"/>
  <c r="G38" i="25"/>
  <c r="F38" i="25"/>
  <c r="R38" i="25" s="1"/>
  <c r="E38" i="25"/>
  <c r="Q38" i="25" s="1"/>
  <c r="D38" i="25"/>
  <c r="P38" i="25" s="1"/>
  <c r="C38" i="25"/>
  <c r="B38" i="25"/>
  <c r="A38" i="25"/>
  <c r="U37" i="25"/>
  <c r="R37" i="25"/>
  <c r="O37" i="25"/>
  <c r="M37" i="25"/>
  <c r="Y37" i="25" s="1"/>
  <c r="L37" i="25"/>
  <c r="X37" i="25" s="1"/>
  <c r="K37" i="25"/>
  <c r="W37" i="25" s="1"/>
  <c r="J37" i="25"/>
  <c r="V37" i="25" s="1"/>
  <c r="I37" i="25"/>
  <c r="H37" i="25"/>
  <c r="T37" i="25" s="1"/>
  <c r="G37" i="25"/>
  <c r="S37" i="25" s="1"/>
  <c r="F37" i="25"/>
  <c r="E37" i="25"/>
  <c r="Q37" i="25" s="1"/>
  <c r="D37" i="25"/>
  <c r="P37" i="25" s="1"/>
  <c r="C37" i="25"/>
  <c r="A37" i="25"/>
  <c r="B37" i="25" s="1"/>
  <c r="W36" i="25"/>
  <c r="T36" i="25"/>
  <c r="O36" i="25"/>
  <c r="M36" i="25"/>
  <c r="Y36" i="25" s="1"/>
  <c r="L36" i="25"/>
  <c r="X36" i="25" s="1"/>
  <c r="K36" i="25"/>
  <c r="J36" i="25"/>
  <c r="V36" i="25" s="1"/>
  <c r="I36" i="25"/>
  <c r="U36" i="25" s="1"/>
  <c r="H36" i="25"/>
  <c r="G36" i="25"/>
  <c r="S36" i="25" s="1"/>
  <c r="F36" i="25"/>
  <c r="R36" i="25" s="1"/>
  <c r="E36" i="25"/>
  <c r="Q36" i="25" s="1"/>
  <c r="D36" i="25"/>
  <c r="P36" i="25" s="1"/>
  <c r="C36" i="25"/>
  <c r="A36" i="25"/>
  <c r="B36" i="25" s="1"/>
  <c r="Y35" i="25"/>
  <c r="V35" i="25"/>
  <c r="Q35" i="25"/>
  <c r="O35" i="25"/>
  <c r="M35" i="25"/>
  <c r="L35" i="25"/>
  <c r="X35" i="25" s="1"/>
  <c r="K35" i="25"/>
  <c r="W35" i="25" s="1"/>
  <c r="J35" i="25"/>
  <c r="I35" i="25"/>
  <c r="U35" i="25" s="1"/>
  <c r="H35" i="25"/>
  <c r="T35" i="25" s="1"/>
  <c r="G35" i="25"/>
  <c r="S35" i="25" s="1"/>
  <c r="F35" i="25"/>
  <c r="R35" i="25" s="1"/>
  <c r="E35" i="25"/>
  <c r="D35" i="25"/>
  <c r="P35" i="25" s="1"/>
  <c r="C35" i="25"/>
  <c r="A35" i="25"/>
  <c r="B35" i="25" s="1"/>
  <c r="X34" i="25"/>
  <c r="S34" i="25"/>
  <c r="P34" i="25"/>
  <c r="O34" i="25"/>
  <c r="M34" i="25"/>
  <c r="Y34" i="25" s="1"/>
  <c r="L34" i="25"/>
  <c r="K34" i="25"/>
  <c r="W34" i="25" s="1"/>
  <c r="J34" i="25"/>
  <c r="V34" i="25" s="1"/>
  <c r="I34" i="25"/>
  <c r="U34" i="25" s="1"/>
  <c r="H34" i="25"/>
  <c r="T34" i="25" s="1"/>
  <c r="G34" i="25"/>
  <c r="F34" i="25"/>
  <c r="R34" i="25" s="1"/>
  <c r="E34" i="25"/>
  <c r="Q34" i="25" s="1"/>
  <c r="D34" i="25"/>
  <c r="C34" i="25"/>
  <c r="B34" i="25"/>
  <c r="A34" i="25"/>
  <c r="U33" i="25"/>
  <c r="R33" i="25"/>
  <c r="O33" i="25"/>
  <c r="M33" i="25"/>
  <c r="Y33" i="25" s="1"/>
  <c r="L33" i="25"/>
  <c r="X33" i="25" s="1"/>
  <c r="K33" i="25"/>
  <c r="W33" i="25" s="1"/>
  <c r="J33" i="25"/>
  <c r="V33" i="25" s="1"/>
  <c r="I33" i="25"/>
  <c r="H33" i="25"/>
  <c r="T33" i="25" s="1"/>
  <c r="G33" i="25"/>
  <c r="S33" i="25" s="1"/>
  <c r="F33" i="25"/>
  <c r="E33" i="25"/>
  <c r="Q33" i="25" s="1"/>
  <c r="D33" i="25"/>
  <c r="P33" i="25" s="1"/>
  <c r="C33" i="25"/>
  <c r="A33" i="25"/>
  <c r="B33" i="25" s="1"/>
  <c r="W32" i="25"/>
  <c r="O32" i="25"/>
  <c r="M32" i="25"/>
  <c r="Y32" i="25" s="1"/>
  <c r="L32" i="25"/>
  <c r="X32" i="25" s="1"/>
  <c r="K32" i="25"/>
  <c r="J32" i="25"/>
  <c r="V32" i="25" s="1"/>
  <c r="I32" i="25"/>
  <c r="U32" i="25" s="1"/>
  <c r="H32" i="25"/>
  <c r="T32" i="25" s="1"/>
  <c r="G32" i="25"/>
  <c r="S32" i="25" s="1"/>
  <c r="F32" i="25"/>
  <c r="R32" i="25" s="1"/>
  <c r="E32" i="25"/>
  <c r="Q32" i="25" s="1"/>
  <c r="D32" i="25"/>
  <c r="P32" i="25" s="1"/>
  <c r="C32" i="25"/>
  <c r="A32" i="25"/>
  <c r="B32" i="25" s="1"/>
  <c r="Y31" i="25"/>
  <c r="Q31" i="25"/>
  <c r="O31" i="25"/>
  <c r="M31" i="25"/>
  <c r="L31" i="25"/>
  <c r="X31" i="25" s="1"/>
  <c r="K31" i="25"/>
  <c r="W31" i="25" s="1"/>
  <c r="J31" i="25"/>
  <c r="V31" i="25" s="1"/>
  <c r="I31" i="25"/>
  <c r="U31" i="25" s="1"/>
  <c r="H31" i="25"/>
  <c r="T31" i="25" s="1"/>
  <c r="G31" i="25"/>
  <c r="S31" i="25" s="1"/>
  <c r="F31" i="25"/>
  <c r="R31" i="25" s="1"/>
  <c r="E31" i="25"/>
  <c r="D31" i="25"/>
  <c r="P31" i="25" s="1"/>
  <c r="C31" i="25"/>
  <c r="A31" i="25"/>
  <c r="B31" i="25" s="1"/>
  <c r="S30" i="25"/>
  <c r="O30" i="25"/>
  <c r="M30" i="25"/>
  <c r="Y30" i="25" s="1"/>
  <c r="L30" i="25"/>
  <c r="X30" i="25" s="1"/>
  <c r="K30" i="25"/>
  <c r="W30" i="25" s="1"/>
  <c r="J30" i="25"/>
  <c r="V30" i="25" s="1"/>
  <c r="I30" i="25"/>
  <c r="U30" i="25" s="1"/>
  <c r="H30" i="25"/>
  <c r="T30" i="25" s="1"/>
  <c r="G30" i="25"/>
  <c r="F30" i="25"/>
  <c r="R30" i="25" s="1"/>
  <c r="E30" i="25"/>
  <c r="Q30" i="25" s="1"/>
  <c r="D30" i="25"/>
  <c r="P30" i="25" s="1"/>
  <c r="C30" i="25"/>
  <c r="B30" i="25"/>
  <c r="A30" i="25"/>
  <c r="V29" i="25"/>
  <c r="U29" i="25"/>
  <c r="O29" i="25"/>
  <c r="M29" i="25"/>
  <c r="Y29" i="25" s="1"/>
  <c r="L29" i="25"/>
  <c r="X29" i="25" s="1"/>
  <c r="K29" i="25"/>
  <c r="W29" i="25" s="1"/>
  <c r="J29" i="25"/>
  <c r="I29" i="25"/>
  <c r="H29" i="25"/>
  <c r="T29" i="25" s="1"/>
  <c r="G29" i="25"/>
  <c r="S29" i="25" s="1"/>
  <c r="F29" i="25"/>
  <c r="R29" i="25" s="1"/>
  <c r="E29" i="25"/>
  <c r="Q29" i="25" s="1"/>
  <c r="D29" i="25"/>
  <c r="P29" i="25" s="1"/>
  <c r="C29" i="25"/>
  <c r="A29" i="25"/>
  <c r="B29" i="25" s="1"/>
  <c r="X28" i="25"/>
  <c r="W28" i="25"/>
  <c r="V28" i="25"/>
  <c r="P28" i="25"/>
  <c r="O28" i="25"/>
  <c r="M28" i="25"/>
  <c r="Y28" i="25" s="1"/>
  <c r="L28" i="25"/>
  <c r="K28" i="25"/>
  <c r="J28" i="25"/>
  <c r="I28" i="25"/>
  <c r="U28" i="25" s="1"/>
  <c r="H28" i="25"/>
  <c r="T28" i="25" s="1"/>
  <c r="G28" i="25"/>
  <c r="S28" i="25" s="1"/>
  <c r="F28" i="25"/>
  <c r="R28" i="25" s="1"/>
  <c r="E28" i="25"/>
  <c r="Q28" i="25" s="1"/>
  <c r="D28" i="25"/>
  <c r="C28" i="25"/>
  <c r="A28" i="25"/>
  <c r="B28" i="25" s="1"/>
  <c r="Y27" i="25"/>
  <c r="X27" i="25"/>
  <c r="R27" i="25"/>
  <c r="Q27" i="25"/>
  <c r="P27" i="25"/>
  <c r="O27" i="25"/>
  <c r="M27" i="25"/>
  <c r="L27" i="25"/>
  <c r="K27" i="25"/>
  <c r="W27" i="25" s="1"/>
  <c r="J27" i="25"/>
  <c r="V27" i="25" s="1"/>
  <c r="I27" i="25"/>
  <c r="U27" i="25" s="1"/>
  <c r="H27" i="25"/>
  <c r="T27" i="25" s="1"/>
  <c r="G27" i="25"/>
  <c r="S27" i="25" s="1"/>
  <c r="F27" i="25"/>
  <c r="E27" i="25"/>
  <c r="D27" i="25"/>
  <c r="C27" i="25"/>
  <c r="A27" i="25"/>
  <c r="B27" i="25" s="1"/>
  <c r="T26" i="25"/>
  <c r="S26" i="25"/>
  <c r="R26" i="25"/>
  <c r="O26" i="25"/>
  <c r="M26" i="25"/>
  <c r="Y26" i="25" s="1"/>
  <c r="L26" i="25"/>
  <c r="X26" i="25" s="1"/>
  <c r="K26" i="25"/>
  <c r="W26" i="25" s="1"/>
  <c r="J26" i="25"/>
  <c r="V26" i="25" s="1"/>
  <c r="I26" i="25"/>
  <c r="U26" i="25" s="1"/>
  <c r="H26" i="25"/>
  <c r="G26" i="25"/>
  <c r="F26" i="25"/>
  <c r="E26" i="25"/>
  <c r="Q26" i="25" s="1"/>
  <c r="D26" i="25"/>
  <c r="P26" i="25" s="1"/>
  <c r="C26" i="25"/>
  <c r="A26" i="25"/>
  <c r="B26" i="25" s="1"/>
  <c r="X25" i="25"/>
  <c r="S25" i="25"/>
  <c r="P25" i="25"/>
  <c r="O25" i="25"/>
  <c r="M25" i="25"/>
  <c r="Y25" i="25" s="1"/>
  <c r="L25" i="25"/>
  <c r="K25" i="25"/>
  <c r="W25" i="25" s="1"/>
  <c r="J25" i="25"/>
  <c r="V25" i="25" s="1"/>
  <c r="I25" i="25"/>
  <c r="U25" i="25" s="1"/>
  <c r="H25" i="25"/>
  <c r="T25" i="25" s="1"/>
  <c r="G25" i="25"/>
  <c r="F25" i="25"/>
  <c r="R25" i="25" s="1"/>
  <c r="E25" i="25"/>
  <c r="Q25" i="25" s="1"/>
  <c r="D25" i="25"/>
  <c r="C25" i="25"/>
  <c r="A25" i="25"/>
  <c r="B25" i="25" s="1"/>
  <c r="X24" i="25"/>
  <c r="V24" i="25"/>
  <c r="T24" i="25"/>
  <c r="R24" i="25"/>
  <c r="P24" i="25"/>
  <c r="O24" i="25"/>
  <c r="M24" i="25"/>
  <c r="Y24" i="25" s="1"/>
  <c r="L24" i="25"/>
  <c r="K24" i="25"/>
  <c r="W24" i="25" s="1"/>
  <c r="J24" i="25"/>
  <c r="I24" i="25"/>
  <c r="U24" i="25" s="1"/>
  <c r="H24" i="25"/>
  <c r="G24" i="25"/>
  <c r="S24" i="25" s="1"/>
  <c r="F24" i="25"/>
  <c r="E24" i="25"/>
  <c r="Q24" i="25" s="1"/>
  <c r="D24" i="25"/>
  <c r="C24" i="25"/>
  <c r="B24" i="25"/>
  <c r="A24" i="25"/>
  <c r="X23" i="25"/>
  <c r="V23" i="25"/>
  <c r="T23" i="25"/>
  <c r="R23" i="25"/>
  <c r="P23" i="25"/>
  <c r="O23" i="25"/>
  <c r="M23" i="25"/>
  <c r="Y23" i="25" s="1"/>
  <c r="L23" i="25"/>
  <c r="K23" i="25"/>
  <c r="W23" i="25" s="1"/>
  <c r="J23" i="25"/>
  <c r="I23" i="25"/>
  <c r="U23" i="25" s="1"/>
  <c r="H23" i="25"/>
  <c r="G23" i="25"/>
  <c r="S23" i="25" s="1"/>
  <c r="F23" i="25"/>
  <c r="E23" i="25"/>
  <c r="Q23" i="25" s="1"/>
  <c r="D23" i="25"/>
  <c r="C23" i="25"/>
  <c r="A23" i="25"/>
  <c r="B23" i="25" s="1"/>
  <c r="X22" i="25"/>
  <c r="V22" i="25"/>
  <c r="T22" i="25"/>
  <c r="R22" i="25"/>
  <c r="P22" i="25"/>
  <c r="O22" i="25"/>
  <c r="M22" i="25"/>
  <c r="Y22" i="25" s="1"/>
  <c r="L22" i="25"/>
  <c r="K22" i="25"/>
  <c r="W22" i="25" s="1"/>
  <c r="J22" i="25"/>
  <c r="I22" i="25"/>
  <c r="U22" i="25" s="1"/>
  <c r="H22" i="25"/>
  <c r="G22" i="25"/>
  <c r="S22" i="25" s="1"/>
  <c r="F22" i="25"/>
  <c r="E22" i="25"/>
  <c r="Q22" i="25" s="1"/>
  <c r="D22" i="25"/>
  <c r="C22" i="25"/>
  <c r="A22" i="25"/>
  <c r="B22" i="25" s="1"/>
  <c r="X21" i="25"/>
  <c r="V21" i="25"/>
  <c r="T21" i="25"/>
  <c r="R21" i="25"/>
  <c r="P21" i="25"/>
  <c r="O21" i="25"/>
  <c r="M21" i="25"/>
  <c r="Y21" i="25" s="1"/>
  <c r="L21" i="25"/>
  <c r="K21" i="25"/>
  <c r="W21" i="25" s="1"/>
  <c r="J21" i="25"/>
  <c r="I21" i="25"/>
  <c r="U21" i="25" s="1"/>
  <c r="H21" i="25"/>
  <c r="G21" i="25"/>
  <c r="S21" i="25" s="1"/>
  <c r="F21" i="25"/>
  <c r="E21" i="25"/>
  <c r="Q21" i="25" s="1"/>
  <c r="Z21" i="25" s="1"/>
  <c r="AA21" i="25" s="1"/>
  <c r="D21" i="25"/>
  <c r="C21" i="25"/>
  <c r="A21" i="25"/>
  <c r="B21" i="25" s="1"/>
  <c r="X20" i="25"/>
  <c r="V20" i="25"/>
  <c r="T20" i="25"/>
  <c r="R20" i="25"/>
  <c r="P20" i="25"/>
  <c r="O20" i="25"/>
  <c r="M20" i="25"/>
  <c r="Y20" i="25" s="1"/>
  <c r="L20" i="25"/>
  <c r="K20" i="25"/>
  <c r="W20" i="25" s="1"/>
  <c r="J20" i="25"/>
  <c r="I20" i="25"/>
  <c r="U20" i="25" s="1"/>
  <c r="H20" i="25"/>
  <c r="G20" i="25"/>
  <c r="S20" i="25" s="1"/>
  <c r="F20" i="25"/>
  <c r="E20" i="25"/>
  <c r="Q20" i="25" s="1"/>
  <c r="D20" i="25"/>
  <c r="C20" i="25"/>
  <c r="B20" i="25"/>
  <c r="A20" i="25"/>
  <c r="X19" i="25"/>
  <c r="V19" i="25"/>
  <c r="T19" i="25"/>
  <c r="R19" i="25"/>
  <c r="P19" i="25"/>
  <c r="O19" i="25"/>
  <c r="M19" i="25"/>
  <c r="Y19" i="25" s="1"/>
  <c r="L19" i="25"/>
  <c r="K19" i="25"/>
  <c r="W19" i="25" s="1"/>
  <c r="J19" i="25"/>
  <c r="I19" i="25"/>
  <c r="U19" i="25" s="1"/>
  <c r="H19" i="25"/>
  <c r="G19" i="25"/>
  <c r="S19" i="25" s="1"/>
  <c r="F19" i="25"/>
  <c r="E19" i="25"/>
  <c r="Q19" i="25" s="1"/>
  <c r="D19" i="25"/>
  <c r="C19" i="25"/>
  <c r="A19" i="25"/>
  <c r="B19" i="25" s="1"/>
  <c r="X18" i="25"/>
  <c r="V18" i="25"/>
  <c r="T18" i="25"/>
  <c r="R18" i="25"/>
  <c r="P18" i="25"/>
  <c r="O18" i="25"/>
  <c r="M18" i="25"/>
  <c r="Y18" i="25" s="1"/>
  <c r="L18" i="25"/>
  <c r="K18" i="25"/>
  <c r="W18" i="25" s="1"/>
  <c r="J18" i="25"/>
  <c r="I18" i="25"/>
  <c r="U18" i="25" s="1"/>
  <c r="H18" i="25"/>
  <c r="G18" i="25"/>
  <c r="S18" i="25" s="1"/>
  <c r="F18" i="25"/>
  <c r="E18" i="25"/>
  <c r="Q18" i="25" s="1"/>
  <c r="Z18" i="25" s="1"/>
  <c r="AA18" i="25" s="1"/>
  <c r="D18" i="25"/>
  <c r="C18" i="25"/>
  <c r="A18" i="25"/>
  <c r="B18" i="25" s="1"/>
  <c r="X17" i="25"/>
  <c r="V17" i="25"/>
  <c r="T17" i="25"/>
  <c r="R17" i="25"/>
  <c r="P17" i="25"/>
  <c r="O17" i="25"/>
  <c r="M17" i="25"/>
  <c r="Y17" i="25" s="1"/>
  <c r="L17" i="25"/>
  <c r="K17" i="25"/>
  <c r="W17" i="25" s="1"/>
  <c r="J17" i="25"/>
  <c r="I17" i="25"/>
  <c r="U17" i="25" s="1"/>
  <c r="H17" i="25"/>
  <c r="G17" i="25"/>
  <c r="S17" i="25" s="1"/>
  <c r="F17" i="25"/>
  <c r="E17" i="25"/>
  <c r="Q17" i="25" s="1"/>
  <c r="D17" i="25"/>
  <c r="C17" i="25"/>
  <c r="A17" i="25"/>
  <c r="B17" i="25" s="1"/>
  <c r="X16" i="25"/>
  <c r="V16" i="25"/>
  <c r="T16" i="25"/>
  <c r="P16" i="25"/>
  <c r="O16" i="25"/>
  <c r="M16" i="25"/>
  <c r="Y16" i="25" s="1"/>
  <c r="L16" i="25"/>
  <c r="K16" i="25"/>
  <c r="W16" i="25" s="1"/>
  <c r="J16" i="25"/>
  <c r="I16" i="25"/>
  <c r="U16" i="25" s="1"/>
  <c r="H16" i="25"/>
  <c r="G16" i="25"/>
  <c r="S16" i="25" s="1"/>
  <c r="F16" i="25"/>
  <c r="R16" i="25" s="1"/>
  <c r="E16" i="25"/>
  <c r="Q16" i="25" s="1"/>
  <c r="D16" i="25"/>
  <c r="C16" i="25"/>
  <c r="B16" i="25"/>
  <c r="A16" i="25"/>
  <c r="X15" i="25"/>
  <c r="V15" i="25"/>
  <c r="R15" i="25"/>
  <c r="P15" i="25"/>
  <c r="O15" i="25"/>
  <c r="M15" i="25"/>
  <c r="Y15" i="25" s="1"/>
  <c r="L15" i="25"/>
  <c r="K15" i="25"/>
  <c r="W15" i="25" s="1"/>
  <c r="J15" i="25"/>
  <c r="I15" i="25"/>
  <c r="U15" i="25" s="1"/>
  <c r="H15" i="25"/>
  <c r="T15" i="25" s="1"/>
  <c r="G15" i="25"/>
  <c r="S15" i="25" s="1"/>
  <c r="F15" i="25"/>
  <c r="E15" i="25"/>
  <c r="Q15" i="25" s="1"/>
  <c r="D15" i="25"/>
  <c r="C15" i="25"/>
  <c r="A15" i="25"/>
  <c r="B15" i="25" s="1"/>
  <c r="X14" i="25"/>
  <c r="T14" i="25"/>
  <c r="R14" i="25"/>
  <c r="P14" i="25"/>
  <c r="O14" i="25"/>
  <c r="M14" i="25"/>
  <c r="Y14" i="25" s="1"/>
  <c r="L14" i="25"/>
  <c r="K14" i="25"/>
  <c r="W14" i="25" s="1"/>
  <c r="J14" i="25"/>
  <c r="V14" i="25" s="1"/>
  <c r="I14" i="25"/>
  <c r="U14" i="25" s="1"/>
  <c r="H14" i="25"/>
  <c r="G14" i="25"/>
  <c r="S14" i="25" s="1"/>
  <c r="F14" i="25"/>
  <c r="E14" i="25"/>
  <c r="Q14" i="25" s="1"/>
  <c r="D14" i="25"/>
  <c r="C14" i="25"/>
  <c r="A14" i="25"/>
  <c r="B14" i="25" s="1"/>
  <c r="V13" i="25"/>
  <c r="T13" i="25"/>
  <c r="R13" i="25"/>
  <c r="O13" i="25"/>
  <c r="M13" i="25"/>
  <c r="Y13" i="25" s="1"/>
  <c r="L13" i="25"/>
  <c r="X13" i="25" s="1"/>
  <c r="K13" i="25"/>
  <c r="W13" i="25" s="1"/>
  <c r="J13" i="25"/>
  <c r="I13" i="25"/>
  <c r="U13" i="25" s="1"/>
  <c r="H13" i="25"/>
  <c r="G13" i="25"/>
  <c r="S13" i="25" s="1"/>
  <c r="F13" i="25"/>
  <c r="E13" i="25"/>
  <c r="Q13" i="25" s="1"/>
  <c r="D13" i="25"/>
  <c r="P13" i="25" s="1"/>
  <c r="C13" i="25"/>
  <c r="A13" i="25"/>
  <c r="B13" i="25" s="1"/>
  <c r="X12" i="25"/>
  <c r="V12" i="25"/>
  <c r="T12" i="25"/>
  <c r="P12" i="25"/>
  <c r="O12" i="25"/>
  <c r="M12" i="25"/>
  <c r="Y12" i="25" s="1"/>
  <c r="L12" i="25"/>
  <c r="K12" i="25"/>
  <c r="W12" i="25" s="1"/>
  <c r="J12" i="25"/>
  <c r="I12" i="25"/>
  <c r="U12" i="25" s="1"/>
  <c r="H12" i="25"/>
  <c r="G12" i="25"/>
  <c r="S12" i="25" s="1"/>
  <c r="F12" i="25"/>
  <c r="R12" i="25" s="1"/>
  <c r="E12" i="25"/>
  <c r="Q12" i="25" s="1"/>
  <c r="D12" i="25"/>
  <c r="C12" i="25"/>
  <c r="B12" i="25"/>
  <c r="A12" i="25"/>
  <c r="X11" i="25"/>
  <c r="V11" i="25"/>
  <c r="R11" i="25"/>
  <c r="P11" i="25"/>
  <c r="O11" i="25"/>
  <c r="M11" i="25"/>
  <c r="Y11" i="25" s="1"/>
  <c r="L11" i="25"/>
  <c r="K11" i="25"/>
  <c r="W11" i="25" s="1"/>
  <c r="J11" i="25"/>
  <c r="I11" i="25"/>
  <c r="U11" i="25" s="1"/>
  <c r="H11" i="25"/>
  <c r="T11" i="25" s="1"/>
  <c r="G11" i="25"/>
  <c r="S11" i="25" s="1"/>
  <c r="F11" i="25"/>
  <c r="E11" i="25"/>
  <c r="Q11" i="25" s="1"/>
  <c r="Z11" i="25" s="1"/>
  <c r="AA11" i="25" s="1"/>
  <c r="D11" i="25"/>
  <c r="C11" i="25"/>
  <c r="A11" i="25"/>
  <c r="B11" i="25" s="1"/>
  <c r="X10" i="25"/>
  <c r="T10" i="25"/>
  <c r="R10" i="25"/>
  <c r="P10" i="25"/>
  <c r="O10" i="25"/>
  <c r="M10" i="25"/>
  <c r="Y10" i="25" s="1"/>
  <c r="L10" i="25"/>
  <c r="K10" i="25"/>
  <c r="W10" i="25" s="1"/>
  <c r="J10" i="25"/>
  <c r="V10" i="25" s="1"/>
  <c r="I10" i="25"/>
  <c r="U10" i="25" s="1"/>
  <c r="H10" i="25"/>
  <c r="G10" i="25"/>
  <c r="S10" i="25" s="1"/>
  <c r="F10" i="25"/>
  <c r="E10" i="25"/>
  <c r="Q10" i="25" s="1"/>
  <c r="D10" i="25"/>
  <c r="C10" i="25"/>
  <c r="A10" i="25"/>
  <c r="B10" i="25" s="1"/>
  <c r="V9" i="25"/>
  <c r="T9" i="25"/>
  <c r="R9" i="25"/>
  <c r="O9" i="25"/>
  <c r="M9" i="25"/>
  <c r="Y9" i="25" s="1"/>
  <c r="L9" i="25"/>
  <c r="X9" i="25" s="1"/>
  <c r="K9" i="25"/>
  <c r="W9" i="25" s="1"/>
  <c r="J9" i="25"/>
  <c r="I9" i="25"/>
  <c r="U9" i="25" s="1"/>
  <c r="H9" i="25"/>
  <c r="G9" i="25"/>
  <c r="S9" i="25" s="1"/>
  <c r="F9" i="25"/>
  <c r="E9" i="25"/>
  <c r="Q9" i="25" s="1"/>
  <c r="D9" i="25"/>
  <c r="P9" i="25" s="1"/>
  <c r="C9" i="25"/>
  <c r="A9" i="25"/>
  <c r="B9" i="25" s="1"/>
  <c r="X8" i="25"/>
  <c r="V8" i="25"/>
  <c r="T8" i="25"/>
  <c r="P8" i="25"/>
  <c r="O8" i="25"/>
  <c r="M8" i="25"/>
  <c r="Y8" i="25" s="1"/>
  <c r="L8" i="25"/>
  <c r="K8" i="25"/>
  <c r="W8" i="25" s="1"/>
  <c r="J8" i="25"/>
  <c r="I8" i="25"/>
  <c r="U8" i="25" s="1"/>
  <c r="H8" i="25"/>
  <c r="G8" i="25"/>
  <c r="S8" i="25" s="1"/>
  <c r="F8" i="25"/>
  <c r="R8" i="25" s="1"/>
  <c r="E8" i="25"/>
  <c r="Q8" i="25" s="1"/>
  <c r="D8" i="25"/>
  <c r="C8" i="25"/>
  <c r="A8" i="25"/>
  <c r="B8" i="25" s="1"/>
  <c r="X7" i="25"/>
  <c r="V7" i="25"/>
  <c r="R7" i="25"/>
  <c r="P7" i="25"/>
  <c r="O7" i="25"/>
  <c r="M7" i="25"/>
  <c r="Y7" i="25" s="1"/>
  <c r="L7" i="25"/>
  <c r="K7" i="25"/>
  <c r="W7" i="25" s="1"/>
  <c r="J7" i="25"/>
  <c r="I7" i="25"/>
  <c r="U7" i="25" s="1"/>
  <c r="H7" i="25"/>
  <c r="T7" i="25" s="1"/>
  <c r="G7" i="25"/>
  <c r="S7" i="25" s="1"/>
  <c r="F7" i="25"/>
  <c r="E7" i="25"/>
  <c r="Q7" i="25" s="1"/>
  <c r="D7" i="25"/>
  <c r="C7" i="25"/>
  <c r="A7" i="25"/>
  <c r="B7" i="25" s="1"/>
  <c r="X6" i="25"/>
  <c r="T6" i="25"/>
  <c r="R6" i="25"/>
  <c r="P6" i="25"/>
  <c r="O6" i="25"/>
  <c r="M6" i="25"/>
  <c r="Y6" i="25" s="1"/>
  <c r="L6" i="25"/>
  <c r="K6" i="25"/>
  <c r="W6" i="25" s="1"/>
  <c r="J6" i="25"/>
  <c r="V6" i="25" s="1"/>
  <c r="I6" i="25"/>
  <c r="U6" i="25" s="1"/>
  <c r="H6" i="25"/>
  <c r="G6" i="25"/>
  <c r="S6" i="25" s="1"/>
  <c r="F6" i="25"/>
  <c r="E6" i="25"/>
  <c r="Q6" i="25" s="1"/>
  <c r="D6" i="25"/>
  <c r="C6" i="25"/>
  <c r="A6" i="25"/>
  <c r="B6" i="25" s="1"/>
  <c r="V5" i="25"/>
  <c r="T5" i="25"/>
  <c r="R5" i="25"/>
  <c r="O5" i="25"/>
  <c r="M5" i="25"/>
  <c r="Y5" i="25" s="1"/>
  <c r="L5" i="25"/>
  <c r="X5" i="25" s="1"/>
  <c r="K5" i="25"/>
  <c r="W5" i="25" s="1"/>
  <c r="J5" i="25"/>
  <c r="I5" i="25"/>
  <c r="U5" i="25" s="1"/>
  <c r="H5" i="25"/>
  <c r="G5" i="25"/>
  <c r="S5" i="25" s="1"/>
  <c r="F5" i="25"/>
  <c r="E5" i="25"/>
  <c r="Q5" i="25" s="1"/>
  <c r="D5" i="25"/>
  <c r="P5" i="25" s="1"/>
  <c r="C5" i="25"/>
  <c r="A5" i="25"/>
  <c r="B5" i="25" s="1"/>
  <c r="X4" i="25"/>
  <c r="V4" i="25"/>
  <c r="T4" i="25"/>
  <c r="P4" i="25"/>
  <c r="O4" i="25"/>
  <c r="M4" i="25"/>
  <c r="Y4" i="25" s="1"/>
  <c r="L4" i="25"/>
  <c r="K4" i="25"/>
  <c r="W4" i="25" s="1"/>
  <c r="J4" i="25"/>
  <c r="I4" i="25"/>
  <c r="U4" i="25" s="1"/>
  <c r="H4" i="25"/>
  <c r="G4" i="25"/>
  <c r="S4" i="25" s="1"/>
  <c r="F4" i="25"/>
  <c r="R4" i="25" s="1"/>
  <c r="E4" i="25"/>
  <c r="Q4" i="25" s="1"/>
  <c r="D4" i="25"/>
  <c r="C4" i="25"/>
  <c r="A4" i="25"/>
  <c r="B4" i="25" s="1"/>
  <c r="X3" i="25"/>
  <c r="V3" i="25"/>
  <c r="R3" i="25"/>
  <c r="P3" i="25"/>
  <c r="O3" i="25"/>
  <c r="M3" i="25"/>
  <c r="Y3" i="25" s="1"/>
  <c r="L3" i="25"/>
  <c r="K3" i="25"/>
  <c r="W3" i="25" s="1"/>
  <c r="J3" i="25"/>
  <c r="I3" i="25"/>
  <c r="U3" i="25" s="1"/>
  <c r="H3" i="25"/>
  <c r="T3" i="25" s="1"/>
  <c r="G3" i="25"/>
  <c r="S3" i="25" s="1"/>
  <c r="F3" i="25"/>
  <c r="E3" i="25"/>
  <c r="Q3" i="25" s="1"/>
  <c r="D3" i="25"/>
  <c r="C3" i="25"/>
  <c r="A3" i="25"/>
  <c r="B3" i="25" s="1"/>
  <c r="W2" i="25"/>
  <c r="R1" i="25"/>
  <c r="M2" i="25"/>
  <c r="Y2" i="25" s="1"/>
  <c r="L2" i="25"/>
  <c r="X2" i="25" s="1"/>
  <c r="K2" i="25"/>
  <c r="J2" i="25"/>
  <c r="I2" i="25"/>
  <c r="H2" i="25"/>
  <c r="G2" i="25"/>
  <c r="F2" i="25"/>
  <c r="E2" i="25"/>
  <c r="D2" i="25"/>
  <c r="M1" i="25"/>
  <c r="Y1" i="25" s="1"/>
  <c r="L1" i="25"/>
  <c r="X1" i="25" s="1"/>
  <c r="K1" i="25"/>
  <c r="W1" i="25" s="1"/>
  <c r="J1" i="25"/>
  <c r="V1" i="25" s="1"/>
  <c r="I1" i="25"/>
  <c r="U1" i="25" s="1"/>
  <c r="H1" i="25"/>
  <c r="T1" i="25" s="1"/>
  <c r="G1" i="25"/>
  <c r="S1" i="25" s="1"/>
  <c r="F1" i="25"/>
  <c r="E1" i="25"/>
  <c r="Q1" i="25" s="1"/>
  <c r="D1" i="25"/>
  <c r="P1" i="25" s="1"/>
  <c r="K73" i="21"/>
  <c r="U73" i="21" s="1"/>
  <c r="J73" i="21"/>
  <c r="T73" i="21" s="1"/>
  <c r="I73" i="21"/>
  <c r="S73" i="21" s="1"/>
  <c r="H73" i="21"/>
  <c r="G73" i="21"/>
  <c r="F73" i="21"/>
  <c r="K72" i="21"/>
  <c r="U72" i="21" s="1"/>
  <c r="J72" i="21"/>
  <c r="T72" i="21" s="1"/>
  <c r="I72" i="21"/>
  <c r="S72" i="21" s="1"/>
  <c r="H72" i="21"/>
  <c r="G72" i="21"/>
  <c r="Q72" i="21" s="1"/>
  <c r="F72" i="21"/>
  <c r="K71" i="21"/>
  <c r="U71" i="21" s="1"/>
  <c r="J71" i="21"/>
  <c r="T71" i="21" s="1"/>
  <c r="I71" i="21"/>
  <c r="S71" i="21" s="1"/>
  <c r="H71" i="21"/>
  <c r="G71" i="21"/>
  <c r="F71" i="21"/>
  <c r="K70" i="21"/>
  <c r="U70" i="21" s="1"/>
  <c r="J70" i="21"/>
  <c r="T70" i="21" s="1"/>
  <c r="I70" i="21"/>
  <c r="S70" i="21" s="1"/>
  <c r="H70" i="21"/>
  <c r="G70" i="21"/>
  <c r="Q70" i="21" s="1"/>
  <c r="F70" i="21"/>
  <c r="K69" i="21"/>
  <c r="U69" i="21" s="1"/>
  <c r="J69" i="21"/>
  <c r="T69" i="21" s="1"/>
  <c r="I69" i="21"/>
  <c r="S69" i="21" s="1"/>
  <c r="H69" i="21"/>
  <c r="G69" i="21"/>
  <c r="F69" i="21"/>
  <c r="K68" i="21"/>
  <c r="U68" i="21" s="1"/>
  <c r="J68" i="21"/>
  <c r="T68" i="21" s="1"/>
  <c r="I68" i="21"/>
  <c r="S68" i="21" s="1"/>
  <c r="H68" i="21"/>
  <c r="G68" i="21"/>
  <c r="Q68" i="21" s="1"/>
  <c r="F68" i="21"/>
  <c r="K67" i="21"/>
  <c r="U67" i="21" s="1"/>
  <c r="J67" i="21"/>
  <c r="T67" i="21" s="1"/>
  <c r="I67" i="21"/>
  <c r="S67" i="21" s="1"/>
  <c r="H67" i="21"/>
  <c r="G67" i="21"/>
  <c r="F67" i="21"/>
  <c r="K66" i="21"/>
  <c r="U66" i="21" s="1"/>
  <c r="J66" i="21"/>
  <c r="T66" i="21" s="1"/>
  <c r="I66" i="21"/>
  <c r="S66" i="21" s="1"/>
  <c r="H66" i="21"/>
  <c r="G66" i="21"/>
  <c r="Q66" i="21" s="1"/>
  <c r="F66" i="21"/>
  <c r="K65" i="21"/>
  <c r="U65" i="21" s="1"/>
  <c r="J65" i="21"/>
  <c r="T65" i="21" s="1"/>
  <c r="I65" i="21"/>
  <c r="S65" i="21" s="1"/>
  <c r="H65" i="21"/>
  <c r="G65" i="21"/>
  <c r="F65" i="21"/>
  <c r="K64" i="21"/>
  <c r="U64" i="21" s="1"/>
  <c r="J64" i="21"/>
  <c r="T64" i="21" s="1"/>
  <c r="I64" i="21"/>
  <c r="S64" i="21" s="1"/>
  <c r="H64" i="21"/>
  <c r="G64" i="21"/>
  <c r="Q64" i="21" s="1"/>
  <c r="F64" i="21"/>
  <c r="K63" i="21"/>
  <c r="U63" i="21" s="1"/>
  <c r="J63" i="21"/>
  <c r="T63" i="21" s="1"/>
  <c r="I63" i="21"/>
  <c r="S63" i="21" s="1"/>
  <c r="H63" i="21"/>
  <c r="G63" i="21"/>
  <c r="F63" i="21"/>
  <c r="K62" i="21"/>
  <c r="U62" i="21" s="1"/>
  <c r="J62" i="21"/>
  <c r="T62" i="21" s="1"/>
  <c r="I62" i="21"/>
  <c r="S62" i="21" s="1"/>
  <c r="H62" i="21"/>
  <c r="G62" i="21"/>
  <c r="Q62" i="21" s="1"/>
  <c r="F62" i="21"/>
  <c r="K61" i="21"/>
  <c r="U61" i="21" s="1"/>
  <c r="J61" i="21"/>
  <c r="T61" i="21" s="1"/>
  <c r="I61" i="21"/>
  <c r="S61" i="21" s="1"/>
  <c r="H61" i="21"/>
  <c r="G61" i="21"/>
  <c r="F61" i="21"/>
  <c r="K60" i="21"/>
  <c r="U60" i="21" s="1"/>
  <c r="J60" i="21"/>
  <c r="T60" i="21" s="1"/>
  <c r="I60" i="21"/>
  <c r="S60" i="21" s="1"/>
  <c r="H60" i="21"/>
  <c r="G60" i="21"/>
  <c r="F60" i="21"/>
  <c r="K59" i="21"/>
  <c r="U59" i="21" s="1"/>
  <c r="J59" i="21"/>
  <c r="T59" i="21" s="1"/>
  <c r="I59" i="21"/>
  <c r="S59" i="21" s="1"/>
  <c r="H59" i="21"/>
  <c r="G59" i="21"/>
  <c r="F59" i="21"/>
  <c r="K58" i="21"/>
  <c r="U58" i="21" s="1"/>
  <c r="J58" i="21"/>
  <c r="T58" i="21" s="1"/>
  <c r="I58" i="21"/>
  <c r="S58" i="21" s="1"/>
  <c r="H58" i="21"/>
  <c r="G58" i="21"/>
  <c r="F58" i="21"/>
  <c r="K57" i="21"/>
  <c r="U57" i="21" s="1"/>
  <c r="J57" i="21"/>
  <c r="T57" i="21" s="1"/>
  <c r="I57" i="21"/>
  <c r="S57" i="21" s="1"/>
  <c r="H57" i="21"/>
  <c r="G57" i="21"/>
  <c r="F57" i="21"/>
  <c r="K56" i="21"/>
  <c r="U56" i="21" s="1"/>
  <c r="J56" i="21"/>
  <c r="T56" i="21" s="1"/>
  <c r="I56" i="21"/>
  <c r="S56" i="21" s="1"/>
  <c r="H56" i="21"/>
  <c r="G56" i="21"/>
  <c r="F56" i="21"/>
  <c r="K55" i="21"/>
  <c r="U55" i="21" s="1"/>
  <c r="J55" i="21"/>
  <c r="T55" i="21" s="1"/>
  <c r="I55" i="21"/>
  <c r="S55" i="21" s="1"/>
  <c r="H55" i="21"/>
  <c r="G55" i="21"/>
  <c r="F55" i="21"/>
  <c r="K54" i="21"/>
  <c r="U54" i="21" s="1"/>
  <c r="J54" i="21"/>
  <c r="T54" i="21" s="1"/>
  <c r="I54" i="21"/>
  <c r="S54" i="21" s="1"/>
  <c r="H54" i="21"/>
  <c r="G54" i="21"/>
  <c r="F54" i="21"/>
  <c r="K53" i="21"/>
  <c r="U53" i="21" s="1"/>
  <c r="J53" i="21"/>
  <c r="T53" i="21" s="1"/>
  <c r="I53" i="21"/>
  <c r="S53" i="21" s="1"/>
  <c r="H53" i="21"/>
  <c r="G53" i="21"/>
  <c r="F53" i="21"/>
  <c r="K52" i="21"/>
  <c r="U52" i="21" s="1"/>
  <c r="J52" i="21"/>
  <c r="T52" i="21" s="1"/>
  <c r="I52" i="21"/>
  <c r="S52" i="21" s="1"/>
  <c r="H52" i="21"/>
  <c r="G52" i="21"/>
  <c r="F52" i="21"/>
  <c r="K51" i="21"/>
  <c r="U51" i="21" s="1"/>
  <c r="J51" i="21"/>
  <c r="T51" i="21" s="1"/>
  <c r="I51" i="21"/>
  <c r="S51" i="21" s="1"/>
  <c r="H51" i="21"/>
  <c r="G51" i="21"/>
  <c r="F51" i="21"/>
  <c r="K50" i="21"/>
  <c r="U50" i="21" s="1"/>
  <c r="J50" i="21"/>
  <c r="T50" i="21" s="1"/>
  <c r="I50" i="21"/>
  <c r="S50" i="21" s="1"/>
  <c r="H50" i="21"/>
  <c r="G50" i="21"/>
  <c r="F50" i="21"/>
  <c r="K49" i="21"/>
  <c r="U49" i="21" s="1"/>
  <c r="J49" i="21"/>
  <c r="T49" i="21" s="1"/>
  <c r="I49" i="21"/>
  <c r="S49" i="21" s="1"/>
  <c r="H49" i="21"/>
  <c r="G49" i="21"/>
  <c r="F49" i="21"/>
  <c r="K48" i="21"/>
  <c r="U48" i="21" s="1"/>
  <c r="J48" i="21"/>
  <c r="T48" i="21" s="1"/>
  <c r="I48" i="21"/>
  <c r="S48" i="21" s="1"/>
  <c r="H48" i="21"/>
  <c r="G48" i="21"/>
  <c r="F48" i="21"/>
  <c r="K47" i="21"/>
  <c r="U47" i="21" s="1"/>
  <c r="J47" i="21"/>
  <c r="T47" i="21" s="1"/>
  <c r="I47" i="21"/>
  <c r="S47" i="21" s="1"/>
  <c r="H47" i="21"/>
  <c r="G47" i="21"/>
  <c r="F47" i="21"/>
  <c r="K46" i="21"/>
  <c r="U46" i="21" s="1"/>
  <c r="J46" i="21"/>
  <c r="T46" i="21" s="1"/>
  <c r="I46" i="21"/>
  <c r="S46" i="21" s="1"/>
  <c r="H46" i="21"/>
  <c r="G46" i="21"/>
  <c r="F46" i="21"/>
  <c r="K45" i="21"/>
  <c r="U45" i="21" s="1"/>
  <c r="J45" i="21"/>
  <c r="T45" i="21" s="1"/>
  <c r="I45" i="21"/>
  <c r="S45" i="21" s="1"/>
  <c r="H45" i="21"/>
  <c r="G45" i="21"/>
  <c r="F45" i="21"/>
  <c r="K44" i="21"/>
  <c r="U44" i="21" s="1"/>
  <c r="J44" i="21"/>
  <c r="T44" i="21" s="1"/>
  <c r="I44" i="21"/>
  <c r="S44" i="21" s="1"/>
  <c r="H44" i="21"/>
  <c r="G44" i="21"/>
  <c r="F44" i="21"/>
  <c r="K43" i="21"/>
  <c r="U43" i="21" s="1"/>
  <c r="J43" i="21"/>
  <c r="T43" i="21" s="1"/>
  <c r="I43" i="21"/>
  <c r="S43" i="21" s="1"/>
  <c r="H43" i="21"/>
  <c r="G43" i="21"/>
  <c r="F43" i="21"/>
  <c r="K42" i="21"/>
  <c r="U42" i="21" s="1"/>
  <c r="J42" i="21"/>
  <c r="T42" i="21" s="1"/>
  <c r="I42" i="21"/>
  <c r="S42" i="21" s="1"/>
  <c r="H42" i="21"/>
  <c r="G42" i="21"/>
  <c r="F42" i="21"/>
  <c r="K41" i="21"/>
  <c r="U41" i="21" s="1"/>
  <c r="J41" i="21"/>
  <c r="T41" i="21" s="1"/>
  <c r="I41" i="21"/>
  <c r="S41" i="21" s="1"/>
  <c r="H41" i="21"/>
  <c r="G41" i="21"/>
  <c r="F41" i="21"/>
  <c r="K40" i="21"/>
  <c r="U40" i="21" s="1"/>
  <c r="J40" i="21"/>
  <c r="T40" i="21" s="1"/>
  <c r="I40" i="21"/>
  <c r="S40" i="21" s="1"/>
  <c r="H40" i="21"/>
  <c r="G40" i="21"/>
  <c r="F40" i="21"/>
  <c r="K39" i="21"/>
  <c r="U39" i="21" s="1"/>
  <c r="J39" i="21"/>
  <c r="T39" i="21" s="1"/>
  <c r="I39" i="21"/>
  <c r="S39" i="21" s="1"/>
  <c r="H39" i="21"/>
  <c r="G39" i="21"/>
  <c r="F39" i="21"/>
  <c r="K38" i="21"/>
  <c r="U38" i="21" s="1"/>
  <c r="J38" i="21"/>
  <c r="T38" i="21" s="1"/>
  <c r="I38" i="21"/>
  <c r="S38" i="21" s="1"/>
  <c r="H38" i="21"/>
  <c r="G38" i="21"/>
  <c r="F38" i="21"/>
  <c r="K37" i="21"/>
  <c r="U37" i="21" s="1"/>
  <c r="J37" i="21"/>
  <c r="T37" i="21" s="1"/>
  <c r="I37" i="21"/>
  <c r="S37" i="21" s="1"/>
  <c r="H37" i="21"/>
  <c r="G37" i="21"/>
  <c r="F37" i="21"/>
  <c r="K36" i="21"/>
  <c r="U36" i="21" s="1"/>
  <c r="J36" i="21"/>
  <c r="T36" i="21" s="1"/>
  <c r="I36" i="21"/>
  <c r="S36" i="21" s="1"/>
  <c r="H36" i="21"/>
  <c r="G36" i="21"/>
  <c r="F36" i="21"/>
  <c r="K35" i="21"/>
  <c r="U35" i="21" s="1"/>
  <c r="J35" i="21"/>
  <c r="T35" i="21" s="1"/>
  <c r="I35" i="21"/>
  <c r="S35" i="21" s="1"/>
  <c r="H35" i="21"/>
  <c r="G35" i="21"/>
  <c r="F35" i="21"/>
  <c r="K34" i="21"/>
  <c r="U34" i="21" s="1"/>
  <c r="J34" i="21"/>
  <c r="T34" i="21" s="1"/>
  <c r="I34" i="21"/>
  <c r="S34" i="21" s="1"/>
  <c r="H34" i="21"/>
  <c r="G34" i="21"/>
  <c r="F34" i="21"/>
  <c r="K33" i="21"/>
  <c r="U33" i="21" s="1"/>
  <c r="J33" i="21"/>
  <c r="T33" i="21" s="1"/>
  <c r="I33" i="21"/>
  <c r="S33" i="21" s="1"/>
  <c r="H33" i="21"/>
  <c r="G33" i="21"/>
  <c r="F33" i="21"/>
  <c r="K32" i="21"/>
  <c r="U32" i="21" s="1"/>
  <c r="J32" i="21"/>
  <c r="T32" i="21" s="1"/>
  <c r="I32" i="21"/>
  <c r="S32" i="21" s="1"/>
  <c r="H32" i="21"/>
  <c r="G32" i="21"/>
  <c r="F32" i="21"/>
  <c r="K31" i="21"/>
  <c r="U31" i="21" s="1"/>
  <c r="J31" i="21"/>
  <c r="T31" i="21" s="1"/>
  <c r="I31" i="21"/>
  <c r="S31" i="21" s="1"/>
  <c r="H31" i="21"/>
  <c r="G31" i="21"/>
  <c r="F31" i="21"/>
  <c r="K30" i="21"/>
  <c r="U30" i="21" s="1"/>
  <c r="J30" i="21"/>
  <c r="T30" i="21" s="1"/>
  <c r="I30" i="21"/>
  <c r="S30" i="21" s="1"/>
  <c r="H30" i="21"/>
  <c r="G30" i="21"/>
  <c r="F30" i="21"/>
  <c r="K29" i="21"/>
  <c r="U29" i="21" s="1"/>
  <c r="J29" i="21"/>
  <c r="T29" i="21" s="1"/>
  <c r="I29" i="21"/>
  <c r="S29" i="21" s="1"/>
  <c r="H29" i="21"/>
  <c r="G29" i="21"/>
  <c r="F29" i="21"/>
  <c r="K28" i="21"/>
  <c r="U28" i="21" s="1"/>
  <c r="J28" i="21"/>
  <c r="T28" i="21" s="1"/>
  <c r="I28" i="21"/>
  <c r="S28" i="21" s="1"/>
  <c r="H28" i="21"/>
  <c r="G28" i="21"/>
  <c r="F28" i="21"/>
  <c r="K27" i="21"/>
  <c r="U27" i="21" s="1"/>
  <c r="J27" i="21"/>
  <c r="T27" i="21" s="1"/>
  <c r="I27" i="21"/>
  <c r="S27" i="21" s="1"/>
  <c r="H27" i="21"/>
  <c r="G27" i="21"/>
  <c r="F27" i="21"/>
  <c r="K26" i="21"/>
  <c r="U26" i="21" s="1"/>
  <c r="J26" i="21"/>
  <c r="T26" i="21" s="1"/>
  <c r="I26" i="21"/>
  <c r="S26" i="21" s="1"/>
  <c r="H26" i="21"/>
  <c r="G26" i="21"/>
  <c r="F26" i="21"/>
  <c r="K25" i="21"/>
  <c r="U25" i="21" s="1"/>
  <c r="J25" i="21"/>
  <c r="T25" i="21" s="1"/>
  <c r="I25" i="21"/>
  <c r="S25" i="21" s="1"/>
  <c r="H25" i="21"/>
  <c r="G25" i="21"/>
  <c r="F25" i="21"/>
  <c r="K24" i="21"/>
  <c r="U24" i="21" s="1"/>
  <c r="J24" i="21"/>
  <c r="T24" i="21" s="1"/>
  <c r="I24" i="21"/>
  <c r="S24" i="21" s="1"/>
  <c r="H24" i="21"/>
  <c r="G24" i="21"/>
  <c r="F24" i="21"/>
  <c r="K23" i="21"/>
  <c r="U23" i="21" s="1"/>
  <c r="J23" i="21"/>
  <c r="T23" i="21" s="1"/>
  <c r="I23" i="21"/>
  <c r="S23" i="21" s="1"/>
  <c r="H23" i="21"/>
  <c r="G23" i="21"/>
  <c r="F23" i="21"/>
  <c r="K22" i="21"/>
  <c r="U22" i="21" s="1"/>
  <c r="J22" i="21"/>
  <c r="T22" i="21" s="1"/>
  <c r="I22" i="21"/>
  <c r="S22" i="21" s="1"/>
  <c r="H22" i="21"/>
  <c r="G22" i="21"/>
  <c r="F22" i="21"/>
  <c r="K21" i="21"/>
  <c r="U21" i="21" s="1"/>
  <c r="J21" i="21"/>
  <c r="T21" i="21" s="1"/>
  <c r="I21" i="21"/>
  <c r="S21" i="21" s="1"/>
  <c r="H21" i="21"/>
  <c r="G21" i="21"/>
  <c r="F21" i="21"/>
  <c r="K20" i="21"/>
  <c r="U20" i="21" s="1"/>
  <c r="J20" i="21"/>
  <c r="T20" i="21" s="1"/>
  <c r="I20" i="21"/>
  <c r="S20" i="21" s="1"/>
  <c r="H20" i="21"/>
  <c r="G20" i="21"/>
  <c r="F20" i="21"/>
  <c r="K19" i="21"/>
  <c r="U19" i="21" s="1"/>
  <c r="J19" i="21"/>
  <c r="T19" i="21" s="1"/>
  <c r="I19" i="21"/>
  <c r="S19" i="21" s="1"/>
  <c r="H19" i="21"/>
  <c r="G19" i="21"/>
  <c r="F19" i="21"/>
  <c r="K18" i="21"/>
  <c r="U18" i="21" s="1"/>
  <c r="J18" i="21"/>
  <c r="T18" i="21" s="1"/>
  <c r="I18" i="21"/>
  <c r="S18" i="21" s="1"/>
  <c r="H18" i="21"/>
  <c r="G18" i="21"/>
  <c r="F18" i="21"/>
  <c r="K17" i="21"/>
  <c r="U17" i="21" s="1"/>
  <c r="J17" i="21"/>
  <c r="T17" i="21" s="1"/>
  <c r="I17" i="21"/>
  <c r="S17" i="21" s="1"/>
  <c r="H17" i="21"/>
  <c r="G17" i="21"/>
  <c r="F17" i="21"/>
  <c r="K16" i="21"/>
  <c r="U16" i="21" s="1"/>
  <c r="J16" i="21"/>
  <c r="T16" i="21" s="1"/>
  <c r="I16" i="21"/>
  <c r="S16" i="21" s="1"/>
  <c r="H16" i="21"/>
  <c r="G16" i="21"/>
  <c r="F16" i="21"/>
  <c r="K15" i="21"/>
  <c r="U15" i="21" s="1"/>
  <c r="J15" i="21"/>
  <c r="T15" i="21" s="1"/>
  <c r="I15" i="21"/>
  <c r="S15" i="21" s="1"/>
  <c r="H15" i="21"/>
  <c r="G15" i="21"/>
  <c r="F15" i="21"/>
  <c r="K14" i="21"/>
  <c r="U14" i="21" s="1"/>
  <c r="J14" i="21"/>
  <c r="T14" i="21" s="1"/>
  <c r="I14" i="21"/>
  <c r="S14" i="21" s="1"/>
  <c r="H14" i="21"/>
  <c r="G14" i="21"/>
  <c r="F14" i="21"/>
  <c r="K13" i="21"/>
  <c r="U13" i="21" s="1"/>
  <c r="J13" i="21"/>
  <c r="T13" i="21" s="1"/>
  <c r="I13" i="21"/>
  <c r="S13" i="21" s="1"/>
  <c r="H13" i="21"/>
  <c r="G13" i="21"/>
  <c r="F13" i="21"/>
  <c r="K12" i="21"/>
  <c r="U12" i="21" s="1"/>
  <c r="J12" i="21"/>
  <c r="T12" i="21" s="1"/>
  <c r="I12" i="21"/>
  <c r="S12" i="21" s="1"/>
  <c r="H12" i="21"/>
  <c r="G12" i="21"/>
  <c r="F12" i="21"/>
  <c r="K11" i="21"/>
  <c r="U11" i="21" s="1"/>
  <c r="J11" i="21"/>
  <c r="T11" i="21" s="1"/>
  <c r="I11" i="21"/>
  <c r="S11" i="21" s="1"/>
  <c r="H11" i="21"/>
  <c r="G11" i="21"/>
  <c r="F11" i="21"/>
  <c r="K10" i="21"/>
  <c r="U10" i="21" s="1"/>
  <c r="J10" i="21"/>
  <c r="T10" i="21" s="1"/>
  <c r="I10" i="21"/>
  <c r="S10" i="21" s="1"/>
  <c r="H10" i="21"/>
  <c r="G10" i="21"/>
  <c r="F10" i="21"/>
  <c r="K9" i="21"/>
  <c r="U9" i="21" s="1"/>
  <c r="J9" i="21"/>
  <c r="T9" i="21" s="1"/>
  <c r="I9" i="21"/>
  <c r="S9" i="21" s="1"/>
  <c r="H9" i="21"/>
  <c r="G9" i="21"/>
  <c r="F9" i="21"/>
  <c r="K8" i="21"/>
  <c r="U8" i="21" s="1"/>
  <c r="J8" i="21"/>
  <c r="T8" i="21" s="1"/>
  <c r="I8" i="21"/>
  <c r="S8" i="21" s="1"/>
  <c r="H8" i="21"/>
  <c r="G8" i="21"/>
  <c r="F8" i="21"/>
  <c r="K7" i="21"/>
  <c r="U7" i="21" s="1"/>
  <c r="J7" i="21"/>
  <c r="T7" i="21" s="1"/>
  <c r="I7" i="21"/>
  <c r="S7" i="21" s="1"/>
  <c r="H7" i="21"/>
  <c r="G7" i="21"/>
  <c r="F7" i="21"/>
  <c r="K6" i="21"/>
  <c r="U6" i="21" s="1"/>
  <c r="J6" i="21"/>
  <c r="T6" i="21" s="1"/>
  <c r="I6" i="21"/>
  <c r="S6" i="21" s="1"/>
  <c r="H6" i="21"/>
  <c r="G6" i="21"/>
  <c r="F6" i="21"/>
  <c r="K5" i="21"/>
  <c r="U5" i="21" s="1"/>
  <c r="J5" i="21"/>
  <c r="T5" i="21" s="1"/>
  <c r="I5" i="21"/>
  <c r="S5" i="21" s="1"/>
  <c r="H5" i="21"/>
  <c r="G5" i="21"/>
  <c r="F5" i="21"/>
  <c r="K4" i="21"/>
  <c r="U4" i="21" s="1"/>
  <c r="J4" i="21"/>
  <c r="T4" i="21" s="1"/>
  <c r="I4" i="21"/>
  <c r="S4" i="21" s="1"/>
  <c r="H4" i="21"/>
  <c r="G4" i="21"/>
  <c r="F4" i="21"/>
  <c r="K3" i="21"/>
  <c r="U3" i="21" s="1"/>
  <c r="J3" i="21"/>
  <c r="T3" i="21" s="1"/>
  <c r="I3" i="21"/>
  <c r="S3" i="21" s="1"/>
  <c r="H3" i="21"/>
  <c r="G3" i="21"/>
  <c r="F3" i="21"/>
  <c r="K2" i="21"/>
  <c r="U2" i="21" s="1"/>
  <c r="J2" i="21"/>
  <c r="T2" i="21" s="1"/>
  <c r="I2" i="21"/>
  <c r="S2" i="21" s="1"/>
  <c r="H2" i="21"/>
  <c r="G2" i="21"/>
  <c r="F2" i="21"/>
  <c r="K1" i="21"/>
  <c r="U1" i="21" s="1"/>
  <c r="J1" i="21"/>
  <c r="T1" i="21" s="1"/>
  <c r="I1" i="21"/>
  <c r="S1" i="21" s="1"/>
  <c r="H1" i="21"/>
  <c r="R1" i="21" s="1"/>
  <c r="G1" i="21"/>
  <c r="Q1" i="21" s="1"/>
  <c r="F1" i="21"/>
  <c r="P1" i="21" s="1"/>
  <c r="A62" i="21"/>
  <c r="B62" i="21" s="1"/>
  <c r="C62" i="21"/>
  <c r="D62" i="21"/>
  <c r="N62" i="21" s="1"/>
  <c r="E62" i="21"/>
  <c r="O62" i="21" s="1"/>
  <c r="P62" i="21"/>
  <c r="M62" i="21"/>
  <c r="R62" i="21"/>
  <c r="A63" i="21"/>
  <c r="B63" i="21" s="1"/>
  <c r="C63" i="21"/>
  <c r="D63" i="21"/>
  <c r="N63" i="21" s="1"/>
  <c r="E63" i="21"/>
  <c r="O63" i="21" s="1"/>
  <c r="P63" i="21"/>
  <c r="Q63" i="21"/>
  <c r="R63" i="21"/>
  <c r="M63" i="21"/>
  <c r="A64" i="21"/>
  <c r="B64" i="21" s="1"/>
  <c r="C64" i="21"/>
  <c r="D64" i="21"/>
  <c r="N64" i="21" s="1"/>
  <c r="E64" i="21"/>
  <c r="O64" i="21" s="1"/>
  <c r="P64" i="21"/>
  <c r="R64" i="21"/>
  <c r="M64" i="21"/>
  <c r="A65" i="21"/>
  <c r="B65" i="21" s="1"/>
  <c r="C65" i="21"/>
  <c r="D65" i="21"/>
  <c r="N65" i="21" s="1"/>
  <c r="E65" i="21"/>
  <c r="O65" i="21" s="1"/>
  <c r="P65" i="21"/>
  <c r="Q65" i="21"/>
  <c r="R65" i="21"/>
  <c r="M65" i="21"/>
  <c r="A66" i="21"/>
  <c r="B66" i="21" s="1"/>
  <c r="C66" i="21"/>
  <c r="D66" i="21"/>
  <c r="N66" i="21" s="1"/>
  <c r="E66" i="21"/>
  <c r="O66" i="21" s="1"/>
  <c r="P66" i="21"/>
  <c r="M66" i="21"/>
  <c r="R66" i="21"/>
  <c r="A67" i="21"/>
  <c r="B67" i="21" s="1"/>
  <c r="C67" i="21"/>
  <c r="D67" i="21"/>
  <c r="N67" i="21" s="1"/>
  <c r="E67" i="21"/>
  <c r="P67" i="21"/>
  <c r="Q67" i="21"/>
  <c r="R67" i="21"/>
  <c r="M67" i="21"/>
  <c r="O67" i="21"/>
  <c r="A68" i="21"/>
  <c r="B68" i="21" s="1"/>
  <c r="C68" i="21"/>
  <c r="D68" i="21"/>
  <c r="N68" i="21" s="1"/>
  <c r="E68" i="21"/>
  <c r="O68" i="21" s="1"/>
  <c r="P68" i="21"/>
  <c r="R68" i="21"/>
  <c r="M68" i="21"/>
  <c r="A69" i="21"/>
  <c r="B69" i="21" s="1"/>
  <c r="C69" i="21"/>
  <c r="D69" i="21"/>
  <c r="N69" i="21" s="1"/>
  <c r="E69" i="21"/>
  <c r="O69" i="21" s="1"/>
  <c r="P69" i="21"/>
  <c r="Q69" i="21"/>
  <c r="R69" i="21"/>
  <c r="M69" i="21"/>
  <c r="A70" i="21"/>
  <c r="B70" i="21" s="1"/>
  <c r="C70" i="21"/>
  <c r="D70" i="21"/>
  <c r="N70" i="21" s="1"/>
  <c r="E70" i="21"/>
  <c r="O70" i="21" s="1"/>
  <c r="P70" i="21"/>
  <c r="M70" i="21"/>
  <c r="R70" i="21"/>
  <c r="A71" i="21"/>
  <c r="B71" i="21" s="1"/>
  <c r="C71" i="21"/>
  <c r="D71" i="21"/>
  <c r="N71" i="21" s="1"/>
  <c r="E71" i="21"/>
  <c r="O71" i="21" s="1"/>
  <c r="P71" i="21"/>
  <c r="Q71" i="21"/>
  <c r="R71" i="21"/>
  <c r="M71" i="21"/>
  <c r="A72" i="21"/>
  <c r="B72" i="21" s="1"/>
  <c r="C72" i="21"/>
  <c r="D72" i="21"/>
  <c r="N72" i="21" s="1"/>
  <c r="E72" i="21"/>
  <c r="O72" i="21" s="1"/>
  <c r="P72" i="21"/>
  <c r="R72" i="21"/>
  <c r="M72" i="21"/>
  <c r="A73" i="21"/>
  <c r="B73" i="21" s="1"/>
  <c r="C73" i="21"/>
  <c r="D73" i="21"/>
  <c r="N73" i="21" s="1"/>
  <c r="E73" i="21"/>
  <c r="O73" i="21" s="1"/>
  <c r="P73" i="21"/>
  <c r="Q73" i="21"/>
  <c r="R73" i="21"/>
  <c r="M73" i="21"/>
  <c r="A62" i="16"/>
  <c r="B62" i="16" s="1"/>
  <c r="C62" i="16"/>
  <c r="D62" i="16"/>
  <c r="E62" i="16"/>
  <c r="K62" i="16" s="1"/>
  <c r="F62" i="16"/>
  <c r="L62" i="16" s="1"/>
  <c r="G62" i="16"/>
  <c r="M62" i="16" s="1"/>
  <c r="I62" i="16"/>
  <c r="J62" i="16"/>
  <c r="A63" i="16"/>
  <c r="B63" i="16" s="1"/>
  <c r="C63" i="16"/>
  <c r="D63" i="16"/>
  <c r="E63" i="16"/>
  <c r="K63" i="16" s="1"/>
  <c r="F63" i="16"/>
  <c r="L63" i="16" s="1"/>
  <c r="G63" i="16"/>
  <c r="M63" i="16" s="1"/>
  <c r="I63" i="16"/>
  <c r="J63" i="16"/>
  <c r="A64" i="16"/>
  <c r="B64" i="16"/>
  <c r="C64" i="16"/>
  <c r="D64" i="16"/>
  <c r="J64" i="16" s="1"/>
  <c r="E64" i="16"/>
  <c r="F64" i="16"/>
  <c r="L64" i="16" s="1"/>
  <c r="G64" i="16"/>
  <c r="M64" i="16" s="1"/>
  <c r="I64" i="16"/>
  <c r="K64" i="16"/>
  <c r="A65" i="16"/>
  <c r="B65" i="16" s="1"/>
  <c r="C65" i="16"/>
  <c r="D65" i="16"/>
  <c r="J65" i="16" s="1"/>
  <c r="E65" i="16"/>
  <c r="K65" i="16" s="1"/>
  <c r="F65" i="16"/>
  <c r="L65" i="16" s="1"/>
  <c r="G65" i="16"/>
  <c r="I65" i="16"/>
  <c r="M65" i="16"/>
  <c r="A66" i="16"/>
  <c r="B66" i="16" s="1"/>
  <c r="C66" i="16"/>
  <c r="D66" i="16"/>
  <c r="J66" i="16" s="1"/>
  <c r="E66" i="16"/>
  <c r="K66" i="16" s="1"/>
  <c r="F66" i="16"/>
  <c r="L66" i="16" s="1"/>
  <c r="G66" i="16"/>
  <c r="M66" i="16" s="1"/>
  <c r="I66" i="16"/>
  <c r="A67" i="16"/>
  <c r="B67" i="16" s="1"/>
  <c r="C67" i="16"/>
  <c r="D67" i="16"/>
  <c r="J67" i="16" s="1"/>
  <c r="E67" i="16"/>
  <c r="K67" i="16" s="1"/>
  <c r="F67" i="16"/>
  <c r="L67" i="16" s="1"/>
  <c r="G67" i="16"/>
  <c r="M67" i="16" s="1"/>
  <c r="I67" i="16"/>
  <c r="A68" i="16"/>
  <c r="B68" i="16"/>
  <c r="C68" i="16"/>
  <c r="D68" i="16"/>
  <c r="J68" i="16" s="1"/>
  <c r="E68" i="16"/>
  <c r="K68" i="16" s="1"/>
  <c r="F68" i="16"/>
  <c r="L68" i="16" s="1"/>
  <c r="G68" i="16"/>
  <c r="M68" i="16" s="1"/>
  <c r="I68" i="16"/>
  <c r="A69" i="16"/>
  <c r="B69" i="16" s="1"/>
  <c r="C69" i="16"/>
  <c r="D69" i="16"/>
  <c r="J69" i="16" s="1"/>
  <c r="E69" i="16"/>
  <c r="K69" i="16" s="1"/>
  <c r="F69" i="16"/>
  <c r="L69" i="16" s="1"/>
  <c r="G69" i="16"/>
  <c r="M69" i="16" s="1"/>
  <c r="I69" i="16"/>
  <c r="A70" i="16"/>
  <c r="B70" i="16" s="1"/>
  <c r="C70" i="16"/>
  <c r="D70" i="16"/>
  <c r="J70" i="16" s="1"/>
  <c r="E70" i="16"/>
  <c r="K70" i="16" s="1"/>
  <c r="F70" i="16"/>
  <c r="L70" i="16" s="1"/>
  <c r="G70" i="16"/>
  <c r="M70" i="16" s="1"/>
  <c r="I70" i="16"/>
  <c r="A71" i="16"/>
  <c r="B71" i="16" s="1"/>
  <c r="C71" i="16"/>
  <c r="D71" i="16"/>
  <c r="J71" i="16" s="1"/>
  <c r="E71" i="16"/>
  <c r="K71" i="16" s="1"/>
  <c r="F71" i="16"/>
  <c r="G71" i="16"/>
  <c r="M71" i="16" s="1"/>
  <c r="I71" i="16"/>
  <c r="L71" i="16"/>
  <c r="A72" i="16"/>
  <c r="B72" i="16" s="1"/>
  <c r="C72" i="16"/>
  <c r="D72" i="16"/>
  <c r="J72" i="16" s="1"/>
  <c r="E72" i="16"/>
  <c r="K72" i="16" s="1"/>
  <c r="F72" i="16"/>
  <c r="L72" i="16" s="1"/>
  <c r="G72" i="16"/>
  <c r="I72" i="16"/>
  <c r="M72" i="16"/>
  <c r="A73" i="16"/>
  <c r="B73" i="16" s="1"/>
  <c r="C73" i="16"/>
  <c r="D73" i="16"/>
  <c r="J73" i="16" s="1"/>
  <c r="E73" i="16"/>
  <c r="K73" i="16" s="1"/>
  <c r="F73" i="16"/>
  <c r="L73" i="16" s="1"/>
  <c r="G73" i="16"/>
  <c r="M73" i="16" s="1"/>
  <c r="I73" i="16"/>
  <c r="M55" i="16"/>
  <c r="G61" i="16"/>
  <c r="M61" i="16" s="1"/>
  <c r="G60" i="16"/>
  <c r="M60" i="16" s="1"/>
  <c r="G59" i="16"/>
  <c r="M59" i="16" s="1"/>
  <c r="G58" i="16"/>
  <c r="M58" i="16" s="1"/>
  <c r="G57" i="16"/>
  <c r="M57" i="16" s="1"/>
  <c r="G56" i="16"/>
  <c r="M56" i="16" s="1"/>
  <c r="G55" i="16"/>
  <c r="G54" i="16"/>
  <c r="M54" i="16" s="1"/>
  <c r="G53" i="16"/>
  <c r="M53" i="16" s="1"/>
  <c r="G52" i="16"/>
  <c r="M52" i="16" s="1"/>
  <c r="G51" i="16"/>
  <c r="M51" i="16" s="1"/>
  <c r="G50" i="16"/>
  <c r="M50" i="16" s="1"/>
  <c r="G49" i="16"/>
  <c r="M49" i="16" s="1"/>
  <c r="G48" i="16"/>
  <c r="M48" i="16" s="1"/>
  <c r="G47" i="16"/>
  <c r="M47" i="16" s="1"/>
  <c r="G46" i="16"/>
  <c r="M46" i="16" s="1"/>
  <c r="G45" i="16"/>
  <c r="M45" i="16" s="1"/>
  <c r="G44" i="16"/>
  <c r="M44" i="16" s="1"/>
  <c r="G43" i="16"/>
  <c r="M43" i="16" s="1"/>
  <c r="G42" i="16"/>
  <c r="M42" i="16" s="1"/>
  <c r="G41" i="16"/>
  <c r="M41" i="16" s="1"/>
  <c r="G40" i="16"/>
  <c r="M40" i="16" s="1"/>
  <c r="G39" i="16"/>
  <c r="M39" i="16" s="1"/>
  <c r="G38" i="16"/>
  <c r="M38" i="16" s="1"/>
  <c r="G37" i="16"/>
  <c r="M37" i="16" s="1"/>
  <c r="G36" i="16"/>
  <c r="M36" i="16" s="1"/>
  <c r="G35" i="16"/>
  <c r="M35" i="16" s="1"/>
  <c r="G34" i="16"/>
  <c r="M34" i="16" s="1"/>
  <c r="G33" i="16"/>
  <c r="M33" i="16" s="1"/>
  <c r="G32" i="16"/>
  <c r="M32" i="16" s="1"/>
  <c r="G31" i="16"/>
  <c r="M31" i="16" s="1"/>
  <c r="G30" i="16"/>
  <c r="M30" i="16" s="1"/>
  <c r="G29" i="16"/>
  <c r="M29" i="16" s="1"/>
  <c r="G28" i="16"/>
  <c r="M28" i="16" s="1"/>
  <c r="G27" i="16"/>
  <c r="M27" i="16" s="1"/>
  <c r="G26" i="16"/>
  <c r="M26" i="16" s="1"/>
  <c r="G25" i="16"/>
  <c r="M25" i="16" s="1"/>
  <c r="G24" i="16"/>
  <c r="M24" i="16" s="1"/>
  <c r="G23" i="16"/>
  <c r="M23" i="16" s="1"/>
  <c r="G22" i="16"/>
  <c r="M22" i="16" s="1"/>
  <c r="G21" i="16"/>
  <c r="M21" i="16" s="1"/>
  <c r="G20" i="16"/>
  <c r="M20" i="16" s="1"/>
  <c r="G19" i="16"/>
  <c r="M19" i="16" s="1"/>
  <c r="G18" i="16"/>
  <c r="M18" i="16" s="1"/>
  <c r="G17" i="16"/>
  <c r="M17" i="16" s="1"/>
  <c r="G16" i="16"/>
  <c r="M16" i="16" s="1"/>
  <c r="G15" i="16"/>
  <c r="M15" i="16" s="1"/>
  <c r="G14" i="16"/>
  <c r="M14" i="16" s="1"/>
  <c r="G13" i="16"/>
  <c r="M13" i="16" s="1"/>
  <c r="G12" i="16"/>
  <c r="M12" i="16" s="1"/>
  <c r="G11" i="16"/>
  <c r="M11" i="16" s="1"/>
  <c r="G10" i="16"/>
  <c r="M10" i="16" s="1"/>
  <c r="G9" i="16"/>
  <c r="M9" i="16" s="1"/>
  <c r="G8" i="16"/>
  <c r="M8" i="16" s="1"/>
  <c r="G7" i="16"/>
  <c r="M7" i="16" s="1"/>
  <c r="G6" i="16"/>
  <c r="M6" i="16" s="1"/>
  <c r="G5" i="16"/>
  <c r="M5" i="16" s="1"/>
  <c r="G4" i="16"/>
  <c r="M4" i="16" s="1"/>
  <c r="G3" i="16"/>
  <c r="M3" i="16" s="1"/>
  <c r="G2" i="16"/>
  <c r="M2" i="16" s="1"/>
  <c r="G1" i="16"/>
  <c r="M1" i="16" s="1"/>
  <c r="V72" i="21" l="1"/>
  <c r="X72" i="21" s="1"/>
  <c r="V66" i="21"/>
  <c r="X66" i="21" s="1"/>
  <c r="V62" i="21"/>
  <c r="X62" i="21" s="1"/>
  <c r="V71" i="21"/>
  <c r="X71" i="21" s="1"/>
  <c r="N7" i="12"/>
  <c r="M5" i="12"/>
  <c r="N6" i="12"/>
  <c r="M4" i="12"/>
  <c r="N4" i="12"/>
  <c r="M6" i="12"/>
  <c r="Z57" i="25"/>
  <c r="N8" i="12" s="1"/>
  <c r="Z63" i="25"/>
  <c r="J76" i="22"/>
  <c r="I96" i="22"/>
  <c r="S84" i="22"/>
  <c r="Z59" i="25"/>
  <c r="M7" i="12"/>
  <c r="T66" i="22"/>
  <c r="K87" i="22"/>
  <c r="U75" i="22"/>
  <c r="J74" i="22"/>
  <c r="Z66" i="25"/>
  <c r="N5" i="12"/>
  <c r="J90" i="22"/>
  <c r="T78" i="22"/>
  <c r="J80" i="22"/>
  <c r="T68" i="22"/>
  <c r="T70" i="22"/>
  <c r="J82" i="22"/>
  <c r="J84" i="22"/>
  <c r="T72" i="22"/>
  <c r="V73" i="21"/>
  <c r="X73" i="21" s="1"/>
  <c r="V68" i="21"/>
  <c r="X68" i="21" s="1"/>
  <c r="V70" i="21"/>
  <c r="X70" i="21" s="1"/>
  <c r="V67" i="21"/>
  <c r="X67" i="21" s="1"/>
  <c r="V65" i="21"/>
  <c r="X65" i="21" s="1"/>
  <c r="V64" i="21"/>
  <c r="X64" i="21" s="1"/>
  <c r="V63" i="21"/>
  <c r="X63" i="21" s="1"/>
  <c r="X60" i="26"/>
  <c r="I97" i="22"/>
  <c r="S85" i="22"/>
  <c r="J87" i="22"/>
  <c r="T75" i="22"/>
  <c r="M74" i="27"/>
  <c r="Y62" i="27"/>
  <c r="M75" i="27"/>
  <c r="Y63" i="27"/>
  <c r="M76" i="27"/>
  <c r="Y64" i="27"/>
  <c r="M77" i="27"/>
  <c r="Y65" i="27"/>
  <c r="M78" i="27"/>
  <c r="Y66" i="27"/>
  <c r="M79" i="27"/>
  <c r="Y67" i="27"/>
  <c r="M80" i="27"/>
  <c r="Y68" i="27"/>
  <c r="U68" i="22"/>
  <c r="K80" i="22"/>
  <c r="U72" i="22"/>
  <c r="K84" i="22"/>
  <c r="K76" i="22"/>
  <c r="X59" i="26"/>
  <c r="U77" i="22"/>
  <c r="U79" i="22"/>
  <c r="U81" i="22"/>
  <c r="S75" i="22"/>
  <c r="I79" i="22"/>
  <c r="I83" i="22"/>
  <c r="W64" i="27"/>
  <c r="X65" i="27"/>
  <c r="W68" i="27"/>
  <c r="X69" i="27"/>
  <c r="W72" i="27"/>
  <c r="X73" i="27"/>
  <c r="W76" i="27"/>
  <c r="X77" i="27"/>
  <c r="W80" i="27"/>
  <c r="X81" i="27"/>
  <c r="W84" i="27"/>
  <c r="X85" i="27"/>
  <c r="W88" i="27"/>
  <c r="X89" i="27"/>
  <c r="W92" i="27"/>
  <c r="X93" i="27"/>
  <c r="W96" i="27"/>
  <c r="X97" i="27"/>
  <c r="W100" i="27"/>
  <c r="X101" i="27"/>
  <c r="W104" i="27"/>
  <c r="X105" i="27"/>
  <c r="W108" i="27"/>
  <c r="X109" i="27"/>
  <c r="W112" i="27"/>
  <c r="X113" i="27"/>
  <c r="W116" i="27"/>
  <c r="X117" i="27"/>
  <c r="W120" i="27"/>
  <c r="X121" i="27"/>
  <c r="W124" i="27"/>
  <c r="X125" i="27"/>
  <c r="W128" i="27"/>
  <c r="X129" i="27"/>
  <c r="W132" i="27"/>
  <c r="X133" i="27"/>
  <c r="W63" i="27"/>
  <c r="X64" i="27"/>
  <c r="W67" i="27"/>
  <c r="X68" i="27"/>
  <c r="W71" i="27"/>
  <c r="X72" i="27"/>
  <c r="W75" i="27"/>
  <c r="X76" i="27"/>
  <c r="W79" i="27"/>
  <c r="X80" i="27"/>
  <c r="W83" i="27"/>
  <c r="X84" i="27"/>
  <c r="W87" i="27"/>
  <c r="X88" i="27"/>
  <c r="W91" i="27"/>
  <c r="X92" i="27"/>
  <c r="W95" i="27"/>
  <c r="X96" i="27"/>
  <c r="W99" i="27"/>
  <c r="X100" i="27"/>
  <c r="W103" i="27"/>
  <c r="X104" i="27"/>
  <c r="W107" i="27"/>
  <c r="X108" i="27"/>
  <c r="W111" i="27"/>
  <c r="X112" i="27"/>
  <c r="W115" i="27"/>
  <c r="X116" i="27"/>
  <c r="W119" i="27"/>
  <c r="X120" i="27"/>
  <c r="W123" i="27"/>
  <c r="X124" i="27"/>
  <c r="W127" i="27"/>
  <c r="X128" i="27"/>
  <c r="W131" i="27"/>
  <c r="X132" i="27"/>
  <c r="W122" i="27"/>
  <c r="X62" i="27"/>
  <c r="W65" i="27"/>
  <c r="X66" i="27"/>
  <c r="W69" i="27"/>
  <c r="X70" i="27"/>
  <c r="X74" i="27"/>
  <c r="W77" i="27"/>
  <c r="X78" i="27"/>
  <c r="W81" i="27"/>
  <c r="X82" i="27"/>
  <c r="W85" i="27"/>
  <c r="X86" i="27"/>
  <c r="W89" i="27"/>
  <c r="X90" i="27"/>
  <c r="W93" i="27"/>
  <c r="X94" i="27"/>
  <c r="W97" i="27"/>
  <c r="X98" i="27"/>
  <c r="W101" i="27"/>
  <c r="X102" i="27"/>
  <c r="W105" i="27"/>
  <c r="X106" i="27"/>
  <c r="W109" i="27"/>
  <c r="X110" i="27"/>
  <c r="W113" i="27"/>
  <c r="X114" i="27"/>
  <c r="W117" i="27"/>
  <c r="X118" i="27"/>
  <c r="W121" i="27"/>
  <c r="X122" i="27"/>
  <c r="W125" i="27"/>
  <c r="X126" i="27"/>
  <c r="W129" i="27"/>
  <c r="X130" i="27"/>
  <c r="W133" i="27"/>
  <c r="V69" i="21"/>
  <c r="X69" i="21" s="1"/>
  <c r="S96" i="22"/>
  <c r="I108" i="22"/>
  <c r="T90" i="22"/>
  <c r="J102" i="22"/>
  <c r="I106" i="22"/>
  <c r="S94" i="22"/>
  <c r="K98" i="22"/>
  <c r="U86" i="22"/>
  <c r="K102" i="22"/>
  <c r="U90" i="22"/>
  <c r="U94" i="22"/>
  <c r="K106" i="22"/>
  <c r="S87" i="22"/>
  <c r="I99" i="22"/>
  <c r="I101" i="22"/>
  <c r="S89" i="22"/>
  <c r="S93" i="22"/>
  <c r="I105" i="22"/>
  <c r="I109" i="22"/>
  <c r="S97" i="22"/>
  <c r="S86" i="22"/>
  <c r="I98" i="22"/>
  <c r="J99" i="22"/>
  <c r="T87" i="22"/>
  <c r="J101" i="22"/>
  <c r="T89" i="22"/>
  <c r="J103" i="22"/>
  <c r="T91" i="22"/>
  <c r="J105" i="22"/>
  <c r="T93" i="22"/>
  <c r="J107" i="22"/>
  <c r="T95" i="22"/>
  <c r="J109" i="22"/>
  <c r="T97" i="22"/>
  <c r="I102" i="22"/>
  <c r="S90" i="22"/>
  <c r="K99" i="22"/>
  <c r="U87" i="22"/>
  <c r="K101" i="22"/>
  <c r="U89" i="22"/>
  <c r="K103" i="22"/>
  <c r="U91" i="22"/>
  <c r="K105" i="22"/>
  <c r="U93" i="22"/>
  <c r="K107" i="22"/>
  <c r="U95" i="22"/>
  <c r="K109" i="22"/>
  <c r="U97" i="22"/>
  <c r="S74" i="22"/>
  <c r="S78" i="22"/>
  <c r="S82" i="22"/>
  <c r="I88" i="22"/>
  <c r="I92" i="22"/>
  <c r="X63" i="26"/>
  <c r="Y63" i="26" s="1"/>
  <c r="X62" i="26"/>
  <c r="Y62" i="26" s="1"/>
  <c r="X64" i="26"/>
  <c r="Y64" i="26" s="1"/>
  <c r="X68" i="26"/>
  <c r="Y68" i="26" s="1"/>
  <c r="X65" i="26"/>
  <c r="Y65" i="26" s="1"/>
  <c r="X66" i="26"/>
  <c r="Y66" i="26" s="1"/>
  <c r="X67" i="26"/>
  <c r="Y67" i="26" s="1"/>
  <c r="X11" i="26"/>
  <c r="Y11" i="26" s="1"/>
  <c r="X25" i="26"/>
  <c r="Y25" i="26" s="1"/>
  <c r="X29" i="26"/>
  <c r="Y29" i="26" s="1"/>
  <c r="X43" i="26"/>
  <c r="Y43" i="26" s="1"/>
  <c r="X57" i="26"/>
  <c r="X61" i="26"/>
  <c r="X13" i="26"/>
  <c r="Y13" i="26" s="1"/>
  <c r="X27" i="26"/>
  <c r="Y27" i="26" s="1"/>
  <c r="X19" i="26"/>
  <c r="Y19" i="26" s="1"/>
  <c r="X49" i="26"/>
  <c r="Y49" i="26" s="1"/>
  <c r="X53" i="26"/>
  <c r="Y53" i="26" s="1"/>
  <c r="X45" i="26"/>
  <c r="Y45" i="26" s="1"/>
  <c r="X32" i="26"/>
  <c r="Y32" i="26" s="1"/>
  <c r="X36" i="26"/>
  <c r="Y36" i="26" s="1"/>
  <c r="X40" i="26"/>
  <c r="Y40" i="26" s="1"/>
  <c r="X44" i="26"/>
  <c r="Y44" i="26" s="1"/>
  <c r="X48" i="26"/>
  <c r="Y48" i="26" s="1"/>
  <c r="X52" i="26"/>
  <c r="Y52" i="26" s="1"/>
  <c r="X56" i="26"/>
  <c r="Y56" i="26" s="1"/>
  <c r="X6" i="26"/>
  <c r="Y6" i="26" s="1"/>
  <c r="X10" i="26"/>
  <c r="Y10" i="26" s="1"/>
  <c r="X14" i="26"/>
  <c r="Y14" i="26" s="1"/>
  <c r="X18" i="26"/>
  <c r="Y18" i="26" s="1"/>
  <c r="X22" i="26"/>
  <c r="Y22" i="26" s="1"/>
  <c r="X26" i="26"/>
  <c r="Y26" i="26" s="1"/>
  <c r="X30" i="26"/>
  <c r="Y30" i="26" s="1"/>
  <c r="X34" i="26"/>
  <c r="Y34" i="26" s="1"/>
  <c r="X38" i="26"/>
  <c r="Y38" i="26" s="1"/>
  <c r="X42" i="26"/>
  <c r="Y42" i="26" s="1"/>
  <c r="X46" i="26"/>
  <c r="Y46" i="26" s="1"/>
  <c r="X50" i="26"/>
  <c r="Y50" i="26" s="1"/>
  <c r="X54" i="26"/>
  <c r="Y54" i="26" s="1"/>
  <c r="X58" i="26"/>
  <c r="X7" i="26"/>
  <c r="Y7" i="26" s="1"/>
  <c r="X15" i="26"/>
  <c r="Y15" i="26" s="1"/>
  <c r="X23" i="26"/>
  <c r="Y23" i="26" s="1"/>
  <c r="X31" i="26"/>
  <c r="Y31" i="26" s="1"/>
  <c r="X39" i="26"/>
  <c r="Y39" i="26" s="1"/>
  <c r="X47" i="26"/>
  <c r="Y47" i="26" s="1"/>
  <c r="X55" i="26"/>
  <c r="Y55" i="26" s="1"/>
  <c r="X4" i="26"/>
  <c r="Y4" i="26" s="1"/>
  <c r="X8" i="26"/>
  <c r="Y8" i="26" s="1"/>
  <c r="X12" i="26"/>
  <c r="Y12" i="26" s="1"/>
  <c r="X16" i="26"/>
  <c r="Y16" i="26" s="1"/>
  <c r="X20" i="26"/>
  <c r="Y20" i="26" s="1"/>
  <c r="X24" i="26"/>
  <c r="Y24" i="26" s="1"/>
  <c r="X28" i="26"/>
  <c r="Y28" i="26" s="1"/>
  <c r="Z20" i="25"/>
  <c r="AA20" i="25" s="1"/>
  <c r="Z8" i="25"/>
  <c r="AA8" i="25" s="1"/>
  <c r="Z17" i="25"/>
  <c r="AA17" i="25" s="1"/>
  <c r="Z3" i="25"/>
  <c r="AA3" i="25" s="1"/>
  <c r="Z13" i="25"/>
  <c r="AA13" i="25" s="1"/>
  <c r="Z22" i="25"/>
  <c r="AA22" i="25" s="1"/>
  <c r="Z24" i="25"/>
  <c r="AA24" i="25" s="1"/>
  <c r="Z5" i="25"/>
  <c r="AA5" i="25" s="1"/>
  <c r="Z12" i="25"/>
  <c r="AA12" i="25" s="1"/>
  <c r="Z19" i="25"/>
  <c r="AA19" i="25" s="1"/>
  <c r="Z4" i="25"/>
  <c r="AA4" i="25" s="1"/>
  <c r="Z15" i="25"/>
  <c r="AA15" i="25" s="1"/>
  <c r="Z23" i="25"/>
  <c r="AA23" i="25" s="1"/>
  <c r="Z7" i="25"/>
  <c r="AA7" i="25" s="1"/>
  <c r="Z14" i="25"/>
  <c r="AA14" i="25" s="1"/>
  <c r="Z16" i="25"/>
  <c r="AA16" i="25" s="1"/>
  <c r="Z10" i="25"/>
  <c r="AA10" i="25" s="1"/>
  <c r="Z6" i="25"/>
  <c r="AA6" i="25" s="1"/>
  <c r="Z9" i="25"/>
  <c r="AA9" i="25" s="1"/>
  <c r="Z35" i="25"/>
  <c r="AA35" i="25" s="1"/>
  <c r="Z36" i="25"/>
  <c r="AA36" i="25" s="1"/>
  <c r="Z44" i="25"/>
  <c r="AA44" i="25" s="1"/>
  <c r="Z53" i="25"/>
  <c r="AA53" i="25" s="1"/>
  <c r="Z54" i="25"/>
  <c r="AA54" i="25" s="1"/>
  <c r="Z58" i="25"/>
  <c r="Z61" i="25"/>
  <c r="Z25" i="25"/>
  <c r="AA25" i="25" s="1"/>
  <c r="Z28" i="25"/>
  <c r="AA28" i="25" s="1"/>
  <c r="Z31" i="25"/>
  <c r="AA31" i="25" s="1"/>
  <c r="Z42" i="25"/>
  <c r="AA42" i="25" s="1"/>
  <c r="Z65" i="25"/>
  <c r="Z27" i="25"/>
  <c r="AA27" i="25" s="1"/>
  <c r="Z32" i="25"/>
  <c r="AA32" i="25" s="1"/>
  <c r="Z43" i="25"/>
  <c r="AA43" i="25" s="1"/>
  <c r="Z62" i="25"/>
  <c r="Z29" i="25"/>
  <c r="AA29" i="25" s="1"/>
  <c r="Z30" i="25"/>
  <c r="AA30" i="25" s="1"/>
  <c r="Z41" i="25"/>
  <c r="AA41" i="25" s="1"/>
  <c r="Z48" i="25"/>
  <c r="AA48" i="25" s="1"/>
  <c r="Z49" i="25"/>
  <c r="AA49" i="25" s="1"/>
  <c r="Z50" i="25"/>
  <c r="AA50" i="25" s="1"/>
  <c r="Z56" i="25"/>
  <c r="AA56" i="25" s="1"/>
  <c r="Z60" i="25"/>
  <c r="Z64" i="25"/>
  <c r="Z47" i="25"/>
  <c r="AA47" i="25" s="1"/>
  <c r="Z26" i="25"/>
  <c r="AA26" i="25" s="1"/>
  <c r="Z33" i="25"/>
  <c r="AA33" i="25" s="1"/>
  <c r="Z37" i="25"/>
  <c r="AA37" i="25" s="1"/>
  <c r="Z40" i="25"/>
  <c r="AA40" i="25" s="1"/>
  <c r="Z46" i="25"/>
  <c r="AA46" i="25" s="1"/>
  <c r="Z39" i="25"/>
  <c r="AA39" i="25" s="1"/>
  <c r="Z45" i="25"/>
  <c r="AA45" i="25" s="1"/>
  <c r="Z67" i="25"/>
  <c r="Z68" i="25"/>
  <c r="Z34" i="25"/>
  <c r="AA34" i="25" s="1"/>
  <c r="Z38" i="25"/>
  <c r="AA38" i="25" s="1"/>
  <c r="N72" i="16"/>
  <c r="O72" i="16" s="1"/>
  <c r="N64" i="16"/>
  <c r="O64" i="16" s="1"/>
  <c r="N67" i="16"/>
  <c r="O67" i="16" s="1"/>
  <c r="N68" i="16"/>
  <c r="O68" i="16" s="1"/>
  <c r="W62" i="21"/>
  <c r="N65" i="16"/>
  <c r="O65" i="16" s="1"/>
  <c r="W73" i="21"/>
  <c r="W69" i="21"/>
  <c r="N63" i="16"/>
  <c r="O63" i="16" s="1"/>
  <c r="N62" i="16"/>
  <c r="O62" i="16" s="1"/>
  <c r="W65" i="21"/>
  <c r="W72" i="21"/>
  <c r="W68" i="21"/>
  <c r="W64" i="21"/>
  <c r="W63" i="21"/>
  <c r="W71" i="21"/>
  <c r="W67" i="21"/>
  <c r="W70" i="21"/>
  <c r="W66" i="21"/>
  <c r="N70" i="16"/>
  <c r="O70" i="16" s="1"/>
  <c r="N69" i="16"/>
  <c r="O69" i="16" s="1"/>
  <c r="N66" i="16"/>
  <c r="O66" i="16" s="1"/>
  <c r="N73" i="16"/>
  <c r="O73" i="16" s="1"/>
  <c r="N71" i="16"/>
  <c r="O71" i="16" s="1"/>
  <c r="X73" i="14"/>
  <c r="X72" i="14"/>
  <c r="X71" i="14"/>
  <c r="X70" i="14"/>
  <c r="X69" i="14"/>
  <c r="X68" i="14"/>
  <c r="X67" i="14"/>
  <c r="X66" i="14"/>
  <c r="X65" i="14"/>
  <c r="X64" i="14"/>
  <c r="X63" i="14"/>
  <c r="X62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I91" i="22" l="1"/>
  <c r="S79" i="22"/>
  <c r="M92" i="27"/>
  <c r="Y80" i="27"/>
  <c r="M90" i="27"/>
  <c r="Y78" i="27"/>
  <c r="M88" i="27"/>
  <c r="Y76" i="27"/>
  <c r="M86" i="27"/>
  <c r="Y74" i="27"/>
  <c r="J94" i="22"/>
  <c r="T82" i="22"/>
  <c r="J86" i="22"/>
  <c r="T74" i="22"/>
  <c r="J88" i="22"/>
  <c r="T76" i="22"/>
  <c r="C69" i="27"/>
  <c r="C69" i="25"/>
  <c r="K92" i="22"/>
  <c r="U80" i="22"/>
  <c r="AA63" i="25"/>
  <c r="C73" i="27"/>
  <c r="C73" i="25"/>
  <c r="C66" i="27"/>
  <c r="C66" i="25"/>
  <c r="C63" i="25"/>
  <c r="C63" i="27"/>
  <c r="C67" i="27"/>
  <c r="C67" i="25"/>
  <c r="AA67" i="25" s="1"/>
  <c r="C71" i="25"/>
  <c r="C71" i="27"/>
  <c r="K88" i="22"/>
  <c r="U76" i="22"/>
  <c r="M91" i="27"/>
  <c r="Y79" i="27"/>
  <c r="M89" i="27"/>
  <c r="Y77" i="27"/>
  <c r="M87" i="27"/>
  <c r="Y75" i="27"/>
  <c r="C65" i="27"/>
  <c r="C65" i="25"/>
  <c r="C62" i="27"/>
  <c r="C62" i="25"/>
  <c r="M9" i="12" s="1"/>
  <c r="C70" i="27"/>
  <c r="C70" i="25"/>
  <c r="C64" i="27"/>
  <c r="C64" i="25"/>
  <c r="AA64" i="25" s="1"/>
  <c r="C68" i="27"/>
  <c r="C68" i="25"/>
  <c r="AA68" i="25" s="1"/>
  <c r="C72" i="27"/>
  <c r="C72" i="25"/>
  <c r="AA62" i="25"/>
  <c r="AA65" i="25"/>
  <c r="I95" i="22"/>
  <c r="S83" i="22"/>
  <c r="K96" i="22"/>
  <c r="U84" i="22"/>
  <c r="J96" i="22"/>
  <c r="T84" i="22"/>
  <c r="J92" i="22"/>
  <c r="T80" i="22"/>
  <c r="AA66" i="25"/>
  <c r="S102" i="22"/>
  <c r="I114" i="22"/>
  <c r="I100" i="22"/>
  <c r="S88" i="22"/>
  <c r="T102" i="22"/>
  <c r="J114" i="22"/>
  <c r="K117" i="22"/>
  <c r="U105" i="22"/>
  <c r="S109" i="22"/>
  <c r="I121" i="22"/>
  <c r="I111" i="22"/>
  <c r="S99" i="22"/>
  <c r="K115" i="22"/>
  <c r="U103" i="22"/>
  <c r="J121" i="22"/>
  <c r="T109" i="22"/>
  <c r="J113" i="22"/>
  <c r="T101" i="22"/>
  <c r="K114" i="22"/>
  <c r="U102" i="22"/>
  <c r="I117" i="22"/>
  <c r="S105" i="22"/>
  <c r="I113" i="22"/>
  <c r="S101" i="22"/>
  <c r="K121" i="22"/>
  <c r="U109" i="22"/>
  <c r="K113" i="22"/>
  <c r="U101" i="22"/>
  <c r="J119" i="22"/>
  <c r="T107" i="22"/>
  <c r="T99" i="22"/>
  <c r="J111" i="22"/>
  <c r="I118" i="22"/>
  <c r="S106" i="22"/>
  <c r="I110" i="22"/>
  <c r="S98" i="22"/>
  <c r="K118" i="22"/>
  <c r="U106" i="22"/>
  <c r="I120" i="22"/>
  <c r="S108" i="22"/>
  <c r="J115" i="22"/>
  <c r="T103" i="22"/>
  <c r="S92" i="22"/>
  <c r="I104" i="22"/>
  <c r="K119" i="22"/>
  <c r="U107" i="22"/>
  <c r="K111" i="22"/>
  <c r="U99" i="22"/>
  <c r="J117" i="22"/>
  <c r="T105" i="22"/>
  <c r="U98" i="22"/>
  <c r="K110" i="22"/>
  <c r="B62" i="14"/>
  <c r="B63" i="14"/>
  <c r="B64" i="14"/>
  <c r="B65" i="14"/>
  <c r="B66" i="14"/>
  <c r="B67" i="14"/>
  <c r="B68" i="14"/>
  <c r="B69" i="14"/>
  <c r="B70" i="14"/>
  <c r="B71" i="14"/>
  <c r="B72" i="14"/>
  <c r="B73" i="14"/>
  <c r="U92" i="22" l="1"/>
  <c r="K104" i="22"/>
  <c r="T88" i="22"/>
  <c r="J100" i="22"/>
  <c r="J106" i="22"/>
  <c r="T94" i="22"/>
  <c r="M100" i="27"/>
  <c r="Y88" i="27"/>
  <c r="M104" i="27"/>
  <c r="Y92" i="27"/>
  <c r="J108" i="22"/>
  <c r="T96" i="22"/>
  <c r="I107" i="22"/>
  <c r="S95" i="22"/>
  <c r="M101" i="27"/>
  <c r="Y89" i="27"/>
  <c r="U88" i="22"/>
  <c r="K100" i="22"/>
  <c r="T92" i="22"/>
  <c r="J104" i="22"/>
  <c r="K108" i="22"/>
  <c r="U96" i="22"/>
  <c r="J98" i="22"/>
  <c r="T86" i="22"/>
  <c r="M98" i="27"/>
  <c r="Y86" i="27"/>
  <c r="M102" i="27"/>
  <c r="Y90" i="27"/>
  <c r="I103" i="22"/>
  <c r="S91" i="22"/>
  <c r="M99" i="27"/>
  <c r="Y87" i="27"/>
  <c r="M103" i="27"/>
  <c r="Y91" i="27"/>
  <c r="U110" i="22"/>
  <c r="K122" i="22"/>
  <c r="T114" i="22"/>
  <c r="J126" i="22"/>
  <c r="K129" i="22"/>
  <c r="U117" i="22"/>
  <c r="I129" i="22"/>
  <c r="S117" i="22"/>
  <c r="U114" i="22"/>
  <c r="K126" i="22"/>
  <c r="I125" i="22"/>
  <c r="S113" i="22"/>
  <c r="K133" i="22"/>
  <c r="U121" i="22"/>
  <c r="S104" i="22"/>
  <c r="I116" i="22"/>
  <c r="J129" i="22"/>
  <c r="T117" i="22"/>
  <c r="T115" i="22"/>
  <c r="J127" i="22"/>
  <c r="I122" i="22"/>
  <c r="S110" i="22"/>
  <c r="J131" i="22"/>
  <c r="T119" i="22"/>
  <c r="J125" i="22"/>
  <c r="T113" i="22"/>
  <c r="I123" i="22"/>
  <c r="S111" i="22"/>
  <c r="I112" i="22"/>
  <c r="S100" i="22"/>
  <c r="K131" i="22"/>
  <c r="U119" i="22"/>
  <c r="K130" i="22"/>
  <c r="U118" i="22"/>
  <c r="I133" i="22"/>
  <c r="S121" i="22"/>
  <c r="I126" i="22"/>
  <c r="S114" i="22"/>
  <c r="K127" i="22"/>
  <c r="U115" i="22"/>
  <c r="J123" i="22"/>
  <c r="T111" i="22"/>
  <c r="K123" i="22"/>
  <c r="U111" i="22"/>
  <c r="S120" i="22"/>
  <c r="I132" i="22"/>
  <c r="S118" i="22"/>
  <c r="I130" i="22"/>
  <c r="K125" i="22"/>
  <c r="U113" i="22"/>
  <c r="J133" i="22"/>
  <c r="T121" i="22"/>
  <c r="Q52" i="19"/>
  <c r="P52" i="19"/>
  <c r="O52" i="19"/>
  <c r="N52" i="19"/>
  <c r="M52" i="19"/>
  <c r="L52" i="19"/>
  <c r="K52" i="19"/>
  <c r="J52" i="19"/>
  <c r="I52" i="19"/>
  <c r="H52" i="19"/>
  <c r="G52" i="19"/>
  <c r="F52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M111" i="27" l="1"/>
  <c r="Y99" i="27"/>
  <c r="M114" i="27"/>
  <c r="Y102" i="27"/>
  <c r="J110" i="22"/>
  <c r="T98" i="22"/>
  <c r="M113" i="27"/>
  <c r="Y101" i="27"/>
  <c r="T108" i="22"/>
  <c r="J120" i="22"/>
  <c r="M112" i="27"/>
  <c r="Y100" i="27"/>
  <c r="U100" i="22"/>
  <c r="K112" i="22"/>
  <c r="K116" i="22"/>
  <c r="U104" i="22"/>
  <c r="M115" i="27"/>
  <c r="Y103" i="27"/>
  <c r="S103" i="22"/>
  <c r="I115" i="22"/>
  <c r="M110" i="27"/>
  <c r="Y98" i="27"/>
  <c r="K120" i="22"/>
  <c r="U108" i="22"/>
  <c r="I119" i="22"/>
  <c r="S107" i="22"/>
  <c r="M116" i="27"/>
  <c r="Y104" i="27"/>
  <c r="T106" i="22"/>
  <c r="J118" i="22"/>
  <c r="J116" i="22"/>
  <c r="T104" i="22"/>
  <c r="J112" i="22"/>
  <c r="T100" i="22"/>
  <c r="I145" i="22"/>
  <c r="S145" i="22" s="1"/>
  <c r="S133" i="22"/>
  <c r="T126" i="22"/>
  <c r="J138" i="22"/>
  <c r="T138" i="22" s="1"/>
  <c r="J145" i="22"/>
  <c r="T145" i="22" s="1"/>
  <c r="T133" i="22"/>
  <c r="S116" i="22"/>
  <c r="I128" i="22"/>
  <c r="K134" i="22"/>
  <c r="U134" i="22" s="1"/>
  <c r="U122" i="22"/>
  <c r="K137" i="22"/>
  <c r="U137" i="22" s="1"/>
  <c r="U125" i="22"/>
  <c r="J135" i="22"/>
  <c r="T135" i="22" s="1"/>
  <c r="T123" i="22"/>
  <c r="K143" i="22"/>
  <c r="U143" i="22" s="1"/>
  <c r="U131" i="22"/>
  <c r="T131" i="22"/>
  <c r="J143" i="22"/>
  <c r="T143" i="22" s="1"/>
  <c r="S125" i="22"/>
  <c r="I137" i="22"/>
  <c r="S137" i="22" s="1"/>
  <c r="S130" i="22"/>
  <c r="I142" i="22"/>
  <c r="S142" i="22" s="1"/>
  <c r="K135" i="22"/>
  <c r="U135" i="22" s="1"/>
  <c r="U123" i="22"/>
  <c r="J137" i="22"/>
  <c r="T137" i="22" s="1"/>
  <c r="T125" i="22"/>
  <c r="K139" i="22"/>
  <c r="U139" i="22" s="1"/>
  <c r="U127" i="22"/>
  <c r="S112" i="22"/>
  <c r="I124" i="22"/>
  <c r="I134" i="22"/>
  <c r="S134" i="22" s="1"/>
  <c r="S122" i="22"/>
  <c r="K145" i="22"/>
  <c r="U145" i="22" s="1"/>
  <c r="U133" i="22"/>
  <c r="I141" i="22"/>
  <c r="S141" i="22" s="1"/>
  <c r="S129" i="22"/>
  <c r="J141" i="22"/>
  <c r="T141" i="22" s="1"/>
  <c r="T129" i="22"/>
  <c r="S132" i="22"/>
  <c r="I144" i="22"/>
  <c r="S144" i="22" s="1"/>
  <c r="J139" i="22"/>
  <c r="T139" i="22" s="1"/>
  <c r="T127" i="22"/>
  <c r="U126" i="22"/>
  <c r="K138" i="22"/>
  <c r="U138" i="22" s="1"/>
  <c r="I138" i="22"/>
  <c r="S138" i="22" s="1"/>
  <c r="S126" i="22"/>
  <c r="U130" i="22"/>
  <c r="K142" i="22"/>
  <c r="U142" i="22" s="1"/>
  <c r="I135" i="22"/>
  <c r="S135" i="22" s="1"/>
  <c r="S123" i="22"/>
  <c r="K141" i="22"/>
  <c r="U141" i="22" s="1"/>
  <c r="U129" i="22"/>
  <c r="D38" i="32"/>
  <c r="I14" i="33"/>
  <c r="I127" i="22" l="1"/>
  <c r="S115" i="22"/>
  <c r="T116" i="22"/>
  <c r="J128" i="22"/>
  <c r="M128" i="27"/>
  <c r="Y116" i="27"/>
  <c r="U120" i="22"/>
  <c r="K132" i="22"/>
  <c r="K128" i="22"/>
  <c r="U116" i="22"/>
  <c r="M124" i="27"/>
  <c r="Y112" i="27"/>
  <c r="M125" i="27"/>
  <c r="Y113" i="27"/>
  <c r="M126" i="27"/>
  <c r="Y114" i="27"/>
  <c r="T118" i="22"/>
  <c r="J130" i="22"/>
  <c r="U112" i="22"/>
  <c r="K124" i="22"/>
  <c r="J132" i="22"/>
  <c r="T120" i="22"/>
  <c r="J124" i="22"/>
  <c r="T112" i="22"/>
  <c r="I131" i="22"/>
  <c r="S119" i="22"/>
  <c r="M122" i="27"/>
  <c r="Y110" i="27"/>
  <c r="M127" i="27"/>
  <c r="Y115" i="27"/>
  <c r="T110" i="22"/>
  <c r="J122" i="22"/>
  <c r="M123" i="27"/>
  <c r="Y111" i="27"/>
  <c r="S128" i="22"/>
  <c r="I140" i="22"/>
  <c r="S140" i="22" s="1"/>
  <c r="I136" i="22"/>
  <c r="S136" i="22" s="1"/>
  <c r="S124" i="22"/>
  <c r="D26" i="33"/>
  <c r="C20" i="33"/>
  <c r="C6" i="33" s="1"/>
  <c r="T122" i="22" l="1"/>
  <c r="J134" i="22"/>
  <c r="T134" i="22" s="1"/>
  <c r="K136" i="22"/>
  <c r="U136" i="22" s="1"/>
  <c r="U124" i="22"/>
  <c r="U132" i="22"/>
  <c r="K144" i="22"/>
  <c r="U144" i="22" s="1"/>
  <c r="J140" i="22"/>
  <c r="T140" i="22" s="1"/>
  <c r="T128" i="22"/>
  <c r="M134" i="27"/>
  <c r="Y134" i="27" s="1"/>
  <c r="Y122" i="27"/>
  <c r="T124" i="22"/>
  <c r="J136" i="22"/>
  <c r="T136" i="22" s="1"/>
  <c r="M138" i="27"/>
  <c r="Y138" i="27" s="1"/>
  <c r="Y126" i="27"/>
  <c r="M136" i="27"/>
  <c r="Y136" i="27" s="1"/>
  <c r="Y124" i="27"/>
  <c r="T130" i="22"/>
  <c r="J142" i="22"/>
  <c r="T142" i="22" s="1"/>
  <c r="M135" i="27"/>
  <c r="Y135" i="27" s="1"/>
  <c r="Y123" i="27"/>
  <c r="M139" i="27"/>
  <c r="Y139" i="27" s="1"/>
  <c r="Y127" i="27"/>
  <c r="I143" i="22"/>
  <c r="S143" i="22" s="1"/>
  <c r="S131" i="22"/>
  <c r="J144" i="22"/>
  <c r="T144" i="22" s="1"/>
  <c r="T132" i="22"/>
  <c r="M137" i="27"/>
  <c r="Y137" i="27" s="1"/>
  <c r="Y125" i="27"/>
  <c r="U128" i="22"/>
  <c r="K140" i="22"/>
  <c r="U140" i="22" s="1"/>
  <c r="M140" i="27"/>
  <c r="Y140" i="27" s="1"/>
  <c r="Y128" i="27"/>
  <c r="I139" i="22"/>
  <c r="S139" i="22" s="1"/>
  <c r="S127" i="22"/>
  <c r="E26" i="33"/>
  <c r="F26" i="33" l="1"/>
  <c r="N145" i="28"/>
  <c r="B145" i="28"/>
  <c r="N144" i="28"/>
  <c r="B144" i="28"/>
  <c r="N143" i="28"/>
  <c r="B143" i="28"/>
  <c r="N142" i="28"/>
  <c r="B142" i="28"/>
  <c r="N141" i="28"/>
  <c r="B141" i="28"/>
  <c r="N140" i="28"/>
  <c r="B140" i="28"/>
  <c r="N139" i="28"/>
  <c r="B139" i="28"/>
  <c r="N138" i="28"/>
  <c r="B138" i="28"/>
  <c r="N137" i="28"/>
  <c r="B137" i="28"/>
  <c r="N136" i="28"/>
  <c r="B136" i="28"/>
  <c r="N135" i="28"/>
  <c r="B135" i="28"/>
  <c r="N134" i="28"/>
  <c r="B134" i="28"/>
  <c r="N133" i="28"/>
  <c r="B133" i="28"/>
  <c r="N132" i="28"/>
  <c r="B132" i="28"/>
  <c r="N131" i="28"/>
  <c r="B131" i="28"/>
  <c r="N130" i="28"/>
  <c r="B130" i="28"/>
  <c r="N129" i="28"/>
  <c r="B129" i="28"/>
  <c r="N128" i="28"/>
  <c r="B128" i="28"/>
  <c r="N127" i="28"/>
  <c r="B127" i="28"/>
  <c r="N126" i="28"/>
  <c r="B126" i="28"/>
  <c r="N125" i="28"/>
  <c r="B125" i="28"/>
  <c r="N124" i="28"/>
  <c r="B124" i="28"/>
  <c r="N123" i="28"/>
  <c r="B123" i="28"/>
  <c r="N122" i="28"/>
  <c r="B122" i="28"/>
  <c r="N121" i="28"/>
  <c r="B121" i="28"/>
  <c r="N120" i="28"/>
  <c r="B120" i="28"/>
  <c r="N119" i="28"/>
  <c r="B119" i="28"/>
  <c r="N118" i="28"/>
  <c r="B118" i="28"/>
  <c r="N117" i="28"/>
  <c r="B117" i="28"/>
  <c r="N116" i="28"/>
  <c r="B116" i="28"/>
  <c r="N115" i="28"/>
  <c r="B115" i="28"/>
  <c r="N114" i="28"/>
  <c r="B114" i="28"/>
  <c r="N113" i="28"/>
  <c r="B113" i="28"/>
  <c r="N112" i="28"/>
  <c r="B112" i="28"/>
  <c r="N111" i="28"/>
  <c r="B111" i="28"/>
  <c r="N110" i="28"/>
  <c r="B110" i="28"/>
  <c r="N109" i="28"/>
  <c r="B109" i="28"/>
  <c r="N108" i="28"/>
  <c r="B108" i="28"/>
  <c r="N107" i="28"/>
  <c r="B107" i="28"/>
  <c r="N106" i="28"/>
  <c r="B106" i="28"/>
  <c r="N105" i="28"/>
  <c r="B105" i="28"/>
  <c r="N104" i="28"/>
  <c r="B104" i="28"/>
  <c r="N103" i="28"/>
  <c r="B103" i="28"/>
  <c r="N102" i="28"/>
  <c r="B102" i="28"/>
  <c r="N101" i="28"/>
  <c r="B101" i="28"/>
  <c r="N100" i="28"/>
  <c r="B100" i="28"/>
  <c r="N99" i="28"/>
  <c r="F99" i="28"/>
  <c r="B99" i="28"/>
  <c r="N98" i="28"/>
  <c r="B98" i="28"/>
  <c r="O145" i="27"/>
  <c r="B145" i="27"/>
  <c r="O144" i="27"/>
  <c r="B144" i="27"/>
  <c r="O143" i="27"/>
  <c r="B143" i="27"/>
  <c r="O142" i="27"/>
  <c r="B142" i="27"/>
  <c r="O141" i="27"/>
  <c r="B141" i="27"/>
  <c r="O140" i="27"/>
  <c r="B140" i="27"/>
  <c r="O139" i="27"/>
  <c r="B139" i="27"/>
  <c r="O138" i="27"/>
  <c r="B138" i="27"/>
  <c r="O137" i="27"/>
  <c r="B137" i="27"/>
  <c r="O136" i="27"/>
  <c r="B136" i="27"/>
  <c r="O135" i="27"/>
  <c r="B135" i="27"/>
  <c r="O134" i="27"/>
  <c r="B134" i="27"/>
  <c r="O133" i="27"/>
  <c r="B133" i="27"/>
  <c r="O132" i="27"/>
  <c r="B132" i="27"/>
  <c r="O131" i="27"/>
  <c r="B131" i="27"/>
  <c r="O130" i="27"/>
  <c r="B130" i="27"/>
  <c r="O129" i="27"/>
  <c r="B129" i="27"/>
  <c r="O128" i="27"/>
  <c r="B128" i="27"/>
  <c r="O127" i="27"/>
  <c r="B127" i="27"/>
  <c r="O126" i="27"/>
  <c r="B126" i="27"/>
  <c r="O125" i="27"/>
  <c r="B125" i="27"/>
  <c r="O124" i="27"/>
  <c r="B124" i="27"/>
  <c r="O123" i="27"/>
  <c r="B123" i="27"/>
  <c r="O122" i="27"/>
  <c r="B122" i="27"/>
  <c r="O121" i="27"/>
  <c r="B121" i="27"/>
  <c r="O120" i="27"/>
  <c r="B120" i="27"/>
  <c r="O119" i="27"/>
  <c r="B119" i="27"/>
  <c r="O118" i="27"/>
  <c r="B118" i="27"/>
  <c r="O117" i="27"/>
  <c r="B117" i="27"/>
  <c r="O116" i="27"/>
  <c r="B116" i="27"/>
  <c r="O115" i="27"/>
  <c r="B115" i="27"/>
  <c r="O114" i="27"/>
  <c r="B114" i="27"/>
  <c r="O113" i="27"/>
  <c r="B113" i="27"/>
  <c r="O112" i="27"/>
  <c r="B112" i="27"/>
  <c r="O111" i="27"/>
  <c r="B111" i="27"/>
  <c r="O110" i="27"/>
  <c r="B110" i="27"/>
  <c r="O109" i="27"/>
  <c r="B109" i="27"/>
  <c r="O108" i="27"/>
  <c r="B108" i="27"/>
  <c r="O107" i="27"/>
  <c r="B107" i="27"/>
  <c r="O106" i="27"/>
  <c r="B106" i="27"/>
  <c r="O105" i="27"/>
  <c r="B105" i="27"/>
  <c r="O104" i="27"/>
  <c r="B104" i="27"/>
  <c r="O103" i="27"/>
  <c r="B103" i="27"/>
  <c r="O102" i="27"/>
  <c r="B102" i="27"/>
  <c r="O101" i="27"/>
  <c r="B101" i="27"/>
  <c r="O100" i="27"/>
  <c r="B100" i="27"/>
  <c r="O99" i="27"/>
  <c r="B99" i="27"/>
  <c r="O98" i="27"/>
  <c r="B98" i="27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M145" i="22"/>
  <c r="M144" i="22"/>
  <c r="M143" i="22"/>
  <c r="M142" i="22"/>
  <c r="M141" i="22"/>
  <c r="M140" i="22"/>
  <c r="M139" i="22"/>
  <c r="M138" i="22"/>
  <c r="M137" i="22"/>
  <c r="M136" i="22"/>
  <c r="M135" i="22"/>
  <c r="M134" i="22"/>
  <c r="M133" i="22"/>
  <c r="M132" i="22"/>
  <c r="M131" i="22"/>
  <c r="M130" i="22"/>
  <c r="M129" i="22"/>
  <c r="M128" i="22"/>
  <c r="M127" i="22"/>
  <c r="M126" i="22"/>
  <c r="M125" i="22"/>
  <c r="M124" i="22"/>
  <c r="M123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10" i="22"/>
  <c r="M109" i="22"/>
  <c r="M108" i="22"/>
  <c r="M107" i="22"/>
  <c r="M106" i="22"/>
  <c r="M105" i="22"/>
  <c r="M104" i="22"/>
  <c r="M103" i="22"/>
  <c r="M102" i="22"/>
  <c r="M101" i="22"/>
  <c r="M100" i="22"/>
  <c r="M99" i="22"/>
  <c r="M98" i="22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G26" i="33" l="1"/>
  <c r="Q99" i="28"/>
  <c r="F111" i="28"/>
  <c r="R111" i="27"/>
  <c r="R99" i="27"/>
  <c r="E9" i="29"/>
  <c r="C38" i="32" s="1"/>
  <c r="E8" i="29"/>
  <c r="E7" i="29"/>
  <c r="E6" i="29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AA4" i="31" s="1"/>
  <c r="B7" i="14"/>
  <c r="B6" i="14"/>
  <c r="B5" i="14"/>
  <c r="B4" i="14"/>
  <c r="B3" i="14"/>
  <c r="B2" i="14"/>
  <c r="V7" i="31" s="1"/>
  <c r="G3" i="30"/>
  <c r="H5" i="31" l="1"/>
  <c r="M6" i="31"/>
  <c r="H8" i="31"/>
  <c r="H4" i="31"/>
  <c r="M5" i="31"/>
  <c r="H7" i="31"/>
  <c r="M4" i="31"/>
  <c r="H6" i="31"/>
  <c r="M7" i="31"/>
  <c r="O10" i="29"/>
  <c r="O6" i="29"/>
  <c r="E35" i="32" s="1"/>
  <c r="F35" i="32" s="1"/>
  <c r="H9" i="31"/>
  <c r="I9" i="31" s="1"/>
  <c r="J9" i="31" s="1"/>
  <c r="C9" i="31"/>
  <c r="O9" i="29"/>
  <c r="E38" i="32" s="1"/>
  <c r="F38" i="32" s="1"/>
  <c r="O5" i="29"/>
  <c r="AA9" i="31"/>
  <c r="O8" i="29"/>
  <c r="E37" i="32" s="1"/>
  <c r="F37" i="32" s="1"/>
  <c r="AF9" i="18"/>
  <c r="V9" i="31"/>
  <c r="W10" i="31" s="1"/>
  <c r="M9" i="31"/>
  <c r="O7" i="29"/>
  <c r="E36" i="32" s="1"/>
  <c r="F36" i="32" s="1"/>
  <c r="AA9" i="18"/>
  <c r="R9" i="31"/>
  <c r="D68" i="32"/>
  <c r="V8" i="31"/>
  <c r="C8" i="31"/>
  <c r="C68" i="32" s="1"/>
  <c r="R8" i="31"/>
  <c r="F68" i="32" s="1"/>
  <c r="V6" i="31"/>
  <c r="W7" i="31" s="1"/>
  <c r="X7" i="31" s="1"/>
  <c r="AA5" i="31"/>
  <c r="AB5" i="31" s="1"/>
  <c r="AC5" i="31" s="1"/>
  <c r="AA8" i="18"/>
  <c r="G8" i="32" s="1"/>
  <c r="AA4" i="18"/>
  <c r="AF7" i="18"/>
  <c r="AA7" i="18"/>
  <c r="AF6" i="18"/>
  <c r="AA6" i="18"/>
  <c r="AF5" i="18"/>
  <c r="AF8" i="18"/>
  <c r="H8" i="32" s="1"/>
  <c r="AF4" i="18"/>
  <c r="AA5" i="18"/>
  <c r="AA6" i="31"/>
  <c r="AB6" i="31" s="1"/>
  <c r="AC6" i="31" s="1"/>
  <c r="C4" i="31"/>
  <c r="R4" i="31"/>
  <c r="AA7" i="31"/>
  <c r="C5" i="31"/>
  <c r="D5" i="31" s="1"/>
  <c r="E5" i="31" s="1"/>
  <c r="R5" i="31"/>
  <c r="S5" i="31" s="1"/>
  <c r="AA8" i="31"/>
  <c r="H68" i="32" s="1"/>
  <c r="C6" i="31"/>
  <c r="R6" i="31"/>
  <c r="V4" i="31"/>
  <c r="C7" i="31"/>
  <c r="D8" i="31" s="1"/>
  <c r="E8" i="31" s="1"/>
  <c r="R7" i="31"/>
  <c r="V5" i="31"/>
  <c r="W6" i="31" s="1"/>
  <c r="X6" i="31" s="1"/>
  <c r="H26" i="33"/>
  <c r="Q111" i="28"/>
  <c r="F123" i="28"/>
  <c r="R135" i="27"/>
  <c r="R123" i="27"/>
  <c r="W8" i="31"/>
  <c r="X8" i="31" s="1"/>
  <c r="S9" i="31" l="1"/>
  <c r="AB9" i="18"/>
  <c r="M10" i="29"/>
  <c r="G9" i="32"/>
  <c r="AG9" i="18"/>
  <c r="H9" i="32"/>
  <c r="N10" i="29"/>
  <c r="N15" i="29" s="1"/>
  <c r="E39" i="32"/>
  <c r="AB9" i="31"/>
  <c r="AC9" i="31" s="1"/>
  <c r="G68" i="32"/>
  <c r="W9" i="31"/>
  <c r="X9" i="31" s="1"/>
  <c r="I6" i="31"/>
  <c r="J6" i="31" s="1"/>
  <c r="I7" i="31"/>
  <c r="J7" i="31" s="1"/>
  <c r="S6" i="31"/>
  <c r="I5" i="31"/>
  <c r="J5" i="31" s="1"/>
  <c r="S7" i="31"/>
  <c r="I8" i="31"/>
  <c r="J8" i="31" s="1"/>
  <c r="D69" i="32" s="1"/>
  <c r="AB8" i="31"/>
  <c r="AC8" i="31" s="1"/>
  <c r="AB7" i="31"/>
  <c r="AC7" i="31" s="1"/>
  <c r="AC10" i="31" s="1"/>
  <c r="AB10" i="31" s="1"/>
  <c r="AA10" i="31" s="1"/>
  <c r="W5" i="31"/>
  <c r="X5" i="31" s="1"/>
  <c r="X10" i="31" s="1"/>
  <c r="S8" i="31"/>
  <c r="D6" i="31"/>
  <c r="E6" i="31" s="1"/>
  <c r="D7" i="31"/>
  <c r="E7" i="31" s="1"/>
  <c r="S11" i="31"/>
  <c r="S12" i="31" s="1"/>
  <c r="S13" i="31" s="1"/>
  <c r="S14" i="31" s="1"/>
  <c r="S15" i="31" s="1"/>
  <c r="Q123" i="28"/>
  <c r="F135" i="28"/>
  <c r="Q135" i="28" s="1"/>
  <c r="F69" i="32"/>
  <c r="L13" i="28"/>
  <c r="W13" i="28" s="1"/>
  <c r="L12" i="28"/>
  <c r="W12" i="28" s="1"/>
  <c r="L11" i="28"/>
  <c r="W11" i="28" s="1"/>
  <c r="L10" i="28"/>
  <c r="W10" i="28" s="1"/>
  <c r="L9" i="28"/>
  <c r="W9" i="28" s="1"/>
  <c r="L8" i="28"/>
  <c r="W8" i="28" s="1"/>
  <c r="L7" i="28"/>
  <c r="W7" i="28" s="1"/>
  <c r="L6" i="28"/>
  <c r="W6" i="28" s="1"/>
  <c r="L5" i="28"/>
  <c r="W5" i="28" s="1"/>
  <c r="L4" i="28"/>
  <c r="W4" i="28" s="1"/>
  <c r="L3" i="28"/>
  <c r="W3" i="28" s="1"/>
  <c r="L2" i="28"/>
  <c r="W2" i="28" s="1"/>
  <c r="R49" i="28"/>
  <c r="R48" i="28"/>
  <c r="R46" i="28"/>
  <c r="R45" i="28"/>
  <c r="R43" i="28"/>
  <c r="R42" i="28"/>
  <c r="R41" i="28"/>
  <c r="R40" i="28"/>
  <c r="R39" i="28"/>
  <c r="R38" i="28"/>
  <c r="R37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C1" i="28"/>
  <c r="H61" i="28"/>
  <c r="S61" i="28" s="1"/>
  <c r="H60" i="28"/>
  <c r="S60" i="28" s="1"/>
  <c r="H59" i="28"/>
  <c r="S59" i="28" s="1"/>
  <c r="H58" i="28"/>
  <c r="S58" i="28" s="1"/>
  <c r="H57" i="28"/>
  <c r="S57" i="28" s="1"/>
  <c r="H56" i="28"/>
  <c r="S56" i="28" s="1"/>
  <c r="H55" i="28"/>
  <c r="S55" i="28" s="1"/>
  <c r="H54" i="28"/>
  <c r="S54" i="28" s="1"/>
  <c r="H53" i="28"/>
  <c r="S53" i="28" s="1"/>
  <c r="H52" i="28"/>
  <c r="S52" i="28" s="1"/>
  <c r="H51" i="28"/>
  <c r="S51" i="28" s="1"/>
  <c r="H50" i="28"/>
  <c r="S50" i="28" s="1"/>
  <c r="H49" i="28"/>
  <c r="S49" i="28" s="1"/>
  <c r="H48" i="28"/>
  <c r="S48" i="28" s="1"/>
  <c r="H47" i="28"/>
  <c r="S47" i="28" s="1"/>
  <c r="H46" i="28"/>
  <c r="S46" i="28" s="1"/>
  <c r="H45" i="28"/>
  <c r="S45" i="28" s="1"/>
  <c r="H44" i="28"/>
  <c r="S44" i="28" s="1"/>
  <c r="H43" i="28"/>
  <c r="S43" i="28" s="1"/>
  <c r="H42" i="28"/>
  <c r="S42" i="28" s="1"/>
  <c r="H41" i="28"/>
  <c r="S41" i="28" s="1"/>
  <c r="H40" i="28"/>
  <c r="S40" i="28" s="1"/>
  <c r="H39" i="28"/>
  <c r="S39" i="28" s="1"/>
  <c r="H38" i="28"/>
  <c r="S38" i="28" s="1"/>
  <c r="H37" i="28"/>
  <c r="S37" i="28" s="1"/>
  <c r="H36" i="28"/>
  <c r="S36" i="28" s="1"/>
  <c r="H35" i="28"/>
  <c r="S35" i="28" s="1"/>
  <c r="H34" i="28"/>
  <c r="S34" i="28" s="1"/>
  <c r="H33" i="28"/>
  <c r="S33" i="28" s="1"/>
  <c r="H32" i="28"/>
  <c r="S32" i="28" s="1"/>
  <c r="H31" i="28"/>
  <c r="S31" i="28" s="1"/>
  <c r="H30" i="28"/>
  <c r="S30" i="28" s="1"/>
  <c r="H29" i="28"/>
  <c r="S29" i="28" s="1"/>
  <c r="H28" i="28"/>
  <c r="S28" i="28" s="1"/>
  <c r="H27" i="28"/>
  <c r="S27" i="28" s="1"/>
  <c r="H26" i="28"/>
  <c r="S26" i="28" s="1"/>
  <c r="H25" i="28"/>
  <c r="S25" i="28" s="1"/>
  <c r="H24" i="28"/>
  <c r="S24" i="28" s="1"/>
  <c r="H23" i="28"/>
  <c r="S23" i="28" s="1"/>
  <c r="H22" i="28"/>
  <c r="S22" i="28" s="1"/>
  <c r="H21" i="28"/>
  <c r="S21" i="28" s="1"/>
  <c r="H20" i="28"/>
  <c r="S20" i="28" s="1"/>
  <c r="H19" i="28"/>
  <c r="S19" i="28" s="1"/>
  <c r="H18" i="28"/>
  <c r="S18" i="28" s="1"/>
  <c r="H17" i="28"/>
  <c r="S17" i="28" s="1"/>
  <c r="H16" i="28"/>
  <c r="S16" i="28" s="1"/>
  <c r="H15" i="28"/>
  <c r="S15" i="28" s="1"/>
  <c r="H14" i="28"/>
  <c r="S14" i="28" s="1"/>
  <c r="H13" i="28"/>
  <c r="S13" i="28" s="1"/>
  <c r="H12" i="28"/>
  <c r="S12" i="28" s="1"/>
  <c r="H11" i="28"/>
  <c r="S11" i="28" s="1"/>
  <c r="H10" i="28"/>
  <c r="S10" i="28" s="1"/>
  <c r="H9" i="28"/>
  <c r="S9" i="28" s="1"/>
  <c r="H8" i="28"/>
  <c r="S8" i="28" s="1"/>
  <c r="H7" i="28"/>
  <c r="S7" i="28" s="1"/>
  <c r="H6" i="28"/>
  <c r="S6" i="28" s="1"/>
  <c r="H5" i="28"/>
  <c r="S5" i="28" s="1"/>
  <c r="H4" i="28"/>
  <c r="S4" i="28" s="1"/>
  <c r="H3" i="28"/>
  <c r="S3" i="28" s="1"/>
  <c r="H2" i="28"/>
  <c r="S2" i="28" s="1"/>
  <c r="R2" i="28"/>
  <c r="W1" i="28"/>
  <c r="V1" i="28"/>
  <c r="N97" i="28"/>
  <c r="N96" i="28"/>
  <c r="N95" i="28"/>
  <c r="N94" i="28"/>
  <c r="N93" i="28"/>
  <c r="N92" i="28"/>
  <c r="N91" i="28"/>
  <c r="N90" i="28"/>
  <c r="N89" i="28"/>
  <c r="N88" i="28"/>
  <c r="Q87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2" i="28"/>
  <c r="U1" i="28"/>
  <c r="T1" i="28"/>
  <c r="S1" i="28"/>
  <c r="R1" i="28"/>
  <c r="Q1" i="28"/>
  <c r="P1" i="28"/>
  <c r="O1" i="28"/>
  <c r="N1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K61" i="28"/>
  <c r="V61" i="28" s="1"/>
  <c r="J61" i="28"/>
  <c r="U61" i="28" s="1"/>
  <c r="T61" i="28"/>
  <c r="F61" i="28"/>
  <c r="A61" i="28"/>
  <c r="B61" i="28" s="1"/>
  <c r="K60" i="28"/>
  <c r="V60" i="28" s="1"/>
  <c r="J60" i="28"/>
  <c r="U60" i="28" s="1"/>
  <c r="T60" i="28"/>
  <c r="R60" i="28"/>
  <c r="F60" i="28"/>
  <c r="Q60" i="28" s="1"/>
  <c r="A60" i="28"/>
  <c r="B60" i="28" s="1"/>
  <c r="K59" i="28"/>
  <c r="V59" i="28" s="1"/>
  <c r="J59" i="28"/>
  <c r="U59" i="28" s="1"/>
  <c r="T59" i="28"/>
  <c r="F59" i="28"/>
  <c r="A59" i="28"/>
  <c r="B59" i="28" s="1"/>
  <c r="K58" i="28"/>
  <c r="V58" i="28" s="1"/>
  <c r="J58" i="28"/>
  <c r="U58" i="28" s="1"/>
  <c r="T58" i="28"/>
  <c r="F58" i="28"/>
  <c r="A58" i="28"/>
  <c r="B58" i="28" s="1"/>
  <c r="K57" i="28"/>
  <c r="V57" i="28" s="1"/>
  <c r="J57" i="28"/>
  <c r="U57" i="28" s="1"/>
  <c r="T57" i="28"/>
  <c r="F57" i="28"/>
  <c r="A57" i="28"/>
  <c r="B57" i="28" s="1"/>
  <c r="U9" i="18" s="1"/>
  <c r="K56" i="28"/>
  <c r="V56" i="28" s="1"/>
  <c r="J56" i="28"/>
  <c r="U56" i="28" s="1"/>
  <c r="T56" i="28"/>
  <c r="F56" i="28"/>
  <c r="Q56" i="28" s="1"/>
  <c r="A56" i="28"/>
  <c r="B56" i="28" s="1"/>
  <c r="K55" i="28"/>
  <c r="V55" i="28" s="1"/>
  <c r="J55" i="28"/>
  <c r="U55" i="28" s="1"/>
  <c r="T55" i="28"/>
  <c r="F55" i="28"/>
  <c r="A55" i="28"/>
  <c r="B55" i="28" s="1"/>
  <c r="K54" i="28"/>
  <c r="V54" i="28" s="1"/>
  <c r="J54" i="28"/>
  <c r="U54" i="28" s="1"/>
  <c r="T54" i="28"/>
  <c r="F54" i="28"/>
  <c r="Q54" i="28" s="1"/>
  <c r="A54" i="28"/>
  <c r="B54" i="28" s="1"/>
  <c r="K53" i="28"/>
  <c r="V53" i="28" s="1"/>
  <c r="J53" i="28"/>
  <c r="U53" i="28" s="1"/>
  <c r="T53" i="28"/>
  <c r="F53" i="28"/>
  <c r="Q53" i="28" s="1"/>
  <c r="A53" i="28"/>
  <c r="B53" i="28" s="1"/>
  <c r="K52" i="28"/>
  <c r="V52" i="28" s="1"/>
  <c r="J52" i="28"/>
  <c r="U52" i="28" s="1"/>
  <c r="T52" i="28"/>
  <c r="R52" i="28"/>
  <c r="F52" i="28"/>
  <c r="A52" i="28"/>
  <c r="B52" i="28" s="1"/>
  <c r="K51" i="28"/>
  <c r="V51" i="28" s="1"/>
  <c r="J51" i="28"/>
  <c r="U51" i="28" s="1"/>
  <c r="T51" i="28"/>
  <c r="F51" i="28"/>
  <c r="A51" i="28"/>
  <c r="B51" i="28" s="1"/>
  <c r="K50" i="28"/>
  <c r="V50" i="28" s="1"/>
  <c r="J50" i="28"/>
  <c r="U50" i="28" s="1"/>
  <c r="T50" i="28"/>
  <c r="F50" i="28"/>
  <c r="A50" i="28"/>
  <c r="B50" i="28" s="1"/>
  <c r="K49" i="28"/>
  <c r="V49" i="28" s="1"/>
  <c r="J49" i="28"/>
  <c r="U49" i="28" s="1"/>
  <c r="T49" i="28"/>
  <c r="F49" i="28"/>
  <c r="Q49" i="28" s="1"/>
  <c r="A49" i="28"/>
  <c r="B49" i="28" s="1"/>
  <c r="K48" i="28"/>
  <c r="V48" i="28" s="1"/>
  <c r="J48" i="28"/>
  <c r="U48" i="28" s="1"/>
  <c r="T48" i="28"/>
  <c r="F48" i="28"/>
  <c r="Q48" i="28" s="1"/>
  <c r="A48" i="28"/>
  <c r="B48" i="28" s="1"/>
  <c r="K47" i="28"/>
  <c r="V47" i="28" s="1"/>
  <c r="J47" i="28"/>
  <c r="U47" i="28" s="1"/>
  <c r="T47" i="28"/>
  <c r="R47" i="28"/>
  <c r="F47" i="28"/>
  <c r="Q47" i="28" s="1"/>
  <c r="A47" i="28"/>
  <c r="B47" i="28" s="1"/>
  <c r="K46" i="28"/>
  <c r="V46" i="28" s="1"/>
  <c r="J46" i="28"/>
  <c r="U46" i="28" s="1"/>
  <c r="T46" i="28"/>
  <c r="F46" i="28"/>
  <c r="Q46" i="28" s="1"/>
  <c r="A46" i="28"/>
  <c r="B46" i="28" s="1"/>
  <c r="K45" i="28"/>
  <c r="V45" i="28" s="1"/>
  <c r="J45" i="28"/>
  <c r="U45" i="28" s="1"/>
  <c r="T45" i="28"/>
  <c r="F45" i="28"/>
  <c r="Q45" i="28" s="1"/>
  <c r="A45" i="28"/>
  <c r="B45" i="28" s="1"/>
  <c r="K44" i="28"/>
  <c r="V44" i="28" s="1"/>
  <c r="J44" i="28"/>
  <c r="U44" i="28" s="1"/>
  <c r="T44" i="28"/>
  <c r="R44" i="28"/>
  <c r="F44" i="28"/>
  <c r="Q44" i="28" s="1"/>
  <c r="A44" i="28"/>
  <c r="B44" i="28" s="1"/>
  <c r="K43" i="28"/>
  <c r="V43" i="28" s="1"/>
  <c r="J43" i="28"/>
  <c r="U43" i="28" s="1"/>
  <c r="T43" i="28"/>
  <c r="F43" i="28"/>
  <c r="Q43" i="28" s="1"/>
  <c r="A43" i="28"/>
  <c r="B43" i="28" s="1"/>
  <c r="K42" i="28"/>
  <c r="V42" i="28" s="1"/>
  <c r="J42" i="28"/>
  <c r="U42" i="28" s="1"/>
  <c r="T42" i="28"/>
  <c r="F42" i="28"/>
  <c r="Q42" i="28" s="1"/>
  <c r="A42" i="28"/>
  <c r="B42" i="28" s="1"/>
  <c r="K41" i="28"/>
  <c r="V41" i="28" s="1"/>
  <c r="J41" i="28"/>
  <c r="U41" i="28" s="1"/>
  <c r="T41" i="28"/>
  <c r="F41" i="28"/>
  <c r="Q41" i="28" s="1"/>
  <c r="A41" i="28"/>
  <c r="B41" i="28" s="1"/>
  <c r="K40" i="28"/>
  <c r="V40" i="28" s="1"/>
  <c r="J40" i="28"/>
  <c r="U40" i="28" s="1"/>
  <c r="T40" i="28"/>
  <c r="F40" i="28"/>
  <c r="Q40" i="28" s="1"/>
  <c r="A40" i="28"/>
  <c r="B40" i="28" s="1"/>
  <c r="K39" i="28"/>
  <c r="V39" i="28" s="1"/>
  <c r="J39" i="28"/>
  <c r="U39" i="28" s="1"/>
  <c r="T39" i="28"/>
  <c r="F39" i="28"/>
  <c r="Q39" i="28" s="1"/>
  <c r="A39" i="28"/>
  <c r="B39" i="28" s="1"/>
  <c r="K38" i="28"/>
  <c r="V38" i="28" s="1"/>
  <c r="J38" i="28"/>
  <c r="U38" i="28" s="1"/>
  <c r="T38" i="28"/>
  <c r="F38" i="28"/>
  <c r="Q38" i="28" s="1"/>
  <c r="A38" i="28"/>
  <c r="B38" i="28" s="1"/>
  <c r="K37" i="28"/>
  <c r="V37" i="28" s="1"/>
  <c r="J37" i="28"/>
  <c r="U37" i="28" s="1"/>
  <c r="T37" i="28"/>
  <c r="F37" i="28"/>
  <c r="Q37" i="28" s="1"/>
  <c r="A37" i="28"/>
  <c r="B37" i="28" s="1"/>
  <c r="K36" i="28"/>
  <c r="V36" i="28" s="1"/>
  <c r="J36" i="28"/>
  <c r="U36" i="28" s="1"/>
  <c r="T36" i="28"/>
  <c r="R36" i="28"/>
  <c r="F36" i="28"/>
  <c r="Q36" i="28" s="1"/>
  <c r="A36" i="28"/>
  <c r="B36" i="28" s="1"/>
  <c r="K35" i="28"/>
  <c r="V35" i="28" s="1"/>
  <c r="J35" i="28"/>
  <c r="U35" i="28" s="1"/>
  <c r="T35" i="28"/>
  <c r="F35" i="28"/>
  <c r="Q35" i="28" s="1"/>
  <c r="A35" i="28"/>
  <c r="B35" i="28" s="1"/>
  <c r="K34" i="28"/>
  <c r="V34" i="28" s="1"/>
  <c r="J34" i="28"/>
  <c r="U34" i="28" s="1"/>
  <c r="T34" i="28"/>
  <c r="F34" i="28"/>
  <c r="Q34" i="28" s="1"/>
  <c r="A34" i="28"/>
  <c r="B34" i="28" s="1"/>
  <c r="K33" i="28"/>
  <c r="V33" i="28" s="1"/>
  <c r="J33" i="28"/>
  <c r="U33" i="28" s="1"/>
  <c r="T33" i="28"/>
  <c r="F33" i="28"/>
  <c r="Q33" i="28" s="1"/>
  <c r="A33" i="28"/>
  <c r="B33" i="28" s="1"/>
  <c r="K32" i="28"/>
  <c r="V32" i="28" s="1"/>
  <c r="J32" i="28"/>
  <c r="U32" i="28" s="1"/>
  <c r="T32" i="28"/>
  <c r="F32" i="28"/>
  <c r="Q32" i="28" s="1"/>
  <c r="A32" i="28"/>
  <c r="B32" i="28" s="1"/>
  <c r="K31" i="28"/>
  <c r="V31" i="28" s="1"/>
  <c r="J31" i="28"/>
  <c r="U31" i="28" s="1"/>
  <c r="T31" i="28"/>
  <c r="F31" i="28"/>
  <c r="Q31" i="28" s="1"/>
  <c r="A31" i="28"/>
  <c r="B31" i="28" s="1"/>
  <c r="K30" i="28"/>
  <c r="V30" i="28" s="1"/>
  <c r="J30" i="28"/>
  <c r="U30" i="28" s="1"/>
  <c r="T30" i="28"/>
  <c r="F30" i="28"/>
  <c r="Q30" i="28" s="1"/>
  <c r="A30" i="28"/>
  <c r="B30" i="28" s="1"/>
  <c r="K29" i="28"/>
  <c r="V29" i="28" s="1"/>
  <c r="J29" i="28"/>
  <c r="U29" i="28" s="1"/>
  <c r="T29" i="28"/>
  <c r="F29" i="28"/>
  <c r="Q29" i="28" s="1"/>
  <c r="A29" i="28"/>
  <c r="B29" i="28" s="1"/>
  <c r="K28" i="28"/>
  <c r="V28" i="28" s="1"/>
  <c r="J28" i="28"/>
  <c r="U28" i="28" s="1"/>
  <c r="T28" i="28"/>
  <c r="F28" i="28"/>
  <c r="Q28" i="28" s="1"/>
  <c r="A28" i="28"/>
  <c r="B28" i="28" s="1"/>
  <c r="K27" i="28"/>
  <c r="V27" i="28" s="1"/>
  <c r="J27" i="28"/>
  <c r="U27" i="28" s="1"/>
  <c r="T27" i="28"/>
  <c r="F27" i="28"/>
  <c r="Q27" i="28" s="1"/>
  <c r="A27" i="28"/>
  <c r="B27" i="28" s="1"/>
  <c r="K26" i="28"/>
  <c r="V26" i="28" s="1"/>
  <c r="J26" i="28"/>
  <c r="U26" i="28" s="1"/>
  <c r="T26" i="28"/>
  <c r="F26" i="28"/>
  <c r="Q26" i="28" s="1"/>
  <c r="A26" i="28"/>
  <c r="B26" i="28" s="1"/>
  <c r="K25" i="28"/>
  <c r="V25" i="28" s="1"/>
  <c r="J25" i="28"/>
  <c r="U25" i="28" s="1"/>
  <c r="T25" i="28"/>
  <c r="F25" i="28"/>
  <c r="Q25" i="28" s="1"/>
  <c r="A25" i="28"/>
  <c r="B25" i="28" s="1"/>
  <c r="K24" i="28"/>
  <c r="V24" i="28" s="1"/>
  <c r="J24" i="28"/>
  <c r="U24" i="28" s="1"/>
  <c r="T24" i="28"/>
  <c r="F24" i="28"/>
  <c r="Q24" i="28" s="1"/>
  <c r="A24" i="28"/>
  <c r="B24" i="28" s="1"/>
  <c r="K23" i="28"/>
  <c r="V23" i="28" s="1"/>
  <c r="J23" i="28"/>
  <c r="U23" i="28" s="1"/>
  <c r="T23" i="28"/>
  <c r="F23" i="28"/>
  <c r="Q23" i="28" s="1"/>
  <c r="A23" i="28"/>
  <c r="B23" i="28" s="1"/>
  <c r="K22" i="28"/>
  <c r="V22" i="28" s="1"/>
  <c r="J22" i="28"/>
  <c r="U22" i="28" s="1"/>
  <c r="T22" i="28"/>
  <c r="F22" i="28"/>
  <c r="Q22" i="28" s="1"/>
  <c r="A22" i="28"/>
  <c r="B22" i="28" s="1"/>
  <c r="K21" i="28"/>
  <c r="V21" i="28" s="1"/>
  <c r="J21" i="28"/>
  <c r="U21" i="28" s="1"/>
  <c r="T21" i="28"/>
  <c r="F21" i="28"/>
  <c r="Q21" i="28" s="1"/>
  <c r="A21" i="28"/>
  <c r="B21" i="28" s="1"/>
  <c r="K20" i="28"/>
  <c r="V20" i="28" s="1"/>
  <c r="J20" i="28"/>
  <c r="U20" i="28" s="1"/>
  <c r="T20" i="28"/>
  <c r="F20" i="28"/>
  <c r="Q20" i="28" s="1"/>
  <c r="A20" i="28"/>
  <c r="B20" i="28" s="1"/>
  <c r="K19" i="28"/>
  <c r="V19" i="28" s="1"/>
  <c r="J19" i="28"/>
  <c r="U19" i="28" s="1"/>
  <c r="T19" i="28"/>
  <c r="F19" i="28"/>
  <c r="Q19" i="28" s="1"/>
  <c r="A19" i="28"/>
  <c r="B19" i="28" s="1"/>
  <c r="K18" i="28"/>
  <c r="V18" i="28" s="1"/>
  <c r="J18" i="28"/>
  <c r="U18" i="28" s="1"/>
  <c r="T18" i="28"/>
  <c r="F18" i="28"/>
  <c r="Q18" i="28" s="1"/>
  <c r="A18" i="28"/>
  <c r="B18" i="28" s="1"/>
  <c r="K17" i="28"/>
  <c r="V17" i="28" s="1"/>
  <c r="J17" i="28"/>
  <c r="U17" i="28" s="1"/>
  <c r="T17" i="28"/>
  <c r="F17" i="28"/>
  <c r="Q17" i="28" s="1"/>
  <c r="A17" i="28"/>
  <c r="B17" i="28" s="1"/>
  <c r="K16" i="28"/>
  <c r="V16" i="28" s="1"/>
  <c r="J16" i="28"/>
  <c r="U16" i="28" s="1"/>
  <c r="T16" i="28"/>
  <c r="F16" i="28"/>
  <c r="Q16" i="28" s="1"/>
  <c r="A16" i="28"/>
  <c r="B16" i="28" s="1"/>
  <c r="K15" i="28"/>
  <c r="V15" i="28" s="1"/>
  <c r="J15" i="28"/>
  <c r="U15" i="28" s="1"/>
  <c r="T15" i="28"/>
  <c r="F15" i="28"/>
  <c r="Q15" i="28" s="1"/>
  <c r="A15" i="28"/>
  <c r="B15" i="28" s="1"/>
  <c r="K14" i="28"/>
  <c r="V14" i="28" s="1"/>
  <c r="J14" i="28"/>
  <c r="U14" i="28" s="1"/>
  <c r="T14" i="28"/>
  <c r="F14" i="28"/>
  <c r="Q14" i="28" s="1"/>
  <c r="A14" i="28"/>
  <c r="B14" i="28" s="1"/>
  <c r="K13" i="28"/>
  <c r="V13" i="28" s="1"/>
  <c r="J13" i="28"/>
  <c r="U13" i="28" s="1"/>
  <c r="T13" i="28"/>
  <c r="F13" i="28"/>
  <c r="Q13" i="28" s="1"/>
  <c r="A13" i="28"/>
  <c r="B13" i="28" s="1"/>
  <c r="K12" i="28"/>
  <c r="V12" i="28" s="1"/>
  <c r="J12" i="28"/>
  <c r="U12" i="28" s="1"/>
  <c r="T12" i="28"/>
  <c r="F12" i="28"/>
  <c r="Q12" i="28" s="1"/>
  <c r="A12" i="28"/>
  <c r="B12" i="28" s="1"/>
  <c r="K11" i="28"/>
  <c r="V11" i="28" s="1"/>
  <c r="J11" i="28"/>
  <c r="U11" i="28" s="1"/>
  <c r="T11" i="28"/>
  <c r="F11" i="28"/>
  <c r="Q11" i="28" s="1"/>
  <c r="A11" i="28"/>
  <c r="B11" i="28" s="1"/>
  <c r="K10" i="28"/>
  <c r="V10" i="28" s="1"/>
  <c r="J10" i="28"/>
  <c r="U10" i="28" s="1"/>
  <c r="T10" i="28"/>
  <c r="F10" i="28"/>
  <c r="Q10" i="28" s="1"/>
  <c r="A10" i="28"/>
  <c r="B10" i="28" s="1"/>
  <c r="K9" i="28"/>
  <c r="V9" i="28" s="1"/>
  <c r="J9" i="28"/>
  <c r="U9" i="28" s="1"/>
  <c r="T9" i="28"/>
  <c r="F9" i="28"/>
  <c r="Q9" i="28" s="1"/>
  <c r="A9" i="28"/>
  <c r="B9" i="28" s="1"/>
  <c r="K8" i="28"/>
  <c r="V8" i="28" s="1"/>
  <c r="J8" i="28"/>
  <c r="U8" i="28" s="1"/>
  <c r="T8" i="28"/>
  <c r="F8" i="28"/>
  <c r="Q8" i="28" s="1"/>
  <c r="A8" i="28"/>
  <c r="B8" i="28" s="1"/>
  <c r="K7" i="28"/>
  <c r="V7" i="28" s="1"/>
  <c r="J7" i="28"/>
  <c r="U7" i="28" s="1"/>
  <c r="T7" i="28"/>
  <c r="F7" i="28"/>
  <c r="Q7" i="28" s="1"/>
  <c r="A7" i="28"/>
  <c r="B7" i="28" s="1"/>
  <c r="K6" i="28"/>
  <c r="V6" i="28" s="1"/>
  <c r="J6" i="28"/>
  <c r="U6" i="28" s="1"/>
  <c r="T6" i="28"/>
  <c r="F6" i="28"/>
  <c r="Q6" i="28" s="1"/>
  <c r="A6" i="28"/>
  <c r="B6" i="28" s="1"/>
  <c r="K5" i="28"/>
  <c r="V5" i="28" s="1"/>
  <c r="J5" i="28"/>
  <c r="U5" i="28" s="1"/>
  <c r="T5" i="28"/>
  <c r="F5" i="28"/>
  <c r="Q5" i="28" s="1"/>
  <c r="A5" i="28"/>
  <c r="B5" i="28" s="1"/>
  <c r="K4" i="28"/>
  <c r="V4" i="28" s="1"/>
  <c r="J4" i="28"/>
  <c r="U4" i="28" s="1"/>
  <c r="T4" i="28"/>
  <c r="F4" i="28"/>
  <c r="Q4" i="28" s="1"/>
  <c r="A4" i="28"/>
  <c r="B4" i="28" s="1"/>
  <c r="K3" i="28"/>
  <c r="V3" i="28" s="1"/>
  <c r="J3" i="28"/>
  <c r="U3" i="28" s="1"/>
  <c r="T3" i="28"/>
  <c r="F3" i="28"/>
  <c r="Q3" i="28" s="1"/>
  <c r="A3" i="28"/>
  <c r="B3" i="28" s="1"/>
  <c r="K2" i="28"/>
  <c r="V2" i="28" s="1"/>
  <c r="J2" i="28"/>
  <c r="U2" i="28" s="1"/>
  <c r="T2" i="28"/>
  <c r="F2" i="28"/>
  <c r="Q2" i="28" s="1"/>
  <c r="A2" i="28"/>
  <c r="B2" i="28" s="1"/>
  <c r="A1" i="28"/>
  <c r="V61" i="27"/>
  <c r="T61" i="27"/>
  <c r="V60" i="27"/>
  <c r="T72" i="27"/>
  <c r="U59" i="27"/>
  <c r="U58" i="27"/>
  <c r="T70" i="27"/>
  <c r="R58" i="27"/>
  <c r="V57" i="27"/>
  <c r="V56" i="27"/>
  <c r="R55" i="27"/>
  <c r="U54" i="27"/>
  <c r="T66" i="27"/>
  <c r="V53" i="27"/>
  <c r="T53" i="27"/>
  <c r="V52" i="27"/>
  <c r="U52" i="27"/>
  <c r="U50" i="27"/>
  <c r="V49" i="27"/>
  <c r="U49" i="27"/>
  <c r="T49" i="27"/>
  <c r="R49" i="27"/>
  <c r="V48" i="27"/>
  <c r="U48" i="27"/>
  <c r="R48" i="27"/>
  <c r="V47" i="27"/>
  <c r="U47" i="27"/>
  <c r="T47" i="27"/>
  <c r="R47" i="27"/>
  <c r="V46" i="27"/>
  <c r="U46" i="27"/>
  <c r="T46" i="27"/>
  <c r="R46" i="27"/>
  <c r="V45" i="27"/>
  <c r="U45" i="27"/>
  <c r="T45" i="27"/>
  <c r="R45" i="27"/>
  <c r="V44" i="27"/>
  <c r="U44" i="27"/>
  <c r="T44" i="27"/>
  <c r="R44" i="27"/>
  <c r="V43" i="27"/>
  <c r="U43" i="27"/>
  <c r="T43" i="27"/>
  <c r="R43" i="27"/>
  <c r="V42" i="27"/>
  <c r="U42" i="27"/>
  <c r="T42" i="27"/>
  <c r="R42" i="27"/>
  <c r="V41" i="27"/>
  <c r="U41" i="27"/>
  <c r="T41" i="27"/>
  <c r="R41" i="27"/>
  <c r="V40" i="27"/>
  <c r="U40" i="27"/>
  <c r="T40" i="27"/>
  <c r="R40" i="27"/>
  <c r="V39" i="27"/>
  <c r="U39" i="27"/>
  <c r="T39" i="27"/>
  <c r="R39" i="27"/>
  <c r="V38" i="27"/>
  <c r="U38" i="27"/>
  <c r="T38" i="27"/>
  <c r="R38" i="27"/>
  <c r="V37" i="27"/>
  <c r="U37" i="27"/>
  <c r="T37" i="27"/>
  <c r="R37" i="27"/>
  <c r="V36" i="27"/>
  <c r="U36" i="27"/>
  <c r="T36" i="27"/>
  <c r="R36" i="27"/>
  <c r="V35" i="27"/>
  <c r="U35" i="27"/>
  <c r="T35" i="27"/>
  <c r="R35" i="27"/>
  <c r="V34" i="27"/>
  <c r="U34" i="27"/>
  <c r="T34" i="27"/>
  <c r="R34" i="27"/>
  <c r="V33" i="27"/>
  <c r="U33" i="27"/>
  <c r="T33" i="27"/>
  <c r="R33" i="27"/>
  <c r="V32" i="27"/>
  <c r="U32" i="27"/>
  <c r="T32" i="27"/>
  <c r="R32" i="27"/>
  <c r="V31" i="27"/>
  <c r="U31" i="27"/>
  <c r="T31" i="27"/>
  <c r="R31" i="27"/>
  <c r="V30" i="27"/>
  <c r="U30" i="27"/>
  <c r="T30" i="27"/>
  <c r="R30" i="27"/>
  <c r="V29" i="27"/>
  <c r="U29" i="27"/>
  <c r="T29" i="27"/>
  <c r="R29" i="27"/>
  <c r="V28" i="27"/>
  <c r="U28" i="27"/>
  <c r="T28" i="27"/>
  <c r="R28" i="27"/>
  <c r="V27" i="27"/>
  <c r="U27" i="27"/>
  <c r="T27" i="27"/>
  <c r="R27" i="27"/>
  <c r="V26" i="27"/>
  <c r="U26" i="27"/>
  <c r="T26" i="27"/>
  <c r="R26" i="27"/>
  <c r="V25" i="27"/>
  <c r="U25" i="27"/>
  <c r="T25" i="27"/>
  <c r="R25" i="27"/>
  <c r="V24" i="27"/>
  <c r="U24" i="27"/>
  <c r="T24" i="27"/>
  <c r="R24" i="27"/>
  <c r="V23" i="27"/>
  <c r="U23" i="27"/>
  <c r="T23" i="27"/>
  <c r="R23" i="27"/>
  <c r="V22" i="27"/>
  <c r="U22" i="27"/>
  <c r="T22" i="27"/>
  <c r="R22" i="27"/>
  <c r="V21" i="27"/>
  <c r="U21" i="27"/>
  <c r="T21" i="27"/>
  <c r="R21" i="27"/>
  <c r="V20" i="27"/>
  <c r="U20" i="27"/>
  <c r="T20" i="27"/>
  <c r="R20" i="27"/>
  <c r="V19" i="27"/>
  <c r="U19" i="27"/>
  <c r="T19" i="27"/>
  <c r="R19" i="27"/>
  <c r="V18" i="27"/>
  <c r="U18" i="27"/>
  <c r="T18" i="27"/>
  <c r="R18" i="27"/>
  <c r="V17" i="27"/>
  <c r="U17" i="27"/>
  <c r="T17" i="27"/>
  <c r="R17" i="27"/>
  <c r="V16" i="27"/>
  <c r="U16" i="27"/>
  <c r="R16" i="27"/>
  <c r="V15" i="27"/>
  <c r="U15" i="27"/>
  <c r="T15" i="27"/>
  <c r="R15" i="27"/>
  <c r="V14" i="27"/>
  <c r="U14" i="27"/>
  <c r="T14" i="27"/>
  <c r="R14" i="27"/>
  <c r="V13" i="27"/>
  <c r="U13" i="27"/>
  <c r="T13" i="27"/>
  <c r="S13" i="27"/>
  <c r="R13" i="27"/>
  <c r="V12" i="27"/>
  <c r="U12" i="27"/>
  <c r="T12" i="27"/>
  <c r="R12" i="27"/>
  <c r="V11" i="27"/>
  <c r="U11" i="27"/>
  <c r="T11" i="27"/>
  <c r="S11" i="27"/>
  <c r="R11" i="27"/>
  <c r="V10" i="27"/>
  <c r="U10" i="27"/>
  <c r="T10" i="27"/>
  <c r="S10" i="27"/>
  <c r="R10" i="27"/>
  <c r="V9" i="27"/>
  <c r="U9" i="27"/>
  <c r="T9" i="27"/>
  <c r="S9" i="27"/>
  <c r="V8" i="27"/>
  <c r="U8" i="27"/>
  <c r="T8" i="27"/>
  <c r="R8" i="27"/>
  <c r="V7" i="27"/>
  <c r="U7" i="27"/>
  <c r="S7" i="27"/>
  <c r="R7" i="27"/>
  <c r="V6" i="27"/>
  <c r="U6" i="27"/>
  <c r="T6" i="27"/>
  <c r="S6" i="27"/>
  <c r="R6" i="27"/>
  <c r="V5" i="27"/>
  <c r="U5" i="27"/>
  <c r="T5" i="27"/>
  <c r="S5" i="27"/>
  <c r="R5" i="27"/>
  <c r="V4" i="27"/>
  <c r="U4" i="27"/>
  <c r="T4" i="27"/>
  <c r="R4" i="27"/>
  <c r="V3" i="27"/>
  <c r="U3" i="27"/>
  <c r="S3" i="27"/>
  <c r="R3" i="27"/>
  <c r="S2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T48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T16" i="27"/>
  <c r="O16" i="27"/>
  <c r="O15" i="27"/>
  <c r="O14" i="27"/>
  <c r="O13" i="27"/>
  <c r="S12" i="27"/>
  <c r="O12" i="27"/>
  <c r="O11" i="27"/>
  <c r="O10" i="27"/>
  <c r="R9" i="27"/>
  <c r="O9" i="27"/>
  <c r="S8" i="27"/>
  <c r="O8" i="27"/>
  <c r="T7" i="27"/>
  <c r="O7" i="27"/>
  <c r="O6" i="27"/>
  <c r="O5" i="27"/>
  <c r="S4" i="27"/>
  <c r="O4" i="27"/>
  <c r="T3" i="27"/>
  <c r="O3" i="27"/>
  <c r="H10" i="29" l="1"/>
  <c r="I10" i="29" s="1"/>
  <c r="I15" i="29" s="1"/>
  <c r="F9" i="32"/>
  <c r="J10" i="31"/>
  <c r="I10" i="31" s="1"/>
  <c r="H10" i="31" s="1"/>
  <c r="G82" i="22"/>
  <c r="G78" i="22"/>
  <c r="G74" i="22"/>
  <c r="G80" i="22"/>
  <c r="G83" i="22"/>
  <c r="G75" i="22"/>
  <c r="G85" i="22"/>
  <c r="G81" i="22"/>
  <c r="G77" i="22"/>
  <c r="G84" i="22"/>
  <c r="G76" i="22"/>
  <c r="G79" i="22"/>
  <c r="R53" i="28"/>
  <c r="R61" i="28"/>
  <c r="R56" i="28"/>
  <c r="R57" i="28"/>
  <c r="R84" i="27"/>
  <c r="R50" i="27"/>
  <c r="R72" i="27"/>
  <c r="R54" i="27"/>
  <c r="T58" i="27"/>
  <c r="AB11" i="31"/>
  <c r="AB12" i="31" s="1"/>
  <c r="AB13" i="31" s="1"/>
  <c r="AB14" i="31" s="1"/>
  <c r="AB15" i="31" s="1"/>
  <c r="T59" i="27"/>
  <c r="T55" i="27"/>
  <c r="T51" i="27"/>
  <c r="T57" i="27"/>
  <c r="V51" i="27"/>
  <c r="R55" i="28"/>
  <c r="R51" i="27"/>
  <c r="R59" i="27"/>
  <c r="V59" i="27"/>
  <c r="R57" i="27"/>
  <c r="R53" i="27"/>
  <c r="R61" i="27"/>
  <c r="G15" i="32"/>
  <c r="R63" i="27"/>
  <c r="R87" i="27"/>
  <c r="R65" i="27"/>
  <c r="R83" i="27"/>
  <c r="R71" i="27"/>
  <c r="R73" i="27"/>
  <c r="T71" i="27"/>
  <c r="U62" i="27"/>
  <c r="U51" i="27"/>
  <c r="U60" i="27"/>
  <c r="R103" i="28"/>
  <c r="U93" i="27"/>
  <c r="R104" i="28"/>
  <c r="U5" i="18"/>
  <c r="U8" i="18"/>
  <c r="H9" i="29" s="1"/>
  <c r="I9" i="29" s="1"/>
  <c r="I16" i="29" s="1"/>
  <c r="I17" i="29" s="1"/>
  <c r="U4" i="18"/>
  <c r="H5" i="29" s="1"/>
  <c r="I5" i="29" s="1"/>
  <c r="U7" i="18"/>
  <c r="H8" i="29" s="1"/>
  <c r="I8" i="29" s="1"/>
  <c r="R105" i="28"/>
  <c r="U55" i="27"/>
  <c r="R67" i="27"/>
  <c r="V55" i="27"/>
  <c r="R88" i="27"/>
  <c r="U89" i="27"/>
  <c r="R96" i="27"/>
  <c r="U97" i="27"/>
  <c r="U56" i="27"/>
  <c r="R100" i="28"/>
  <c r="R108" i="28"/>
  <c r="T60" i="27"/>
  <c r="T85" i="27"/>
  <c r="R101" i="28"/>
  <c r="R109" i="28"/>
  <c r="H62" i="28"/>
  <c r="S62" i="28" s="1"/>
  <c r="I11" i="31"/>
  <c r="I12" i="31" s="1"/>
  <c r="I13" i="31" s="1"/>
  <c r="I14" i="31" s="1"/>
  <c r="I15" i="31" s="1"/>
  <c r="R10" i="31"/>
  <c r="T75" i="27"/>
  <c r="T63" i="27"/>
  <c r="R69" i="27"/>
  <c r="U63" i="27"/>
  <c r="R66" i="27"/>
  <c r="U67" i="27"/>
  <c r="T62" i="27"/>
  <c r="R74" i="27"/>
  <c r="T54" i="27"/>
  <c r="R60" i="27"/>
  <c r="V50" i="27"/>
  <c r="V54" i="27"/>
  <c r="V58" i="27"/>
  <c r="U72" i="27"/>
  <c r="T50" i="27"/>
  <c r="T52" i="27"/>
  <c r="R56" i="27"/>
  <c r="R64" i="27"/>
  <c r="V63" i="27"/>
  <c r="T69" i="27"/>
  <c r="U53" i="27"/>
  <c r="U57" i="27"/>
  <c r="U61" i="27"/>
  <c r="U69" i="27"/>
  <c r="U77" i="27"/>
  <c r="U85" i="27"/>
  <c r="R50" i="28"/>
  <c r="R54" i="28"/>
  <c r="R58" i="28"/>
  <c r="V67" i="27"/>
  <c r="V69" i="27"/>
  <c r="R52" i="27"/>
  <c r="T56" i="27"/>
  <c r="R62" i="27"/>
  <c r="T67" i="27"/>
  <c r="R76" i="27"/>
  <c r="U68" i="27"/>
  <c r="V71" i="27"/>
  <c r="U65" i="27"/>
  <c r="U73" i="27"/>
  <c r="U81" i="27"/>
  <c r="R51" i="28"/>
  <c r="R59" i="28"/>
  <c r="J71" i="28"/>
  <c r="U71" i="28" s="1"/>
  <c r="F68" i="28"/>
  <c r="F80" i="28" s="1"/>
  <c r="F62" i="28"/>
  <c r="Q62" i="28" s="1"/>
  <c r="Q50" i="28"/>
  <c r="T64" i="28"/>
  <c r="T65" i="28"/>
  <c r="T66" i="28"/>
  <c r="J67" i="28"/>
  <c r="U67" i="28" s="1"/>
  <c r="K68" i="28"/>
  <c r="V68" i="28" s="1"/>
  <c r="J62" i="28"/>
  <c r="U62" i="28" s="1"/>
  <c r="J65" i="28"/>
  <c r="K65" i="28"/>
  <c r="V65" i="28" s="1"/>
  <c r="K66" i="28"/>
  <c r="V66" i="28" s="1"/>
  <c r="F71" i="28"/>
  <c r="Q71" i="28" s="1"/>
  <c r="Q59" i="28"/>
  <c r="F72" i="28"/>
  <c r="K63" i="28"/>
  <c r="V63" i="28" s="1"/>
  <c r="F69" i="28"/>
  <c r="Q69" i="28" s="1"/>
  <c r="Q57" i="28"/>
  <c r="F70" i="28"/>
  <c r="Q70" i="28" s="1"/>
  <c r="Q58" i="28"/>
  <c r="K64" i="28"/>
  <c r="V64" i="28" s="1"/>
  <c r="J69" i="28"/>
  <c r="U69" i="28" s="1"/>
  <c r="K72" i="28"/>
  <c r="V72" i="28" s="1"/>
  <c r="F73" i="28"/>
  <c r="Q73" i="28" s="1"/>
  <c r="Q61" i="28"/>
  <c r="K62" i="28"/>
  <c r="V62" i="28" s="1"/>
  <c r="T71" i="28"/>
  <c r="J72" i="28"/>
  <c r="U72" i="28" s="1"/>
  <c r="J73" i="28"/>
  <c r="J64" i="28"/>
  <c r="U64" i="28" s="1"/>
  <c r="K67" i="28"/>
  <c r="V67" i="28" s="1"/>
  <c r="F67" i="28"/>
  <c r="Q67" i="28" s="1"/>
  <c r="Q55" i="28"/>
  <c r="K73" i="28"/>
  <c r="V73" i="28" s="1"/>
  <c r="T70" i="28"/>
  <c r="F64" i="28"/>
  <c r="Q52" i="28"/>
  <c r="T68" i="28"/>
  <c r="K71" i="28"/>
  <c r="V71" i="28" s="1"/>
  <c r="J66" i="28"/>
  <c r="U66" i="28" s="1"/>
  <c r="J70" i="28"/>
  <c r="U70" i="28" s="1"/>
  <c r="F63" i="28"/>
  <c r="Q63" i="28" s="1"/>
  <c r="Q51" i="28"/>
  <c r="T67" i="28"/>
  <c r="J68" i="28"/>
  <c r="U68" i="28" s="1"/>
  <c r="K69" i="28"/>
  <c r="V69" i="28" s="1"/>
  <c r="K70" i="28"/>
  <c r="V70" i="28" s="1"/>
  <c r="T62" i="28"/>
  <c r="J63" i="28"/>
  <c r="U63" i="28" s="1"/>
  <c r="F65" i="28"/>
  <c r="Q65" i="28" s="1"/>
  <c r="T72" i="28"/>
  <c r="T63" i="28"/>
  <c r="F66" i="28"/>
  <c r="Q66" i="28" s="1"/>
  <c r="T69" i="28"/>
  <c r="T79" i="27"/>
  <c r="T80" i="27"/>
  <c r="T83" i="27"/>
  <c r="T76" i="27"/>
  <c r="T68" i="27"/>
  <c r="T64" i="27"/>
  <c r="R80" i="27"/>
  <c r="R75" i="27"/>
  <c r="R68" i="27"/>
  <c r="O2" i="27"/>
  <c r="V2" i="27"/>
  <c r="U2" i="27"/>
  <c r="O1" i="27"/>
  <c r="C1" i="27"/>
  <c r="A1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A61" i="27"/>
  <c r="B61" i="27" s="1"/>
  <c r="A60" i="27"/>
  <c r="B60" i="27" s="1"/>
  <c r="A59" i="27"/>
  <c r="B59" i="27" s="1"/>
  <c r="A58" i="27"/>
  <c r="B58" i="27" s="1"/>
  <c r="A57" i="27"/>
  <c r="B57" i="27" s="1"/>
  <c r="O9" i="18" s="1"/>
  <c r="A56" i="27"/>
  <c r="B56" i="27" s="1"/>
  <c r="A55" i="27"/>
  <c r="B55" i="27" s="1"/>
  <c r="A54" i="27"/>
  <c r="B54" i="27" s="1"/>
  <c r="A53" i="27"/>
  <c r="B53" i="27" s="1"/>
  <c r="A52" i="27"/>
  <c r="B52" i="27" s="1"/>
  <c r="A51" i="27"/>
  <c r="B51" i="27" s="1"/>
  <c r="A50" i="27"/>
  <c r="B50" i="27" s="1"/>
  <c r="A49" i="27"/>
  <c r="B49" i="27" s="1"/>
  <c r="A48" i="27"/>
  <c r="B48" i="27" s="1"/>
  <c r="A47" i="27"/>
  <c r="B47" i="27" s="1"/>
  <c r="A46" i="27"/>
  <c r="B46" i="27" s="1"/>
  <c r="A45" i="27"/>
  <c r="B45" i="27" s="1"/>
  <c r="A44" i="27"/>
  <c r="B44" i="27" s="1"/>
  <c r="A43" i="27"/>
  <c r="B43" i="27" s="1"/>
  <c r="A42" i="27"/>
  <c r="B42" i="27" s="1"/>
  <c r="A41" i="27"/>
  <c r="B41" i="27" s="1"/>
  <c r="A40" i="27"/>
  <c r="B40" i="27" s="1"/>
  <c r="A39" i="27"/>
  <c r="B39" i="27" s="1"/>
  <c r="A38" i="27"/>
  <c r="B38" i="27" s="1"/>
  <c r="A37" i="27"/>
  <c r="B37" i="27" s="1"/>
  <c r="A36" i="27"/>
  <c r="B36" i="27" s="1"/>
  <c r="A35" i="27"/>
  <c r="B35" i="27" s="1"/>
  <c r="A34" i="27"/>
  <c r="B34" i="27" s="1"/>
  <c r="A33" i="27"/>
  <c r="B33" i="27" s="1"/>
  <c r="A32" i="27"/>
  <c r="B32" i="27" s="1"/>
  <c r="A31" i="27"/>
  <c r="B31" i="27" s="1"/>
  <c r="A30" i="27"/>
  <c r="B30" i="27" s="1"/>
  <c r="A29" i="27"/>
  <c r="B29" i="27" s="1"/>
  <c r="A28" i="27"/>
  <c r="B28" i="27" s="1"/>
  <c r="A27" i="27"/>
  <c r="B27" i="27" s="1"/>
  <c r="A26" i="27"/>
  <c r="B26" i="27" s="1"/>
  <c r="A25" i="27"/>
  <c r="B25" i="27" s="1"/>
  <c r="A24" i="27"/>
  <c r="B24" i="27" s="1"/>
  <c r="A23" i="27"/>
  <c r="B23" i="27" s="1"/>
  <c r="A22" i="27"/>
  <c r="B22" i="27" s="1"/>
  <c r="A21" i="27"/>
  <c r="B21" i="27" s="1"/>
  <c r="A20" i="27"/>
  <c r="B20" i="27" s="1"/>
  <c r="A19" i="27"/>
  <c r="B19" i="27" s="1"/>
  <c r="A18" i="27"/>
  <c r="B18" i="27" s="1"/>
  <c r="A17" i="27"/>
  <c r="B17" i="27" s="1"/>
  <c r="A16" i="27"/>
  <c r="B16" i="27" s="1"/>
  <c r="A15" i="27"/>
  <c r="B15" i="27" s="1"/>
  <c r="A14" i="27"/>
  <c r="B14" i="27" s="1"/>
  <c r="A13" i="27"/>
  <c r="B13" i="27" s="1"/>
  <c r="A12" i="27"/>
  <c r="B12" i="27" s="1"/>
  <c r="A11" i="27"/>
  <c r="B11" i="27" s="1"/>
  <c r="A10" i="27"/>
  <c r="B10" i="27" s="1"/>
  <c r="A9" i="27"/>
  <c r="B9" i="27" s="1"/>
  <c r="A8" i="27"/>
  <c r="B8" i="27" s="1"/>
  <c r="A7" i="27"/>
  <c r="B7" i="27" s="1"/>
  <c r="A6" i="27"/>
  <c r="B6" i="27" s="1"/>
  <c r="A5" i="27"/>
  <c r="B5" i="27" s="1"/>
  <c r="A4" i="27"/>
  <c r="B4" i="27" s="1"/>
  <c r="A3" i="27"/>
  <c r="B3" i="27" s="1"/>
  <c r="T2" i="27"/>
  <c r="R2" i="27"/>
  <c r="A2" i="27"/>
  <c r="B2" i="27" s="1"/>
  <c r="C61" i="26"/>
  <c r="Y61" i="26" s="1"/>
  <c r="C60" i="26"/>
  <c r="Y60" i="26" s="1"/>
  <c r="C59" i="26"/>
  <c r="Y59" i="26" s="1"/>
  <c r="C58" i="26"/>
  <c r="Y58" i="26" s="1"/>
  <c r="C57" i="26"/>
  <c r="Y57" i="26" s="1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C2" i="26"/>
  <c r="W2" i="26"/>
  <c r="L1" i="26"/>
  <c r="R2" i="26"/>
  <c r="S2" i="26"/>
  <c r="W1" i="26"/>
  <c r="V1" i="26"/>
  <c r="N2" i="26"/>
  <c r="U1" i="26"/>
  <c r="T1" i="26"/>
  <c r="S1" i="26"/>
  <c r="R1" i="26"/>
  <c r="Q1" i="26"/>
  <c r="P1" i="26"/>
  <c r="O1" i="26"/>
  <c r="N1" i="26"/>
  <c r="A61" i="26"/>
  <c r="B61" i="26" s="1"/>
  <c r="A60" i="26"/>
  <c r="B60" i="26" s="1"/>
  <c r="A59" i="26"/>
  <c r="B59" i="26" s="1"/>
  <c r="A58" i="26"/>
  <c r="B58" i="26" s="1"/>
  <c r="A57" i="26"/>
  <c r="B57" i="26" s="1"/>
  <c r="A56" i="26"/>
  <c r="B56" i="26" s="1"/>
  <c r="A55" i="26"/>
  <c r="B55" i="26" s="1"/>
  <c r="A54" i="26"/>
  <c r="B54" i="26" s="1"/>
  <c r="A53" i="26"/>
  <c r="B53" i="26" s="1"/>
  <c r="A52" i="26"/>
  <c r="B52" i="26" s="1"/>
  <c r="A51" i="26"/>
  <c r="B51" i="26" s="1"/>
  <c r="A50" i="26"/>
  <c r="B50" i="26" s="1"/>
  <c r="A49" i="26"/>
  <c r="B49" i="26" s="1"/>
  <c r="A48" i="26"/>
  <c r="B48" i="26" s="1"/>
  <c r="A47" i="26"/>
  <c r="B47" i="26" s="1"/>
  <c r="A46" i="26"/>
  <c r="B46" i="26" s="1"/>
  <c r="A45" i="26"/>
  <c r="B45" i="26" s="1"/>
  <c r="A44" i="26"/>
  <c r="B44" i="26" s="1"/>
  <c r="A43" i="26"/>
  <c r="B43" i="26" s="1"/>
  <c r="A42" i="26"/>
  <c r="B42" i="26" s="1"/>
  <c r="A41" i="26"/>
  <c r="B41" i="26" s="1"/>
  <c r="A40" i="26"/>
  <c r="B40" i="26" s="1"/>
  <c r="A39" i="26"/>
  <c r="B39" i="26" s="1"/>
  <c r="A38" i="26"/>
  <c r="B38" i="26" s="1"/>
  <c r="A37" i="26"/>
  <c r="B37" i="26" s="1"/>
  <c r="A36" i="26"/>
  <c r="B36" i="26" s="1"/>
  <c r="A35" i="26"/>
  <c r="B35" i="26" s="1"/>
  <c r="A34" i="26"/>
  <c r="B34" i="26" s="1"/>
  <c r="A33" i="26"/>
  <c r="B33" i="26" s="1"/>
  <c r="A32" i="26"/>
  <c r="B32" i="26" s="1"/>
  <c r="A31" i="26"/>
  <c r="B31" i="26" s="1"/>
  <c r="A30" i="26"/>
  <c r="B30" i="26" s="1"/>
  <c r="A29" i="26"/>
  <c r="B29" i="26" s="1"/>
  <c r="A28" i="26"/>
  <c r="B28" i="26" s="1"/>
  <c r="A27" i="26"/>
  <c r="B27" i="26" s="1"/>
  <c r="A26" i="26"/>
  <c r="B26" i="26" s="1"/>
  <c r="A25" i="26"/>
  <c r="B25" i="26" s="1"/>
  <c r="A24" i="26"/>
  <c r="B24" i="26" s="1"/>
  <c r="A23" i="26"/>
  <c r="B23" i="26" s="1"/>
  <c r="A22" i="26"/>
  <c r="B22" i="26" s="1"/>
  <c r="A21" i="26"/>
  <c r="B21" i="26" s="1"/>
  <c r="A20" i="26"/>
  <c r="B20" i="26" s="1"/>
  <c r="A19" i="26"/>
  <c r="B19" i="26" s="1"/>
  <c r="A18" i="26"/>
  <c r="B18" i="26" s="1"/>
  <c r="A17" i="26"/>
  <c r="B17" i="26" s="1"/>
  <c r="A16" i="26"/>
  <c r="B16" i="26" s="1"/>
  <c r="A15" i="26"/>
  <c r="B15" i="26" s="1"/>
  <c r="A14" i="26"/>
  <c r="B14" i="26" s="1"/>
  <c r="A13" i="26"/>
  <c r="B13" i="26" s="1"/>
  <c r="A12" i="26"/>
  <c r="B12" i="26" s="1"/>
  <c r="A11" i="26"/>
  <c r="B11" i="26" s="1"/>
  <c r="A10" i="26"/>
  <c r="B10" i="26" s="1"/>
  <c r="A9" i="26"/>
  <c r="B9" i="26" s="1"/>
  <c r="A8" i="26"/>
  <c r="B8" i="26" s="1"/>
  <c r="A7" i="26"/>
  <c r="B7" i="26" s="1"/>
  <c r="A6" i="26"/>
  <c r="B6" i="26" s="1"/>
  <c r="A5" i="26"/>
  <c r="B5" i="26" s="1"/>
  <c r="A4" i="26"/>
  <c r="B4" i="26" s="1"/>
  <c r="A3" i="26"/>
  <c r="B3" i="26" s="1"/>
  <c r="V2" i="26"/>
  <c r="U2" i="26"/>
  <c r="T2" i="26"/>
  <c r="Q2" i="26"/>
  <c r="P2" i="26"/>
  <c r="O2" i="26"/>
  <c r="A2" i="26"/>
  <c r="B2" i="26" s="1"/>
  <c r="A1" i="26"/>
  <c r="C1" i="25"/>
  <c r="V2" i="25"/>
  <c r="U2" i="25"/>
  <c r="O1" i="25"/>
  <c r="S2" i="25"/>
  <c r="O2" i="25"/>
  <c r="T2" i="25"/>
  <c r="R2" i="25"/>
  <c r="Q2" i="25"/>
  <c r="P2" i="25"/>
  <c r="A2" i="25"/>
  <c r="B2" i="25" s="1"/>
  <c r="A1" i="25"/>
  <c r="S5" i="12" l="1"/>
  <c r="R7" i="12"/>
  <c r="S8" i="12"/>
  <c r="S4" i="12"/>
  <c r="R6" i="12"/>
  <c r="S6" i="12"/>
  <c r="R8" i="12"/>
  <c r="R4" i="12"/>
  <c r="S7" i="12"/>
  <c r="R9" i="12"/>
  <c r="R5" i="12"/>
  <c r="V9" i="18"/>
  <c r="C10" i="29"/>
  <c r="D10" i="29" s="1"/>
  <c r="D15" i="29" s="1"/>
  <c r="E9" i="32"/>
  <c r="Z2" i="25"/>
  <c r="K79" i="28"/>
  <c r="V79" i="28" s="1"/>
  <c r="K83" i="28"/>
  <c r="V83" i="28" s="1"/>
  <c r="J84" i="28"/>
  <c r="U84" i="28" s="1"/>
  <c r="V5" i="18"/>
  <c r="J78" i="28"/>
  <c r="U78" i="28" s="1"/>
  <c r="U71" i="27"/>
  <c r="I80" i="28"/>
  <c r="T80" i="28" s="1"/>
  <c r="T77" i="27"/>
  <c r="K77" i="28"/>
  <c r="V77" i="28" s="1"/>
  <c r="Q68" i="28"/>
  <c r="T97" i="27"/>
  <c r="F75" i="28"/>
  <c r="Q75" i="28" s="1"/>
  <c r="F83" i="28"/>
  <c r="Q83" i="28" s="1"/>
  <c r="U70" i="27"/>
  <c r="J76" i="28"/>
  <c r="U76" i="28" s="1"/>
  <c r="J79" i="28"/>
  <c r="U79" i="28" s="1"/>
  <c r="F74" i="28"/>
  <c r="Q74" i="28" s="1"/>
  <c r="F79" i="28"/>
  <c r="Q79" i="28" s="1"/>
  <c r="R85" i="27"/>
  <c r="R81" i="27"/>
  <c r="H63" i="28"/>
  <c r="S63" i="28" s="1"/>
  <c r="J80" i="28"/>
  <c r="U80" i="28" s="1"/>
  <c r="J81" i="28"/>
  <c r="U81" i="28" s="1"/>
  <c r="R77" i="27"/>
  <c r="I83" i="28"/>
  <c r="T83" i="28" s="1"/>
  <c r="U83" i="27"/>
  <c r="F82" i="28"/>
  <c r="Q82" i="28" s="1"/>
  <c r="V6" i="18"/>
  <c r="T65" i="27"/>
  <c r="R78" i="27"/>
  <c r="T81" i="27"/>
  <c r="U64" i="27"/>
  <c r="R95" i="27"/>
  <c r="H6" i="29"/>
  <c r="I6" i="29" s="1"/>
  <c r="H7" i="29"/>
  <c r="I7" i="29" s="1"/>
  <c r="R106" i="28"/>
  <c r="R86" i="27"/>
  <c r="R90" i="27"/>
  <c r="R93" i="27"/>
  <c r="R11" i="31"/>
  <c r="F70" i="32"/>
  <c r="R117" i="28"/>
  <c r="R115" i="28"/>
  <c r="U109" i="27"/>
  <c r="T92" i="27"/>
  <c r="T91" i="27"/>
  <c r="R102" i="28"/>
  <c r="R92" i="27"/>
  <c r="T87" i="27"/>
  <c r="R108" i="27"/>
  <c r="F8" i="32"/>
  <c r="V8" i="18"/>
  <c r="T88" i="27"/>
  <c r="I78" i="28"/>
  <c r="T78" i="28" s="1"/>
  <c r="R89" i="27"/>
  <c r="R116" i="28"/>
  <c r="F85" i="28"/>
  <c r="Q85" i="28" s="1"/>
  <c r="R107" i="28"/>
  <c r="G69" i="32"/>
  <c r="R121" i="28"/>
  <c r="R120" i="28"/>
  <c r="U101" i="27"/>
  <c r="U95" i="27"/>
  <c r="U105" i="27"/>
  <c r="T93" i="27"/>
  <c r="R97" i="27"/>
  <c r="V7" i="18"/>
  <c r="T95" i="27"/>
  <c r="T89" i="27"/>
  <c r="R99" i="28"/>
  <c r="T73" i="27"/>
  <c r="R113" i="28"/>
  <c r="R112" i="28"/>
  <c r="R100" i="27"/>
  <c r="I18" i="29"/>
  <c r="X2" i="26"/>
  <c r="Q64" i="28"/>
  <c r="F76" i="28"/>
  <c r="Q76" i="28" s="1"/>
  <c r="U73" i="28"/>
  <c r="J85" i="28"/>
  <c r="U85" i="28" s="1"/>
  <c r="U65" i="28"/>
  <c r="J77" i="28"/>
  <c r="U77" i="28" s="1"/>
  <c r="V73" i="27"/>
  <c r="U80" i="27"/>
  <c r="V65" i="27"/>
  <c r="V70" i="27"/>
  <c r="V62" i="27"/>
  <c r="K81" i="28"/>
  <c r="V81" i="28" s="1"/>
  <c r="U66" i="27"/>
  <c r="V81" i="27"/>
  <c r="U76" i="27"/>
  <c r="R62" i="28"/>
  <c r="V72" i="27"/>
  <c r="U82" i="27"/>
  <c r="T73" i="28"/>
  <c r="I85" i="28"/>
  <c r="T85" i="28" s="1"/>
  <c r="Q72" i="28"/>
  <c r="F84" i="28"/>
  <c r="Q84" i="28" s="1"/>
  <c r="J83" i="28"/>
  <c r="U83" i="28" s="1"/>
  <c r="I74" i="28"/>
  <c r="T74" i="28" s="1"/>
  <c r="V83" i="27"/>
  <c r="V64" i="27"/>
  <c r="H64" i="28"/>
  <c r="V75" i="27"/>
  <c r="V68" i="27"/>
  <c r="V66" i="27"/>
  <c r="T74" i="27"/>
  <c r="V79" i="27"/>
  <c r="U84" i="27"/>
  <c r="R70" i="27"/>
  <c r="U79" i="27"/>
  <c r="U75" i="27"/>
  <c r="K85" i="28"/>
  <c r="V85" i="28" s="1"/>
  <c r="K82" i="28"/>
  <c r="V82" i="28" s="1"/>
  <c r="K76" i="28"/>
  <c r="V76" i="28" s="1"/>
  <c r="K80" i="28"/>
  <c r="V80" i="28" s="1"/>
  <c r="I76" i="28"/>
  <c r="T76" i="28" s="1"/>
  <c r="K75" i="28"/>
  <c r="V75" i="28" s="1"/>
  <c r="F81" i="28"/>
  <c r="Q81" i="28" s="1"/>
  <c r="F92" i="28"/>
  <c r="Q80" i="28"/>
  <c r="I79" i="28"/>
  <c r="T79" i="28" s="1"/>
  <c r="I82" i="28"/>
  <c r="T82" i="28" s="1"/>
  <c r="K78" i="28"/>
  <c r="V78" i="28" s="1"/>
  <c r="I77" i="28"/>
  <c r="T77" i="28" s="1"/>
  <c r="J74" i="28"/>
  <c r="U74" i="28" s="1"/>
  <c r="K74" i="28"/>
  <c r="V74" i="28" s="1"/>
  <c r="K84" i="28"/>
  <c r="V84" i="28" s="1"/>
  <c r="J82" i="28"/>
  <c r="U82" i="28" s="1"/>
  <c r="J96" i="28"/>
  <c r="I75" i="28"/>
  <c r="T75" i="28" s="1"/>
  <c r="F97" i="28"/>
  <c r="R63" i="28"/>
  <c r="I84" i="28"/>
  <c r="T84" i="28" s="1"/>
  <c r="F77" i="28"/>
  <c r="Q77" i="28" s="1"/>
  <c r="J75" i="28"/>
  <c r="U75" i="28" s="1"/>
  <c r="F95" i="28"/>
  <c r="K91" i="28"/>
  <c r="I81" i="28"/>
  <c r="T81" i="28" s="1"/>
  <c r="F78" i="28"/>
  <c r="Q78" i="28" s="1"/>
  <c r="F94" i="28"/>
  <c r="K95" i="28"/>
  <c r="T84" i="27"/>
  <c r="T82" i="27"/>
  <c r="T78" i="27"/>
  <c r="R79" i="27"/>
  <c r="Y2" i="26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M61" i="22"/>
  <c r="Q61" i="22"/>
  <c r="C61" i="22"/>
  <c r="A61" i="22"/>
  <c r="B61" i="22" s="1"/>
  <c r="M60" i="22"/>
  <c r="R60" i="22"/>
  <c r="Q60" i="22"/>
  <c r="C60" i="22"/>
  <c r="A60" i="22"/>
  <c r="B60" i="22" s="1"/>
  <c r="M59" i="22"/>
  <c r="Q59" i="22"/>
  <c r="C59" i="22"/>
  <c r="A59" i="22"/>
  <c r="B59" i="22" s="1"/>
  <c r="M58" i="22"/>
  <c r="R58" i="22"/>
  <c r="Q58" i="22"/>
  <c r="C58" i="22"/>
  <c r="A58" i="22"/>
  <c r="B58" i="22" s="1"/>
  <c r="M57" i="22"/>
  <c r="R57" i="22"/>
  <c r="Q57" i="22"/>
  <c r="C57" i="22"/>
  <c r="A57" i="22"/>
  <c r="B57" i="22" s="1"/>
  <c r="I9" i="18" s="1"/>
  <c r="M56" i="22"/>
  <c r="R56" i="22"/>
  <c r="Q56" i="22"/>
  <c r="C56" i="22"/>
  <c r="A56" i="22"/>
  <c r="B56" i="22" s="1"/>
  <c r="M55" i="22"/>
  <c r="R55" i="22"/>
  <c r="Q55" i="22"/>
  <c r="C55" i="22"/>
  <c r="A55" i="22"/>
  <c r="B55" i="22" s="1"/>
  <c r="M54" i="22"/>
  <c r="R54" i="22"/>
  <c r="Q54" i="22"/>
  <c r="C54" i="22"/>
  <c r="A54" i="22"/>
  <c r="B54" i="22" s="1"/>
  <c r="M53" i="22"/>
  <c r="R53" i="22"/>
  <c r="Q53" i="22"/>
  <c r="C53" i="22"/>
  <c r="A53" i="22"/>
  <c r="B53" i="22" s="1"/>
  <c r="M52" i="22"/>
  <c r="R52" i="22"/>
  <c r="Q52" i="22"/>
  <c r="C52" i="22"/>
  <c r="A52" i="22"/>
  <c r="B52" i="22" s="1"/>
  <c r="M51" i="22"/>
  <c r="R51" i="22"/>
  <c r="Q51" i="22"/>
  <c r="C51" i="22"/>
  <c r="A51" i="22"/>
  <c r="B51" i="22" s="1"/>
  <c r="M50" i="22"/>
  <c r="R50" i="22"/>
  <c r="Q50" i="22"/>
  <c r="C50" i="22"/>
  <c r="A50" i="22"/>
  <c r="B50" i="22" s="1"/>
  <c r="M49" i="22"/>
  <c r="R49" i="22"/>
  <c r="Q49" i="22"/>
  <c r="P49" i="22"/>
  <c r="C49" i="22"/>
  <c r="A49" i="22"/>
  <c r="B49" i="22" s="1"/>
  <c r="M48" i="22"/>
  <c r="R48" i="22"/>
  <c r="Q48" i="22"/>
  <c r="P48" i="22"/>
  <c r="C48" i="22"/>
  <c r="A48" i="22"/>
  <c r="B48" i="22" s="1"/>
  <c r="M47" i="22"/>
  <c r="R47" i="22"/>
  <c r="Q47" i="22"/>
  <c r="P47" i="22"/>
  <c r="C47" i="22"/>
  <c r="A47" i="22"/>
  <c r="B47" i="22" s="1"/>
  <c r="M46" i="22"/>
  <c r="R46" i="22"/>
  <c r="Q46" i="22"/>
  <c r="P46" i="22"/>
  <c r="C46" i="22"/>
  <c r="A46" i="22"/>
  <c r="B46" i="22" s="1"/>
  <c r="M45" i="22"/>
  <c r="R45" i="22"/>
  <c r="Q45" i="22"/>
  <c r="P45" i="22"/>
  <c r="C45" i="22"/>
  <c r="A45" i="22"/>
  <c r="B45" i="22" s="1"/>
  <c r="M44" i="22"/>
  <c r="R44" i="22"/>
  <c r="Q44" i="22"/>
  <c r="P44" i="22"/>
  <c r="C44" i="22"/>
  <c r="A44" i="22"/>
  <c r="B44" i="22" s="1"/>
  <c r="M43" i="22"/>
  <c r="R43" i="22"/>
  <c r="Q43" i="22"/>
  <c r="P43" i="22"/>
  <c r="C43" i="22"/>
  <c r="A43" i="22"/>
  <c r="B43" i="22" s="1"/>
  <c r="M42" i="22"/>
  <c r="R42" i="22"/>
  <c r="Q42" i="22"/>
  <c r="P42" i="22"/>
  <c r="C42" i="22"/>
  <c r="A42" i="22"/>
  <c r="B42" i="22" s="1"/>
  <c r="M41" i="22"/>
  <c r="R41" i="22"/>
  <c r="Q41" i="22"/>
  <c r="P41" i="22"/>
  <c r="C41" i="22"/>
  <c r="A41" i="22"/>
  <c r="B41" i="22" s="1"/>
  <c r="M40" i="22"/>
  <c r="R40" i="22"/>
  <c r="Q40" i="22"/>
  <c r="P40" i="22"/>
  <c r="C40" i="22"/>
  <c r="A40" i="22"/>
  <c r="B40" i="22" s="1"/>
  <c r="M39" i="22"/>
  <c r="R39" i="22"/>
  <c r="Q39" i="22"/>
  <c r="P39" i="22"/>
  <c r="C39" i="22"/>
  <c r="A39" i="22"/>
  <c r="B39" i="22" s="1"/>
  <c r="M38" i="22"/>
  <c r="R38" i="22"/>
  <c r="Q38" i="22"/>
  <c r="P38" i="22"/>
  <c r="C38" i="22"/>
  <c r="A38" i="22"/>
  <c r="B38" i="22" s="1"/>
  <c r="M37" i="22"/>
  <c r="R37" i="22"/>
  <c r="Q37" i="22"/>
  <c r="P37" i="22"/>
  <c r="C37" i="22"/>
  <c r="A37" i="22"/>
  <c r="B37" i="22" s="1"/>
  <c r="M36" i="22"/>
  <c r="R36" i="22"/>
  <c r="Q36" i="22"/>
  <c r="P36" i="22"/>
  <c r="C36" i="22"/>
  <c r="A36" i="22"/>
  <c r="B36" i="22" s="1"/>
  <c r="M35" i="22"/>
  <c r="R35" i="22"/>
  <c r="Q35" i="22"/>
  <c r="P35" i="22"/>
  <c r="C35" i="22"/>
  <c r="A35" i="22"/>
  <c r="B35" i="22" s="1"/>
  <c r="M34" i="22"/>
  <c r="R34" i="22"/>
  <c r="Q34" i="22"/>
  <c r="P34" i="22"/>
  <c r="C34" i="22"/>
  <c r="A34" i="22"/>
  <c r="B34" i="22" s="1"/>
  <c r="M33" i="22"/>
  <c r="R33" i="22"/>
  <c r="Q33" i="22"/>
  <c r="P33" i="22"/>
  <c r="C33" i="22"/>
  <c r="A33" i="22"/>
  <c r="B33" i="22" s="1"/>
  <c r="M32" i="22"/>
  <c r="R32" i="22"/>
  <c r="Q32" i="22"/>
  <c r="P32" i="22"/>
  <c r="C32" i="22"/>
  <c r="A32" i="22"/>
  <c r="B32" i="22" s="1"/>
  <c r="M31" i="22"/>
  <c r="R31" i="22"/>
  <c r="Q31" i="22"/>
  <c r="P31" i="22"/>
  <c r="C31" i="22"/>
  <c r="A31" i="22"/>
  <c r="B31" i="22" s="1"/>
  <c r="M30" i="22"/>
  <c r="R30" i="22"/>
  <c r="Q30" i="22"/>
  <c r="P30" i="22"/>
  <c r="C30" i="22"/>
  <c r="A30" i="22"/>
  <c r="B30" i="22" s="1"/>
  <c r="M29" i="22"/>
  <c r="R29" i="22"/>
  <c r="Q29" i="22"/>
  <c r="P29" i="22"/>
  <c r="C29" i="22"/>
  <c r="A29" i="22"/>
  <c r="B29" i="22" s="1"/>
  <c r="M28" i="22"/>
  <c r="R28" i="22"/>
  <c r="Q28" i="22"/>
  <c r="P28" i="22"/>
  <c r="C28" i="22"/>
  <c r="A28" i="22"/>
  <c r="B28" i="22" s="1"/>
  <c r="M27" i="22"/>
  <c r="R27" i="22"/>
  <c r="Q27" i="22"/>
  <c r="P27" i="22"/>
  <c r="C27" i="22"/>
  <c r="A27" i="22"/>
  <c r="B27" i="22" s="1"/>
  <c r="M26" i="22"/>
  <c r="R26" i="22"/>
  <c r="Q26" i="22"/>
  <c r="P26" i="22"/>
  <c r="C26" i="22"/>
  <c r="A26" i="22"/>
  <c r="B26" i="22" s="1"/>
  <c r="M25" i="22"/>
  <c r="R25" i="22"/>
  <c r="Q25" i="22"/>
  <c r="P25" i="22"/>
  <c r="C25" i="22"/>
  <c r="A25" i="22"/>
  <c r="B25" i="22" s="1"/>
  <c r="M24" i="22"/>
  <c r="R24" i="22"/>
  <c r="Q24" i="22"/>
  <c r="P24" i="22"/>
  <c r="C24" i="22"/>
  <c r="A24" i="22"/>
  <c r="B24" i="22" s="1"/>
  <c r="M23" i="22"/>
  <c r="R23" i="22"/>
  <c r="Q23" i="22"/>
  <c r="P23" i="22"/>
  <c r="C23" i="22"/>
  <c r="A23" i="22"/>
  <c r="B23" i="22" s="1"/>
  <c r="M22" i="22"/>
  <c r="R22" i="22"/>
  <c r="Q22" i="22"/>
  <c r="P22" i="22"/>
  <c r="C22" i="22"/>
  <c r="A22" i="22"/>
  <c r="B22" i="22" s="1"/>
  <c r="M21" i="22"/>
  <c r="R21" i="22"/>
  <c r="Q21" i="22"/>
  <c r="P21" i="22"/>
  <c r="C21" i="22"/>
  <c r="A21" i="22"/>
  <c r="B21" i="22" s="1"/>
  <c r="M20" i="22"/>
  <c r="R20" i="22"/>
  <c r="Q20" i="22"/>
  <c r="P20" i="22"/>
  <c r="C20" i="22"/>
  <c r="A20" i="22"/>
  <c r="B20" i="22" s="1"/>
  <c r="M19" i="22"/>
  <c r="R19" i="22"/>
  <c r="Q19" i="22"/>
  <c r="P19" i="22"/>
  <c r="C19" i="22"/>
  <c r="A19" i="22"/>
  <c r="B19" i="22" s="1"/>
  <c r="M18" i="22"/>
  <c r="R18" i="22"/>
  <c r="Q18" i="22"/>
  <c r="P18" i="22"/>
  <c r="C18" i="22"/>
  <c r="A18" i="22"/>
  <c r="B18" i="22" s="1"/>
  <c r="M17" i="22"/>
  <c r="R17" i="22"/>
  <c r="Q17" i="22"/>
  <c r="P17" i="22"/>
  <c r="C17" i="22"/>
  <c r="A17" i="22"/>
  <c r="B17" i="22" s="1"/>
  <c r="M16" i="22"/>
  <c r="R16" i="22"/>
  <c r="Q16" i="22"/>
  <c r="P16" i="22"/>
  <c r="C16" i="22"/>
  <c r="A16" i="22"/>
  <c r="B16" i="22" s="1"/>
  <c r="M15" i="22"/>
  <c r="R15" i="22"/>
  <c r="Q15" i="22"/>
  <c r="P15" i="22"/>
  <c r="C15" i="22"/>
  <c r="A15" i="22"/>
  <c r="B15" i="22" s="1"/>
  <c r="M14" i="22"/>
  <c r="R14" i="22"/>
  <c r="Q14" i="22"/>
  <c r="P14" i="22"/>
  <c r="C14" i="22"/>
  <c r="A14" i="22"/>
  <c r="B14" i="22" s="1"/>
  <c r="M13" i="22"/>
  <c r="R13" i="22"/>
  <c r="Q13" i="22"/>
  <c r="P13" i="22"/>
  <c r="C13" i="22"/>
  <c r="A13" i="22"/>
  <c r="B13" i="22" s="1"/>
  <c r="M12" i="22"/>
  <c r="R12" i="22"/>
  <c r="Q12" i="22"/>
  <c r="P12" i="22"/>
  <c r="C12" i="22"/>
  <c r="A12" i="22"/>
  <c r="B12" i="22" s="1"/>
  <c r="M11" i="22"/>
  <c r="R11" i="22"/>
  <c r="Q11" i="22"/>
  <c r="P11" i="22"/>
  <c r="C11" i="22"/>
  <c r="A11" i="22"/>
  <c r="B11" i="22" s="1"/>
  <c r="M10" i="22"/>
  <c r="R10" i="22"/>
  <c r="Q10" i="22"/>
  <c r="P10" i="22"/>
  <c r="C10" i="22"/>
  <c r="A10" i="22"/>
  <c r="B10" i="22" s="1"/>
  <c r="M9" i="22"/>
  <c r="R9" i="22"/>
  <c r="Q9" i="22"/>
  <c r="P9" i="22"/>
  <c r="C9" i="22"/>
  <c r="A9" i="22"/>
  <c r="B9" i="22" s="1"/>
  <c r="M8" i="22"/>
  <c r="R8" i="22"/>
  <c r="Q8" i="22"/>
  <c r="P8" i="22"/>
  <c r="C8" i="22"/>
  <c r="A8" i="22"/>
  <c r="B8" i="22" s="1"/>
  <c r="M7" i="22"/>
  <c r="R7" i="22"/>
  <c r="Q7" i="22"/>
  <c r="P7" i="22"/>
  <c r="C7" i="22"/>
  <c r="A7" i="22"/>
  <c r="B7" i="22" s="1"/>
  <c r="M6" i="22"/>
  <c r="R6" i="22"/>
  <c r="Q6" i="22"/>
  <c r="P6" i="22"/>
  <c r="C6" i="22"/>
  <c r="A6" i="22"/>
  <c r="B6" i="22" s="1"/>
  <c r="M5" i="22"/>
  <c r="R5" i="22"/>
  <c r="Q5" i="22"/>
  <c r="P5" i="22"/>
  <c r="C5" i="22"/>
  <c r="A5" i="22"/>
  <c r="B5" i="22" s="1"/>
  <c r="M4" i="22"/>
  <c r="R4" i="22"/>
  <c r="Q4" i="22"/>
  <c r="P4" i="22"/>
  <c r="C4" i="22"/>
  <c r="A4" i="22"/>
  <c r="B4" i="22" s="1"/>
  <c r="M3" i="22"/>
  <c r="R3" i="22"/>
  <c r="Q3" i="22"/>
  <c r="P3" i="22"/>
  <c r="C3" i="22"/>
  <c r="A3" i="22"/>
  <c r="B3" i="22" s="1"/>
  <c r="M2" i="22"/>
  <c r="R2" i="22"/>
  <c r="Q2" i="22"/>
  <c r="P2" i="22"/>
  <c r="C2" i="22"/>
  <c r="A2" i="22"/>
  <c r="B2" i="22" s="1"/>
  <c r="C1" i="22"/>
  <c r="A1" i="22"/>
  <c r="D9" i="32" l="1"/>
  <c r="G16" i="32"/>
  <c r="G25" i="32" s="1"/>
  <c r="K89" i="28"/>
  <c r="K93" i="28"/>
  <c r="R74" i="28"/>
  <c r="J91" i="28"/>
  <c r="J103" i="28" s="1"/>
  <c r="J90" i="28"/>
  <c r="U90" i="28" s="1"/>
  <c r="J93" i="28"/>
  <c r="U93" i="28" s="1"/>
  <c r="J97" i="28"/>
  <c r="U97" i="28" s="1"/>
  <c r="K92" i="28"/>
  <c r="V92" i="28" s="1"/>
  <c r="I97" i="28"/>
  <c r="T97" i="28" s="1"/>
  <c r="I92" i="28"/>
  <c r="T92" i="28" s="1"/>
  <c r="U74" i="27"/>
  <c r="F88" i="28"/>
  <c r="Q88" i="28" s="1"/>
  <c r="I86" i="28"/>
  <c r="I98" i="28" s="1"/>
  <c r="F86" i="28"/>
  <c r="Q86" i="28" s="1"/>
  <c r="H69" i="32"/>
  <c r="J92" i="28"/>
  <c r="U92" i="28" s="1"/>
  <c r="J88" i="28"/>
  <c r="J100" i="28" s="1"/>
  <c r="J89" i="28"/>
  <c r="J101" i="28" s="1"/>
  <c r="I95" i="28"/>
  <c r="T95" i="28" s="1"/>
  <c r="I89" i="28"/>
  <c r="I101" i="28" s="1"/>
  <c r="R61" i="22"/>
  <c r="F91" i="28"/>
  <c r="F103" i="28" s="1"/>
  <c r="I90" i="28"/>
  <c r="T90" i="28" s="1"/>
  <c r="R107" i="27"/>
  <c r="J95" i="28"/>
  <c r="U95" i="28" s="1"/>
  <c r="K88" i="28"/>
  <c r="V88" i="28" s="1"/>
  <c r="I88" i="28"/>
  <c r="T88" i="28" s="1"/>
  <c r="K97" i="28"/>
  <c r="V97" i="28" s="1"/>
  <c r="R95" i="22"/>
  <c r="R59" i="22"/>
  <c r="T94" i="27"/>
  <c r="V89" i="28"/>
  <c r="K101" i="28"/>
  <c r="U96" i="27"/>
  <c r="U94" i="27"/>
  <c r="V93" i="27"/>
  <c r="T109" i="27"/>
  <c r="R101" i="27"/>
  <c r="R12" i="31"/>
  <c r="F71" i="32"/>
  <c r="I7" i="18"/>
  <c r="I6" i="18"/>
  <c r="I5" i="18"/>
  <c r="I4" i="18"/>
  <c r="I8" i="18"/>
  <c r="J9" i="18" s="1"/>
  <c r="P52" i="22"/>
  <c r="P100" i="22"/>
  <c r="P56" i="22"/>
  <c r="P104" i="22"/>
  <c r="P61" i="22"/>
  <c r="P109" i="22"/>
  <c r="T96" i="27"/>
  <c r="Q97" i="28"/>
  <c r="F109" i="28"/>
  <c r="Q92" i="28"/>
  <c r="F104" i="28"/>
  <c r="R111" i="28"/>
  <c r="R132" i="28"/>
  <c r="R144" i="28"/>
  <c r="R105" i="27"/>
  <c r="Q95" i="28"/>
  <c r="F107" i="28"/>
  <c r="U89" i="28"/>
  <c r="U87" i="27"/>
  <c r="V91" i="27"/>
  <c r="V87" i="27"/>
  <c r="V95" i="27"/>
  <c r="U86" i="27"/>
  <c r="R112" i="27"/>
  <c r="T101" i="27"/>
  <c r="T105" i="27"/>
  <c r="U117" i="27"/>
  <c r="T103" i="27"/>
  <c r="P51" i="22"/>
  <c r="P99" i="22"/>
  <c r="P55" i="22"/>
  <c r="P103" i="22"/>
  <c r="P60" i="22"/>
  <c r="P108" i="22"/>
  <c r="R91" i="27"/>
  <c r="R109" i="27"/>
  <c r="R133" i="28"/>
  <c r="R145" i="28"/>
  <c r="R120" i="27"/>
  <c r="R102" i="27"/>
  <c r="P59" i="22"/>
  <c r="P107" i="22"/>
  <c r="V95" i="28"/>
  <c r="K107" i="28"/>
  <c r="V91" i="28"/>
  <c r="K103" i="28"/>
  <c r="U91" i="27"/>
  <c r="T86" i="27"/>
  <c r="R98" i="28"/>
  <c r="U92" i="27"/>
  <c r="R136" i="28"/>
  <c r="R124" i="28"/>
  <c r="T107" i="27"/>
  <c r="U107" i="27"/>
  <c r="T100" i="27"/>
  <c r="T104" i="27"/>
  <c r="R139" i="28"/>
  <c r="R127" i="28"/>
  <c r="P50" i="22"/>
  <c r="P98" i="22"/>
  <c r="P54" i="22"/>
  <c r="P102" i="22"/>
  <c r="T90" i="27"/>
  <c r="Q94" i="28"/>
  <c r="F106" i="28"/>
  <c r="V93" i="28"/>
  <c r="K105" i="28"/>
  <c r="U96" i="28"/>
  <c r="J108" i="28"/>
  <c r="G70" i="32"/>
  <c r="T99" i="27"/>
  <c r="G17" i="32"/>
  <c r="G26" i="32" s="1"/>
  <c r="R98" i="27"/>
  <c r="P58" i="22"/>
  <c r="P106" i="22"/>
  <c r="I102" i="28"/>
  <c r="U88" i="27"/>
  <c r="R125" i="28"/>
  <c r="R137" i="28"/>
  <c r="R140" i="28"/>
  <c r="R128" i="28"/>
  <c r="R129" i="28"/>
  <c r="R141" i="28"/>
  <c r="P53" i="22"/>
  <c r="P101" i="22"/>
  <c r="P57" i="22"/>
  <c r="P105" i="22"/>
  <c r="U88" i="28"/>
  <c r="U113" i="27"/>
  <c r="R119" i="28"/>
  <c r="R104" i="27"/>
  <c r="R114" i="28"/>
  <c r="U121" i="27"/>
  <c r="R118" i="28"/>
  <c r="H11" i="31"/>
  <c r="D70" i="32"/>
  <c r="I19" i="29"/>
  <c r="K94" i="28"/>
  <c r="R82" i="27"/>
  <c r="V78" i="27"/>
  <c r="V74" i="27"/>
  <c r="V85" i="27"/>
  <c r="F96" i="28"/>
  <c r="V80" i="27"/>
  <c r="H65" i="28"/>
  <c r="S64" i="28"/>
  <c r="V76" i="27"/>
  <c r="V84" i="27"/>
  <c r="U78" i="27"/>
  <c r="K87" i="28"/>
  <c r="V82" i="27"/>
  <c r="V77" i="27"/>
  <c r="F93" i="28"/>
  <c r="J86" i="28"/>
  <c r="K96" i="28"/>
  <c r="I94" i="28"/>
  <c r="K86" i="28"/>
  <c r="I91" i="28"/>
  <c r="J94" i="28"/>
  <c r="K90" i="28"/>
  <c r="I93" i="28"/>
  <c r="F89" i="28"/>
  <c r="I96" i="28"/>
  <c r="J87" i="28"/>
  <c r="R64" i="28"/>
  <c r="R75" i="28"/>
  <c r="I87" i="28"/>
  <c r="R86" i="28"/>
  <c r="F90" i="28"/>
  <c r="R73" i="22"/>
  <c r="R83" i="22"/>
  <c r="R71" i="22"/>
  <c r="G94" i="22" l="1"/>
  <c r="G90" i="22"/>
  <c r="G86" i="22"/>
  <c r="G92" i="22"/>
  <c r="G88" i="22"/>
  <c r="G91" i="22"/>
  <c r="G97" i="22"/>
  <c r="G93" i="22"/>
  <c r="G89" i="22"/>
  <c r="G96" i="22"/>
  <c r="G95" i="22"/>
  <c r="G87" i="22"/>
  <c r="U91" i="28"/>
  <c r="J105" i="28"/>
  <c r="T86" i="28"/>
  <c r="J109" i="28"/>
  <c r="J102" i="28"/>
  <c r="U102" i="28" s="1"/>
  <c r="I109" i="28"/>
  <c r="T109" i="28" s="1"/>
  <c r="F98" i="28"/>
  <c r="F110" i="28" s="1"/>
  <c r="I104" i="28"/>
  <c r="T104" i="28" s="1"/>
  <c r="K104" i="28"/>
  <c r="K116" i="28" s="1"/>
  <c r="F100" i="28"/>
  <c r="F112" i="28" s="1"/>
  <c r="J104" i="28"/>
  <c r="J116" i="28" s="1"/>
  <c r="K109" i="28"/>
  <c r="V109" i="28" s="1"/>
  <c r="T89" i="28"/>
  <c r="I107" i="28"/>
  <c r="I119" i="28" s="1"/>
  <c r="AA11" i="31"/>
  <c r="H70" i="32"/>
  <c r="T4" i="12"/>
  <c r="J107" i="28"/>
  <c r="U107" i="28" s="1"/>
  <c r="Q91" i="28"/>
  <c r="I100" i="28"/>
  <c r="I112" i="28" s="1"/>
  <c r="J5" i="18"/>
  <c r="K100" i="28"/>
  <c r="K112" i="28" s="1"/>
  <c r="P64" i="22"/>
  <c r="P112" i="22"/>
  <c r="V90" i="28"/>
  <c r="K102" i="28"/>
  <c r="V86" i="27"/>
  <c r="R143" i="28"/>
  <c r="R131" i="28"/>
  <c r="U94" i="28"/>
  <c r="J106" i="28"/>
  <c r="Q93" i="28"/>
  <c r="F105" i="28"/>
  <c r="U90" i="27"/>
  <c r="V97" i="27"/>
  <c r="T111" i="27"/>
  <c r="J121" i="28"/>
  <c r="U109" i="28"/>
  <c r="T112" i="27"/>
  <c r="U103" i="27"/>
  <c r="R114" i="27"/>
  <c r="V107" i="27"/>
  <c r="F116" i="28"/>
  <c r="Q104" i="28"/>
  <c r="P74" i="22"/>
  <c r="P122" i="22"/>
  <c r="U106" i="27"/>
  <c r="P73" i="22"/>
  <c r="P121" i="22"/>
  <c r="R94" i="27"/>
  <c r="T91" i="28"/>
  <c r="I103" i="28"/>
  <c r="V94" i="28"/>
  <c r="K106" i="28"/>
  <c r="U145" i="27"/>
  <c r="U133" i="27"/>
  <c r="U137" i="27"/>
  <c r="U125" i="27"/>
  <c r="T102" i="27"/>
  <c r="K115" i="28"/>
  <c r="V103" i="28"/>
  <c r="U129" i="27"/>
  <c r="U141" i="27"/>
  <c r="R13" i="31"/>
  <c r="F72" i="32"/>
  <c r="P90" i="22"/>
  <c r="P138" i="22"/>
  <c r="V86" i="28"/>
  <c r="K98" i="28"/>
  <c r="P97" i="22"/>
  <c r="P145" i="22"/>
  <c r="V96" i="27"/>
  <c r="V92" i="27"/>
  <c r="V104" i="28"/>
  <c r="U119" i="27"/>
  <c r="U104" i="27"/>
  <c r="R144" i="27"/>
  <c r="R132" i="27"/>
  <c r="V99" i="27"/>
  <c r="T100" i="28"/>
  <c r="F121" i="28"/>
  <c r="Q109" i="28"/>
  <c r="R113" i="27"/>
  <c r="J117" i="28"/>
  <c r="U105" i="28"/>
  <c r="U87" i="28"/>
  <c r="J99" i="28"/>
  <c r="R130" i="28"/>
  <c r="R142" i="28"/>
  <c r="G18" i="32"/>
  <c r="G27" i="32" s="1"/>
  <c r="R126" i="28"/>
  <c r="R138" i="28"/>
  <c r="K119" i="28"/>
  <c r="V107" i="28"/>
  <c r="T117" i="27"/>
  <c r="R135" i="28"/>
  <c r="R123" i="28"/>
  <c r="T108" i="27"/>
  <c r="J6" i="18"/>
  <c r="U108" i="27"/>
  <c r="P81" i="22"/>
  <c r="P129" i="22"/>
  <c r="P83" i="22"/>
  <c r="P131" i="22"/>
  <c r="P95" i="22"/>
  <c r="P143" i="22"/>
  <c r="T94" i="28"/>
  <c r="I106" i="28"/>
  <c r="Q96" i="28"/>
  <c r="F108" i="28"/>
  <c r="P93" i="22"/>
  <c r="P141" i="22"/>
  <c r="P84" i="22"/>
  <c r="P132" i="22"/>
  <c r="P75" i="22"/>
  <c r="P123" i="22"/>
  <c r="P88" i="22"/>
  <c r="P136" i="22"/>
  <c r="P87" i="22"/>
  <c r="P135" i="22"/>
  <c r="P86" i="22"/>
  <c r="P134" i="22"/>
  <c r="T96" i="28"/>
  <c r="I108" i="28"/>
  <c r="V89" i="27"/>
  <c r="P82" i="22"/>
  <c r="P130" i="22"/>
  <c r="J112" i="28"/>
  <c r="U100" i="28"/>
  <c r="I114" i="28"/>
  <c r="T102" i="28"/>
  <c r="R110" i="27"/>
  <c r="K117" i="28"/>
  <c r="V105" i="28"/>
  <c r="T116" i="27"/>
  <c r="R119" i="27"/>
  <c r="R110" i="28"/>
  <c r="U98" i="27"/>
  <c r="V103" i="27"/>
  <c r="J113" i="28"/>
  <c r="U101" i="28"/>
  <c r="P62" i="22"/>
  <c r="P110" i="22"/>
  <c r="P92" i="22"/>
  <c r="P140" i="22"/>
  <c r="P96" i="22"/>
  <c r="P144" i="22"/>
  <c r="P94" i="22"/>
  <c r="P142" i="22"/>
  <c r="T87" i="28"/>
  <c r="I99" i="28"/>
  <c r="P66" i="22"/>
  <c r="P114" i="22"/>
  <c r="P85" i="22"/>
  <c r="P133" i="22"/>
  <c r="P76" i="22"/>
  <c r="P124" i="22"/>
  <c r="P67" i="22"/>
  <c r="P115" i="22"/>
  <c r="P80" i="22"/>
  <c r="P128" i="22"/>
  <c r="P79" i="22"/>
  <c r="P127" i="22"/>
  <c r="P78" i="22"/>
  <c r="P126" i="22"/>
  <c r="Q89" i="28"/>
  <c r="F101" i="28"/>
  <c r="P65" i="22"/>
  <c r="P113" i="22"/>
  <c r="R116" i="27"/>
  <c r="U100" i="27"/>
  <c r="G71" i="32"/>
  <c r="T119" i="27"/>
  <c r="U103" i="28"/>
  <c r="J115" i="28"/>
  <c r="T113" i="27"/>
  <c r="R117" i="27"/>
  <c r="T121" i="27"/>
  <c r="V101" i="28"/>
  <c r="K113" i="28"/>
  <c r="T106" i="27"/>
  <c r="P69" i="22"/>
  <c r="P117" i="22"/>
  <c r="U86" i="28"/>
  <c r="J98" i="28"/>
  <c r="P89" i="22"/>
  <c r="P137" i="22"/>
  <c r="P91" i="22"/>
  <c r="P139" i="22"/>
  <c r="P77" i="22"/>
  <c r="P125" i="22"/>
  <c r="P68" i="22"/>
  <c r="P116" i="22"/>
  <c r="P72" i="22"/>
  <c r="P120" i="22"/>
  <c r="P71" i="22"/>
  <c r="P119" i="22"/>
  <c r="P70" i="22"/>
  <c r="P118" i="22"/>
  <c r="Q90" i="28"/>
  <c r="F102" i="28"/>
  <c r="T93" i="28"/>
  <c r="I105" i="28"/>
  <c r="V96" i="28"/>
  <c r="K108" i="28"/>
  <c r="V94" i="27"/>
  <c r="V87" i="28"/>
  <c r="K99" i="28"/>
  <c r="V88" i="27"/>
  <c r="V90" i="27"/>
  <c r="I110" i="28"/>
  <c r="T98" i="28"/>
  <c r="J120" i="28"/>
  <c r="U108" i="28"/>
  <c r="T98" i="27"/>
  <c r="R121" i="27"/>
  <c r="R103" i="27"/>
  <c r="R136" i="27"/>
  <c r="R124" i="27"/>
  <c r="U99" i="27"/>
  <c r="Q107" i="28"/>
  <c r="F119" i="28"/>
  <c r="V105" i="27"/>
  <c r="R107" i="22"/>
  <c r="P63" i="22"/>
  <c r="P111" i="22"/>
  <c r="Q103" i="28"/>
  <c r="F115" i="28"/>
  <c r="Q106" i="28"/>
  <c r="F118" i="28"/>
  <c r="I113" i="28"/>
  <c r="T101" i="28"/>
  <c r="T115" i="27"/>
  <c r="D8" i="32"/>
  <c r="J8" i="18"/>
  <c r="J7" i="18"/>
  <c r="H12" i="31"/>
  <c r="D71" i="32"/>
  <c r="I20" i="29"/>
  <c r="H66" i="28"/>
  <c r="S65" i="28"/>
  <c r="R87" i="28"/>
  <c r="R65" i="28"/>
  <c r="R76" i="28"/>
  <c r="R69" i="22"/>
  <c r="R65" i="22"/>
  <c r="R70" i="22"/>
  <c r="R68" i="22"/>
  <c r="R63" i="22"/>
  <c r="R62" i="22"/>
  <c r="R67" i="22"/>
  <c r="R66" i="22"/>
  <c r="Q62" i="22"/>
  <c r="R85" i="22"/>
  <c r="R72" i="22"/>
  <c r="R64" i="22"/>
  <c r="G106" i="22" l="1"/>
  <c r="G102" i="22"/>
  <c r="G98" i="22"/>
  <c r="G100" i="22"/>
  <c r="G107" i="22"/>
  <c r="G99" i="22"/>
  <c r="G109" i="22"/>
  <c r="G105" i="22"/>
  <c r="G101" i="22"/>
  <c r="G108" i="22"/>
  <c r="G104" i="22"/>
  <c r="G103" i="22"/>
  <c r="I121" i="28"/>
  <c r="T107" i="28"/>
  <c r="J114" i="28"/>
  <c r="Q98" i="28"/>
  <c r="I116" i="28"/>
  <c r="U104" i="28"/>
  <c r="K121" i="28"/>
  <c r="J119" i="28"/>
  <c r="U119" i="28" s="1"/>
  <c r="Q100" i="28"/>
  <c r="V100" i="28"/>
  <c r="AA12" i="31"/>
  <c r="H71" i="32"/>
  <c r="T139" i="27"/>
  <c r="T127" i="27"/>
  <c r="F131" i="28"/>
  <c r="Q119" i="28"/>
  <c r="R145" i="27"/>
  <c r="R133" i="27"/>
  <c r="R143" i="27"/>
  <c r="R131" i="27"/>
  <c r="T108" i="28"/>
  <c r="I120" i="28"/>
  <c r="F120" i="28"/>
  <c r="Q108" i="28"/>
  <c r="T120" i="27"/>
  <c r="G19" i="32"/>
  <c r="G28" i="32" s="1"/>
  <c r="R125" i="27"/>
  <c r="R137" i="27"/>
  <c r="K128" i="28"/>
  <c r="V116" i="28"/>
  <c r="R106" i="27"/>
  <c r="U118" i="27"/>
  <c r="J133" i="28"/>
  <c r="U121" i="28"/>
  <c r="R97" i="22"/>
  <c r="I122" i="28"/>
  <c r="T110" i="28"/>
  <c r="V106" i="27"/>
  <c r="R141" i="27"/>
  <c r="R129" i="27"/>
  <c r="T143" i="27"/>
  <c r="T131" i="27"/>
  <c r="V115" i="27"/>
  <c r="I126" i="28"/>
  <c r="T114" i="28"/>
  <c r="I131" i="28"/>
  <c r="T119" i="28"/>
  <c r="V98" i="27"/>
  <c r="R119" i="22"/>
  <c r="V102" i="27"/>
  <c r="F113" i="28"/>
  <c r="Q101" i="28"/>
  <c r="T140" i="27"/>
  <c r="T128" i="27"/>
  <c r="I118" i="28"/>
  <c r="T106" i="28"/>
  <c r="Q121" i="28"/>
  <c r="F133" i="28"/>
  <c r="Q110" i="28"/>
  <c r="F122" i="28"/>
  <c r="V106" i="28"/>
  <c r="K118" i="28"/>
  <c r="R138" i="27"/>
  <c r="R126" i="27"/>
  <c r="T123" i="27"/>
  <c r="T135" i="27"/>
  <c r="F117" i="28"/>
  <c r="Q105" i="28"/>
  <c r="I125" i="28"/>
  <c r="T113" i="28"/>
  <c r="U111" i="27"/>
  <c r="T110" i="27"/>
  <c r="K120" i="28"/>
  <c r="V108" i="28"/>
  <c r="T137" i="27"/>
  <c r="T125" i="27"/>
  <c r="G72" i="32"/>
  <c r="T99" i="28"/>
  <c r="I111" i="28"/>
  <c r="U110" i="27"/>
  <c r="J124" i="28"/>
  <c r="U112" i="28"/>
  <c r="U99" i="28"/>
  <c r="J111" i="28"/>
  <c r="T112" i="28"/>
  <c r="I124" i="28"/>
  <c r="V98" i="28"/>
  <c r="K110" i="28"/>
  <c r="R14" i="31"/>
  <c r="F73" i="32"/>
  <c r="V115" i="28"/>
  <c r="K127" i="28"/>
  <c r="V102" i="28"/>
  <c r="K114" i="28"/>
  <c r="Q118" i="28"/>
  <c r="F130" i="28"/>
  <c r="T118" i="27"/>
  <c r="V121" i="28"/>
  <c r="K133" i="28"/>
  <c r="T129" i="27"/>
  <c r="T141" i="27"/>
  <c r="U116" i="27"/>
  <c r="T121" i="28"/>
  <c r="I133" i="28"/>
  <c r="I115" i="28"/>
  <c r="T103" i="28"/>
  <c r="Q116" i="28"/>
  <c r="F128" i="28"/>
  <c r="U115" i="27"/>
  <c r="F124" i="28"/>
  <c r="Q112" i="28"/>
  <c r="J118" i="28"/>
  <c r="U106" i="28"/>
  <c r="V117" i="27"/>
  <c r="V100" i="27"/>
  <c r="I117" i="28"/>
  <c r="T105" i="28"/>
  <c r="K125" i="28"/>
  <c r="V113" i="28"/>
  <c r="J127" i="28"/>
  <c r="U115" i="28"/>
  <c r="U112" i="27"/>
  <c r="V117" i="28"/>
  <c r="K129" i="28"/>
  <c r="U143" i="27"/>
  <c r="U131" i="27"/>
  <c r="V104" i="27"/>
  <c r="T114" i="27"/>
  <c r="V109" i="27"/>
  <c r="F127" i="28"/>
  <c r="Q115" i="28"/>
  <c r="R134" i="28"/>
  <c r="R122" i="28"/>
  <c r="V101" i="27"/>
  <c r="U120" i="27"/>
  <c r="J129" i="28"/>
  <c r="U117" i="28"/>
  <c r="V111" i="27"/>
  <c r="J128" i="28"/>
  <c r="U116" i="28"/>
  <c r="V119" i="27"/>
  <c r="T136" i="27"/>
  <c r="T124" i="27"/>
  <c r="K124" i="28"/>
  <c r="V112" i="28"/>
  <c r="R115" i="27"/>
  <c r="J132" i="28"/>
  <c r="U120" i="28"/>
  <c r="K111" i="28"/>
  <c r="V99" i="28"/>
  <c r="F114" i="28"/>
  <c r="Q102" i="28"/>
  <c r="U98" i="28"/>
  <c r="J110" i="28"/>
  <c r="T133" i="27"/>
  <c r="T145" i="27"/>
  <c r="R140" i="27"/>
  <c r="R128" i="27"/>
  <c r="J125" i="28"/>
  <c r="U113" i="28"/>
  <c r="R134" i="27"/>
  <c r="R122" i="27"/>
  <c r="K131" i="28"/>
  <c r="V119" i="28"/>
  <c r="U114" i="28"/>
  <c r="J126" i="28"/>
  <c r="V108" i="27"/>
  <c r="T116" i="28"/>
  <c r="I128" i="28"/>
  <c r="U102" i="27"/>
  <c r="H13" i="31"/>
  <c r="D72" i="32"/>
  <c r="H67" i="28"/>
  <c r="S66" i="28"/>
  <c r="R88" i="28"/>
  <c r="R66" i="28"/>
  <c r="R77" i="28"/>
  <c r="R76" i="22"/>
  <c r="R78" i="22"/>
  <c r="R80" i="22"/>
  <c r="Q63" i="22"/>
  <c r="R82" i="22"/>
  <c r="R74" i="22"/>
  <c r="R77" i="22"/>
  <c r="R84" i="22"/>
  <c r="R79" i="22"/>
  <c r="R75" i="22"/>
  <c r="R81" i="22"/>
  <c r="G118" i="22" l="1"/>
  <c r="G114" i="22"/>
  <c r="G110" i="22"/>
  <c r="G120" i="22"/>
  <c r="G112" i="22"/>
  <c r="G115" i="22"/>
  <c r="G121" i="22"/>
  <c r="G117" i="22"/>
  <c r="G113" i="22"/>
  <c r="G116" i="22"/>
  <c r="G119" i="22"/>
  <c r="G111" i="22"/>
  <c r="J131" i="28"/>
  <c r="AA13" i="31"/>
  <c r="H72" i="32"/>
  <c r="T134" i="27"/>
  <c r="T122" i="27"/>
  <c r="F125" i="28"/>
  <c r="Q113" i="28"/>
  <c r="T131" i="28"/>
  <c r="I143" i="28"/>
  <c r="T143" i="28" s="1"/>
  <c r="R109" i="22"/>
  <c r="T144" i="27"/>
  <c r="T132" i="27"/>
  <c r="K143" i="28"/>
  <c r="V143" i="28" s="1"/>
  <c r="V131" i="28"/>
  <c r="J144" i="28"/>
  <c r="U144" i="28" s="1"/>
  <c r="U132" i="28"/>
  <c r="J141" i="28"/>
  <c r="U141" i="28" s="1"/>
  <c r="U129" i="28"/>
  <c r="Q127" i="28"/>
  <c r="F139" i="28"/>
  <c r="Q139" i="28" s="1"/>
  <c r="K139" i="28"/>
  <c r="V139" i="28" s="1"/>
  <c r="V127" i="28"/>
  <c r="U111" i="28"/>
  <c r="J123" i="28"/>
  <c r="V118" i="27"/>
  <c r="K140" i="28"/>
  <c r="V140" i="28" s="1"/>
  <c r="V128" i="28"/>
  <c r="R92" i="22"/>
  <c r="U127" i="28"/>
  <c r="J139" i="28"/>
  <c r="U139" i="28" s="1"/>
  <c r="R89" i="22"/>
  <c r="R90" i="22"/>
  <c r="J122" i="28"/>
  <c r="U110" i="28"/>
  <c r="R127" i="27"/>
  <c r="R139" i="27"/>
  <c r="V131" i="27"/>
  <c r="V143" i="27"/>
  <c r="U144" i="27"/>
  <c r="U132" i="27"/>
  <c r="V125" i="28"/>
  <c r="K137" i="28"/>
  <c r="V137" i="28" s="1"/>
  <c r="G73" i="32"/>
  <c r="U123" i="27"/>
  <c r="U135" i="27"/>
  <c r="V114" i="27"/>
  <c r="I138" i="28"/>
  <c r="T138" i="28" s="1"/>
  <c r="T126" i="28"/>
  <c r="F132" i="28"/>
  <c r="Q120" i="28"/>
  <c r="Q131" i="28"/>
  <c r="F143" i="28"/>
  <c r="Q143" i="28" s="1"/>
  <c r="V129" i="28"/>
  <c r="K141" i="28"/>
  <c r="V141" i="28" s="1"/>
  <c r="U118" i="28"/>
  <c r="J130" i="28"/>
  <c r="I127" i="28"/>
  <c r="T115" i="28"/>
  <c r="Q130" i="28"/>
  <c r="F142" i="28"/>
  <c r="Q142" i="28" s="1"/>
  <c r="K130" i="28"/>
  <c r="V118" i="28"/>
  <c r="R143" i="22"/>
  <c r="R131" i="22"/>
  <c r="V127" i="27"/>
  <c r="V139" i="27"/>
  <c r="J145" i="28"/>
  <c r="U145" i="28" s="1"/>
  <c r="U133" i="28"/>
  <c r="I132" i="28"/>
  <c r="T120" i="28"/>
  <c r="R93" i="22"/>
  <c r="R86" i="22"/>
  <c r="R94" i="22"/>
  <c r="R88" i="22"/>
  <c r="V120" i="27"/>
  <c r="V113" i="27"/>
  <c r="V121" i="27"/>
  <c r="I129" i="28"/>
  <c r="T117" i="28"/>
  <c r="J143" i="28"/>
  <c r="U143" i="28" s="1"/>
  <c r="U131" i="28"/>
  <c r="V133" i="28"/>
  <c r="K145" i="28"/>
  <c r="V145" i="28" s="1"/>
  <c r="R15" i="31"/>
  <c r="F75" i="32" s="1"/>
  <c r="F74" i="32"/>
  <c r="J136" i="28"/>
  <c r="U136" i="28" s="1"/>
  <c r="U124" i="28"/>
  <c r="I137" i="28"/>
  <c r="T137" i="28" s="1"/>
  <c r="T125" i="28"/>
  <c r="I130" i="28"/>
  <c r="T118" i="28"/>
  <c r="I134" i="28"/>
  <c r="T134" i="28" s="1"/>
  <c r="T122" i="28"/>
  <c r="F140" i="28"/>
  <c r="Q140" i="28" s="1"/>
  <c r="Q128" i="28"/>
  <c r="R87" i="22"/>
  <c r="U125" i="28"/>
  <c r="J137" i="28"/>
  <c r="U137" i="28" s="1"/>
  <c r="F126" i="28"/>
  <c r="Q114" i="28"/>
  <c r="K136" i="28"/>
  <c r="V136" i="28" s="1"/>
  <c r="V124" i="28"/>
  <c r="J140" i="28"/>
  <c r="U140" i="28" s="1"/>
  <c r="U128" i="28"/>
  <c r="T138" i="27"/>
  <c r="T126" i="27"/>
  <c r="U136" i="27"/>
  <c r="U124" i="27"/>
  <c r="V112" i="27"/>
  <c r="F136" i="28"/>
  <c r="Q136" i="28" s="1"/>
  <c r="Q124" i="28"/>
  <c r="V110" i="28"/>
  <c r="K122" i="28"/>
  <c r="U134" i="27"/>
  <c r="U122" i="27"/>
  <c r="F134" i="28"/>
  <c r="Q134" i="28" s="1"/>
  <c r="Q122" i="28"/>
  <c r="V110" i="27"/>
  <c r="U130" i="27"/>
  <c r="U142" i="27"/>
  <c r="U128" i="27"/>
  <c r="U140" i="27"/>
  <c r="R91" i="22"/>
  <c r="J138" i="28"/>
  <c r="U138" i="28" s="1"/>
  <c r="U126" i="28"/>
  <c r="V135" i="27"/>
  <c r="V123" i="27"/>
  <c r="I145" i="28"/>
  <c r="T145" i="28" s="1"/>
  <c r="T133" i="28"/>
  <c r="T142" i="27"/>
  <c r="T130" i="27"/>
  <c r="K132" i="28"/>
  <c r="V120" i="28"/>
  <c r="Q117" i="28"/>
  <c r="F129" i="28"/>
  <c r="R118" i="27"/>
  <c r="G20" i="32"/>
  <c r="G29" i="32" s="1"/>
  <c r="R96" i="22"/>
  <c r="I140" i="28"/>
  <c r="T140" i="28" s="1"/>
  <c r="T128" i="28"/>
  <c r="U114" i="27"/>
  <c r="K123" i="28"/>
  <c r="V111" i="28"/>
  <c r="V116" i="27"/>
  <c r="V141" i="27"/>
  <c r="V129" i="27"/>
  <c r="U139" i="27"/>
  <c r="U127" i="27"/>
  <c r="K126" i="28"/>
  <c r="V114" i="28"/>
  <c r="T124" i="28"/>
  <c r="I136" i="28"/>
  <c r="T136" i="28" s="1"/>
  <c r="I123" i="28"/>
  <c r="T111" i="28"/>
  <c r="Q133" i="28"/>
  <c r="F145" i="28"/>
  <c r="Q145" i="28" s="1"/>
  <c r="H14" i="31"/>
  <c r="D73" i="32"/>
  <c r="H68" i="28"/>
  <c r="S67" i="28"/>
  <c r="R89" i="28"/>
  <c r="R78" i="28"/>
  <c r="R67" i="28"/>
  <c r="Q64" i="22"/>
  <c r="G130" i="22" l="1"/>
  <c r="G126" i="22"/>
  <c r="G122" i="22"/>
  <c r="G132" i="22"/>
  <c r="G128" i="22"/>
  <c r="G131" i="22"/>
  <c r="G123" i="22"/>
  <c r="G133" i="22"/>
  <c r="G129" i="22"/>
  <c r="G125" i="22"/>
  <c r="G124" i="22"/>
  <c r="G127" i="22"/>
  <c r="AA14" i="31"/>
  <c r="H73" i="32"/>
  <c r="F141" i="28"/>
  <c r="Q141" i="28" s="1"/>
  <c r="Q129" i="28"/>
  <c r="I141" i="28"/>
  <c r="T141" i="28" s="1"/>
  <c r="T129" i="28"/>
  <c r="J134" i="28"/>
  <c r="U134" i="28" s="1"/>
  <c r="U122" i="28"/>
  <c r="R121" i="22"/>
  <c r="V126" i="28"/>
  <c r="K138" i="28"/>
  <c r="V138" i="28" s="1"/>
  <c r="R108" i="22"/>
  <c r="R103" i="22"/>
  <c r="V145" i="27"/>
  <c r="V133" i="27"/>
  <c r="R105" i="22"/>
  <c r="I139" i="28"/>
  <c r="T139" i="28" s="1"/>
  <c r="T127" i="28"/>
  <c r="V136" i="27"/>
  <c r="V124" i="27"/>
  <c r="U130" i="28"/>
  <c r="J142" i="28"/>
  <c r="U142" i="28" s="1"/>
  <c r="V126" i="27"/>
  <c r="V138" i="27"/>
  <c r="R102" i="22"/>
  <c r="R104" i="22"/>
  <c r="J135" i="28"/>
  <c r="U135" i="28" s="1"/>
  <c r="U123" i="28"/>
  <c r="K135" i="28"/>
  <c r="V135" i="28" s="1"/>
  <c r="V123" i="28"/>
  <c r="K144" i="28"/>
  <c r="V144" i="28" s="1"/>
  <c r="V132" i="28"/>
  <c r="R99" i="22"/>
  <c r="R100" i="22"/>
  <c r="F138" i="28"/>
  <c r="Q138" i="28" s="1"/>
  <c r="Q126" i="28"/>
  <c r="I142" i="28"/>
  <c r="T142" i="28" s="1"/>
  <c r="T130" i="28"/>
  <c r="V125" i="27"/>
  <c r="V137" i="27"/>
  <c r="R101" i="22"/>
  <c r="I135" i="28"/>
  <c r="T135" i="28" s="1"/>
  <c r="T123" i="28"/>
  <c r="U126" i="27"/>
  <c r="U138" i="27"/>
  <c r="G21" i="32"/>
  <c r="G30" i="32" s="1"/>
  <c r="K134" i="28"/>
  <c r="V134" i="28" s="1"/>
  <c r="V122" i="28"/>
  <c r="R106" i="22"/>
  <c r="T132" i="28"/>
  <c r="I144" i="28"/>
  <c r="T144" i="28" s="1"/>
  <c r="K142" i="28"/>
  <c r="V142" i="28" s="1"/>
  <c r="V130" i="28"/>
  <c r="F137" i="28"/>
  <c r="Q137" i="28" s="1"/>
  <c r="Q125" i="28"/>
  <c r="V144" i="27"/>
  <c r="V132" i="27"/>
  <c r="F144" i="28"/>
  <c r="Q144" i="28" s="1"/>
  <c r="Q132" i="28"/>
  <c r="G75" i="32"/>
  <c r="G74" i="32"/>
  <c r="V140" i="27"/>
  <c r="V128" i="27"/>
  <c r="R142" i="27"/>
  <c r="R130" i="27"/>
  <c r="V134" i="27"/>
  <c r="V122" i="27"/>
  <c r="R98" i="22"/>
  <c r="V142" i="27"/>
  <c r="V130" i="27"/>
  <c r="H15" i="31"/>
  <c r="D74" i="32"/>
  <c r="H69" i="28"/>
  <c r="S68" i="28"/>
  <c r="R68" i="28"/>
  <c r="R79" i="28"/>
  <c r="R90" i="28"/>
  <c r="Q65" i="22"/>
  <c r="D75" i="32" l="1"/>
  <c r="G142" i="22"/>
  <c r="G138" i="22"/>
  <c r="G134" i="22"/>
  <c r="G140" i="22"/>
  <c r="G139" i="22"/>
  <c r="G145" i="22"/>
  <c r="G141" i="22"/>
  <c r="G137" i="22"/>
  <c r="G144" i="22"/>
  <c r="G136" i="22"/>
  <c r="G143" i="22"/>
  <c r="G135" i="22"/>
  <c r="AA15" i="31"/>
  <c r="H75" i="32" s="1"/>
  <c r="H74" i="32"/>
  <c r="R111" i="22"/>
  <c r="R113" i="22"/>
  <c r="R116" i="22"/>
  <c r="R115" i="22"/>
  <c r="R118" i="22"/>
  <c r="R114" i="22"/>
  <c r="R117" i="22"/>
  <c r="R120" i="22"/>
  <c r="R145" i="22"/>
  <c r="R133" i="22"/>
  <c r="R112" i="22"/>
  <c r="R110" i="22"/>
  <c r="H70" i="28"/>
  <c r="S69" i="28"/>
  <c r="R69" i="28"/>
  <c r="R80" i="28"/>
  <c r="Q66" i="22"/>
  <c r="F10" i="19"/>
  <c r="G10" i="19"/>
  <c r="H10" i="19"/>
  <c r="I10" i="19"/>
  <c r="J10" i="19"/>
  <c r="K10" i="19"/>
  <c r="L10" i="19"/>
  <c r="M10" i="19"/>
  <c r="N10" i="19"/>
  <c r="O10" i="19"/>
  <c r="P10" i="19"/>
  <c r="Q10" i="19"/>
  <c r="F11" i="19"/>
  <c r="F12" i="19"/>
  <c r="F13" i="19"/>
  <c r="F14" i="19"/>
  <c r="F15" i="19"/>
  <c r="F16" i="19"/>
  <c r="F17" i="19"/>
  <c r="F18" i="19"/>
  <c r="F19" i="19"/>
  <c r="F20" i="19"/>
  <c r="F21" i="19"/>
  <c r="R141" i="22" l="1"/>
  <c r="R129" i="22"/>
  <c r="R126" i="22"/>
  <c r="R138" i="22"/>
  <c r="R137" i="22"/>
  <c r="R125" i="22"/>
  <c r="R130" i="22"/>
  <c r="R142" i="22"/>
  <c r="R136" i="22"/>
  <c r="R124" i="22"/>
  <c r="R139" i="22"/>
  <c r="R127" i="22"/>
  <c r="R144" i="22"/>
  <c r="R132" i="22"/>
  <c r="R135" i="22"/>
  <c r="R123" i="22"/>
  <c r="R134" i="22"/>
  <c r="R122" i="22"/>
  <c r="R140" i="22"/>
  <c r="R128" i="22"/>
  <c r="H71" i="28"/>
  <c r="S70" i="28"/>
  <c r="R91" i="28"/>
  <c r="R70" i="28"/>
  <c r="R81" i="28"/>
  <c r="Q67" i="22"/>
  <c r="R61" i="21"/>
  <c r="Q61" i="21"/>
  <c r="P61" i="21"/>
  <c r="R60" i="21"/>
  <c r="Q60" i="21"/>
  <c r="R59" i="21"/>
  <c r="Q59" i="21"/>
  <c r="P59" i="21"/>
  <c r="R58" i="21"/>
  <c r="Q58" i="21"/>
  <c r="P58" i="21"/>
  <c r="R57" i="21"/>
  <c r="Q57" i="21"/>
  <c r="Q56" i="21"/>
  <c r="R55" i="21"/>
  <c r="Q55" i="21"/>
  <c r="P55" i="21"/>
  <c r="R54" i="21"/>
  <c r="Q54" i="21"/>
  <c r="P54" i="21"/>
  <c r="R53" i="21"/>
  <c r="Q53" i="21"/>
  <c r="P53" i="21"/>
  <c r="R52" i="21"/>
  <c r="Q52" i="21"/>
  <c r="R51" i="21"/>
  <c r="Q51" i="21"/>
  <c r="P51" i="21"/>
  <c r="R50" i="21"/>
  <c r="Q50" i="21"/>
  <c r="P50" i="21"/>
  <c r="R49" i="21"/>
  <c r="Q49" i="21"/>
  <c r="Q48" i="21"/>
  <c r="P48" i="21"/>
  <c r="R47" i="21"/>
  <c r="Q47" i="21"/>
  <c r="P47" i="21"/>
  <c r="R46" i="21"/>
  <c r="Q46" i="21"/>
  <c r="P46" i="21"/>
  <c r="R45" i="21"/>
  <c r="Q45" i="21"/>
  <c r="P45" i="21"/>
  <c r="R44" i="21"/>
  <c r="Q44" i="21"/>
  <c r="R43" i="21"/>
  <c r="P43" i="21"/>
  <c r="R42" i="21"/>
  <c r="Q42" i="21"/>
  <c r="P42" i="21"/>
  <c r="R41" i="21"/>
  <c r="Q41" i="21"/>
  <c r="Q40" i="21"/>
  <c r="P40" i="21"/>
  <c r="R39" i="21"/>
  <c r="Q39" i="21"/>
  <c r="P39" i="21"/>
  <c r="R38" i="21"/>
  <c r="Q38" i="21"/>
  <c r="P38" i="21"/>
  <c r="R37" i="21"/>
  <c r="Q37" i="21"/>
  <c r="P37" i="21"/>
  <c r="R36" i="21"/>
  <c r="Q36" i="21"/>
  <c r="P36" i="21"/>
  <c r="R35" i="21"/>
  <c r="P35" i="21"/>
  <c r="R34" i="21"/>
  <c r="Q34" i="21"/>
  <c r="P34" i="21"/>
  <c r="R33" i="21"/>
  <c r="Q33" i="21"/>
  <c r="R32" i="21"/>
  <c r="Q32" i="21"/>
  <c r="R31" i="21"/>
  <c r="Q31" i="21"/>
  <c r="P31" i="21"/>
  <c r="R30" i="21"/>
  <c r="Q30" i="21"/>
  <c r="P30" i="21"/>
  <c r="R29" i="21"/>
  <c r="Q29" i="21"/>
  <c r="P29" i="21"/>
  <c r="R28" i="21"/>
  <c r="Q28" i="21"/>
  <c r="P28" i="21"/>
  <c r="R27" i="21"/>
  <c r="P27" i="21"/>
  <c r="R26" i="21"/>
  <c r="Q26" i="21"/>
  <c r="P26" i="21"/>
  <c r="R25" i="21"/>
  <c r="Q24" i="21"/>
  <c r="P24" i="21"/>
  <c r="R23" i="21"/>
  <c r="Q23" i="21"/>
  <c r="P23" i="21"/>
  <c r="R22" i="21"/>
  <c r="Q22" i="21"/>
  <c r="P22" i="21"/>
  <c r="R21" i="21"/>
  <c r="Q21" i="21"/>
  <c r="P21" i="21"/>
  <c r="R20" i="21"/>
  <c r="Q20" i="21"/>
  <c r="R19" i="21"/>
  <c r="P19" i="21"/>
  <c r="R18" i="21"/>
  <c r="Q18" i="21"/>
  <c r="P18" i="21"/>
  <c r="R17" i="21"/>
  <c r="Q17" i="21"/>
  <c r="R16" i="21"/>
  <c r="Q16" i="21"/>
  <c r="P16" i="21"/>
  <c r="R15" i="21"/>
  <c r="Q15" i="21"/>
  <c r="P15" i="21"/>
  <c r="Q14" i="21"/>
  <c r="P14" i="21"/>
  <c r="R13" i="21"/>
  <c r="Q13" i="21"/>
  <c r="P13" i="21"/>
  <c r="R12" i="21"/>
  <c r="Q12" i="21"/>
  <c r="P12" i="21"/>
  <c r="R11" i="21"/>
  <c r="Q11" i="21"/>
  <c r="P11" i="21"/>
  <c r="R10" i="21"/>
  <c r="Q10" i="21"/>
  <c r="P10" i="21"/>
  <c r="R9" i="21"/>
  <c r="Q9" i="21"/>
  <c r="Q8" i="21"/>
  <c r="P8" i="21"/>
  <c r="R7" i="21"/>
  <c r="Q7" i="21"/>
  <c r="P7" i="21"/>
  <c r="R6" i="21"/>
  <c r="Q6" i="21"/>
  <c r="P6" i="21"/>
  <c r="R5" i="21"/>
  <c r="Q5" i="21"/>
  <c r="P5" i="21"/>
  <c r="R4" i="21"/>
  <c r="Q4" i="21"/>
  <c r="P4" i="21"/>
  <c r="R3" i="21"/>
  <c r="Q3" i="21"/>
  <c r="P3" i="21"/>
  <c r="R2" i="21"/>
  <c r="P2" i="21"/>
  <c r="M61" i="21"/>
  <c r="P60" i="21"/>
  <c r="M60" i="21"/>
  <c r="M59" i="21"/>
  <c r="M58" i="21"/>
  <c r="P57" i="21"/>
  <c r="M57" i="21"/>
  <c r="R56" i="21"/>
  <c r="P56" i="21"/>
  <c r="M56" i="21"/>
  <c r="M55" i="21"/>
  <c r="M54" i="21"/>
  <c r="M53" i="21"/>
  <c r="P52" i="21"/>
  <c r="M52" i="21"/>
  <c r="M51" i="21"/>
  <c r="M50" i="21"/>
  <c r="P49" i="21"/>
  <c r="M49" i="21"/>
  <c r="R48" i="21"/>
  <c r="M48" i="21"/>
  <c r="M47" i="21"/>
  <c r="M46" i="21"/>
  <c r="M45" i="21"/>
  <c r="P44" i="21"/>
  <c r="M44" i="21"/>
  <c r="Q43" i="21"/>
  <c r="M43" i="21"/>
  <c r="M42" i="21"/>
  <c r="P41" i="21"/>
  <c r="M41" i="21"/>
  <c r="R40" i="21"/>
  <c r="M40" i="21"/>
  <c r="M39" i="21"/>
  <c r="M38" i="21"/>
  <c r="M37" i="21"/>
  <c r="M36" i="21"/>
  <c r="Q35" i="21"/>
  <c r="M35" i="21"/>
  <c r="M34" i="21"/>
  <c r="P33" i="21"/>
  <c r="M33" i="21"/>
  <c r="P32" i="21"/>
  <c r="M32" i="21"/>
  <c r="M31" i="21"/>
  <c r="M30" i="21"/>
  <c r="M29" i="21"/>
  <c r="M28" i="21"/>
  <c r="Q27" i="21"/>
  <c r="M27" i="21"/>
  <c r="M26" i="21"/>
  <c r="Q25" i="21"/>
  <c r="P25" i="21"/>
  <c r="M25" i="21"/>
  <c r="R24" i="21"/>
  <c r="M24" i="21"/>
  <c r="M23" i="21"/>
  <c r="M22" i="21"/>
  <c r="M21" i="21"/>
  <c r="P20" i="21"/>
  <c r="M20" i="21"/>
  <c r="Q19" i="21"/>
  <c r="M19" i="21"/>
  <c r="M18" i="21"/>
  <c r="P17" i="21"/>
  <c r="M17" i="21"/>
  <c r="M16" i="21"/>
  <c r="M15" i="21"/>
  <c r="R14" i="21"/>
  <c r="M14" i="21"/>
  <c r="M13" i="21"/>
  <c r="M12" i="21"/>
  <c r="M11" i="21"/>
  <c r="M10" i="21"/>
  <c r="P9" i="21"/>
  <c r="M9" i="21"/>
  <c r="R8" i="21"/>
  <c r="M8" i="21"/>
  <c r="M7" i="21"/>
  <c r="M6" i="21"/>
  <c r="M5" i="21"/>
  <c r="M4" i="21"/>
  <c r="M3" i="21"/>
  <c r="M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C1" i="21"/>
  <c r="C2" i="21"/>
  <c r="E61" i="21"/>
  <c r="O61" i="21" s="1"/>
  <c r="D61" i="21"/>
  <c r="N61" i="21" s="1"/>
  <c r="A61" i="21"/>
  <c r="B61" i="21" s="1"/>
  <c r="E60" i="21"/>
  <c r="O60" i="21" s="1"/>
  <c r="D60" i="21"/>
  <c r="N60" i="21" s="1"/>
  <c r="A60" i="21"/>
  <c r="B60" i="21" s="1"/>
  <c r="E59" i="21"/>
  <c r="O59" i="21" s="1"/>
  <c r="D59" i="21"/>
  <c r="N59" i="21" s="1"/>
  <c r="A59" i="21"/>
  <c r="B59" i="21" s="1"/>
  <c r="E58" i="21"/>
  <c r="O58" i="21" s="1"/>
  <c r="D58" i="21"/>
  <c r="N58" i="21" s="1"/>
  <c r="A58" i="21"/>
  <c r="B58" i="21" s="1"/>
  <c r="E57" i="21"/>
  <c r="O57" i="21" s="1"/>
  <c r="D57" i="21"/>
  <c r="N57" i="21" s="1"/>
  <c r="A57" i="21"/>
  <c r="B57" i="21" s="1"/>
  <c r="E56" i="21"/>
  <c r="O56" i="21" s="1"/>
  <c r="D56" i="21"/>
  <c r="N56" i="21" s="1"/>
  <c r="A56" i="21"/>
  <c r="B56" i="21" s="1"/>
  <c r="E55" i="21"/>
  <c r="O55" i="21" s="1"/>
  <c r="D55" i="21"/>
  <c r="N55" i="21" s="1"/>
  <c r="A55" i="21"/>
  <c r="B55" i="21" s="1"/>
  <c r="E54" i="21"/>
  <c r="O54" i="21" s="1"/>
  <c r="D54" i="21"/>
  <c r="N54" i="21" s="1"/>
  <c r="A54" i="21"/>
  <c r="B54" i="21" s="1"/>
  <c r="E53" i="21"/>
  <c r="O53" i="21" s="1"/>
  <c r="D53" i="21"/>
  <c r="N53" i="21" s="1"/>
  <c r="A53" i="21"/>
  <c r="B53" i="21" s="1"/>
  <c r="E52" i="21"/>
  <c r="O52" i="21" s="1"/>
  <c r="D52" i="21"/>
  <c r="N52" i="21" s="1"/>
  <c r="A52" i="21"/>
  <c r="B52" i="21" s="1"/>
  <c r="E51" i="21"/>
  <c r="O51" i="21" s="1"/>
  <c r="D51" i="21"/>
  <c r="N51" i="21" s="1"/>
  <c r="A51" i="21"/>
  <c r="B51" i="21" s="1"/>
  <c r="E50" i="21"/>
  <c r="O50" i="21" s="1"/>
  <c r="D50" i="21"/>
  <c r="N50" i="21" s="1"/>
  <c r="A50" i="21"/>
  <c r="B50" i="21" s="1"/>
  <c r="E49" i="21"/>
  <c r="O49" i="21" s="1"/>
  <c r="D49" i="21"/>
  <c r="N49" i="21" s="1"/>
  <c r="A49" i="21"/>
  <c r="B49" i="21" s="1"/>
  <c r="E48" i="21"/>
  <c r="O48" i="21" s="1"/>
  <c r="D48" i="21"/>
  <c r="N48" i="21" s="1"/>
  <c r="A48" i="21"/>
  <c r="B48" i="21" s="1"/>
  <c r="E47" i="21"/>
  <c r="O47" i="21" s="1"/>
  <c r="D47" i="21"/>
  <c r="N47" i="21" s="1"/>
  <c r="A47" i="21"/>
  <c r="B47" i="21" s="1"/>
  <c r="E46" i="21"/>
  <c r="O46" i="21" s="1"/>
  <c r="D46" i="21"/>
  <c r="N46" i="21" s="1"/>
  <c r="A46" i="21"/>
  <c r="B46" i="21" s="1"/>
  <c r="E45" i="21"/>
  <c r="O45" i="21" s="1"/>
  <c r="D45" i="21"/>
  <c r="N45" i="21" s="1"/>
  <c r="A45" i="21"/>
  <c r="B45" i="21" s="1"/>
  <c r="E44" i="21"/>
  <c r="O44" i="21" s="1"/>
  <c r="D44" i="21"/>
  <c r="N44" i="21" s="1"/>
  <c r="A44" i="21"/>
  <c r="B44" i="21" s="1"/>
  <c r="E43" i="21"/>
  <c r="O43" i="21" s="1"/>
  <c r="D43" i="21"/>
  <c r="N43" i="21" s="1"/>
  <c r="A43" i="21"/>
  <c r="B43" i="21" s="1"/>
  <c r="E42" i="21"/>
  <c r="O42" i="21" s="1"/>
  <c r="D42" i="21"/>
  <c r="N42" i="21" s="1"/>
  <c r="A42" i="21"/>
  <c r="B42" i="21" s="1"/>
  <c r="E41" i="21"/>
  <c r="O41" i="21" s="1"/>
  <c r="D41" i="21"/>
  <c r="N41" i="21" s="1"/>
  <c r="A41" i="21"/>
  <c r="B41" i="21" s="1"/>
  <c r="E40" i="21"/>
  <c r="O40" i="21" s="1"/>
  <c r="D40" i="21"/>
  <c r="N40" i="21" s="1"/>
  <c r="A40" i="21"/>
  <c r="B40" i="21" s="1"/>
  <c r="E39" i="21"/>
  <c r="O39" i="21" s="1"/>
  <c r="D39" i="21"/>
  <c r="N39" i="21" s="1"/>
  <c r="A39" i="21"/>
  <c r="B39" i="21" s="1"/>
  <c r="E38" i="21"/>
  <c r="O38" i="21" s="1"/>
  <c r="D38" i="21"/>
  <c r="N38" i="21" s="1"/>
  <c r="A38" i="21"/>
  <c r="B38" i="21" s="1"/>
  <c r="E37" i="21"/>
  <c r="O37" i="21" s="1"/>
  <c r="D37" i="21"/>
  <c r="N37" i="21" s="1"/>
  <c r="A37" i="21"/>
  <c r="B37" i="21" s="1"/>
  <c r="E36" i="21"/>
  <c r="O36" i="21" s="1"/>
  <c r="D36" i="21"/>
  <c r="N36" i="21" s="1"/>
  <c r="A36" i="21"/>
  <c r="B36" i="21" s="1"/>
  <c r="E35" i="21"/>
  <c r="O35" i="21" s="1"/>
  <c r="D35" i="21"/>
  <c r="N35" i="21" s="1"/>
  <c r="A35" i="21"/>
  <c r="B35" i="21" s="1"/>
  <c r="E34" i="21"/>
  <c r="O34" i="21" s="1"/>
  <c r="D34" i="21"/>
  <c r="N34" i="21" s="1"/>
  <c r="A34" i="21"/>
  <c r="B34" i="21" s="1"/>
  <c r="E33" i="21"/>
  <c r="O33" i="21" s="1"/>
  <c r="D33" i="21"/>
  <c r="N33" i="21" s="1"/>
  <c r="A33" i="21"/>
  <c r="B33" i="21" s="1"/>
  <c r="E32" i="21"/>
  <c r="O32" i="21" s="1"/>
  <c r="D32" i="21"/>
  <c r="N32" i="21" s="1"/>
  <c r="A32" i="21"/>
  <c r="B32" i="21" s="1"/>
  <c r="E31" i="21"/>
  <c r="O31" i="21" s="1"/>
  <c r="D31" i="21"/>
  <c r="N31" i="21" s="1"/>
  <c r="A31" i="21"/>
  <c r="B31" i="21" s="1"/>
  <c r="E30" i="21"/>
  <c r="O30" i="21" s="1"/>
  <c r="D30" i="21"/>
  <c r="N30" i="21" s="1"/>
  <c r="A30" i="21"/>
  <c r="B30" i="21" s="1"/>
  <c r="E29" i="21"/>
  <c r="O29" i="21" s="1"/>
  <c r="D29" i="21"/>
  <c r="N29" i="21" s="1"/>
  <c r="A29" i="21"/>
  <c r="B29" i="21" s="1"/>
  <c r="E28" i="21"/>
  <c r="O28" i="21" s="1"/>
  <c r="D28" i="21"/>
  <c r="N28" i="21" s="1"/>
  <c r="A28" i="21"/>
  <c r="B28" i="21" s="1"/>
  <c r="E27" i="21"/>
  <c r="O27" i="21" s="1"/>
  <c r="D27" i="21"/>
  <c r="N27" i="21" s="1"/>
  <c r="A27" i="21"/>
  <c r="B27" i="21" s="1"/>
  <c r="E26" i="21"/>
  <c r="O26" i="21" s="1"/>
  <c r="D26" i="21"/>
  <c r="N26" i="21" s="1"/>
  <c r="A26" i="21"/>
  <c r="B26" i="21" s="1"/>
  <c r="E25" i="21"/>
  <c r="O25" i="21" s="1"/>
  <c r="D25" i="21"/>
  <c r="N25" i="21" s="1"/>
  <c r="A25" i="21"/>
  <c r="B25" i="21" s="1"/>
  <c r="E24" i="21"/>
  <c r="O24" i="21" s="1"/>
  <c r="D24" i="21"/>
  <c r="N24" i="21" s="1"/>
  <c r="A24" i="21"/>
  <c r="B24" i="21" s="1"/>
  <c r="E23" i="21"/>
  <c r="O23" i="21" s="1"/>
  <c r="D23" i="21"/>
  <c r="N23" i="21" s="1"/>
  <c r="A23" i="21"/>
  <c r="B23" i="21" s="1"/>
  <c r="E22" i="21"/>
  <c r="O22" i="21" s="1"/>
  <c r="D22" i="21"/>
  <c r="N22" i="21" s="1"/>
  <c r="A22" i="21"/>
  <c r="B22" i="21" s="1"/>
  <c r="E21" i="21"/>
  <c r="O21" i="21" s="1"/>
  <c r="D21" i="21"/>
  <c r="N21" i="21" s="1"/>
  <c r="A21" i="21"/>
  <c r="B21" i="21" s="1"/>
  <c r="E20" i="21"/>
  <c r="O20" i="21" s="1"/>
  <c r="D20" i="21"/>
  <c r="N20" i="21" s="1"/>
  <c r="A20" i="21"/>
  <c r="B20" i="21" s="1"/>
  <c r="E19" i="21"/>
  <c r="O19" i="21" s="1"/>
  <c r="D19" i="21"/>
  <c r="N19" i="21" s="1"/>
  <c r="A19" i="21"/>
  <c r="B19" i="21" s="1"/>
  <c r="E18" i="21"/>
  <c r="O18" i="21" s="1"/>
  <c r="D18" i="21"/>
  <c r="N18" i="21" s="1"/>
  <c r="A18" i="21"/>
  <c r="B18" i="21" s="1"/>
  <c r="E17" i="21"/>
  <c r="O17" i="21" s="1"/>
  <c r="D17" i="21"/>
  <c r="N17" i="21" s="1"/>
  <c r="A17" i="21"/>
  <c r="B17" i="21" s="1"/>
  <c r="E16" i="21"/>
  <c r="O16" i="21" s="1"/>
  <c r="D16" i="21"/>
  <c r="N16" i="21" s="1"/>
  <c r="A16" i="21"/>
  <c r="B16" i="21" s="1"/>
  <c r="E15" i="21"/>
  <c r="O15" i="21" s="1"/>
  <c r="D15" i="21"/>
  <c r="N15" i="21" s="1"/>
  <c r="A15" i="21"/>
  <c r="B15" i="21" s="1"/>
  <c r="E14" i="21"/>
  <c r="O14" i="21" s="1"/>
  <c r="D14" i="21"/>
  <c r="N14" i="21" s="1"/>
  <c r="A14" i="21"/>
  <c r="B14" i="21" s="1"/>
  <c r="E13" i="21"/>
  <c r="O13" i="21" s="1"/>
  <c r="D13" i="21"/>
  <c r="N13" i="21" s="1"/>
  <c r="A13" i="21"/>
  <c r="B13" i="21" s="1"/>
  <c r="E12" i="21"/>
  <c r="O12" i="21" s="1"/>
  <c r="D12" i="21"/>
  <c r="N12" i="21" s="1"/>
  <c r="A12" i="21"/>
  <c r="B12" i="21" s="1"/>
  <c r="E11" i="21"/>
  <c r="O11" i="21" s="1"/>
  <c r="D11" i="21"/>
  <c r="N11" i="21" s="1"/>
  <c r="A11" i="21"/>
  <c r="B11" i="21" s="1"/>
  <c r="E10" i="21"/>
  <c r="O10" i="21" s="1"/>
  <c r="D10" i="21"/>
  <c r="N10" i="21" s="1"/>
  <c r="A10" i="21"/>
  <c r="B10" i="21" s="1"/>
  <c r="E9" i="21"/>
  <c r="O9" i="21" s="1"/>
  <c r="D9" i="21"/>
  <c r="N9" i="21" s="1"/>
  <c r="A9" i="21"/>
  <c r="B9" i="21" s="1"/>
  <c r="E8" i="21"/>
  <c r="O8" i="21" s="1"/>
  <c r="D8" i="21"/>
  <c r="N8" i="21" s="1"/>
  <c r="A8" i="21"/>
  <c r="B8" i="21" s="1"/>
  <c r="E7" i="21"/>
  <c r="O7" i="21" s="1"/>
  <c r="D7" i="21"/>
  <c r="N7" i="21" s="1"/>
  <c r="A7" i="21"/>
  <c r="B7" i="21" s="1"/>
  <c r="E6" i="21"/>
  <c r="O6" i="21" s="1"/>
  <c r="D6" i="21"/>
  <c r="N6" i="21" s="1"/>
  <c r="A6" i="21"/>
  <c r="B6" i="21" s="1"/>
  <c r="E5" i="21"/>
  <c r="O5" i="21" s="1"/>
  <c r="D5" i="21"/>
  <c r="N5" i="21" s="1"/>
  <c r="A5" i="21"/>
  <c r="B5" i="21" s="1"/>
  <c r="E4" i="21"/>
  <c r="O4" i="21" s="1"/>
  <c r="D4" i="21"/>
  <c r="N4" i="21" s="1"/>
  <c r="A4" i="21"/>
  <c r="B4" i="21" s="1"/>
  <c r="E3" i="21"/>
  <c r="O3" i="21" s="1"/>
  <c r="D3" i="21"/>
  <c r="N3" i="21" s="1"/>
  <c r="A3" i="21"/>
  <c r="B3" i="21" s="1"/>
  <c r="Q2" i="21"/>
  <c r="E2" i="21"/>
  <c r="O2" i="21" s="1"/>
  <c r="D2" i="21"/>
  <c r="N2" i="21" s="1"/>
  <c r="A2" i="21"/>
  <c r="B2" i="21" s="1"/>
  <c r="E1" i="21"/>
  <c r="O1" i="21" s="1"/>
  <c r="D1" i="21"/>
  <c r="N1" i="21" s="1"/>
  <c r="A1" i="21"/>
  <c r="F2" i="17"/>
  <c r="L2" i="17" s="1"/>
  <c r="I2" i="17"/>
  <c r="Q21" i="19"/>
  <c r="Q20" i="19"/>
  <c r="Q19" i="19"/>
  <c r="Q18" i="19"/>
  <c r="Q17" i="19"/>
  <c r="Q16" i="19"/>
  <c r="Q15" i="19"/>
  <c r="Q14" i="19"/>
  <c r="Q13" i="19"/>
  <c r="Q12" i="19"/>
  <c r="Q11" i="19"/>
  <c r="Q9" i="19"/>
  <c r="Q8" i="19"/>
  <c r="Q7" i="19"/>
  <c r="Q6" i="19"/>
  <c r="Q5" i="19"/>
  <c r="Q4" i="19"/>
  <c r="Q3" i="19"/>
  <c r="Q2" i="19"/>
  <c r="P21" i="19"/>
  <c r="O21" i="19"/>
  <c r="N21" i="19"/>
  <c r="M21" i="19"/>
  <c r="L21" i="19"/>
  <c r="K21" i="19"/>
  <c r="J21" i="19"/>
  <c r="I21" i="19"/>
  <c r="H21" i="19"/>
  <c r="G21" i="19"/>
  <c r="P20" i="19"/>
  <c r="O20" i="19"/>
  <c r="N20" i="19"/>
  <c r="M20" i="19"/>
  <c r="L20" i="19"/>
  <c r="K20" i="19"/>
  <c r="J20" i="19"/>
  <c r="I20" i="19"/>
  <c r="H20" i="19"/>
  <c r="G20" i="19"/>
  <c r="P19" i="19"/>
  <c r="O19" i="19"/>
  <c r="N19" i="19"/>
  <c r="M19" i="19"/>
  <c r="L19" i="19"/>
  <c r="K19" i="19"/>
  <c r="J19" i="19"/>
  <c r="I19" i="19"/>
  <c r="H19" i="19"/>
  <c r="G19" i="19"/>
  <c r="P18" i="19"/>
  <c r="O18" i="19"/>
  <c r="N18" i="19"/>
  <c r="M18" i="19"/>
  <c r="L18" i="19"/>
  <c r="K18" i="19"/>
  <c r="J18" i="19"/>
  <c r="I18" i="19"/>
  <c r="H18" i="19"/>
  <c r="G18" i="19"/>
  <c r="P17" i="19"/>
  <c r="O17" i="19"/>
  <c r="N17" i="19"/>
  <c r="M17" i="19"/>
  <c r="L17" i="19"/>
  <c r="K17" i="19"/>
  <c r="J17" i="19"/>
  <c r="I17" i="19"/>
  <c r="H17" i="19"/>
  <c r="G17" i="19"/>
  <c r="P16" i="19"/>
  <c r="O16" i="19"/>
  <c r="N16" i="19"/>
  <c r="M16" i="19"/>
  <c r="L16" i="19"/>
  <c r="K16" i="19"/>
  <c r="J16" i="19"/>
  <c r="I16" i="19"/>
  <c r="H16" i="19"/>
  <c r="G16" i="19"/>
  <c r="P15" i="19"/>
  <c r="O15" i="19"/>
  <c r="N15" i="19"/>
  <c r="M15" i="19"/>
  <c r="L15" i="19"/>
  <c r="K15" i="19"/>
  <c r="J15" i="19"/>
  <c r="I15" i="19"/>
  <c r="H15" i="19"/>
  <c r="G15" i="19"/>
  <c r="P14" i="19"/>
  <c r="O14" i="19"/>
  <c r="N14" i="19"/>
  <c r="M14" i="19"/>
  <c r="L14" i="19"/>
  <c r="K14" i="19"/>
  <c r="J14" i="19"/>
  <c r="I14" i="19"/>
  <c r="H14" i="19"/>
  <c r="G14" i="19"/>
  <c r="P13" i="19"/>
  <c r="O13" i="19"/>
  <c r="N13" i="19"/>
  <c r="M13" i="19"/>
  <c r="L13" i="19"/>
  <c r="K13" i="19"/>
  <c r="J13" i="19"/>
  <c r="I13" i="19"/>
  <c r="H13" i="19"/>
  <c r="G13" i="19"/>
  <c r="P12" i="19"/>
  <c r="O12" i="19"/>
  <c r="N12" i="19"/>
  <c r="M12" i="19"/>
  <c r="L12" i="19"/>
  <c r="K12" i="19"/>
  <c r="J12" i="19"/>
  <c r="I12" i="19"/>
  <c r="H12" i="19"/>
  <c r="G12" i="19"/>
  <c r="P11" i="19"/>
  <c r="O11" i="19"/>
  <c r="N11" i="19"/>
  <c r="M11" i="19"/>
  <c r="L11" i="19"/>
  <c r="K11" i="19"/>
  <c r="J11" i="19"/>
  <c r="I11" i="19"/>
  <c r="H11" i="19"/>
  <c r="G11" i="19"/>
  <c r="P9" i="19"/>
  <c r="O9" i="19"/>
  <c r="N9" i="19"/>
  <c r="M9" i="19"/>
  <c r="L9" i="19"/>
  <c r="K9" i="19"/>
  <c r="J9" i="19"/>
  <c r="I9" i="19"/>
  <c r="H9" i="19"/>
  <c r="G9" i="19"/>
  <c r="F9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N7" i="19"/>
  <c r="M7" i="19"/>
  <c r="L7" i="19"/>
  <c r="K7" i="19"/>
  <c r="J7" i="19"/>
  <c r="I7" i="19"/>
  <c r="H7" i="19"/>
  <c r="G7" i="19"/>
  <c r="F7" i="19"/>
  <c r="P6" i="19"/>
  <c r="O6" i="19"/>
  <c r="N6" i="19"/>
  <c r="M6" i="19"/>
  <c r="L6" i="19"/>
  <c r="K6" i="19"/>
  <c r="J6" i="19"/>
  <c r="I6" i="19"/>
  <c r="H6" i="19"/>
  <c r="G6" i="19"/>
  <c r="F6" i="19"/>
  <c r="P5" i="19"/>
  <c r="O5" i="19"/>
  <c r="N5" i="19"/>
  <c r="M5" i="19"/>
  <c r="L5" i="19"/>
  <c r="K5" i="19"/>
  <c r="J5" i="19"/>
  <c r="I5" i="19"/>
  <c r="H5" i="19"/>
  <c r="G5" i="19"/>
  <c r="F5" i="19"/>
  <c r="P4" i="19"/>
  <c r="O4" i="19"/>
  <c r="N4" i="19"/>
  <c r="M4" i="19"/>
  <c r="L4" i="19"/>
  <c r="K4" i="19"/>
  <c r="J4" i="19"/>
  <c r="I4" i="19"/>
  <c r="H4" i="19"/>
  <c r="G4" i="19"/>
  <c r="F4" i="19"/>
  <c r="P3" i="19"/>
  <c r="O3" i="19"/>
  <c r="N3" i="19"/>
  <c r="M3" i="19"/>
  <c r="L3" i="19"/>
  <c r="K3" i="19"/>
  <c r="J3" i="19"/>
  <c r="I3" i="19"/>
  <c r="H3" i="19"/>
  <c r="G3" i="19"/>
  <c r="F3" i="19"/>
  <c r="P2" i="19"/>
  <c r="O2" i="19"/>
  <c r="N2" i="19"/>
  <c r="M2" i="19"/>
  <c r="L2" i="19"/>
  <c r="K2" i="19"/>
  <c r="J2" i="19"/>
  <c r="I2" i="19"/>
  <c r="H2" i="19"/>
  <c r="G2" i="19"/>
  <c r="F2" i="19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I61" i="17"/>
  <c r="F61" i="17"/>
  <c r="L61" i="17" s="1"/>
  <c r="C61" i="17"/>
  <c r="A61" i="17"/>
  <c r="B61" i="17" s="1"/>
  <c r="I60" i="17"/>
  <c r="F60" i="17"/>
  <c r="L60" i="17" s="1"/>
  <c r="C60" i="17"/>
  <c r="A60" i="17"/>
  <c r="B60" i="17" s="1"/>
  <c r="I59" i="17"/>
  <c r="F59" i="17"/>
  <c r="L59" i="17" s="1"/>
  <c r="C59" i="17"/>
  <c r="A59" i="17"/>
  <c r="B59" i="17" s="1"/>
  <c r="I58" i="17"/>
  <c r="F58" i="17"/>
  <c r="L58" i="17" s="1"/>
  <c r="C58" i="17"/>
  <c r="A58" i="17"/>
  <c r="B58" i="17" s="1"/>
  <c r="I57" i="17"/>
  <c r="F57" i="17"/>
  <c r="L57" i="17" s="1"/>
  <c r="C57" i="17"/>
  <c r="A57" i="17"/>
  <c r="B57" i="17" s="1"/>
  <c r="C9" i="18" s="1"/>
  <c r="I56" i="17"/>
  <c r="F56" i="17"/>
  <c r="L56" i="17" s="1"/>
  <c r="C56" i="17"/>
  <c r="A56" i="17"/>
  <c r="B56" i="17" s="1"/>
  <c r="I55" i="17"/>
  <c r="F55" i="17"/>
  <c r="L55" i="17" s="1"/>
  <c r="C55" i="17"/>
  <c r="A55" i="17"/>
  <c r="B55" i="17" s="1"/>
  <c r="I54" i="17"/>
  <c r="F54" i="17"/>
  <c r="L54" i="17" s="1"/>
  <c r="C54" i="17"/>
  <c r="A54" i="17"/>
  <c r="B54" i="17" s="1"/>
  <c r="I53" i="17"/>
  <c r="F53" i="17"/>
  <c r="L53" i="17" s="1"/>
  <c r="C53" i="17"/>
  <c r="A53" i="17"/>
  <c r="B53" i="17" s="1"/>
  <c r="I52" i="17"/>
  <c r="F52" i="17"/>
  <c r="L52" i="17" s="1"/>
  <c r="C52" i="17"/>
  <c r="A52" i="17"/>
  <c r="B52" i="17" s="1"/>
  <c r="I51" i="17"/>
  <c r="F51" i="17"/>
  <c r="L51" i="17" s="1"/>
  <c r="C51" i="17"/>
  <c r="A51" i="17"/>
  <c r="B51" i="17" s="1"/>
  <c r="I50" i="17"/>
  <c r="F50" i="17"/>
  <c r="L50" i="17" s="1"/>
  <c r="C50" i="17"/>
  <c r="A50" i="17"/>
  <c r="B50" i="17" s="1"/>
  <c r="I49" i="17"/>
  <c r="F49" i="17"/>
  <c r="L49" i="17" s="1"/>
  <c r="C49" i="17"/>
  <c r="A49" i="17"/>
  <c r="B49" i="17" s="1"/>
  <c r="I48" i="17"/>
  <c r="F48" i="17"/>
  <c r="L48" i="17" s="1"/>
  <c r="C48" i="17"/>
  <c r="A48" i="17"/>
  <c r="B48" i="17" s="1"/>
  <c r="I47" i="17"/>
  <c r="F47" i="17"/>
  <c r="L47" i="17" s="1"/>
  <c r="C47" i="17"/>
  <c r="A47" i="17"/>
  <c r="B47" i="17" s="1"/>
  <c r="I46" i="17"/>
  <c r="F46" i="17"/>
  <c r="L46" i="17" s="1"/>
  <c r="C46" i="17"/>
  <c r="A46" i="17"/>
  <c r="B46" i="17" s="1"/>
  <c r="I45" i="17"/>
  <c r="F45" i="17"/>
  <c r="L45" i="17" s="1"/>
  <c r="C45" i="17"/>
  <c r="A45" i="17"/>
  <c r="B45" i="17" s="1"/>
  <c r="I44" i="17"/>
  <c r="F44" i="17"/>
  <c r="L44" i="17" s="1"/>
  <c r="C44" i="17"/>
  <c r="A44" i="17"/>
  <c r="B44" i="17" s="1"/>
  <c r="I43" i="17"/>
  <c r="F43" i="17"/>
  <c r="L43" i="17" s="1"/>
  <c r="C43" i="17"/>
  <c r="A43" i="17"/>
  <c r="B43" i="17" s="1"/>
  <c r="I42" i="17"/>
  <c r="F42" i="17"/>
  <c r="L42" i="17" s="1"/>
  <c r="C42" i="17"/>
  <c r="A42" i="17"/>
  <c r="B42" i="17" s="1"/>
  <c r="I41" i="17"/>
  <c r="F41" i="17"/>
  <c r="L41" i="17" s="1"/>
  <c r="C41" i="17"/>
  <c r="A41" i="17"/>
  <c r="B41" i="17" s="1"/>
  <c r="I40" i="17"/>
  <c r="F40" i="17"/>
  <c r="L40" i="17" s="1"/>
  <c r="C40" i="17"/>
  <c r="A40" i="17"/>
  <c r="B40" i="17" s="1"/>
  <c r="I39" i="17"/>
  <c r="F39" i="17"/>
  <c r="L39" i="17" s="1"/>
  <c r="C39" i="17"/>
  <c r="A39" i="17"/>
  <c r="B39" i="17" s="1"/>
  <c r="I38" i="17"/>
  <c r="F38" i="17"/>
  <c r="L38" i="17" s="1"/>
  <c r="C38" i="17"/>
  <c r="A38" i="17"/>
  <c r="B38" i="17" s="1"/>
  <c r="I37" i="17"/>
  <c r="F37" i="17"/>
  <c r="L37" i="17" s="1"/>
  <c r="C37" i="17"/>
  <c r="A37" i="17"/>
  <c r="B37" i="17" s="1"/>
  <c r="I36" i="17"/>
  <c r="F36" i="17"/>
  <c r="L36" i="17" s="1"/>
  <c r="C36" i="17"/>
  <c r="A36" i="17"/>
  <c r="B36" i="17" s="1"/>
  <c r="I35" i="17"/>
  <c r="F35" i="17"/>
  <c r="L35" i="17" s="1"/>
  <c r="C35" i="17"/>
  <c r="A35" i="17"/>
  <c r="B35" i="17" s="1"/>
  <c r="I34" i="17"/>
  <c r="F34" i="17"/>
  <c r="L34" i="17" s="1"/>
  <c r="C34" i="17"/>
  <c r="A34" i="17"/>
  <c r="B34" i="17" s="1"/>
  <c r="I33" i="17"/>
  <c r="F33" i="17"/>
  <c r="L33" i="17" s="1"/>
  <c r="C33" i="17"/>
  <c r="A33" i="17"/>
  <c r="B33" i="17" s="1"/>
  <c r="I32" i="17"/>
  <c r="F32" i="17"/>
  <c r="L32" i="17" s="1"/>
  <c r="C32" i="17"/>
  <c r="A32" i="17"/>
  <c r="B32" i="17" s="1"/>
  <c r="I31" i="17"/>
  <c r="F31" i="17"/>
  <c r="L31" i="17" s="1"/>
  <c r="C31" i="17"/>
  <c r="A31" i="17"/>
  <c r="B31" i="17" s="1"/>
  <c r="I30" i="17"/>
  <c r="F30" i="17"/>
  <c r="L30" i="17" s="1"/>
  <c r="C30" i="17"/>
  <c r="A30" i="17"/>
  <c r="B30" i="17" s="1"/>
  <c r="I29" i="17"/>
  <c r="F29" i="17"/>
  <c r="L29" i="17" s="1"/>
  <c r="C29" i="17"/>
  <c r="A29" i="17"/>
  <c r="B29" i="17" s="1"/>
  <c r="I28" i="17"/>
  <c r="F28" i="17"/>
  <c r="L28" i="17" s="1"/>
  <c r="C28" i="17"/>
  <c r="A28" i="17"/>
  <c r="B28" i="17" s="1"/>
  <c r="I27" i="17"/>
  <c r="F27" i="17"/>
  <c r="L27" i="17" s="1"/>
  <c r="C27" i="17"/>
  <c r="A27" i="17"/>
  <c r="B27" i="17" s="1"/>
  <c r="I26" i="17"/>
  <c r="F26" i="17"/>
  <c r="L26" i="17" s="1"/>
  <c r="C26" i="17"/>
  <c r="A26" i="17"/>
  <c r="B26" i="17" s="1"/>
  <c r="I25" i="17"/>
  <c r="F25" i="17"/>
  <c r="L25" i="17" s="1"/>
  <c r="C25" i="17"/>
  <c r="A25" i="17"/>
  <c r="B25" i="17" s="1"/>
  <c r="I24" i="17"/>
  <c r="F24" i="17"/>
  <c r="L24" i="17" s="1"/>
  <c r="C24" i="17"/>
  <c r="A24" i="17"/>
  <c r="B24" i="17" s="1"/>
  <c r="I23" i="17"/>
  <c r="F23" i="17"/>
  <c r="L23" i="17" s="1"/>
  <c r="C23" i="17"/>
  <c r="A23" i="17"/>
  <c r="B23" i="17" s="1"/>
  <c r="I22" i="17"/>
  <c r="F22" i="17"/>
  <c r="L22" i="17" s="1"/>
  <c r="C22" i="17"/>
  <c r="A22" i="17"/>
  <c r="B22" i="17" s="1"/>
  <c r="I21" i="17"/>
  <c r="F21" i="17"/>
  <c r="L21" i="17" s="1"/>
  <c r="C21" i="17"/>
  <c r="A21" i="17"/>
  <c r="B21" i="17" s="1"/>
  <c r="I20" i="17"/>
  <c r="F20" i="17"/>
  <c r="L20" i="17" s="1"/>
  <c r="C20" i="17"/>
  <c r="A20" i="17"/>
  <c r="B20" i="17" s="1"/>
  <c r="I19" i="17"/>
  <c r="F19" i="17"/>
  <c r="L19" i="17" s="1"/>
  <c r="C19" i="17"/>
  <c r="A19" i="17"/>
  <c r="B19" i="17" s="1"/>
  <c r="I18" i="17"/>
  <c r="F18" i="17"/>
  <c r="L18" i="17" s="1"/>
  <c r="C18" i="17"/>
  <c r="A18" i="17"/>
  <c r="B18" i="17" s="1"/>
  <c r="I17" i="17"/>
  <c r="F17" i="17"/>
  <c r="L17" i="17" s="1"/>
  <c r="C17" i="17"/>
  <c r="A17" i="17"/>
  <c r="B17" i="17" s="1"/>
  <c r="I16" i="17"/>
  <c r="F16" i="17"/>
  <c r="L16" i="17" s="1"/>
  <c r="C16" i="17"/>
  <c r="A16" i="17"/>
  <c r="B16" i="17" s="1"/>
  <c r="I15" i="17"/>
  <c r="F15" i="17"/>
  <c r="L15" i="17" s="1"/>
  <c r="C15" i="17"/>
  <c r="A15" i="17"/>
  <c r="B15" i="17" s="1"/>
  <c r="I14" i="17"/>
  <c r="F14" i="17"/>
  <c r="L14" i="17" s="1"/>
  <c r="C14" i="17"/>
  <c r="A14" i="17"/>
  <c r="B14" i="17" s="1"/>
  <c r="I13" i="17"/>
  <c r="F13" i="17"/>
  <c r="L13" i="17" s="1"/>
  <c r="C13" i="17"/>
  <c r="A13" i="17"/>
  <c r="B13" i="17" s="1"/>
  <c r="I12" i="17"/>
  <c r="F12" i="17"/>
  <c r="L12" i="17" s="1"/>
  <c r="C12" i="17"/>
  <c r="A12" i="17"/>
  <c r="B12" i="17" s="1"/>
  <c r="I11" i="17"/>
  <c r="F11" i="17"/>
  <c r="L11" i="17" s="1"/>
  <c r="C11" i="17"/>
  <c r="A11" i="17"/>
  <c r="B11" i="17" s="1"/>
  <c r="I10" i="17"/>
  <c r="F10" i="17"/>
  <c r="L10" i="17" s="1"/>
  <c r="C10" i="17"/>
  <c r="A10" i="17"/>
  <c r="B10" i="17" s="1"/>
  <c r="I9" i="17"/>
  <c r="F9" i="17"/>
  <c r="L9" i="17" s="1"/>
  <c r="C9" i="17"/>
  <c r="A9" i="17"/>
  <c r="B9" i="17" s="1"/>
  <c r="I8" i="17"/>
  <c r="F8" i="17"/>
  <c r="L8" i="17" s="1"/>
  <c r="C8" i="17"/>
  <c r="A8" i="17"/>
  <c r="B8" i="17" s="1"/>
  <c r="I7" i="17"/>
  <c r="F7" i="17"/>
  <c r="L7" i="17" s="1"/>
  <c r="C7" i="17"/>
  <c r="A7" i="17"/>
  <c r="B7" i="17" s="1"/>
  <c r="I6" i="17"/>
  <c r="F6" i="17"/>
  <c r="L6" i="17" s="1"/>
  <c r="C6" i="17"/>
  <c r="A6" i="17"/>
  <c r="B6" i="17" s="1"/>
  <c r="I5" i="17"/>
  <c r="F5" i="17"/>
  <c r="L5" i="17" s="1"/>
  <c r="C5" i="17"/>
  <c r="A5" i="17"/>
  <c r="B5" i="17" s="1"/>
  <c r="I4" i="17"/>
  <c r="F4" i="17"/>
  <c r="L4" i="17" s="1"/>
  <c r="C4" i="17"/>
  <c r="A4" i="17"/>
  <c r="B4" i="17" s="1"/>
  <c r="I3" i="17"/>
  <c r="F3" i="17"/>
  <c r="L3" i="17" s="1"/>
  <c r="C3" i="17"/>
  <c r="A3" i="17"/>
  <c r="B3" i="17" s="1"/>
  <c r="C2" i="17"/>
  <c r="A2" i="17"/>
  <c r="B2" i="17" s="1"/>
  <c r="E1" i="17"/>
  <c r="D1" i="17"/>
  <c r="C1" i="17"/>
  <c r="A1" i="17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I2" i="16"/>
  <c r="F61" i="16"/>
  <c r="L61" i="16" s="1"/>
  <c r="E61" i="16"/>
  <c r="K61" i="16" s="1"/>
  <c r="D61" i="16"/>
  <c r="J61" i="16" s="1"/>
  <c r="C61" i="16"/>
  <c r="A61" i="16"/>
  <c r="B61" i="16" s="1"/>
  <c r="F60" i="16"/>
  <c r="L60" i="16" s="1"/>
  <c r="E60" i="16"/>
  <c r="K60" i="16" s="1"/>
  <c r="D60" i="16"/>
  <c r="J60" i="16" s="1"/>
  <c r="C60" i="16"/>
  <c r="A60" i="16"/>
  <c r="B60" i="16" s="1"/>
  <c r="F59" i="16"/>
  <c r="L59" i="16" s="1"/>
  <c r="E59" i="16"/>
  <c r="K59" i="16" s="1"/>
  <c r="D59" i="16"/>
  <c r="J59" i="16" s="1"/>
  <c r="C59" i="16"/>
  <c r="A59" i="16"/>
  <c r="B59" i="16" s="1"/>
  <c r="F58" i="16"/>
  <c r="L58" i="16" s="1"/>
  <c r="E58" i="16"/>
  <c r="K58" i="16" s="1"/>
  <c r="D58" i="16"/>
  <c r="J58" i="16" s="1"/>
  <c r="C58" i="16"/>
  <c r="A58" i="16"/>
  <c r="B58" i="16" s="1"/>
  <c r="F57" i="16"/>
  <c r="L57" i="16" s="1"/>
  <c r="E57" i="16"/>
  <c r="K57" i="16" s="1"/>
  <c r="D57" i="16"/>
  <c r="J57" i="16" s="1"/>
  <c r="C57" i="16"/>
  <c r="A57" i="16"/>
  <c r="B57" i="16" s="1"/>
  <c r="F56" i="16"/>
  <c r="L56" i="16" s="1"/>
  <c r="E56" i="16"/>
  <c r="K56" i="16" s="1"/>
  <c r="D56" i="16"/>
  <c r="J56" i="16" s="1"/>
  <c r="C56" i="16"/>
  <c r="A56" i="16"/>
  <c r="B56" i="16" s="1"/>
  <c r="F55" i="16"/>
  <c r="L55" i="16" s="1"/>
  <c r="E55" i="16"/>
  <c r="K55" i="16" s="1"/>
  <c r="D55" i="16"/>
  <c r="J55" i="16" s="1"/>
  <c r="C55" i="16"/>
  <c r="A55" i="16"/>
  <c r="B55" i="16" s="1"/>
  <c r="F54" i="16"/>
  <c r="L54" i="16" s="1"/>
  <c r="E54" i="16"/>
  <c r="K54" i="16" s="1"/>
  <c r="D54" i="16"/>
  <c r="J54" i="16" s="1"/>
  <c r="C54" i="16"/>
  <c r="A54" i="16"/>
  <c r="B54" i="16" s="1"/>
  <c r="F53" i="16"/>
  <c r="L53" i="16" s="1"/>
  <c r="E53" i="16"/>
  <c r="K53" i="16" s="1"/>
  <c r="D53" i="16"/>
  <c r="J53" i="16" s="1"/>
  <c r="C53" i="16"/>
  <c r="A53" i="16"/>
  <c r="B53" i="16" s="1"/>
  <c r="F52" i="16"/>
  <c r="L52" i="16" s="1"/>
  <c r="E52" i="16"/>
  <c r="K52" i="16" s="1"/>
  <c r="D52" i="16"/>
  <c r="J52" i="16" s="1"/>
  <c r="C52" i="16"/>
  <c r="A52" i="16"/>
  <c r="B52" i="16" s="1"/>
  <c r="F51" i="16"/>
  <c r="L51" i="16" s="1"/>
  <c r="E51" i="16"/>
  <c r="K51" i="16" s="1"/>
  <c r="D51" i="16"/>
  <c r="J51" i="16" s="1"/>
  <c r="C51" i="16"/>
  <c r="A51" i="16"/>
  <c r="B51" i="16" s="1"/>
  <c r="F50" i="16"/>
  <c r="L50" i="16" s="1"/>
  <c r="E50" i="16"/>
  <c r="K50" i="16" s="1"/>
  <c r="D50" i="16"/>
  <c r="J50" i="16" s="1"/>
  <c r="C50" i="16"/>
  <c r="A50" i="16"/>
  <c r="B50" i="16" s="1"/>
  <c r="F49" i="16"/>
  <c r="L49" i="16" s="1"/>
  <c r="E49" i="16"/>
  <c r="K49" i="16" s="1"/>
  <c r="D49" i="16"/>
  <c r="J49" i="16" s="1"/>
  <c r="C49" i="16"/>
  <c r="A49" i="16"/>
  <c r="B49" i="16" s="1"/>
  <c r="F48" i="16"/>
  <c r="L48" i="16" s="1"/>
  <c r="E48" i="16"/>
  <c r="K48" i="16" s="1"/>
  <c r="D48" i="16"/>
  <c r="J48" i="16" s="1"/>
  <c r="C48" i="16"/>
  <c r="A48" i="16"/>
  <c r="B48" i="16" s="1"/>
  <c r="F47" i="16"/>
  <c r="L47" i="16" s="1"/>
  <c r="E47" i="16"/>
  <c r="K47" i="16" s="1"/>
  <c r="D47" i="16"/>
  <c r="J47" i="16" s="1"/>
  <c r="C47" i="16"/>
  <c r="A47" i="16"/>
  <c r="B47" i="16" s="1"/>
  <c r="F46" i="16"/>
  <c r="L46" i="16" s="1"/>
  <c r="E46" i="16"/>
  <c r="K46" i="16" s="1"/>
  <c r="D46" i="16"/>
  <c r="J46" i="16" s="1"/>
  <c r="C46" i="16"/>
  <c r="A46" i="16"/>
  <c r="B46" i="16" s="1"/>
  <c r="F45" i="16"/>
  <c r="L45" i="16" s="1"/>
  <c r="E45" i="16"/>
  <c r="K45" i="16" s="1"/>
  <c r="D45" i="16"/>
  <c r="J45" i="16" s="1"/>
  <c r="C45" i="16"/>
  <c r="A45" i="16"/>
  <c r="B45" i="16" s="1"/>
  <c r="F44" i="16"/>
  <c r="L44" i="16" s="1"/>
  <c r="E44" i="16"/>
  <c r="K44" i="16" s="1"/>
  <c r="D44" i="16"/>
  <c r="J44" i="16" s="1"/>
  <c r="C44" i="16"/>
  <c r="A44" i="16"/>
  <c r="B44" i="16" s="1"/>
  <c r="F43" i="16"/>
  <c r="L43" i="16" s="1"/>
  <c r="E43" i="16"/>
  <c r="K43" i="16" s="1"/>
  <c r="D43" i="16"/>
  <c r="J43" i="16" s="1"/>
  <c r="C43" i="16"/>
  <c r="A43" i="16"/>
  <c r="B43" i="16" s="1"/>
  <c r="F42" i="16"/>
  <c r="L42" i="16" s="1"/>
  <c r="E42" i="16"/>
  <c r="K42" i="16" s="1"/>
  <c r="D42" i="16"/>
  <c r="J42" i="16" s="1"/>
  <c r="C42" i="16"/>
  <c r="A42" i="16"/>
  <c r="B42" i="16" s="1"/>
  <c r="F41" i="16"/>
  <c r="L41" i="16" s="1"/>
  <c r="E41" i="16"/>
  <c r="K41" i="16" s="1"/>
  <c r="D41" i="16"/>
  <c r="J41" i="16" s="1"/>
  <c r="C41" i="16"/>
  <c r="A41" i="16"/>
  <c r="B41" i="16" s="1"/>
  <c r="F40" i="16"/>
  <c r="L40" i="16" s="1"/>
  <c r="E40" i="16"/>
  <c r="K40" i="16" s="1"/>
  <c r="D40" i="16"/>
  <c r="J40" i="16" s="1"/>
  <c r="C40" i="16"/>
  <c r="A40" i="16"/>
  <c r="B40" i="16" s="1"/>
  <c r="F39" i="16"/>
  <c r="L39" i="16" s="1"/>
  <c r="E39" i="16"/>
  <c r="K39" i="16" s="1"/>
  <c r="D39" i="16"/>
  <c r="J39" i="16" s="1"/>
  <c r="C39" i="16"/>
  <c r="A39" i="16"/>
  <c r="B39" i="16" s="1"/>
  <c r="F38" i="16"/>
  <c r="L38" i="16" s="1"/>
  <c r="E38" i="16"/>
  <c r="K38" i="16" s="1"/>
  <c r="D38" i="16"/>
  <c r="J38" i="16" s="1"/>
  <c r="C38" i="16"/>
  <c r="A38" i="16"/>
  <c r="B38" i="16" s="1"/>
  <c r="F37" i="16"/>
  <c r="L37" i="16" s="1"/>
  <c r="E37" i="16"/>
  <c r="K37" i="16" s="1"/>
  <c r="D37" i="16"/>
  <c r="J37" i="16" s="1"/>
  <c r="C37" i="16"/>
  <c r="A37" i="16"/>
  <c r="B37" i="16" s="1"/>
  <c r="F36" i="16"/>
  <c r="L36" i="16" s="1"/>
  <c r="E36" i="16"/>
  <c r="K36" i="16" s="1"/>
  <c r="D36" i="16"/>
  <c r="J36" i="16" s="1"/>
  <c r="C36" i="16"/>
  <c r="A36" i="16"/>
  <c r="B36" i="16" s="1"/>
  <c r="F35" i="16"/>
  <c r="L35" i="16" s="1"/>
  <c r="E35" i="16"/>
  <c r="K35" i="16" s="1"/>
  <c r="D35" i="16"/>
  <c r="J35" i="16" s="1"/>
  <c r="C35" i="16"/>
  <c r="A35" i="16"/>
  <c r="B35" i="16" s="1"/>
  <c r="F34" i="16"/>
  <c r="L34" i="16" s="1"/>
  <c r="E34" i="16"/>
  <c r="K34" i="16" s="1"/>
  <c r="D34" i="16"/>
  <c r="J34" i="16" s="1"/>
  <c r="C34" i="16"/>
  <c r="A34" i="16"/>
  <c r="B34" i="16" s="1"/>
  <c r="F33" i="16"/>
  <c r="L33" i="16" s="1"/>
  <c r="E33" i="16"/>
  <c r="K33" i="16" s="1"/>
  <c r="D33" i="16"/>
  <c r="J33" i="16" s="1"/>
  <c r="C33" i="16"/>
  <c r="A33" i="16"/>
  <c r="B33" i="16" s="1"/>
  <c r="F32" i="16"/>
  <c r="L32" i="16" s="1"/>
  <c r="E32" i="16"/>
  <c r="K32" i="16" s="1"/>
  <c r="D32" i="16"/>
  <c r="J32" i="16" s="1"/>
  <c r="C32" i="16"/>
  <c r="A32" i="16"/>
  <c r="B32" i="16" s="1"/>
  <c r="F31" i="16"/>
  <c r="L31" i="16" s="1"/>
  <c r="E31" i="16"/>
  <c r="K31" i="16" s="1"/>
  <c r="D31" i="16"/>
  <c r="J31" i="16" s="1"/>
  <c r="C31" i="16"/>
  <c r="A31" i="16"/>
  <c r="B31" i="16" s="1"/>
  <c r="F30" i="16"/>
  <c r="L30" i="16" s="1"/>
  <c r="E30" i="16"/>
  <c r="K30" i="16" s="1"/>
  <c r="D30" i="16"/>
  <c r="J30" i="16" s="1"/>
  <c r="C30" i="16"/>
  <c r="A30" i="16"/>
  <c r="B30" i="16" s="1"/>
  <c r="F29" i="16"/>
  <c r="L29" i="16" s="1"/>
  <c r="E29" i="16"/>
  <c r="K29" i="16" s="1"/>
  <c r="D29" i="16"/>
  <c r="J29" i="16" s="1"/>
  <c r="C29" i="16"/>
  <c r="A29" i="16"/>
  <c r="B29" i="16" s="1"/>
  <c r="F28" i="16"/>
  <c r="L28" i="16" s="1"/>
  <c r="E28" i="16"/>
  <c r="K28" i="16" s="1"/>
  <c r="D28" i="16"/>
  <c r="J28" i="16" s="1"/>
  <c r="C28" i="16"/>
  <c r="A28" i="16"/>
  <c r="B28" i="16" s="1"/>
  <c r="F27" i="16"/>
  <c r="L27" i="16" s="1"/>
  <c r="E27" i="16"/>
  <c r="K27" i="16" s="1"/>
  <c r="D27" i="16"/>
  <c r="J27" i="16" s="1"/>
  <c r="C27" i="16"/>
  <c r="A27" i="16"/>
  <c r="B27" i="16" s="1"/>
  <c r="F26" i="16"/>
  <c r="L26" i="16" s="1"/>
  <c r="E26" i="16"/>
  <c r="K26" i="16" s="1"/>
  <c r="D26" i="16"/>
  <c r="J26" i="16" s="1"/>
  <c r="C26" i="16"/>
  <c r="A26" i="16"/>
  <c r="B26" i="16" s="1"/>
  <c r="F25" i="16"/>
  <c r="L25" i="16" s="1"/>
  <c r="E25" i="16"/>
  <c r="K25" i="16" s="1"/>
  <c r="D25" i="16"/>
  <c r="J25" i="16" s="1"/>
  <c r="C25" i="16"/>
  <c r="A25" i="16"/>
  <c r="B25" i="16" s="1"/>
  <c r="F24" i="16"/>
  <c r="L24" i="16" s="1"/>
  <c r="E24" i="16"/>
  <c r="K24" i="16" s="1"/>
  <c r="D24" i="16"/>
  <c r="J24" i="16" s="1"/>
  <c r="C24" i="16"/>
  <c r="A24" i="16"/>
  <c r="B24" i="16" s="1"/>
  <c r="F23" i="16"/>
  <c r="L23" i="16" s="1"/>
  <c r="E23" i="16"/>
  <c r="K23" i="16" s="1"/>
  <c r="D23" i="16"/>
  <c r="J23" i="16" s="1"/>
  <c r="C23" i="16"/>
  <c r="A23" i="16"/>
  <c r="B23" i="16" s="1"/>
  <c r="F22" i="16"/>
  <c r="L22" i="16" s="1"/>
  <c r="E22" i="16"/>
  <c r="K22" i="16" s="1"/>
  <c r="D22" i="16"/>
  <c r="J22" i="16" s="1"/>
  <c r="C22" i="16"/>
  <c r="A22" i="16"/>
  <c r="B22" i="16" s="1"/>
  <c r="F21" i="16"/>
  <c r="L21" i="16" s="1"/>
  <c r="E21" i="16"/>
  <c r="K21" i="16" s="1"/>
  <c r="D21" i="16"/>
  <c r="J21" i="16" s="1"/>
  <c r="C21" i="16"/>
  <c r="A21" i="16"/>
  <c r="B21" i="16" s="1"/>
  <c r="F20" i="16"/>
  <c r="L20" i="16" s="1"/>
  <c r="E20" i="16"/>
  <c r="K20" i="16" s="1"/>
  <c r="D20" i="16"/>
  <c r="J20" i="16" s="1"/>
  <c r="C20" i="16"/>
  <c r="A20" i="16"/>
  <c r="B20" i="16" s="1"/>
  <c r="F19" i="16"/>
  <c r="L19" i="16" s="1"/>
  <c r="E19" i="16"/>
  <c r="K19" i="16" s="1"/>
  <c r="D19" i="16"/>
  <c r="J19" i="16" s="1"/>
  <c r="C19" i="16"/>
  <c r="A19" i="16"/>
  <c r="B19" i="16" s="1"/>
  <c r="F18" i="16"/>
  <c r="L18" i="16" s="1"/>
  <c r="E18" i="16"/>
  <c r="K18" i="16" s="1"/>
  <c r="D18" i="16"/>
  <c r="J18" i="16" s="1"/>
  <c r="C18" i="16"/>
  <c r="A18" i="16"/>
  <c r="B18" i="16" s="1"/>
  <c r="F17" i="16"/>
  <c r="L17" i="16" s="1"/>
  <c r="E17" i="16"/>
  <c r="K17" i="16" s="1"/>
  <c r="D17" i="16"/>
  <c r="J17" i="16" s="1"/>
  <c r="C17" i="16"/>
  <c r="A17" i="16"/>
  <c r="B17" i="16" s="1"/>
  <c r="F16" i="16"/>
  <c r="L16" i="16" s="1"/>
  <c r="E16" i="16"/>
  <c r="K16" i="16" s="1"/>
  <c r="D16" i="16"/>
  <c r="J16" i="16" s="1"/>
  <c r="C16" i="16"/>
  <c r="A16" i="16"/>
  <c r="B16" i="16" s="1"/>
  <c r="F15" i="16"/>
  <c r="L15" i="16" s="1"/>
  <c r="E15" i="16"/>
  <c r="K15" i="16" s="1"/>
  <c r="D15" i="16"/>
  <c r="J15" i="16" s="1"/>
  <c r="C15" i="16"/>
  <c r="A15" i="16"/>
  <c r="B15" i="16" s="1"/>
  <c r="F14" i="16"/>
  <c r="L14" i="16" s="1"/>
  <c r="E14" i="16"/>
  <c r="K14" i="16" s="1"/>
  <c r="D14" i="16"/>
  <c r="J14" i="16" s="1"/>
  <c r="C14" i="16"/>
  <c r="A14" i="16"/>
  <c r="B14" i="16" s="1"/>
  <c r="F13" i="16"/>
  <c r="L13" i="16" s="1"/>
  <c r="E13" i="16"/>
  <c r="K13" i="16" s="1"/>
  <c r="D13" i="16"/>
  <c r="J13" i="16" s="1"/>
  <c r="C13" i="16"/>
  <c r="A13" i="16"/>
  <c r="B13" i="16" s="1"/>
  <c r="F12" i="16"/>
  <c r="L12" i="16" s="1"/>
  <c r="E12" i="16"/>
  <c r="K12" i="16" s="1"/>
  <c r="D12" i="16"/>
  <c r="J12" i="16" s="1"/>
  <c r="C12" i="16"/>
  <c r="A12" i="16"/>
  <c r="B12" i="16" s="1"/>
  <c r="F11" i="16"/>
  <c r="L11" i="16" s="1"/>
  <c r="E11" i="16"/>
  <c r="K11" i="16" s="1"/>
  <c r="D11" i="16"/>
  <c r="J11" i="16" s="1"/>
  <c r="C11" i="16"/>
  <c r="A11" i="16"/>
  <c r="B11" i="16" s="1"/>
  <c r="F10" i="16"/>
  <c r="L10" i="16" s="1"/>
  <c r="E10" i="16"/>
  <c r="K10" i="16" s="1"/>
  <c r="D10" i="16"/>
  <c r="J10" i="16" s="1"/>
  <c r="C10" i="16"/>
  <c r="A10" i="16"/>
  <c r="B10" i="16" s="1"/>
  <c r="F9" i="16"/>
  <c r="L9" i="16" s="1"/>
  <c r="E9" i="16"/>
  <c r="K9" i="16" s="1"/>
  <c r="D9" i="16"/>
  <c r="J9" i="16" s="1"/>
  <c r="C9" i="16"/>
  <c r="A9" i="16"/>
  <c r="B9" i="16" s="1"/>
  <c r="F8" i="16"/>
  <c r="L8" i="16" s="1"/>
  <c r="E8" i="16"/>
  <c r="K8" i="16" s="1"/>
  <c r="D8" i="16"/>
  <c r="J8" i="16" s="1"/>
  <c r="C8" i="16"/>
  <c r="A8" i="16"/>
  <c r="B8" i="16" s="1"/>
  <c r="F7" i="16"/>
  <c r="L7" i="16" s="1"/>
  <c r="E7" i="16"/>
  <c r="K7" i="16" s="1"/>
  <c r="D7" i="16"/>
  <c r="J7" i="16" s="1"/>
  <c r="C7" i="16"/>
  <c r="A7" i="16"/>
  <c r="B7" i="16" s="1"/>
  <c r="F6" i="16"/>
  <c r="L6" i="16" s="1"/>
  <c r="E6" i="16"/>
  <c r="K6" i="16" s="1"/>
  <c r="D6" i="16"/>
  <c r="J6" i="16" s="1"/>
  <c r="C6" i="16"/>
  <c r="A6" i="16"/>
  <c r="B6" i="16" s="1"/>
  <c r="F5" i="16"/>
  <c r="L5" i="16" s="1"/>
  <c r="E5" i="16"/>
  <c r="K5" i="16" s="1"/>
  <c r="D5" i="16"/>
  <c r="J5" i="16" s="1"/>
  <c r="C5" i="16"/>
  <c r="A5" i="16"/>
  <c r="B5" i="16" s="1"/>
  <c r="F4" i="16"/>
  <c r="L4" i="16" s="1"/>
  <c r="E4" i="16"/>
  <c r="K4" i="16" s="1"/>
  <c r="D4" i="16"/>
  <c r="J4" i="16" s="1"/>
  <c r="C4" i="16"/>
  <c r="A4" i="16"/>
  <c r="B4" i="16" s="1"/>
  <c r="F3" i="16"/>
  <c r="L3" i="16" s="1"/>
  <c r="E3" i="16"/>
  <c r="K3" i="16" s="1"/>
  <c r="D3" i="16"/>
  <c r="J3" i="16" s="1"/>
  <c r="C3" i="16"/>
  <c r="A3" i="16"/>
  <c r="B3" i="16" s="1"/>
  <c r="F2" i="16"/>
  <c r="L2" i="16" s="1"/>
  <c r="E2" i="16"/>
  <c r="K2" i="16" s="1"/>
  <c r="D2" i="16"/>
  <c r="J2" i="16" s="1"/>
  <c r="C2" i="16"/>
  <c r="A2" i="16"/>
  <c r="B2" i="16" s="1"/>
  <c r="F1" i="16"/>
  <c r="L1" i="16" s="1"/>
  <c r="E1" i="16"/>
  <c r="K1" i="16" s="1"/>
  <c r="D1" i="16"/>
  <c r="J1" i="16" s="1"/>
  <c r="C1" i="16"/>
  <c r="A1" i="16"/>
  <c r="D7" i="12" l="1"/>
  <c r="C9" i="12"/>
  <c r="C5" i="12"/>
  <c r="D6" i="12"/>
  <c r="C8" i="12"/>
  <c r="D4" i="12"/>
  <c r="C6" i="12"/>
  <c r="D5" i="12"/>
  <c r="C7" i="12"/>
  <c r="C4" i="12"/>
  <c r="D9" i="12"/>
  <c r="C9" i="32"/>
  <c r="I9" i="32" s="1"/>
  <c r="V3" i="21"/>
  <c r="V7" i="21"/>
  <c r="V13" i="21"/>
  <c r="V16" i="21"/>
  <c r="V19" i="21"/>
  <c r="V21" i="21"/>
  <c r="V26" i="21"/>
  <c r="V29" i="21"/>
  <c r="V35" i="21"/>
  <c r="V38" i="21"/>
  <c r="V41" i="21"/>
  <c r="V46" i="21"/>
  <c r="V49" i="21"/>
  <c r="V52" i="21"/>
  <c r="V55" i="21"/>
  <c r="V57" i="21"/>
  <c r="X57" i="21" s="1"/>
  <c r="V60" i="21"/>
  <c r="X60" i="21" s="1"/>
  <c r="H9" i="12"/>
  <c r="H5" i="12"/>
  <c r="H8" i="12"/>
  <c r="H4" i="12"/>
  <c r="I9" i="12"/>
  <c r="H7" i="12"/>
  <c r="H6" i="12"/>
  <c r="V4" i="21"/>
  <c r="I4" i="12" s="1"/>
  <c r="V8" i="21"/>
  <c r="V10" i="21"/>
  <c r="V14" i="21"/>
  <c r="I5" i="12" s="1"/>
  <c r="V17" i="21"/>
  <c r="V22" i="21"/>
  <c r="V25" i="21"/>
  <c r="V27" i="21"/>
  <c r="I6" i="12" s="1"/>
  <c r="V30" i="21"/>
  <c r="V33" i="21"/>
  <c r="V39" i="21"/>
  <c r="I7" i="12" s="1"/>
  <c r="V44" i="21"/>
  <c r="V47" i="21"/>
  <c r="V56" i="21"/>
  <c r="V5" i="21"/>
  <c r="V11" i="21"/>
  <c r="V20" i="21"/>
  <c r="V23" i="21"/>
  <c r="V31" i="21"/>
  <c r="V36" i="21"/>
  <c r="V40" i="21"/>
  <c r="V42" i="21"/>
  <c r="V48" i="21"/>
  <c r="V50" i="21"/>
  <c r="V53" i="21"/>
  <c r="V58" i="21"/>
  <c r="X58" i="21" s="1"/>
  <c r="V61" i="21"/>
  <c r="X61" i="21" s="1"/>
  <c r="V2" i="21"/>
  <c r="V6" i="21"/>
  <c r="V9" i="21"/>
  <c r="V12" i="21"/>
  <c r="V15" i="21"/>
  <c r="V18" i="21"/>
  <c r="V24" i="21"/>
  <c r="V28" i="21"/>
  <c r="V32" i="21"/>
  <c r="V34" i="21"/>
  <c r="V37" i="21"/>
  <c r="V43" i="21"/>
  <c r="V45" i="21"/>
  <c r="V51" i="21"/>
  <c r="V54" i="21"/>
  <c r="I8" i="12" s="1"/>
  <c r="V59" i="21"/>
  <c r="X59" i="21" s="1"/>
  <c r="N36" i="16"/>
  <c r="N3" i="16"/>
  <c r="N11" i="16"/>
  <c r="N19" i="16"/>
  <c r="N27" i="16"/>
  <c r="N35" i="16"/>
  <c r="N43" i="16"/>
  <c r="O43" i="16" s="1"/>
  <c r="N51" i="16"/>
  <c r="N59" i="16"/>
  <c r="N44" i="16"/>
  <c r="N5" i="16"/>
  <c r="N13" i="16"/>
  <c r="N21" i="16"/>
  <c r="N29" i="16"/>
  <c r="N37" i="16"/>
  <c r="O37" i="16" s="1"/>
  <c r="N45" i="16"/>
  <c r="N53" i="16"/>
  <c r="N61" i="16"/>
  <c r="N52" i="16"/>
  <c r="N6" i="16"/>
  <c r="N14" i="16"/>
  <c r="N22" i="16"/>
  <c r="N30" i="16"/>
  <c r="O30" i="16" s="1"/>
  <c r="N38" i="16"/>
  <c r="N46" i="16"/>
  <c r="N54" i="16"/>
  <c r="N20" i="16"/>
  <c r="N7" i="16"/>
  <c r="N15" i="16"/>
  <c r="N23" i="16"/>
  <c r="N31" i="16"/>
  <c r="O31" i="16" s="1"/>
  <c r="N39" i="16"/>
  <c r="N47" i="16"/>
  <c r="N55" i="16"/>
  <c r="N12" i="16"/>
  <c r="N8" i="16"/>
  <c r="N16" i="16"/>
  <c r="N24" i="16"/>
  <c r="N32" i="16"/>
  <c r="O32" i="16" s="1"/>
  <c r="N40" i="16"/>
  <c r="N48" i="16"/>
  <c r="N56" i="16"/>
  <c r="N28" i="16"/>
  <c r="N9" i="16"/>
  <c r="N17" i="16"/>
  <c r="N25" i="16"/>
  <c r="N33" i="16"/>
  <c r="O33" i="16" s="1"/>
  <c r="N41" i="16"/>
  <c r="N49" i="16"/>
  <c r="N57" i="16"/>
  <c r="D8" i="12" s="1"/>
  <c r="N4" i="16"/>
  <c r="N60" i="16"/>
  <c r="N2" i="16"/>
  <c r="N10" i="16"/>
  <c r="N18" i="16"/>
  <c r="O18" i="16" s="1"/>
  <c r="N26" i="16"/>
  <c r="N34" i="16"/>
  <c r="N42" i="16"/>
  <c r="N50" i="16"/>
  <c r="N58" i="16"/>
  <c r="C8" i="18"/>
  <c r="D9" i="18" s="1"/>
  <c r="C4" i="18"/>
  <c r="C7" i="18"/>
  <c r="C6" i="18"/>
  <c r="C5" i="18"/>
  <c r="G53" i="19"/>
  <c r="G59" i="19"/>
  <c r="G57" i="19"/>
  <c r="G55" i="19"/>
  <c r="M67" i="19" s="1"/>
  <c r="G58" i="19"/>
  <c r="G56" i="19"/>
  <c r="G54" i="19"/>
  <c r="O53" i="19"/>
  <c r="O57" i="19"/>
  <c r="O55" i="19"/>
  <c r="M75" i="19" s="1"/>
  <c r="O59" i="19"/>
  <c r="O58" i="19"/>
  <c r="O56" i="19"/>
  <c r="O54" i="19"/>
  <c r="H59" i="19"/>
  <c r="H58" i="19"/>
  <c r="H57" i="19"/>
  <c r="H56" i="19"/>
  <c r="H55" i="19"/>
  <c r="M68" i="19" s="1"/>
  <c r="H54" i="19"/>
  <c r="P59" i="19"/>
  <c r="P58" i="19"/>
  <c r="P57" i="19"/>
  <c r="P56" i="19"/>
  <c r="P55" i="19"/>
  <c r="M76" i="19" s="1"/>
  <c r="P54" i="19"/>
  <c r="I59" i="19"/>
  <c r="I58" i="19"/>
  <c r="I57" i="19"/>
  <c r="I56" i="19"/>
  <c r="I55" i="19"/>
  <c r="M69" i="19" s="1"/>
  <c r="I54" i="19"/>
  <c r="M59" i="19"/>
  <c r="M58" i="19"/>
  <c r="M57" i="19"/>
  <c r="M56" i="19"/>
  <c r="M55" i="19"/>
  <c r="M73" i="19" s="1"/>
  <c r="M54" i="19"/>
  <c r="K53" i="19"/>
  <c r="K59" i="19"/>
  <c r="K58" i="19"/>
  <c r="K56" i="19"/>
  <c r="K54" i="19"/>
  <c r="K57" i="19"/>
  <c r="K55" i="19"/>
  <c r="M71" i="19" s="1"/>
  <c r="Q53" i="19"/>
  <c r="Q59" i="19"/>
  <c r="Q58" i="19"/>
  <c r="Q57" i="19"/>
  <c r="Q56" i="19"/>
  <c r="Q55" i="19"/>
  <c r="M77" i="19" s="1"/>
  <c r="Q54" i="19"/>
  <c r="L59" i="19"/>
  <c r="L58" i="19"/>
  <c r="L57" i="19"/>
  <c r="L56" i="19"/>
  <c r="L55" i="19"/>
  <c r="M72" i="19" s="1"/>
  <c r="L54" i="19"/>
  <c r="F59" i="19"/>
  <c r="F57" i="19"/>
  <c r="F55" i="19"/>
  <c r="M66" i="19" s="1"/>
  <c r="F58" i="19"/>
  <c r="F56" i="19"/>
  <c r="F54" i="19"/>
  <c r="J58" i="19"/>
  <c r="J56" i="19"/>
  <c r="J54" i="19"/>
  <c r="J59" i="19"/>
  <c r="J57" i="19"/>
  <c r="J55" i="19"/>
  <c r="M70" i="19" s="1"/>
  <c r="N59" i="19"/>
  <c r="N57" i="19"/>
  <c r="N55" i="19"/>
  <c r="M74" i="19" s="1"/>
  <c r="N58" i="19"/>
  <c r="N56" i="19"/>
  <c r="N54" i="19"/>
  <c r="H53" i="19"/>
  <c r="L53" i="19"/>
  <c r="P53" i="19"/>
  <c r="I53" i="19"/>
  <c r="M53" i="19"/>
  <c r="J53" i="19"/>
  <c r="N53" i="19"/>
  <c r="F53" i="19"/>
  <c r="I28" i="19"/>
  <c r="I27" i="19"/>
  <c r="I26" i="19"/>
  <c r="I25" i="19"/>
  <c r="M28" i="19"/>
  <c r="M27" i="19"/>
  <c r="M26" i="19"/>
  <c r="M25" i="19"/>
  <c r="F27" i="19"/>
  <c r="F25" i="19"/>
  <c r="F28" i="19"/>
  <c r="F26" i="19"/>
  <c r="J28" i="19"/>
  <c r="J26" i="19"/>
  <c r="J27" i="19"/>
  <c r="J25" i="19"/>
  <c r="N27" i="19"/>
  <c r="N25" i="19"/>
  <c r="N28" i="19"/>
  <c r="N26" i="19"/>
  <c r="Q28" i="19"/>
  <c r="Q27" i="19"/>
  <c r="Q26" i="19"/>
  <c r="Q25" i="19"/>
  <c r="G27" i="19"/>
  <c r="G25" i="19"/>
  <c r="G28" i="19"/>
  <c r="G26" i="19"/>
  <c r="K28" i="19"/>
  <c r="K26" i="19"/>
  <c r="K27" i="19"/>
  <c r="K25" i="19"/>
  <c r="O27" i="19"/>
  <c r="O25" i="19"/>
  <c r="O28" i="19"/>
  <c r="O26" i="19"/>
  <c r="H28" i="19"/>
  <c r="H27" i="19"/>
  <c r="H26" i="19"/>
  <c r="H25" i="19"/>
  <c r="L28" i="19"/>
  <c r="L27" i="19"/>
  <c r="L26" i="19"/>
  <c r="L25" i="19"/>
  <c r="P28" i="19"/>
  <c r="P27" i="19"/>
  <c r="P26" i="19"/>
  <c r="P25" i="19"/>
  <c r="AG4" i="18"/>
  <c r="AG8" i="18"/>
  <c r="AH9" i="18" s="1"/>
  <c r="AG5" i="18"/>
  <c r="AG6" i="18"/>
  <c r="AG7" i="18"/>
  <c r="H72" i="28"/>
  <c r="S71" i="28"/>
  <c r="R92" i="28"/>
  <c r="R82" i="28"/>
  <c r="R71" i="28"/>
  <c r="W33" i="21"/>
  <c r="Q68" i="22"/>
  <c r="F62" i="17"/>
  <c r="W17" i="21"/>
  <c r="W16" i="21"/>
  <c r="W32" i="21"/>
  <c r="W4" i="21"/>
  <c r="W5" i="21"/>
  <c r="W20" i="21"/>
  <c r="W21" i="21"/>
  <c r="W36" i="21"/>
  <c r="W37" i="21"/>
  <c r="W8" i="21"/>
  <c r="W9" i="21"/>
  <c r="W24" i="21"/>
  <c r="W25" i="21"/>
  <c r="W40" i="21"/>
  <c r="W41" i="21"/>
  <c r="W12" i="21"/>
  <c r="W13" i="21"/>
  <c r="W28" i="21"/>
  <c r="W29" i="21"/>
  <c r="W44" i="21"/>
  <c r="W45" i="21"/>
  <c r="W48" i="21"/>
  <c r="W49" i="21"/>
  <c r="W52" i="21"/>
  <c r="W53" i="21"/>
  <c r="W56" i="21"/>
  <c r="W57" i="21"/>
  <c r="W60" i="21"/>
  <c r="W61" i="21"/>
  <c r="W3" i="21"/>
  <c r="W7" i="21"/>
  <c r="W11" i="21"/>
  <c r="W15" i="21"/>
  <c r="W19" i="21"/>
  <c r="W23" i="21"/>
  <c r="W31" i="21"/>
  <c r="W35" i="21"/>
  <c r="W39" i="21"/>
  <c r="W43" i="21"/>
  <c r="W47" i="21"/>
  <c r="W51" i="21"/>
  <c r="W55" i="21"/>
  <c r="W59" i="21"/>
  <c r="W6" i="21"/>
  <c r="W10" i="21"/>
  <c r="W14" i="21"/>
  <c r="W18" i="21"/>
  <c r="W22" i="21"/>
  <c r="W26" i="21"/>
  <c r="W30" i="21"/>
  <c r="W34" i="21"/>
  <c r="W38" i="21"/>
  <c r="W42" i="21"/>
  <c r="W46" i="21"/>
  <c r="W50" i="21"/>
  <c r="W54" i="21"/>
  <c r="W58" i="21"/>
  <c r="W2" i="21"/>
  <c r="W27" i="21"/>
  <c r="Q60" i="19"/>
  <c r="Q61" i="19"/>
  <c r="Q29" i="19"/>
  <c r="Q30" i="19"/>
  <c r="Q24" i="19"/>
  <c r="L77" i="19" s="1"/>
  <c r="Q23" i="19"/>
  <c r="Q22" i="19"/>
  <c r="G23" i="19"/>
  <c r="K23" i="19"/>
  <c r="O23" i="19"/>
  <c r="G61" i="19"/>
  <c r="K61" i="19"/>
  <c r="O61" i="19"/>
  <c r="I60" i="19"/>
  <c r="M60" i="19"/>
  <c r="F60" i="19"/>
  <c r="J60" i="19"/>
  <c r="N60" i="19"/>
  <c r="H61" i="19"/>
  <c r="P61" i="19"/>
  <c r="I61" i="19"/>
  <c r="M61" i="19"/>
  <c r="G60" i="19"/>
  <c r="K60" i="19"/>
  <c r="O60" i="19"/>
  <c r="H60" i="19"/>
  <c r="L60" i="19"/>
  <c r="P60" i="19"/>
  <c r="L61" i="19"/>
  <c r="F61" i="19"/>
  <c r="J61" i="19"/>
  <c r="N61" i="19"/>
  <c r="I23" i="19"/>
  <c r="M23" i="19"/>
  <c r="F22" i="19"/>
  <c r="J22" i="19"/>
  <c r="N22" i="19"/>
  <c r="G24" i="19"/>
  <c r="L67" i="19" s="1"/>
  <c r="K24" i="19"/>
  <c r="L71" i="19" s="1"/>
  <c r="O24" i="19"/>
  <c r="L75" i="19" s="1"/>
  <c r="H24" i="19"/>
  <c r="L68" i="19" s="1"/>
  <c r="L24" i="19"/>
  <c r="L72" i="19" s="1"/>
  <c r="P24" i="19"/>
  <c r="L76" i="19" s="1"/>
  <c r="I22" i="19"/>
  <c r="M22" i="19"/>
  <c r="G22" i="19"/>
  <c r="K22" i="19"/>
  <c r="O22" i="19"/>
  <c r="H23" i="19"/>
  <c r="L23" i="19"/>
  <c r="P23" i="19"/>
  <c r="I24" i="19"/>
  <c r="L69" i="19" s="1"/>
  <c r="M24" i="19"/>
  <c r="L73" i="19" s="1"/>
  <c r="H22" i="19"/>
  <c r="L22" i="19"/>
  <c r="P22" i="19"/>
  <c r="F24" i="19"/>
  <c r="L66" i="19" s="1"/>
  <c r="J24" i="19"/>
  <c r="L70" i="19" s="1"/>
  <c r="N24" i="19"/>
  <c r="L74" i="19" s="1"/>
  <c r="F23" i="19"/>
  <c r="J23" i="19"/>
  <c r="N23" i="19"/>
  <c r="H30" i="19"/>
  <c r="L30" i="19"/>
  <c r="P30" i="19"/>
  <c r="I30" i="19"/>
  <c r="M30" i="19"/>
  <c r="J29" i="19"/>
  <c r="N29" i="19"/>
  <c r="G29" i="19"/>
  <c r="K29" i="19"/>
  <c r="O29" i="19"/>
  <c r="J30" i="19"/>
  <c r="N30" i="19"/>
  <c r="G30" i="19"/>
  <c r="K30" i="19"/>
  <c r="O30" i="19"/>
  <c r="H29" i="19"/>
  <c r="L29" i="19"/>
  <c r="P29" i="19"/>
  <c r="I29" i="19"/>
  <c r="M29" i="19"/>
  <c r="F30" i="19"/>
  <c r="F29" i="19"/>
  <c r="O3" i="16"/>
  <c r="O4" i="16"/>
  <c r="O5" i="16"/>
  <c r="O6" i="16"/>
  <c r="O7" i="16"/>
  <c r="O8" i="16"/>
  <c r="O9" i="16"/>
  <c r="O10" i="16"/>
  <c r="O11" i="16"/>
  <c r="O12" i="16"/>
  <c r="O13" i="16"/>
  <c r="O15" i="16"/>
  <c r="O16" i="16"/>
  <c r="O17" i="16"/>
  <c r="O19" i="16"/>
  <c r="O20" i="16"/>
  <c r="O21" i="16"/>
  <c r="O22" i="16"/>
  <c r="O23" i="16"/>
  <c r="O24" i="16"/>
  <c r="O25" i="16"/>
  <c r="O27" i="16"/>
  <c r="O28" i="16"/>
  <c r="O29" i="16"/>
  <c r="O34" i="16"/>
  <c r="O35" i="16"/>
  <c r="O36" i="16"/>
  <c r="O39" i="16"/>
  <c r="O40" i="16"/>
  <c r="O41" i="16"/>
  <c r="O42" i="16"/>
  <c r="O44" i="16"/>
  <c r="O45" i="16"/>
  <c r="O46" i="16"/>
  <c r="O47" i="16"/>
  <c r="O48" i="16"/>
  <c r="O49" i="16"/>
  <c r="O51" i="16"/>
  <c r="O52" i="16"/>
  <c r="O53" i="16"/>
  <c r="O54" i="16"/>
  <c r="O55" i="16"/>
  <c r="O56" i="16"/>
  <c r="O57" i="16"/>
  <c r="O58" i="16"/>
  <c r="O59" i="16"/>
  <c r="O60" i="16"/>
  <c r="O61" i="16"/>
  <c r="E9" i="12" l="1"/>
  <c r="J9" i="12"/>
  <c r="W74" i="21"/>
  <c r="D6" i="18"/>
  <c r="D5" i="18"/>
  <c r="C8" i="32"/>
  <c r="D8" i="18"/>
  <c r="D7" i="18"/>
  <c r="AG10" i="18"/>
  <c r="H15" i="32"/>
  <c r="G76" i="19"/>
  <c r="G75" i="19"/>
  <c r="G70" i="19"/>
  <c r="H75" i="19"/>
  <c r="H70" i="19"/>
  <c r="G72" i="19"/>
  <c r="G71" i="19"/>
  <c r="H76" i="19"/>
  <c r="H71" i="19"/>
  <c r="H66" i="19"/>
  <c r="G73" i="19"/>
  <c r="G68" i="19"/>
  <c r="G67" i="19"/>
  <c r="H72" i="19"/>
  <c r="H67" i="19"/>
  <c r="H73" i="19"/>
  <c r="G77" i="19"/>
  <c r="G69" i="19"/>
  <c r="G74" i="19"/>
  <c r="H68" i="19"/>
  <c r="H74" i="19"/>
  <c r="H69" i="19"/>
  <c r="H77" i="19"/>
  <c r="G66" i="19"/>
  <c r="AH5" i="18"/>
  <c r="AH6" i="18"/>
  <c r="AB8" i="18"/>
  <c r="AC9" i="18" s="1"/>
  <c r="M9" i="29"/>
  <c r="N9" i="29" s="1"/>
  <c r="N16" i="29" s="1"/>
  <c r="N17" i="29" s="1"/>
  <c r="AH7" i="18"/>
  <c r="AB5" i="18"/>
  <c r="M6" i="29"/>
  <c r="N6" i="29" s="1"/>
  <c r="AB4" i="18"/>
  <c r="M5" i="29"/>
  <c r="N5" i="29" s="1"/>
  <c r="AB6" i="18"/>
  <c r="M7" i="29"/>
  <c r="N7" i="29" s="1"/>
  <c r="AH8" i="18"/>
  <c r="AB7" i="18"/>
  <c r="M8" i="29"/>
  <c r="N8" i="29" s="1"/>
  <c r="H73" i="28"/>
  <c r="S72" i="28"/>
  <c r="R93" i="28"/>
  <c r="R72" i="28"/>
  <c r="R83" i="28"/>
  <c r="Q69" i="22"/>
  <c r="F63" i="17"/>
  <c r="L62" i="17"/>
  <c r="J12" i="12"/>
  <c r="O50" i="16"/>
  <c r="O38" i="16"/>
  <c r="O26" i="16"/>
  <c r="O14" i="16"/>
  <c r="O2" i="16"/>
  <c r="E5" i="27" l="1"/>
  <c r="E5" i="28"/>
  <c r="E8" i="27"/>
  <c r="E8" i="28"/>
  <c r="D8" i="27"/>
  <c r="D8" i="28"/>
  <c r="E4" i="27"/>
  <c r="E4" i="28"/>
  <c r="E6" i="27"/>
  <c r="E6" i="28"/>
  <c r="D9" i="27"/>
  <c r="D9" i="28"/>
  <c r="D6" i="27"/>
  <c r="D6" i="28"/>
  <c r="D10" i="27"/>
  <c r="D10" i="28"/>
  <c r="D5" i="27"/>
  <c r="D5" i="28"/>
  <c r="D11" i="27"/>
  <c r="D11" i="28"/>
  <c r="E10" i="27"/>
  <c r="E10" i="28"/>
  <c r="D4" i="27"/>
  <c r="D4" i="28"/>
  <c r="D13" i="27"/>
  <c r="D13" i="28"/>
  <c r="E7" i="27"/>
  <c r="E7" i="28"/>
  <c r="D12" i="27"/>
  <c r="D12" i="28"/>
  <c r="E11" i="27"/>
  <c r="E11" i="28"/>
  <c r="E9" i="27"/>
  <c r="E9" i="28"/>
  <c r="E12" i="27"/>
  <c r="E12" i="28"/>
  <c r="D3" i="27"/>
  <c r="D3" i="28"/>
  <c r="E13" i="27"/>
  <c r="E13" i="28"/>
  <c r="E3" i="27"/>
  <c r="E3" i="28"/>
  <c r="D7" i="27"/>
  <c r="D7" i="28"/>
  <c r="E2" i="27"/>
  <c r="Q2" i="27" s="1"/>
  <c r="E2" i="28"/>
  <c r="D2" i="27"/>
  <c r="D14" i="27" s="1"/>
  <c r="D2" i="28"/>
  <c r="D5" i="22"/>
  <c r="D11" i="22"/>
  <c r="E12" i="22"/>
  <c r="D13" i="22"/>
  <c r="D7" i="22"/>
  <c r="D12" i="22"/>
  <c r="E3" i="22"/>
  <c r="E5" i="22"/>
  <c r="E8" i="22"/>
  <c r="D8" i="22"/>
  <c r="E10" i="22"/>
  <c r="D3" i="22"/>
  <c r="E6" i="22"/>
  <c r="E9" i="22"/>
  <c r="E4" i="22"/>
  <c r="D4" i="22"/>
  <c r="E11" i="22"/>
  <c r="E7" i="22"/>
  <c r="E13" i="22"/>
  <c r="D10" i="22"/>
  <c r="D9" i="22"/>
  <c r="D6" i="22"/>
  <c r="D13" i="17"/>
  <c r="D25" i="17" s="1"/>
  <c r="D37" i="17" s="1"/>
  <c r="E7" i="17"/>
  <c r="E19" i="17" s="1"/>
  <c r="E31" i="17" s="1"/>
  <c r="E43" i="17" s="1"/>
  <c r="E55" i="17" s="1"/>
  <c r="E67" i="17" s="1"/>
  <c r="E79" i="17" s="1"/>
  <c r="E91" i="17" s="1"/>
  <c r="E103" i="17" s="1"/>
  <c r="E115" i="17" s="1"/>
  <c r="E127" i="17" s="1"/>
  <c r="E139" i="17" s="1"/>
  <c r="D12" i="17"/>
  <c r="D24" i="17" s="1"/>
  <c r="D36" i="17" s="1"/>
  <c r="D48" i="17" s="1"/>
  <c r="D60" i="17" s="1"/>
  <c r="D72" i="17" s="1"/>
  <c r="D84" i="17" s="1"/>
  <c r="D96" i="17" s="1"/>
  <c r="D108" i="17" s="1"/>
  <c r="D120" i="17" s="1"/>
  <c r="D132" i="17" s="1"/>
  <c r="D144" i="17" s="1"/>
  <c r="E13" i="17"/>
  <c r="E25" i="17" s="1"/>
  <c r="E37" i="17" s="1"/>
  <c r="E49" i="17" s="1"/>
  <c r="E61" i="17" s="1"/>
  <c r="E73" i="17" s="1"/>
  <c r="E85" i="17" s="1"/>
  <c r="E97" i="17" s="1"/>
  <c r="E109" i="17" s="1"/>
  <c r="E121" i="17" s="1"/>
  <c r="E133" i="17" s="1"/>
  <c r="E145" i="17" s="1"/>
  <c r="E3" i="17"/>
  <c r="E15" i="17" s="1"/>
  <c r="E27" i="17" s="1"/>
  <c r="E39" i="17" s="1"/>
  <c r="E51" i="17" s="1"/>
  <c r="E63" i="17" s="1"/>
  <c r="E75" i="17" s="1"/>
  <c r="E87" i="17" s="1"/>
  <c r="E99" i="17" s="1"/>
  <c r="E111" i="17" s="1"/>
  <c r="E123" i="17" s="1"/>
  <c r="E135" i="17" s="1"/>
  <c r="D7" i="17"/>
  <c r="D19" i="17" s="1"/>
  <c r="D31" i="17" s="1"/>
  <c r="D43" i="17" s="1"/>
  <c r="D55" i="17" s="1"/>
  <c r="D67" i="17" s="1"/>
  <c r="D79" i="17" s="1"/>
  <c r="D91" i="17" s="1"/>
  <c r="D103" i="17" s="1"/>
  <c r="D115" i="17" s="1"/>
  <c r="D127" i="17" s="1"/>
  <c r="D139" i="17" s="1"/>
  <c r="E5" i="17"/>
  <c r="E17" i="17" s="1"/>
  <c r="E29" i="17" s="1"/>
  <c r="E41" i="17" s="1"/>
  <c r="E53" i="17" s="1"/>
  <c r="E65" i="17" s="1"/>
  <c r="E77" i="17" s="1"/>
  <c r="E89" i="17" s="1"/>
  <c r="E101" i="17" s="1"/>
  <c r="E113" i="17" s="1"/>
  <c r="E125" i="17" s="1"/>
  <c r="E137" i="17" s="1"/>
  <c r="E8" i="17"/>
  <c r="E20" i="17" s="1"/>
  <c r="E32" i="17" s="1"/>
  <c r="E44" i="17" s="1"/>
  <c r="E56" i="17" s="1"/>
  <c r="E68" i="17" s="1"/>
  <c r="E80" i="17" s="1"/>
  <c r="E92" i="17" s="1"/>
  <c r="E104" i="17" s="1"/>
  <c r="E116" i="17" s="1"/>
  <c r="E128" i="17" s="1"/>
  <c r="E140" i="17" s="1"/>
  <c r="D8" i="17"/>
  <c r="D20" i="17" s="1"/>
  <c r="D32" i="17" s="1"/>
  <c r="D44" i="17" s="1"/>
  <c r="D56" i="17" s="1"/>
  <c r="D68" i="17" s="1"/>
  <c r="D80" i="17" s="1"/>
  <c r="D92" i="17" s="1"/>
  <c r="D104" i="17" s="1"/>
  <c r="D116" i="17" s="1"/>
  <c r="D128" i="17" s="1"/>
  <c r="D140" i="17" s="1"/>
  <c r="E9" i="17"/>
  <c r="E21" i="17" s="1"/>
  <c r="E33" i="17" s="1"/>
  <c r="E45" i="17" s="1"/>
  <c r="E57" i="17" s="1"/>
  <c r="E69" i="17" s="1"/>
  <c r="E81" i="17" s="1"/>
  <c r="E93" i="17" s="1"/>
  <c r="E105" i="17" s="1"/>
  <c r="E117" i="17" s="1"/>
  <c r="E129" i="17" s="1"/>
  <c r="E141" i="17" s="1"/>
  <c r="E10" i="17"/>
  <c r="E22" i="17" s="1"/>
  <c r="E34" i="17" s="1"/>
  <c r="E46" i="17" s="1"/>
  <c r="E58" i="17" s="1"/>
  <c r="E70" i="17" s="1"/>
  <c r="E82" i="17" s="1"/>
  <c r="E94" i="17" s="1"/>
  <c r="E106" i="17" s="1"/>
  <c r="E118" i="17" s="1"/>
  <c r="E130" i="17" s="1"/>
  <c r="E142" i="17" s="1"/>
  <c r="D3" i="17"/>
  <c r="D15" i="17" s="1"/>
  <c r="D27" i="17" s="1"/>
  <c r="D39" i="17" s="1"/>
  <c r="D51" i="17" s="1"/>
  <c r="D63" i="17" s="1"/>
  <c r="D75" i="17" s="1"/>
  <c r="D87" i="17" s="1"/>
  <c r="D99" i="17" s="1"/>
  <c r="D111" i="17" s="1"/>
  <c r="D123" i="17" s="1"/>
  <c r="D135" i="17" s="1"/>
  <c r="E6" i="17"/>
  <c r="E18" i="17" s="1"/>
  <c r="E30" i="17" s="1"/>
  <c r="E42" i="17" s="1"/>
  <c r="E54" i="17" s="1"/>
  <c r="E66" i="17" s="1"/>
  <c r="E78" i="17" s="1"/>
  <c r="E90" i="17" s="1"/>
  <c r="E102" i="17" s="1"/>
  <c r="E114" i="17" s="1"/>
  <c r="E126" i="17" s="1"/>
  <c r="E138" i="17" s="1"/>
  <c r="E4" i="17"/>
  <c r="E16" i="17" s="1"/>
  <c r="E28" i="17" s="1"/>
  <c r="E40" i="17" s="1"/>
  <c r="E52" i="17" s="1"/>
  <c r="E64" i="17" s="1"/>
  <c r="E76" i="17" s="1"/>
  <c r="E88" i="17" s="1"/>
  <c r="E100" i="17" s="1"/>
  <c r="E112" i="17" s="1"/>
  <c r="E124" i="17" s="1"/>
  <c r="E136" i="17" s="1"/>
  <c r="D4" i="17"/>
  <c r="D16" i="17" s="1"/>
  <c r="D28" i="17" s="1"/>
  <c r="D40" i="17" s="1"/>
  <c r="D52" i="17" s="1"/>
  <c r="D64" i="17" s="1"/>
  <c r="D76" i="17" s="1"/>
  <c r="D88" i="17" s="1"/>
  <c r="D100" i="17" s="1"/>
  <c r="D112" i="17" s="1"/>
  <c r="D124" i="17" s="1"/>
  <c r="D136" i="17" s="1"/>
  <c r="E11" i="17"/>
  <c r="E23" i="17" s="1"/>
  <c r="E35" i="17" s="1"/>
  <c r="E47" i="17" s="1"/>
  <c r="E59" i="17" s="1"/>
  <c r="E71" i="17" s="1"/>
  <c r="E83" i="17" s="1"/>
  <c r="E95" i="17" s="1"/>
  <c r="E107" i="17" s="1"/>
  <c r="E119" i="17" s="1"/>
  <c r="E131" i="17" s="1"/>
  <c r="E143" i="17" s="1"/>
  <c r="D10" i="17"/>
  <c r="D22" i="17" s="1"/>
  <c r="D34" i="17" s="1"/>
  <c r="D46" i="17" s="1"/>
  <c r="D58" i="17" s="1"/>
  <c r="D70" i="17" s="1"/>
  <c r="D82" i="17" s="1"/>
  <c r="D94" i="17" s="1"/>
  <c r="D106" i="17" s="1"/>
  <c r="D118" i="17" s="1"/>
  <c r="D130" i="17" s="1"/>
  <c r="D142" i="17" s="1"/>
  <c r="D9" i="17"/>
  <c r="D21" i="17" s="1"/>
  <c r="D33" i="17" s="1"/>
  <c r="D45" i="17" s="1"/>
  <c r="D57" i="17" s="1"/>
  <c r="D69" i="17" s="1"/>
  <c r="D81" i="17" s="1"/>
  <c r="D93" i="17" s="1"/>
  <c r="D105" i="17" s="1"/>
  <c r="D117" i="17" s="1"/>
  <c r="D129" i="17" s="1"/>
  <c r="D141" i="17" s="1"/>
  <c r="D6" i="17"/>
  <c r="D18" i="17" s="1"/>
  <c r="D30" i="17" s="1"/>
  <c r="D42" i="17" s="1"/>
  <c r="D54" i="17" s="1"/>
  <c r="D66" i="17" s="1"/>
  <c r="D78" i="17" s="1"/>
  <c r="D90" i="17" s="1"/>
  <c r="D102" i="17" s="1"/>
  <c r="D114" i="17" s="1"/>
  <c r="D126" i="17" s="1"/>
  <c r="D138" i="17" s="1"/>
  <c r="E12" i="17"/>
  <c r="E24" i="17" s="1"/>
  <c r="E36" i="17" s="1"/>
  <c r="E48" i="17" s="1"/>
  <c r="E60" i="17" s="1"/>
  <c r="E72" i="17" s="1"/>
  <c r="E84" i="17" s="1"/>
  <c r="E96" i="17" s="1"/>
  <c r="E108" i="17" s="1"/>
  <c r="E120" i="17" s="1"/>
  <c r="E132" i="17" s="1"/>
  <c r="E144" i="17" s="1"/>
  <c r="D5" i="17"/>
  <c r="D17" i="17" s="1"/>
  <c r="D29" i="17" s="1"/>
  <c r="D41" i="17" s="1"/>
  <c r="D53" i="17" s="1"/>
  <c r="D65" i="17" s="1"/>
  <c r="D77" i="17" s="1"/>
  <c r="D89" i="17" s="1"/>
  <c r="D101" i="17" s="1"/>
  <c r="D113" i="17" s="1"/>
  <c r="D125" i="17" s="1"/>
  <c r="D137" i="17" s="1"/>
  <c r="D11" i="17"/>
  <c r="D23" i="17" s="1"/>
  <c r="D35" i="17" s="1"/>
  <c r="D47" i="17" s="1"/>
  <c r="D59" i="17" s="1"/>
  <c r="D71" i="17" s="1"/>
  <c r="D83" i="17" s="1"/>
  <c r="D95" i="17" s="1"/>
  <c r="D107" i="17" s="1"/>
  <c r="D119" i="17" s="1"/>
  <c r="D131" i="17" s="1"/>
  <c r="D143" i="17" s="1"/>
  <c r="E2" i="17"/>
  <c r="K2" i="17" s="1"/>
  <c r="E2" i="22"/>
  <c r="D2" i="17"/>
  <c r="D14" i="17" s="1"/>
  <c r="D26" i="17" s="1"/>
  <c r="D38" i="17" s="1"/>
  <c r="D50" i="17" s="1"/>
  <c r="D62" i="17" s="1"/>
  <c r="D74" i="17" s="1"/>
  <c r="D86" i="17" s="1"/>
  <c r="D98" i="17" s="1"/>
  <c r="D110" i="17" s="1"/>
  <c r="D122" i="17" s="1"/>
  <c r="D134" i="17" s="1"/>
  <c r="D2" i="22"/>
  <c r="K10" i="17"/>
  <c r="O74" i="16"/>
  <c r="AC7" i="18"/>
  <c r="AG11" i="18"/>
  <c r="H16" i="32"/>
  <c r="H25" i="32" s="1"/>
  <c r="N18" i="29"/>
  <c r="AC8" i="18"/>
  <c r="AC6" i="18"/>
  <c r="AC5" i="18"/>
  <c r="H74" i="28"/>
  <c r="S73" i="28"/>
  <c r="R94" i="28"/>
  <c r="R73" i="28"/>
  <c r="R84" i="28"/>
  <c r="Q70" i="22"/>
  <c r="L63" i="17"/>
  <c r="F64" i="17"/>
  <c r="E12" i="12"/>
  <c r="E14" i="27" l="1"/>
  <c r="Q14" i="27" s="1"/>
  <c r="J6" i="17"/>
  <c r="E23" i="28"/>
  <c r="P11" i="28"/>
  <c r="O4" i="28"/>
  <c r="D16" i="28"/>
  <c r="D22" i="28"/>
  <c r="O10" i="28"/>
  <c r="E16" i="28"/>
  <c r="P4" i="28"/>
  <c r="D15" i="28"/>
  <c r="O3" i="28"/>
  <c r="O12" i="28"/>
  <c r="D24" i="28"/>
  <c r="E22" i="28"/>
  <c r="P10" i="28"/>
  <c r="D18" i="28"/>
  <c r="O6" i="28"/>
  <c r="O8" i="28"/>
  <c r="D20" i="28"/>
  <c r="O7" i="28"/>
  <c r="D19" i="28"/>
  <c r="E24" i="28"/>
  <c r="P12" i="28"/>
  <c r="E19" i="28"/>
  <c r="P7" i="28"/>
  <c r="O11" i="28"/>
  <c r="D23" i="28"/>
  <c r="O9" i="28"/>
  <c r="D21" i="28"/>
  <c r="P8" i="28"/>
  <c r="E20" i="28"/>
  <c r="P2" i="27"/>
  <c r="Z2" i="27" s="1"/>
  <c r="E15" i="28"/>
  <c r="P3" i="28"/>
  <c r="E21" i="28"/>
  <c r="P9" i="28"/>
  <c r="X9" i="28" s="1"/>
  <c r="O13" i="28"/>
  <c r="D25" i="28"/>
  <c r="O5" i="28"/>
  <c r="D17" i="28"/>
  <c r="P6" i="28"/>
  <c r="E18" i="28"/>
  <c r="P5" i="28"/>
  <c r="E17" i="28"/>
  <c r="E14" i="28"/>
  <c r="P2" i="28"/>
  <c r="D14" i="28"/>
  <c r="O2" i="28"/>
  <c r="K4" i="17"/>
  <c r="J8" i="17"/>
  <c r="K12" i="17"/>
  <c r="K3" i="17"/>
  <c r="J5" i="17"/>
  <c r="K6" i="17"/>
  <c r="P10" i="27"/>
  <c r="D22" i="27"/>
  <c r="P4" i="27"/>
  <c r="D16" i="27"/>
  <c r="P3" i="27"/>
  <c r="D15" i="27"/>
  <c r="Q5" i="27"/>
  <c r="E17" i="27"/>
  <c r="P13" i="27"/>
  <c r="D25" i="27"/>
  <c r="E16" i="27"/>
  <c r="Q4" i="27"/>
  <c r="E22" i="27"/>
  <c r="Q10" i="27"/>
  <c r="E15" i="27"/>
  <c r="Q3" i="27"/>
  <c r="E24" i="27"/>
  <c r="Q12" i="27"/>
  <c r="P6" i="27"/>
  <c r="D18" i="27"/>
  <c r="E19" i="27"/>
  <c r="Q7" i="27"/>
  <c r="E21" i="27"/>
  <c r="Q9" i="27"/>
  <c r="P8" i="27"/>
  <c r="D20" i="27"/>
  <c r="P12" i="27"/>
  <c r="D24" i="27"/>
  <c r="P11" i="27"/>
  <c r="D23" i="27"/>
  <c r="P9" i="27"/>
  <c r="D21" i="27"/>
  <c r="Q11" i="27"/>
  <c r="E23" i="27"/>
  <c r="Q6" i="27"/>
  <c r="E18" i="27"/>
  <c r="E20" i="27"/>
  <c r="Q8" i="27"/>
  <c r="P7" i="27"/>
  <c r="D19" i="27"/>
  <c r="P5" i="27"/>
  <c r="D17" i="27"/>
  <c r="J13" i="17"/>
  <c r="K9" i="17"/>
  <c r="J9" i="17"/>
  <c r="J10" i="17"/>
  <c r="N10" i="17" s="1"/>
  <c r="K7" i="17"/>
  <c r="J14" i="17"/>
  <c r="J2" i="17"/>
  <c r="N2" i="17" s="1"/>
  <c r="J25" i="17"/>
  <c r="Q13" i="27"/>
  <c r="E25" i="27"/>
  <c r="K11" i="17"/>
  <c r="P14" i="27"/>
  <c r="D26" i="27"/>
  <c r="J11" i="17"/>
  <c r="J7" i="17"/>
  <c r="K5" i="17"/>
  <c r="E14" i="17"/>
  <c r="E26" i="17" s="1"/>
  <c r="E38" i="17" s="1"/>
  <c r="E50" i="17" s="1"/>
  <c r="E62" i="17" s="1"/>
  <c r="E74" i="17" s="1"/>
  <c r="E86" i="17" s="1"/>
  <c r="E98" i="17" s="1"/>
  <c r="E110" i="17" s="1"/>
  <c r="E122" i="17" s="1"/>
  <c r="E134" i="17" s="1"/>
  <c r="J4" i="17"/>
  <c r="N3" i="22"/>
  <c r="D15" i="22"/>
  <c r="O8" i="22"/>
  <c r="E20" i="22"/>
  <c r="K8" i="17"/>
  <c r="E22" i="22"/>
  <c r="O10" i="22"/>
  <c r="O5" i="22"/>
  <c r="E17" i="22"/>
  <c r="D24" i="22"/>
  <c r="N12" i="22"/>
  <c r="N4" i="22"/>
  <c r="D16" i="22"/>
  <c r="N11" i="22"/>
  <c r="D23" i="22"/>
  <c r="D21" i="22"/>
  <c r="N9" i="22"/>
  <c r="O4" i="22"/>
  <c r="E16" i="22"/>
  <c r="E21" i="22"/>
  <c r="O9" i="22"/>
  <c r="D19" i="22"/>
  <c r="N7" i="22"/>
  <c r="E19" i="22"/>
  <c r="O7" i="22"/>
  <c r="D18" i="22"/>
  <c r="N6" i="22"/>
  <c r="D17" i="22"/>
  <c r="N5" i="22"/>
  <c r="N10" i="22"/>
  <c r="D22" i="22"/>
  <c r="E18" i="22"/>
  <c r="O6" i="22"/>
  <c r="N8" i="22"/>
  <c r="D20" i="22"/>
  <c r="E15" i="22"/>
  <c r="O3" i="22"/>
  <c r="N13" i="22"/>
  <c r="D25" i="22"/>
  <c r="J3" i="17"/>
  <c r="O12" i="22"/>
  <c r="E24" i="22"/>
  <c r="O11" i="22"/>
  <c r="E23" i="22"/>
  <c r="D49" i="17"/>
  <c r="D61" i="17" s="1"/>
  <c r="J37" i="17"/>
  <c r="O2" i="22"/>
  <c r="E14" i="22"/>
  <c r="N2" i="22"/>
  <c r="D14" i="22"/>
  <c r="K24" i="17"/>
  <c r="J12" i="17"/>
  <c r="K22" i="17"/>
  <c r="K21" i="17"/>
  <c r="J21" i="17"/>
  <c r="K16" i="17"/>
  <c r="J23" i="17"/>
  <c r="J22" i="17"/>
  <c r="J20" i="17"/>
  <c r="J19" i="17"/>
  <c r="J16" i="17"/>
  <c r="K18" i="17"/>
  <c r="K20" i="17"/>
  <c r="K15" i="17"/>
  <c r="J17" i="17"/>
  <c r="K23" i="17"/>
  <c r="J15" i="17"/>
  <c r="K17" i="17"/>
  <c r="K19" i="17"/>
  <c r="J18" i="17"/>
  <c r="K13" i="17"/>
  <c r="AG12" i="18"/>
  <c r="H17" i="32"/>
  <c r="H26" i="32" s="1"/>
  <c r="N19" i="29"/>
  <c r="M15" i="29"/>
  <c r="O15" i="29" s="1"/>
  <c r="E46" i="32" s="1"/>
  <c r="E55" i="32" s="1"/>
  <c r="AC10" i="18"/>
  <c r="AH10" i="18"/>
  <c r="H75" i="28"/>
  <c r="S74" i="28"/>
  <c r="R95" i="28"/>
  <c r="R85" i="28"/>
  <c r="Q71" i="22"/>
  <c r="F65" i="17"/>
  <c r="L64" i="17"/>
  <c r="J26" i="17"/>
  <c r="N18" i="17" l="1"/>
  <c r="N6" i="17"/>
  <c r="E26" i="27"/>
  <c r="Q26" i="27" s="1"/>
  <c r="Z8" i="27"/>
  <c r="Z10" i="27"/>
  <c r="X5" i="28"/>
  <c r="X12" i="28"/>
  <c r="Z14" i="27"/>
  <c r="Z7" i="27"/>
  <c r="Z13" i="27"/>
  <c r="N12" i="17"/>
  <c r="X7" i="28"/>
  <c r="X10" i="28"/>
  <c r="X4" i="28"/>
  <c r="X3" i="28"/>
  <c r="X2" i="28"/>
  <c r="N4" i="17"/>
  <c r="P19" i="28"/>
  <c r="E31" i="28"/>
  <c r="P15" i="28"/>
  <c r="E27" i="28"/>
  <c r="X6" i="28"/>
  <c r="P20" i="28"/>
  <c r="E32" i="28"/>
  <c r="D30" i="28"/>
  <c r="O18" i="28"/>
  <c r="D37" i="28"/>
  <c r="O25" i="28"/>
  <c r="P24" i="28"/>
  <c r="E36" i="28"/>
  <c r="P22" i="28"/>
  <c r="E34" i="28"/>
  <c r="D34" i="28"/>
  <c r="O22" i="28"/>
  <c r="D29" i="28"/>
  <c r="O17" i="28"/>
  <c r="D33" i="28"/>
  <c r="O21" i="28"/>
  <c r="D31" i="28"/>
  <c r="O19" i="28"/>
  <c r="D36" i="28"/>
  <c r="O24" i="28"/>
  <c r="O16" i="28"/>
  <c r="D28" i="28"/>
  <c r="P17" i="28"/>
  <c r="E29" i="28"/>
  <c r="P16" i="28"/>
  <c r="E28" i="28"/>
  <c r="P21" i="28"/>
  <c r="E33" i="28"/>
  <c r="D35" i="28"/>
  <c r="O23" i="28"/>
  <c r="D32" i="28"/>
  <c r="O20" i="28"/>
  <c r="X11" i="28"/>
  <c r="Z12" i="27"/>
  <c r="P18" i="28"/>
  <c r="E30" i="28"/>
  <c r="X8" i="28"/>
  <c r="D27" i="28"/>
  <c r="O15" i="28"/>
  <c r="P23" i="28"/>
  <c r="E35" i="28"/>
  <c r="P13" i="28"/>
  <c r="X13" i="28" s="1"/>
  <c r="E25" i="28"/>
  <c r="P14" i="28"/>
  <c r="E26" i="28"/>
  <c r="O14" i="28"/>
  <c r="D26" i="28"/>
  <c r="Z9" i="27"/>
  <c r="Z5" i="27"/>
  <c r="Z11" i="27"/>
  <c r="Z3" i="27"/>
  <c r="Z6" i="27"/>
  <c r="Z4" i="27"/>
  <c r="N8" i="17"/>
  <c r="N3" i="17"/>
  <c r="N7" i="17"/>
  <c r="V8" i="22"/>
  <c r="N5" i="17"/>
  <c r="N11" i="17"/>
  <c r="N9" i="17"/>
  <c r="D31" i="27"/>
  <c r="P19" i="27"/>
  <c r="D33" i="27"/>
  <c r="P21" i="27"/>
  <c r="Q17" i="27"/>
  <c r="E29" i="27"/>
  <c r="P23" i="27"/>
  <c r="D35" i="27"/>
  <c r="P15" i="27"/>
  <c r="D27" i="27"/>
  <c r="E32" i="27"/>
  <c r="Q20" i="27"/>
  <c r="Q19" i="27"/>
  <c r="E31" i="27"/>
  <c r="Q22" i="27"/>
  <c r="E34" i="27"/>
  <c r="K14" i="17"/>
  <c r="N14" i="17" s="1"/>
  <c r="Q18" i="27"/>
  <c r="E30" i="27"/>
  <c r="D36" i="27"/>
  <c r="P24" i="27"/>
  <c r="D30" i="27"/>
  <c r="P18" i="27"/>
  <c r="P16" i="27"/>
  <c r="D28" i="27"/>
  <c r="Q15" i="27"/>
  <c r="E27" i="27"/>
  <c r="Q16" i="27"/>
  <c r="E28" i="27"/>
  <c r="D29" i="27"/>
  <c r="P17" i="27"/>
  <c r="Q23" i="27"/>
  <c r="E35" i="27"/>
  <c r="D32" i="27"/>
  <c r="P20" i="27"/>
  <c r="D37" i="27"/>
  <c r="P25" i="27"/>
  <c r="P22" i="27"/>
  <c r="D34" i="27"/>
  <c r="Q21" i="27"/>
  <c r="E33" i="27"/>
  <c r="Q24" i="27"/>
  <c r="E36" i="27"/>
  <c r="Q25" i="27"/>
  <c r="E37" i="27"/>
  <c r="V3" i="22"/>
  <c r="P26" i="27"/>
  <c r="D38" i="27"/>
  <c r="V5" i="22"/>
  <c r="V9" i="22"/>
  <c r="V4" i="22"/>
  <c r="J49" i="17"/>
  <c r="D37" i="22"/>
  <c r="N25" i="22"/>
  <c r="D34" i="22"/>
  <c r="N22" i="22"/>
  <c r="N23" i="22"/>
  <c r="D35" i="22"/>
  <c r="V10" i="22"/>
  <c r="D73" i="17"/>
  <c r="D85" i="17" s="1"/>
  <c r="D97" i="17" s="1"/>
  <c r="D109" i="17" s="1"/>
  <c r="J61" i="17"/>
  <c r="D28" i="22"/>
  <c r="N16" i="22"/>
  <c r="D31" i="22"/>
  <c r="N19" i="22"/>
  <c r="O23" i="22"/>
  <c r="E35" i="22"/>
  <c r="E27" i="22"/>
  <c r="O15" i="22"/>
  <c r="N17" i="22"/>
  <c r="D29" i="22"/>
  <c r="E33" i="22"/>
  <c r="O21" i="22"/>
  <c r="V2" i="22"/>
  <c r="V11" i="22"/>
  <c r="D32" i="22"/>
  <c r="N20" i="22"/>
  <c r="O16" i="22"/>
  <c r="E28" i="22"/>
  <c r="V12" i="22"/>
  <c r="O20" i="22"/>
  <c r="E32" i="22"/>
  <c r="E36" i="22"/>
  <c r="O24" i="22"/>
  <c r="D30" i="22"/>
  <c r="N18" i="22"/>
  <c r="D36" i="22"/>
  <c r="N24" i="22"/>
  <c r="V6" i="22"/>
  <c r="V7" i="22"/>
  <c r="E29" i="22"/>
  <c r="O17" i="22"/>
  <c r="D27" i="22"/>
  <c r="N15" i="22"/>
  <c r="O22" i="22"/>
  <c r="E34" i="22"/>
  <c r="O18" i="22"/>
  <c r="E30" i="22"/>
  <c r="E31" i="22"/>
  <c r="O19" i="22"/>
  <c r="D33" i="22"/>
  <c r="N21" i="22"/>
  <c r="O14" i="22"/>
  <c r="E26" i="22"/>
  <c r="O13" i="22"/>
  <c r="V13" i="22" s="1"/>
  <c r="E25" i="22"/>
  <c r="N22" i="17"/>
  <c r="D26" i="22"/>
  <c r="N14" i="22"/>
  <c r="N15" i="17"/>
  <c r="N20" i="17"/>
  <c r="N21" i="17"/>
  <c r="N13" i="17"/>
  <c r="N19" i="17"/>
  <c r="N17" i="17"/>
  <c r="N23" i="17"/>
  <c r="N16" i="17"/>
  <c r="K36" i="17"/>
  <c r="J24" i="17"/>
  <c r="N24" i="17" s="1"/>
  <c r="K27" i="17"/>
  <c r="J27" i="17"/>
  <c r="K32" i="17"/>
  <c r="J31" i="17"/>
  <c r="J30" i="17"/>
  <c r="K35" i="17"/>
  <c r="J32" i="17"/>
  <c r="J33" i="17"/>
  <c r="K28" i="17"/>
  <c r="K30" i="17"/>
  <c r="J34" i="17"/>
  <c r="K33" i="17"/>
  <c r="K31" i="17"/>
  <c r="J29" i="17"/>
  <c r="J28" i="17"/>
  <c r="K29" i="17"/>
  <c r="J35" i="17"/>
  <c r="K34" i="17"/>
  <c r="K25" i="17"/>
  <c r="K26" i="17"/>
  <c r="N26" i="17" s="1"/>
  <c r="AG13" i="18"/>
  <c r="H18" i="32"/>
  <c r="H27" i="32" s="1"/>
  <c r="AH11" i="18"/>
  <c r="AC12" i="18"/>
  <c r="M17" i="29"/>
  <c r="O17" i="29" s="1"/>
  <c r="M18" i="29"/>
  <c r="N20" i="29"/>
  <c r="M16" i="29"/>
  <c r="O16" i="29" s="1"/>
  <c r="AC11" i="18"/>
  <c r="H76" i="28"/>
  <c r="S75" i="28"/>
  <c r="R96" i="28"/>
  <c r="L65" i="17"/>
  <c r="F66" i="17"/>
  <c r="Q72" i="22"/>
  <c r="J38" i="17"/>
  <c r="E38" i="27" l="1"/>
  <c r="Q38" i="27" s="1"/>
  <c r="W4" i="18"/>
  <c r="F10" i="32" s="1"/>
  <c r="Z20" i="27"/>
  <c r="Z26" i="27"/>
  <c r="O36" i="28"/>
  <c r="D48" i="28"/>
  <c r="O34" i="28"/>
  <c r="D46" i="28"/>
  <c r="O30" i="28"/>
  <c r="D42" i="28"/>
  <c r="P35" i="28"/>
  <c r="E47" i="28"/>
  <c r="O31" i="28"/>
  <c r="D43" i="28"/>
  <c r="P28" i="28"/>
  <c r="E40" i="28"/>
  <c r="P29" i="28"/>
  <c r="E41" i="28"/>
  <c r="P36" i="28"/>
  <c r="E48" i="28"/>
  <c r="P34" i="28"/>
  <c r="E46" i="28"/>
  <c r="O32" i="28"/>
  <c r="D44" i="28"/>
  <c r="O33" i="28"/>
  <c r="D45" i="28"/>
  <c r="P27" i="28"/>
  <c r="E39" i="28"/>
  <c r="O27" i="28"/>
  <c r="D39" i="28"/>
  <c r="O28" i="28"/>
  <c r="D40" i="28"/>
  <c r="O35" i="28"/>
  <c r="D47" i="28"/>
  <c r="O29" i="28"/>
  <c r="D41" i="28"/>
  <c r="O37" i="28"/>
  <c r="D49" i="28"/>
  <c r="P31" i="28"/>
  <c r="E43" i="28"/>
  <c r="P32" i="28"/>
  <c r="E44" i="28"/>
  <c r="P30" i="28"/>
  <c r="E42" i="28"/>
  <c r="P33" i="28"/>
  <c r="E45" i="28"/>
  <c r="P26" i="28"/>
  <c r="E38" i="28"/>
  <c r="Z16" i="27"/>
  <c r="Z17" i="27"/>
  <c r="P25" i="28"/>
  <c r="E37" i="28"/>
  <c r="O26" i="28"/>
  <c r="D38" i="28"/>
  <c r="Z19" i="27"/>
  <c r="Z22" i="27"/>
  <c r="Z18" i="27"/>
  <c r="Z23" i="27"/>
  <c r="Z15" i="27"/>
  <c r="Z25" i="27"/>
  <c r="Z24" i="27"/>
  <c r="Z21" i="27"/>
  <c r="E4" i="18"/>
  <c r="C10" i="32" s="1"/>
  <c r="P37" i="27"/>
  <c r="D49" i="27"/>
  <c r="Q28" i="27"/>
  <c r="E40" i="27"/>
  <c r="P30" i="27"/>
  <c r="D42" i="27"/>
  <c r="Q31" i="27"/>
  <c r="E43" i="27"/>
  <c r="Q4" i="18"/>
  <c r="E10" i="32" s="1"/>
  <c r="P36" i="27"/>
  <c r="D48" i="27"/>
  <c r="Q33" i="27"/>
  <c r="E45" i="27"/>
  <c r="D44" i="27"/>
  <c r="P32" i="27"/>
  <c r="Q27" i="27"/>
  <c r="E39" i="27"/>
  <c r="Q30" i="27"/>
  <c r="E42" i="27"/>
  <c r="E44" i="27"/>
  <c r="Q32" i="27"/>
  <c r="Q29" i="27"/>
  <c r="E41" i="27"/>
  <c r="Q35" i="27"/>
  <c r="E47" i="27"/>
  <c r="P27" i="27"/>
  <c r="D39" i="27"/>
  <c r="P34" i="27"/>
  <c r="D46" i="27"/>
  <c r="P28" i="27"/>
  <c r="D40" i="27"/>
  <c r="P33" i="27"/>
  <c r="D45" i="27"/>
  <c r="Q34" i="27"/>
  <c r="E46" i="27"/>
  <c r="Q36" i="27"/>
  <c r="E48" i="27"/>
  <c r="P29" i="27"/>
  <c r="Z29" i="27" s="1"/>
  <c r="D41" i="27"/>
  <c r="P35" i="27"/>
  <c r="D47" i="27"/>
  <c r="P31" i="27"/>
  <c r="D43" i="27"/>
  <c r="K4" i="18"/>
  <c r="D10" i="32" s="1"/>
  <c r="Q37" i="27"/>
  <c r="E49" i="27"/>
  <c r="P38" i="27"/>
  <c r="D50" i="27"/>
  <c r="V17" i="22"/>
  <c r="V20" i="22"/>
  <c r="V23" i="22"/>
  <c r="V14" i="22"/>
  <c r="V19" i="22"/>
  <c r="V24" i="22"/>
  <c r="O31" i="22"/>
  <c r="E43" i="22"/>
  <c r="D44" i="22"/>
  <c r="N32" i="22"/>
  <c r="O27" i="22"/>
  <c r="E39" i="22"/>
  <c r="D121" i="17"/>
  <c r="J109" i="17"/>
  <c r="O32" i="22"/>
  <c r="E44" i="22"/>
  <c r="N35" i="22"/>
  <c r="D47" i="22"/>
  <c r="E41" i="22"/>
  <c r="O29" i="22"/>
  <c r="V21" i="22"/>
  <c r="O30" i="22"/>
  <c r="E42" i="22"/>
  <c r="E48" i="22"/>
  <c r="O36" i="22"/>
  <c r="O34" i="22"/>
  <c r="E46" i="22"/>
  <c r="E45" i="22"/>
  <c r="O33" i="22"/>
  <c r="N31" i="22"/>
  <c r="D43" i="22"/>
  <c r="V22" i="22"/>
  <c r="D48" i="22"/>
  <c r="N36" i="22"/>
  <c r="E40" i="22"/>
  <c r="O28" i="22"/>
  <c r="N29" i="22"/>
  <c r="D41" i="22"/>
  <c r="D46" i="22"/>
  <c r="N34" i="22"/>
  <c r="E47" i="22"/>
  <c r="O35" i="22"/>
  <c r="D45" i="22"/>
  <c r="N33" i="22"/>
  <c r="V18" i="22"/>
  <c r="V16" i="22"/>
  <c r="D40" i="22"/>
  <c r="N28" i="22"/>
  <c r="N27" i="22"/>
  <c r="D39" i="22"/>
  <c r="D42" i="22"/>
  <c r="N30" i="22"/>
  <c r="V15" i="22"/>
  <c r="D49" i="22"/>
  <c r="N37" i="22"/>
  <c r="E37" i="22"/>
  <c r="O25" i="22"/>
  <c r="V25" i="22" s="1"/>
  <c r="E38" i="22"/>
  <c r="O26" i="22"/>
  <c r="N30" i="17"/>
  <c r="D38" i="22"/>
  <c r="N26" i="22"/>
  <c r="N32" i="17"/>
  <c r="N31" i="17"/>
  <c r="N34" i="17"/>
  <c r="N35" i="17"/>
  <c r="N33" i="17"/>
  <c r="N28" i="17"/>
  <c r="N29" i="17"/>
  <c r="N25" i="17"/>
  <c r="E5" i="18" s="1"/>
  <c r="C11" i="32" s="1"/>
  <c r="N27" i="17"/>
  <c r="K48" i="17"/>
  <c r="J36" i="17"/>
  <c r="N36" i="17" s="1"/>
  <c r="K46" i="17"/>
  <c r="J40" i="17"/>
  <c r="J45" i="17"/>
  <c r="J46" i="17"/>
  <c r="J44" i="17"/>
  <c r="J47" i="17"/>
  <c r="J41" i="17"/>
  <c r="K42" i="17"/>
  <c r="K44" i="17"/>
  <c r="K47" i="17"/>
  <c r="J43" i="17"/>
  <c r="K43" i="17"/>
  <c r="J39" i="17"/>
  <c r="K41" i="17"/>
  <c r="K40" i="17"/>
  <c r="K45" i="17"/>
  <c r="J42" i="17"/>
  <c r="K39" i="17"/>
  <c r="K38" i="17"/>
  <c r="N38" i="17" s="1"/>
  <c r="K37" i="17"/>
  <c r="AG14" i="18"/>
  <c r="H19" i="32"/>
  <c r="H28" i="32" s="1"/>
  <c r="E47" i="32"/>
  <c r="E56" i="32" s="1"/>
  <c r="E48" i="32"/>
  <c r="E57" i="32" s="1"/>
  <c r="AH12" i="18"/>
  <c r="AC13" i="18"/>
  <c r="M19" i="29"/>
  <c r="O19" i="29" s="1"/>
  <c r="H77" i="28"/>
  <c r="S76" i="28"/>
  <c r="R97" i="28"/>
  <c r="L66" i="17"/>
  <c r="F67" i="17"/>
  <c r="Q73" i="22"/>
  <c r="J50" i="17"/>
  <c r="J97" i="17"/>
  <c r="J73" i="17"/>
  <c r="K10" i="32" l="1"/>
  <c r="I10" i="32"/>
  <c r="E50" i="27"/>
  <c r="Q50" i="27" s="1"/>
  <c r="Z38" i="27"/>
  <c r="Z35" i="27"/>
  <c r="Z33" i="27"/>
  <c r="P42" i="28"/>
  <c r="E54" i="28"/>
  <c r="O41" i="28"/>
  <c r="D53" i="28"/>
  <c r="P39" i="28"/>
  <c r="E51" i="28"/>
  <c r="P48" i="28"/>
  <c r="E60" i="28"/>
  <c r="P47" i="28"/>
  <c r="E59" i="28"/>
  <c r="P44" i="28"/>
  <c r="E56" i="28"/>
  <c r="O47" i="28"/>
  <c r="D59" i="28"/>
  <c r="O45" i="28"/>
  <c r="D57" i="28"/>
  <c r="P41" i="28"/>
  <c r="E53" i="28"/>
  <c r="O42" i="28"/>
  <c r="D54" i="28"/>
  <c r="P43" i="28"/>
  <c r="E55" i="28"/>
  <c r="O40" i="28"/>
  <c r="D52" i="28"/>
  <c r="O44" i="28"/>
  <c r="D56" i="28"/>
  <c r="P40" i="28"/>
  <c r="E52" i="28"/>
  <c r="O46" i="28"/>
  <c r="D58" i="28"/>
  <c r="P45" i="28"/>
  <c r="E57" i="28"/>
  <c r="O49" i="28"/>
  <c r="D61" i="28"/>
  <c r="O39" i="28"/>
  <c r="D51" i="28"/>
  <c r="P46" i="28"/>
  <c r="E58" i="28"/>
  <c r="O43" i="28"/>
  <c r="D55" i="28"/>
  <c r="O48" i="28"/>
  <c r="D60" i="28"/>
  <c r="P37" i="28"/>
  <c r="E49" i="28"/>
  <c r="P38" i="28"/>
  <c r="E50" i="28"/>
  <c r="Z32" i="27"/>
  <c r="O38" i="28"/>
  <c r="D50" i="28"/>
  <c r="Z28" i="27"/>
  <c r="Z37" i="27"/>
  <c r="Z34" i="27"/>
  <c r="Z30" i="27"/>
  <c r="F5" i="18"/>
  <c r="Z31" i="27"/>
  <c r="Z27" i="27"/>
  <c r="Z36" i="27"/>
  <c r="Q43" i="27"/>
  <c r="E55" i="27"/>
  <c r="Q47" i="27"/>
  <c r="E59" i="27"/>
  <c r="D56" i="27"/>
  <c r="P44" i="27"/>
  <c r="P42" i="27"/>
  <c r="D54" i="27"/>
  <c r="Q39" i="27"/>
  <c r="E51" i="27"/>
  <c r="P41" i="27"/>
  <c r="D53" i="27"/>
  <c r="Q48" i="27"/>
  <c r="E60" i="27"/>
  <c r="P46" i="27"/>
  <c r="D58" i="27"/>
  <c r="Q45" i="27"/>
  <c r="E57" i="27"/>
  <c r="Q44" i="27"/>
  <c r="E56" i="27"/>
  <c r="Q40" i="27"/>
  <c r="E52" i="27"/>
  <c r="P45" i="27"/>
  <c r="D57" i="27"/>
  <c r="P40" i="27"/>
  <c r="D52" i="27"/>
  <c r="P43" i="27"/>
  <c r="D55" i="27"/>
  <c r="Q46" i="27"/>
  <c r="E58" i="27"/>
  <c r="P39" i="27"/>
  <c r="D51" i="27"/>
  <c r="Q42" i="27"/>
  <c r="E54" i="27"/>
  <c r="P48" i="27"/>
  <c r="D60" i="27"/>
  <c r="P47" i="27"/>
  <c r="D59" i="27"/>
  <c r="Q41" i="27"/>
  <c r="E53" i="27"/>
  <c r="P49" i="27"/>
  <c r="D61" i="27"/>
  <c r="Q49" i="27"/>
  <c r="E61" i="27"/>
  <c r="P50" i="27"/>
  <c r="D62" i="27"/>
  <c r="K5" i="18"/>
  <c r="V35" i="22"/>
  <c r="V34" i="22"/>
  <c r="V28" i="22"/>
  <c r="V29" i="22"/>
  <c r="V33" i="22"/>
  <c r="D133" i="17"/>
  <c r="J121" i="17"/>
  <c r="D54" i="22"/>
  <c r="N42" i="22"/>
  <c r="D57" i="22"/>
  <c r="N45" i="22"/>
  <c r="O40" i="22"/>
  <c r="E52" i="22"/>
  <c r="O46" i="22"/>
  <c r="E58" i="22"/>
  <c r="E53" i="22"/>
  <c r="O41" i="22"/>
  <c r="V27" i="22"/>
  <c r="E57" i="22"/>
  <c r="O45" i="22"/>
  <c r="N39" i="22"/>
  <c r="D51" i="22"/>
  <c r="D59" i="22"/>
  <c r="N47" i="22"/>
  <c r="O39" i="22"/>
  <c r="E51" i="22"/>
  <c r="E59" i="22"/>
  <c r="O47" i="22"/>
  <c r="D60" i="22"/>
  <c r="N48" i="22"/>
  <c r="V36" i="22"/>
  <c r="D56" i="22"/>
  <c r="N44" i="22"/>
  <c r="E60" i="22"/>
  <c r="O48" i="22"/>
  <c r="E56" i="22"/>
  <c r="O44" i="22"/>
  <c r="E55" i="22"/>
  <c r="O43" i="22"/>
  <c r="V26" i="22"/>
  <c r="D52" i="22"/>
  <c r="N40" i="22"/>
  <c r="D58" i="22"/>
  <c r="N46" i="22"/>
  <c r="N43" i="22"/>
  <c r="D55" i="22"/>
  <c r="O42" i="22"/>
  <c r="E54" i="22"/>
  <c r="V32" i="22"/>
  <c r="V31" i="22"/>
  <c r="N46" i="17"/>
  <c r="N49" i="22"/>
  <c r="D61" i="22"/>
  <c r="D53" i="22"/>
  <c r="N41" i="22"/>
  <c r="V30" i="22"/>
  <c r="O38" i="22"/>
  <c r="E50" i="22"/>
  <c r="E49" i="22"/>
  <c r="O37" i="22"/>
  <c r="V37" i="22" s="1"/>
  <c r="N45" i="17"/>
  <c r="D50" i="22"/>
  <c r="N38" i="22"/>
  <c r="N41" i="17"/>
  <c r="N42" i="17"/>
  <c r="N47" i="17"/>
  <c r="N39" i="17"/>
  <c r="N44" i="17"/>
  <c r="N43" i="17"/>
  <c r="N37" i="17"/>
  <c r="E6" i="18" s="1"/>
  <c r="N40" i="17"/>
  <c r="K60" i="17"/>
  <c r="J48" i="17"/>
  <c r="N48" i="17" s="1"/>
  <c r="K51" i="17"/>
  <c r="J55" i="17"/>
  <c r="J53" i="17"/>
  <c r="K53" i="17"/>
  <c r="J54" i="17"/>
  <c r="J51" i="17"/>
  <c r="J57" i="17"/>
  <c r="K57" i="17"/>
  <c r="K59" i="17"/>
  <c r="J59" i="17"/>
  <c r="J52" i="17"/>
  <c r="K52" i="17"/>
  <c r="K56" i="17"/>
  <c r="J56" i="17"/>
  <c r="J58" i="17"/>
  <c r="K55" i="17"/>
  <c r="K54" i="17"/>
  <c r="K58" i="17"/>
  <c r="K49" i="17"/>
  <c r="N49" i="17" s="1"/>
  <c r="K50" i="17"/>
  <c r="N50" i="17" s="1"/>
  <c r="E50" i="32"/>
  <c r="E59" i="32" s="1"/>
  <c r="AG15" i="18"/>
  <c r="H20" i="32"/>
  <c r="H29" i="32" s="1"/>
  <c r="AC14" i="18"/>
  <c r="M20" i="29"/>
  <c r="O20" i="29" s="1"/>
  <c r="AH13" i="18"/>
  <c r="H78" i="28"/>
  <c r="S77" i="28"/>
  <c r="Q74" i="22"/>
  <c r="F68" i="17"/>
  <c r="L67" i="17"/>
  <c r="J62" i="17"/>
  <c r="J85" i="17"/>
  <c r="F6" i="18" l="1"/>
  <c r="C12" i="32"/>
  <c r="L5" i="18"/>
  <c r="D11" i="32"/>
  <c r="K11" i="32" s="1"/>
  <c r="E62" i="27"/>
  <c r="Q62" i="27" s="1"/>
  <c r="O58" i="28"/>
  <c r="D70" i="28"/>
  <c r="P51" i="28"/>
  <c r="E63" i="28"/>
  <c r="P58" i="28"/>
  <c r="E70" i="28"/>
  <c r="P55" i="28"/>
  <c r="E67" i="28"/>
  <c r="Z48" i="27"/>
  <c r="O51" i="28"/>
  <c r="D63" i="28"/>
  <c r="P52" i="28"/>
  <c r="E64" i="28"/>
  <c r="O54" i="28"/>
  <c r="D66" i="28"/>
  <c r="P56" i="28"/>
  <c r="E68" i="28"/>
  <c r="O53" i="28"/>
  <c r="D65" i="28"/>
  <c r="O59" i="28"/>
  <c r="D71" i="28"/>
  <c r="O60" i="28"/>
  <c r="D72" i="28"/>
  <c r="O61" i="28"/>
  <c r="D73" i="28"/>
  <c r="O56" i="28"/>
  <c r="D68" i="28"/>
  <c r="P53" i="28"/>
  <c r="E65" i="28"/>
  <c r="P59" i="28"/>
  <c r="E71" i="28"/>
  <c r="P54" i="28"/>
  <c r="E66" i="28"/>
  <c r="O55" i="28"/>
  <c r="D67" i="28"/>
  <c r="P57" i="28"/>
  <c r="E69" i="28"/>
  <c r="D64" i="28"/>
  <c r="O52" i="28"/>
  <c r="O57" i="28"/>
  <c r="D69" i="28"/>
  <c r="P60" i="28"/>
  <c r="E72" i="28"/>
  <c r="P50" i="28"/>
  <c r="E62" i="28"/>
  <c r="P49" i="28"/>
  <c r="E61" i="28"/>
  <c r="Z49" i="27"/>
  <c r="Z40" i="27"/>
  <c r="O50" i="28"/>
  <c r="D62" i="28"/>
  <c r="Z46" i="27"/>
  <c r="Z44" i="27"/>
  <c r="Z43" i="27"/>
  <c r="Z41" i="27"/>
  <c r="Z50" i="27"/>
  <c r="Z39" i="27"/>
  <c r="Z45" i="27"/>
  <c r="Z42" i="27"/>
  <c r="Z47" i="27"/>
  <c r="E7" i="18"/>
  <c r="Q53" i="27"/>
  <c r="E65" i="27"/>
  <c r="P51" i="27"/>
  <c r="D63" i="27"/>
  <c r="P57" i="27"/>
  <c r="D69" i="27"/>
  <c r="P58" i="27"/>
  <c r="D70" i="27"/>
  <c r="P54" i="27"/>
  <c r="D66" i="27"/>
  <c r="P59" i="27"/>
  <c r="D71" i="27"/>
  <c r="Q58" i="27"/>
  <c r="E70" i="27"/>
  <c r="Q52" i="27"/>
  <c r="E64" i="27"/>
  <c r="Q60" i="27"/>
  <c r="E72" i="27"/>
  <c r="P56" i="27"/>
  <c r="D68" i="27"/>
  <c r="P60" i="27"/>
  <c r="D72" i="27"/>
  <c r="P55" i="27"/>
  <c r="D67" i="27"/>
  <c r="Q56" i="27"/>
  <c r="E68" i="27"/>
  <c r="P53" i="27"/>
  <c r="D65" i="27"/>
  <c r="Q59" i="27"/>
  <c r="E71" i="27"/>
  <c r="P61" i="27"/>
  <c r="D73" i="27"/>
  <c r="Q54" i="27"/>
  <c r="E66" i="27"/>
  <c r="P52" i="27"/>
  <c r="D64" i="27"/>
  <c r="Q57" i="27"/>
  <c r="E69" i="27"/>
  <c r="Q51" i="27"/>
  <c r="E63" i="27"/>
  <c r="Q55" i="27"/>
  <c r="E67" i="27"/>
  <c r="Q61" i="27"/>
  <c r="E73" i="27"/>
  <c r="P62" i="27"/>
  <c r="D74" i="27"/>
  <c r="V43" i="22"/>
  <c r="V39" i="22"/>
  <c r="V41" i="22"/>
  <c r="V42" i="22"/>
  <c r="V48" i="22"/>
  <c r="V45" i="22"/>
  <c r="N59" i="17"/>
  <c r="D70" i="22"/>
  <c r="N58" i="22"/>
  <c r="O59" i="22"/>
  <c r="E71" i="22"/>
  <c r="O57" i="22"/>
  <c r="E69" i="22"/>
  <c r="O60" i="22"/>
  <c r="E72" i="22"/>
  <c r="E63" i="22"/>
  <c r="O51" i="22"/>
  <c r="D64" i="22"/>
  <c r="N52" i="22"/>
  <c r="E66" i="22"/>
  <c r="O54" i="22"/>
  <c r="N56" i="22"/>
  <c r="D68" i="22"/>
  <c r="E65" i="22"/>
  <c r="O53" i="22"/>
  <c r="D66" i="22"/>
  <c r="N54" i="22"/>
  <c r="N57" i="22"/>
  <c r="V57" i="22" s="1"/>
  <c r="D69" i="22"/>
  <c r="V38" i="22"/>
  <c r="D71" i="22"/>
  <c r="N59" i="22"/>
  <c r="O58" i="22"/>
  <c r="E70" i="22"/>
  <c r="N53" i="22"/>
  <c r="D65" i="22"/>
  <c r="D67" i="22"/>
  <c r="N55" i="22"/>
  <c r="E67" i="22"/>
  <c r="O55" i="22"/>
  <c r="N51" i="22"/>
  <c r="D63" i="22"/>
  <c r="V46" i="22"/>
  <c r="D145" i="17"/>
  <c r="J145" i="17" s="1"/>
  <c r="J133" i="17"/>
  <c r="N54" i="17"/>
  <c r="N61" i="22"/>
  <c r="D73" i="22"/>
  <c r="V44" i="22"/>
  <c r="N60" i="22"/>
  <c r="D72" i="22"/>
  <c r="O52" i="22"/>
  <c r="E64" i="22"/>
  <c r="K6" i="18"/>
  <c r="E68" i="22"/>
  <c r="O56" i="22"/>
  <c r="V47" i="22"/>
  <c r="V40" i="22"/>
  <c r="O49" i="22"/>
  <c r="V49" i="22" s="1"/>
  <c r="E61" i="22"/>
  <c r="O50" i="22"/>
  <c r="E62" i="22"/>
  <c r="D62" i="22"/>
  <c r="N50" i="22"/>
  <c r="N56" i="17"/>
  <c r="N51" i="17"/>
  <c r="N55" i="17"/>
  <c r="N58" i="17"/>
  <c r="N57" i="17"/>
  <c r="N52" i="17"/>
  <c r="N53" i="17"/>
  <c r="K72" i="17"/>
  <c r="J60" i="17"/>
  <c r="N60" i="17" s="1"/>
  <c r="K70" i="17"/>
  <c r="J69" i="17"/>
  <c r="J71" i="17"/>
  <c r="J68" i="17"/>
  <c r="K66" i="17"/>
  <c r="K68" i="17"/>
  <c r="J63" i="17"/>
  <c r="J67" i="17"/>
  <c r="K67" i="17"/>
  <c r="K71" i="17"/>
  <c r="K63" i="17"/>
  <c r="J65" i="17"/>
  <c r="K64" i="17"/>
  <c r="J66" i="17"/>
  <c r="J70" i="17"/>
  <c r="K69" i="17"/>
  <c r="K65" i="17"/>
  <c r="J64" i="17"/>
  <c r="K62" i="17"/>
  <c r="N62" i="17" s="1"/>
  <c r="K61" i="17"/>
  <c r="N61" i="17" s="1"/>
  <c r="H21" i="32"/>
  <c r="H30" i="32" s="1"/>
  <c r="E51" i="32"/>
  <c r="E60" i="32" s="1"/>
  <c r="AH14" i="18"/>
  <c r="AH15" i="18"/>
  <c r="O18" i="29"/>
  <c r="AC15" i="18"/>
  <c r="H79" i="28"/>
  <c r="S78" i="28"/>
  <c r="Q75" i="22"/>
  <c r="F69" i="17"/>
  <c r="L68" i="17"/>
  <c r="J74" i="17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V58" i="22" l="1"/>
  <c r="L6" i="18"/>
  <c r="D12" i="32"/>
  <c r="K12" i="32" s="1"/>
  <c r="F7" i="18"/>
  <c r="C13" i="32"/>
  <c r="E74" i="27"/>
  <c r="Q74" i="27" s="1"/>
  <c r="O72" i="28"/>
  <c r="D84" i="28"/>
  <c r="P67" i="28"/>
  <c r="E79" i="28"/>
  <c r="O64" i="28"/>
  <c r="D76" i="28"/>
  <c r="P70" i="28"/>
  <c r="E82" i="28"/>
  <c r="P69" i="28"/>
  <c r="E81" i="28"/>
  <c r="P65" i="28"/>
  <c r="E77" i="28"/>
  <c r="O71" i="28"/>
  <c r="D83" i="28"/>
  <c r="P64" i="28"/>
  <c r="E76" i="28"/>
  <c r="O66" i="28"/>
  <c r="D78" i="28"/>
  <c r="P63" i="28"/>
  <c r="E75" i="28"/>
  <c r="P72" i="28"/>
  <c r="E84" i="28"/>
  <c r="O67" i="28"/>
  <c r="D79" i="28"/>
  <c r="O68" i="28"/>
  <c r="D80" i="28"/>
  <c r="O65" i="28"/>
  <c r="D77" i="28"/>
  <c r="O63" i="28"/>
  <c r="D75" i="28"/>
  <c r="P71" i="28"/>
  <c r="E83" i="28"/>
  <c r="O70" i="28"/>
  <c r="D82" i="28"/>
  <c r="O69" i="28"/>
  <c r="D81" i="28"/>
  <c r="P66" i="28"/>
  <c r="E78" i="28"/>
  <c r="O73" i="28"/>
  <c r="D85" i="28"/>
  <c r="P68" i="28"/>
  <c r="E80" i="28"/>
  <c r="P61" i="28"/>
  <c r="E73" i="28"/>
  <c r="P62" i="28"/>
  <c r="E74" i="28"/>
  <c r="O62" i="28"/>
  <c r="D74" i="28"/>
  <c r="E8" i="18"/>
  <c r="Z55" i="27"/>
  <c r="V52" i="22"/>
  <c r="Z52" i="27"/>
  <c r="Z53" i="27"/>
  <c r="Z56" i="27"/>
  <c r="Z51" i="27"/>
  <c r="Z54" i="27"/>
  <c r="Q63" i="27"/>
  <c r="E75" i="27"/>
  <c r="P73" i="27"/>
  <c r="D85" i="27"/>
  <c r="D79" i="27"/>
  <c r="P67" i="27"/>
  <c r="Q64" i="27"/>
  <c r="E76" i="27"/>
  <c r="P70" i="27"/>
  <c r="D82" i="27"/>
  <c r="Q69" i="27"/>
  <c r="E81" i="27"/>
  <c r="Q71" i="27"/>
  <c r="E83" i="27"/>
  <c r="P72" i="27"/>
  <c r="D84" i="27"/>
  <c r="Q70" i="27"/>
  <c r="E82" i="27"/>
  <c r="P69" i="27"/>
  <c r="D81" i="27"/>
  <c r="P64" i="27"/>
  <c r="D76" i="27"/>
  <c r="P65" i="27"/>
  <c r="D77" i="27"/>
  <c r="P68" i="27"/>
  <c r="D80" i="27"/>
  <c r="P71" i="27"/>
  <c r="D83" i="27"/>
  <c r="P63" i="27"/>
  <c r="D75" i="27"/>
  <c r="Q67" i="27"/>
  <c r="E79" i="27"/>
  <c r="Q66" i="27"/>
  <c r="E78" i="27"/>
  <c r="Q68" i="27"/>
  <c r="E80" i="27"/>
  <c r="Q72" i="27"/>
  <c r="E84" i="27"/>
  <c r="P66" i="27"/>
  <c r="D78" i="27"/>
  <c r="Q65" i="27"/>
  <c r="E77" i="27"/>
  <c r="Q73" i="27"/>
  <c r="E85" i="27"/>
  <c r="P74" i="27"/>
  <c r="D86" i="27"/>
  <c r="K7" i="18"/>
  <c r="V54" i="22"/>
  <c r="V59" i="22"/>
  <c r="V60" i="22"/>
  <c r="V53" i="22"/>
  <c r="E76" i="22"/>
  <c r="O64" i="22"/>
  <c r="D81" i="22"/>
  <c r="N69" i="22"/>
  <c r="D77" i="22"/>
  <c r="N65" i="22"/>
  <c r="O66" i="22"/>
  <c r="E78" i="22"/>
  <c r="D79" i="22"/>
  <c r="N67" i="22"/>
  <c r="D84" i="22"/>
  <c r="N72" i="22"/>
  <c r="E83" i="22"/>
  <c r="O71" i="22"/>
  <c r="N63" i="22"/>
  <c r="D75" i="22"/>
  <c r="E82" i="22"/>
  <c r="O70" i="22"/>
  <c r="D78" i="22"/>
  <c r="N66" i="22"/>
  <c r="N64" i="22"/>
  <c r="D76" i="22"/>
  <c r="V50" i="22"/>
  <c r="V51" i="22"/>
  <c r="E81" i="22"/>
  <c r="O69" i="22"/>
  <c r="V56" i="22"/>
  <c r="D85" i="22"/>
  <c r="N73" i="22"/>
  <c r="V55" i="22"/>
  <c r="O65" i="22"/>
  <c r="E77" i="22"/>
  <c r="E75" i="22"/>
  <c r="O63" i="22"/>
  <c r="D82" i="22"/>
  <c r="N70" i="22"/>
  <c r="O68" i="22"/>
  <c r="E80" i="22"/>
  <c r="E79" i="22"/>
  <c r="O67" i="22"/>
  <c r="N71" i="22"/>
  <c r="D83" i="22"/>
  <c r="D80" i="22"/>
  <c r="N68" i="22"/>
  <c r="E84" i="22"/>
  <c r="O72" i="22"/>
  <c r="E74" i="22"/>
  <c r="O62" i="22"/>
  <c r="O61" i="22"/>
  <c r="V61" i="22" s="1"/>
  <c r="E73" i="22"/>
  <c r="D74" i="22"/>
  <c r="N62" i="22"/>
  <c r="N66" i="17"/>
  <c r="N64" i="17"/>
  <c r="N67" i="17"/>
  <c r="N65" i="17"/>
  <c r="N68" i="17"/>
  <c r="N63" i="17"/>
  <c r="K84" i="17"/>
  <c r="J72" i="17"/>
  <c r="K81" i="17"/>
  <c r="J77" i="17"/>
  <c r="J79" i="17"/>
  <c r="J75" i="17"/>
  <c r="J83" i="17"/>
  <c r="J80" i="17"/>
  <c r="J76" i="17"/>
  <c r="J78" i="17"/>
  <c r="K83" i="17"/>
  <c r="J82" i="17"/>
  <c r="K76" i="17"/>
  <c r="K80" i="17"/>
  <c r="J81" i="17"/>
  <c r="K75" i="17"/>
  <c r="K77" i="17"/>
  <c r="K79" i="17"/>
  <c r="K78" i="17"/>
  <c r="K82" i="17"/>
  <c r="K73" i="17"/>
  <c r="K74" i="17"/>
  <c r="AI36" i="14"/>
  <c r="L24" i="28"/>
  <c r="W24" i="28" s="1"/>
  <c r="X24" i="28" s="1"/>
  <c r="AI32" i="14"/>
  <c r="L20" i="28"/>
  <c r="W20" i="28" s="1"/>
  <c r="X20" i="28" s="1"/>
  <c r="AI33" i="14"/>
  <c r="L21" i="28"/>
  <c r="W21" i="28" s="1"/>
  <c r="X21" i="28" s="1"/>
  <c r="AI29" i="14"/>
  <c r="L17" i="28"/>
  <c r="W17" i="28" s="1"/>
  <c r="X17" i="28" s="1"/>
  <c r="AI26" i="14"/>
  <c r="L14" i="28"/>
  <c r="W14" i="28" s="1"/>
  <c r="X14" i="28" s="1"/>
  <c r="AI34" i="14"/>
  <c r="L22" i="28"/>
  <c r="W22" i="28" s="1"/>
  <c r="X22" i="28" s="1"/>
  <c r="AI27" i="14"/>
  <c r="L15" i="28"/>
  <c r="W15" i="28" s="1"/>
  <c r="X15" i="28" s="1"/>
  <c r="AI35" i="14"/>
  <c r="L23" i="28"/>
  <c r="W23" i="28" s="1"/>
  <c r="X23" i="28" s="1"/>
  <c r="AI28" i="14"/>
  <c r="L16" i="28"/>
  <c r="W16" i="28" s="1"/>
  <c r="X16" i="28" s="1"/>
  <c r="AI37" i="14"/>
  <c r="L25" i="28"/>
  <c r="W25" i="28" s="1"/>
  <c r="X25" i="28" s="1"/>
  <c r="E49" i="32"/>
  <c r="E58" i="32" s="1"/>
  <c r="AI30" i="14"/>
  <c r="L18" i="28"/>
  <c r="W18" i="28" s="1"/>
  <c r="X18" i="28" s="1"/>
  <c r="AI31" i="14"/>
  <c r="L19" i="28"/>
  <c r="W19" i="28" s="1"/>
  <c r="X19" i="28" s="1"/>
  <c r="J86" i="17"/>
  <c r="H80" i="28"/>
  <c r="S79" i="28"/>
  <c r="F70" i="17"/>
  <c r="L69" i="17"/>
  <c r="N69" i="17" s="1"/>
  <c r="Q76" i="22"/>
  <c r="V13" i="14"/>
  <c r="V12" i="14"/>
  <c r="V11" i="14"/>
  <c r="V10" i="14"/>
  <c r="V9" i="14"/>
  <c r="V8" i="14"/>
  <c r="V7" i="14"/>
  <c r="V6" i="14"/>
  <c r="V5" i="14"/>
  <c r="V4" i="14"/>
  <c r="V3" i="14"/>
  <c r="V2" i="14"/>
  <c r="X61" i="14"/>
  <c r="H61" i="14"/>
  <c r="C61" i="25" s="1"/>
  <c r="AA61" i="25" s="1"/>
  <c r="X60" i="14"/>
  <c r="H60" i="14"/>
  <c r="C60" i="25" s="1"/>
  <c r="AA60" i="25" s="1"/>
  <c r="X59" i="14"/>
  <c r="H59" i="14"/>
  <c r="C59" i="25" s="1"/>
  <c r="AA59" i="25" s="1"/>
  <c r="X58" i="14"/>
  <c r="H58" i="14"/>
  <c r="C58" i="25" s="1"/>
  <c r="AA58" i="25" s="1"/>
  <c r="X57" i="14"/>
  <c r="H57" i="14"/>
  <c r="C57" i="25" s="1"/>
  <c r="X56" i="14"/>
  <c r="H56" i="14"/>
  <c r="X55" i="14"/>
  <c r="H55" i="14"/>
  <c r="X54" i="14"/>
  <c r="H54" i="14"/>
  <c r="X53" i="14"/>
  <c r="H53" i="14"/>
  <c r="X52" i="14"/>
  <c r="H52" i="14"/>
  <c r="X51" i="14"/>
  <c r="H51" i="14"/>
  <c r="X50" i="14"/>
  <c r="H50" i="14"/>
  <c r="X49" i="14"/>
  <c r="H49" i="14"/>
  <c r="X48" i="14"/>
  <c r="H48" i="14"/>
  <c r="X47" i="14"/>
  <c r="H47" i="14"/>
  <c r="X46" i="14"/>
  <c r="H46" i="14"/>
  <c r="X45" i="14"/>
  <c r="H45" i="14"/>
  <c r="X44" i="14"/>
  <c r="H44" i="14"/>
  <c r="X43" i="14"/>
  <c r="H43" i="14"/>
  <c r="X42" i="14"/>
  <c r="H42" i="14"/>
  <c r="X41" i="14"/>
  <c r="H41" i="14"/>
  <c r="X40" i="14"/>
  <c r="H40" i="14"/>
  <c r="X39" i="14"/>
  <c r="H39" i="14"/>
  <c r="X38" i="14"/>
  <c r="H38" i="14"/>
  <c r="X37" i="14"/>
  <c r="H37" i="14"/>
  <c r="X36" i="14"/>
  <c r="H36" i="14"/>
  <c r="X35" i="14"/>
  <c r="H35" i="14"/>
  <c r="X34" i="14"/>
  <c r="H34" i="14"/>
  <c r="X33" i="14"/>
  <c r="H33" i="14"/>
  <c r="X32" i="14"/>
  <c r="H32" i="14"/>
  <c r="X31" i="14"/>
  <c r="H31" i="14"/>
  <c r="X30" i="14"/>
  <c r="H30" i="14"/>
  <c r="X29" i="14"/>
  <c r="H29" i="14"/>
  <c r="X28" i="14"/>
  <c r="H28" i="14"/>
  <c r="X27" i="14"/>
  <c r="H27" i="14"/>
  <c r="X26" i="14"/>
  <c r="H26" i="14"/>
  <c r="X25" i="14"/>
  <c r="H25" i="14"/>
  <c r="X24" i="14"/>
  <c r="H24" i="14"/>
  <c r="X23" i="14"/>
  <c r="H23" i="14"/>
  <c r="X22" i="14"/>
  <c r="H22" i="14"/>
  <c r="X21" i="14"/>
  <c r="H21" i="14"/>
  <c r="X20" i="14"/>
  <c r="H20" i="14"/>
  <c r="X19" i="14"/>
  <c r="H19" i="14"/>
  <c r="X18" i="14"/>
  <c r="H18" i="14"/>
  <c r="X17" i="14"/>
  <c r="H17" i="14"/>
  <c r="X16" i="14"/>
  <c r="H16" i="14"/>
  <c r="X15" i="14"/>
  <c r="H15" i="14"/>
  <c r="X14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F8" i="18" l="1"/>
  <c r="C14" i="32"/>
  <c r="L7" i="18"/>
  <c r="D13" i="32"/>
  <c r="K13" i="32" s="1"/>
  <c r="M8" i="12"/>
  <c r="AA57" i="25"/>
  <c r="M8" i="31"/>
  <c r="N9" i="31" s="1"/>
  <c r="O9" i="31" s="1"/>
  <c r="E86" i="27"/>
  <c r="Q86" i="27" s="1"/>
  <c r="O85" i="28"/>
  <c r="D97" i="28"/>
  <c r="P83" i="28"/>
  <c r="E95" i="28"/>
  <c r="O79" i="28"/>
  <c r="D91" i="28"/>
  <c r="P76" i="28"/>
  <c r="E88" i="28"/>
  <c r="P82" i="28"/>
  <c r="E94" i="28"/>
  <c r="P78" i="28"/>
  <c r="E90" i="28"/>
  <c r="O75" i="28"/>
  <c r="D87" i="28"/>
  <c r="P84" i="28"/>
  <c r="E96" i="28"/>
  <c r="O83" i="28"/>
  <c r="D95" i="28"/>
  <c r="O76" i="28"/>
  <c r="D88" i="28"/>
  <c r="O81" i="28"/>
  <c r="D93" i="28"/>
  <c r="O77" i="28"/>
  <c r="D89" i="28"/>
  <c r="P75" i="28"/>
  <c r="E87" i="28"/>
  <c r="P77" i="28"/>
  <c r="E89" i="28"/>
  <c r="P79" i="28"/>
  <c r="E91" i="28"/>
  <c r="P80" i="28"/>
  <c r="E92" i="28"/>
  <c r="O82" i="28"/>
  <c r="D94" i="28"/>
  <c r="O80" i="28"/>
  <c r="D92" i="28"/>
  <c r="O78" i="28"/>
  <c r="D90" i="28"/>
  <c r="P81" i="28"/>
  <c r="E93" i="28"/>
  <c r="O84" i="28"/>
  <c r="D96" i="28"/>
  <c r="P74" i="28"/>
  <c r="E86" i="28"/>
  <c r="P73" i="28"/>
  <c r="E85" i="28"/>
  <c r="O74" i="28"/>
  <c r="D86" i="28"/>
  <c r="K8" i="18"/>
  <c r="V70" i="22"/>
  <c r="P78" i="27"/>
  <c r="D90" i="27"/>
  <c r="Q79" i="27"/>
  <c r="E91" i="27"/>
  <c r="P77" i="27"/>
  <c r="D89" i="27"/>
  <c r="P84" i="27"/>
  <c r="D96" i="27"/>
  <c r="Q76" i="27"/>
  <c r="E88" i="27"/>
  <c r="Q84" i="27"/>
  <c r="E96" i="27"/>
  <c r="P75" i="27"/>
  <c r="D87" i="27"/>
  <c r="P76" i="27"/>
  <c r="D88" i="27"/>
  <c r="Q83" i="27"/>
  <c r="E95" i="27"/>
  <c r="P79" i="27"/>
  <c r="D91" i="27"/>
  <c r="Q80" i="27"/>
  <c r="E92" i="27"/>
  <c r="P83" i="27"/>
  <c r="D95" i="27"/>
  <c r="P81" i="27"/>
  <c r="D93" i="27"/>
  <c r="Q81" i="27"/>
  <c r="E93" i="27"/>
  <c r="P85" i="27"/>
  <c r="D97" i="27"/>
  <c r="Q77" i="27"/>
  <c r="E89" i="27"/>
  <c r="Q78" i="27"/>
  <c r="E90" i="27"/>
  <c r="P80" i="27"/>
  <c r="D92" i="27"/>
  <c r="Q82" i="27"/>
  <c r="E94" i="27"/>
  <c r="P82" i="27"/>
  <c r="D94" i="27"/>
  <c r="Q75" i="27"/>
  <c r="E87" i="27"/>
  <c r="Q85" i="27"/>
  <c r="E97" i="27"/>
  <c r="P86" i="27"/>
  <c r="D98" i="27"/>
  <c r="V62" i="22"/>
  <c r="E96" i="22"/>
  <c r="O84" i="22"/>
  <c r="O80" i="22"/>
  <c r="E92" i="22"/>
  <c r="E90" i="22"/>
  <c r="O78" i="22"/>
  <c r="V68" i="22"/>
  <c r="V65" i="22"/>
  <c r="D92" i="22"/>
  <c r="N80" i="22"/>
  <c r="N85" i="22"/>
  <c r="D97" i="22"/>
  <c r="V66" i="22"/>
  <c r="E95" i="22"/>
  <c r="O83" i="22"/>
  <c r="D89" i="22"/>
  <c r="N77" i="22"/>
  <c r="N83" i="22"/>
  <c r="D95" i="22"/>
  <c r="D94" i="22"/>
  <c r="N82" i="22"/>
  <c r="D90" i="22"/>
  <c r="N78" i="22"/>
  <c r="V72" i="22"/>
  <c r="V69" i="22"/>
  <c r="V71" i="22"/>
  <c r="V63" i="22"/>
  <c r="D96" i="22"/>
  <c r="N84" i="22"/>
  <c r="D93" i="22"/>
  <c r="N81" i="22"/>
  <c r="O75" i="22"/>
  <c r="E87" i="22"/>
  <c r="E93" i="22"/>
  <c r="O81" i="22"/>
  <c r="E94" i="22"/>
  <c r="O82" i="22"/>
  <c r="V67" i="22"/>
  <c r="V64" i="22"/>
  <c r="D88" i="22"/>
  <c r="N76" i="22"/>
  <c r="E91" i="22"/>
  <c r="O79" i="22"/>
  <c r="E89" i="22"/>
  <c r="O77" i="22"/>
  <c r="N75" i="22"/>
  <c r="D87" i="22"/>
  <c r="D91" i="22"/>
  <c r="N79" i="22"/>
  <c r="E88" i="22"/>
  <c r="O76" i="22"/>
  <c r="E85" i="22"/>
  <c r="O73" i="22"/>
  <c r="V73" i="22" s="1"/>
  <c r="E86" i="22"/>
  <c r="O74" i="22"/>
  <c r="D86" i="22"/>
  <c r="N74" i="22"/>
  <c r="K96" i="17"/>
  <c r="J84" i="17"/>
  <c r="K92" i="17"/>
  <c r="J90" i="17"/>
  <c r="J87" i="17"/>
  <c r="K88" i="17"/>
  <c r="J88" i="17"/>
  <c r="J91" i="17"/>
  <c r="K94" i="17"/>
  <c r="K90" i="17"/>
  <c r="K87" i="17"/>
  <c r="J94" i="17"/>
  <c r="J92" i="17"/>
  <c r="J89" i="17"/>
  <c r="J93" i="17"/>
  <c r="K95" i="17"/>
  <c r="J95" i="17"/>
  <c r="K89" i="17"/>
  <c r="K91" i="17"/>
  <c r="K93" i="17"/>
  <c r="K86" i="17"/>
  <c r="K85" i="17"/>
  <c r="C10" i="27"/>
  <c r="C15" i="27"/>
  <c r="C23" i="27"/>
  <c r="C35" i="27"/>
  <c r="C43" i="27"/>
  <c r="C59" i="27"/>
  <c r="C9" i="27"/>
  <c r="S15" i="27"/>
  <c r="S19" i="27"/>
  <c r="S23" i="27"/>
  <c r="S27" i="27"/>
  <c r="S31" i="27"/>
  <c r="S35" i="27"/>
  <c r="S39" i="27"/>
  <c r="S43" i="27"/>
  <c r="S47" i="27"/>
  <c r="S51" i="27"/>
  <c r="S55" i="27"/>
  <c r="S59" i="27"/>
  <c r="Z59" i="27" s="1"/>
  <c r="AI40" i="14"/>
  <c r="L28" i="28"/>
  <c r="W28" i="28" s="1"/>
  <c r="X28" i="28" s="1"/>
  <c r="AI46" i="14"/>
  <c r="L34" i="28"/>
  <c r="W34" i="28" s="1"/>
  <c r="X34" i="28" s="1"/>
  <c r="AI41" i="14"/>
  <c r="L29" i="28"/>
  <c r="W29" i="28" s="1"/>
  <c r="X29" i="28" s="1"/>
  <c r="C2" i="25"/>
  <c r="C2" i="27"/>
  <c r="C24" i="27"/>
  <c r="C40" i="27"/>
  <c r="C3" i="27"/>
  <c r="C11" i="27"/>
  <c r="S16" i="27"/>
  <c r="S20" i="27"/>
  <c r="S24" i="27"/>
  <c r="S28" i="27"/>
  <c r="S32" i="27"/>
  <c r="S36" i="27"/>
  <c r="S40" i="27"/>
  <c r="S44" i="27"/>
  <c r="S48" i="27"/>
  <c r="S52" i="27"/>
  <c r="S56" i="27"/>
  <c r="S60" i="27"/>
  <c r="Z60" i="27" s="1"/>
  <c r="T5" i="12"/>
  <c r="C28" i="27"/>
  <c r="C52" i="27"/>
  <c r="C12" i="27"/>
  <c r="C25" i="27"/>
  <c r="C33" i="27"/>
  <c r="C37" i="27"/>
  <c r="C41" i="27"/>
  <c r="C45" i="27"/>
  <c r="C49" i="27"/>
  <c r="C53" i="27"/>
  <c r="C57" i="27"/>
  <c r="C61" i="27"/>
  <c r="AI43" i="14"/>
  <c r="L31" i="28"/>
  <c r="W31" i="28" s="1"/>
  <c r="X31" i="28" s="1"/>
  <c r="AI47" i="14"/>
  <c r="L35" i="28"/>
  <c r="W35" i="28" s="1"/>
  <c r="X35" i="28" s="1"/>
  <c r="W5" i="18"/>
  <c r="C32" i="27"/>
  <c r="C60" i="27"/>
  <c r="C17" i="27"/>
  <c r="C13" i="27"/>
  <c r="S17" i="27"/>
  <c r="S21" i="27"/>
  <c r="S25" i="27"/>
  <c r="S29" i="27"/>
  <c r="S33" i="27"/>
  <c r="S37" i="27"/>
  <c r="S41" i="27"/>
  <c r="S45" i="27"/>
  <c r="S49" i="27"/>
  <c r="S53" i="27"/>
  <c r="S57" i="27"/>
  <c r="Z57" i="27" s="1"/>
  <c r="S61" i="27"/>
  <c r="Z61" i="27" s="1"/>
  <c r="AI38" i="14"/>
  <c r="L26" i="28"/>
  <c r="W26" i="28" s="1"/>
  <c r="X26" i="28" s="1"/>
  <c r="AI45" i="14"/>
  <c r="L33" i="28"/>
  <c r="W33" i="28" s="1"/>
  <c r="X33" i="28" s="1"/>
  <c r="AI48" i="14"/>
  <c r="L36" i="28"/>
  <c r="W36" i="28" s="1"/>
  <c r="X36" i="28" s="1"/>
  <c r="C16" i="27"/>
  <c r="C36" i="27"/>
  <c r="C44" i="27"/>
  <c r="C56" i="27"/>
  <c r="C4" i="27"/>
  <c r="C21" i="27"/>
  <c r="C5" i="27"/>
  <c r="C14" i="27"/>
  <c r="C22" i="27"/>
  <c r="C26" i="27"/>
  <c r="C34" i="27"/>
  <c r="C42" i="27"/>
  <c r="C46" i="27"/>
  <c r="C50" i="27"/>
  <c r="C54" i="27"/>
  <c r="C58" i="27"/>
  <c r="AI49" i="14"/>
  <c r="L37" i="28"/>
  <c r="W37" i="28" s="1"/>
  <c r="X37" i="28" s="1"/>
  <c r="C20" i="27"/>
  <c r="C48" i="27"/>
  <c r="C29" i="27"/>
  <c r="C6" i="27"/>
  <c r="C18" i="27"/>
  <c r="C30" i="27"/>
  <c r="C38" i="27"/>
  <c r="C7" i="27"/>
  <c r="N5" i="31"/>
  <c r="O5" i="31" s="1"/>
  <c r="S14" i="27"/>
  <c r="S18" i="27"/>
  <c r="S22" i="27"/>
  <c r="S26" i="27"/>
  <c r="S30" i="27"/>
  <c r="S34" i="27"/>
  <c r="S38" i="27"/>
  <c r="S42" i="27"/>
  <c r="S46" i="27"/>
  <c r="S50" i="27"/>
  <c r="S54" i="27"/>
  <c r="S58" i="27"/>
  <c r="Z58" i="27" s="1"/>
  <c r="AI42" i="14"/>
  <c r="L30" i="28"/>
  <c r="W30" i="28" s="1"/>
  <c r="X30" i="28" s="1"/>
  <c r="AI39" i="14"/>
  <c r="L27" i="28"/>
  <c r="W27" i="28" s="1"/>
  <c r="X27" i="28" s="1"/>
  <c r="C8" i="27"/>
  <c r="C19" i="27"/>
  <c r="C27" i="27"/>
  <c r="C31" i="27"/>
  <c r="C39" i="27"/>
  <c r="C47" i="27"/>
  <c r="C51" i="27"/>
  <c r="C55" i="27"/>
  <c r="J98" i="17"/>
  <c r="AI44" i="14"/>
  <c r="L32" i="28"/>
  <c r="W32" i="28" s="1"/>
  <c r="X32" i="28" s="1"/>
  <c r="H81" i="28"/>
  <c r="S80" i="28"/>
  <c r="Q77" i="22"/>
  <c r="L70" i="17"/>
  <c r="N70" i="17" s="1"/>
  <c r="F71" i="17"/>
  <c r="J5" i="12"/>
  <c r="J7" i="12"/>
  <c r="J6" i="12"/>
  <c r="E5" i="12"/>
  <c r="E7" i="12"/>
  <c r="E8" i="12"/>
  <c r="J8" i="12"/>
  <c r="E4" i="12"/>
  <c r="L8" i="18" l="1"/>
  <c r="D14" i="32"/>
  <c r="K14" i="32" s="1"/>
  <c r="X5" i="18"/>
  <c r="F11" i="32"/>
  <c r="E98" i="27"/>
  <c r="Q98" i="27" s="1"/>
  <c r="K9" i="18"/>
  <c r="L9" i="18" s="1"/>
  <c r="E105" i="28"/>
  <c r="P93" i="28"/>
  <c r="P92" i="28"/>
  <c r="E104" i="28"/>
  <c r="D101" i="28"/>
  <c r="O89" i="28"/>
  <c r="P96" i="28"/>
  <c r="E108" i="28"/>
  <c r="E100" i="28"/>
  <c r="P88" i="28"/>
  <c r="O90" i="28"/>
  <c r="D102" i="28"/>
  <c r="P91" i="28"/>
  <c r="E103" i="28"/>
  <c r="O93" i="28"/>
  <c r="D105" i="28"/>
  <c r="D99" i="28"/>
  <c r="O87" i="28"/>
  <c r="O91" i="28"/>
  <c r="D103" i="28"/>
  <c r="O92" i="28"/>
  <c r="D104" i="28"/>
  <c r="E101" i="28"/>
  <c r="P89" i="28"/>
  <c r="O88" i="28"/>
  <c r="D100" i="28"/>
  <c r="E102" i="28"/>
  <c r="P90" i="28"/>
  <c r="E107" i="28"/>
  <c r="P95" i="28"/>
  <c r="O96" i="28"/>
  <c r="D108" i="28"/>
  <c r="D106" i="28"/>
  <c r="O94" i="28"/>
  <c r="P87" i="28"/>
  <c r="E99" i="28"/>
  <c r="O95" i="28"/>
  <c r="D107" i="28"/>
  <c r="P94" i="28"/>
  <c r="E106" i="28"/>
  <c r="O97" i="28"/>
  <c r="D109" i="28"/>
  <c r="P85" i="28"/>
  <c r="E97" i="28"/>
  <c r="E98" i="28"/>
  <c r="P86" i="28"/>
  <c r="O86" i="28"/>
  <c r="D98" i="28"/>
  <c r="V77" i="22"/>
  <c r="D106" i="27"/>
  <c r="P94" i="27"/>
  <c r="Q89" i="27"/>
  <c r="E101" i="27"/>
  <c r="D107" i="27"/>
  <c r="P95" i="27"/>
  <c r="D100" i="27"/>
  <c r="P88" i="27"/>
  <c r="D108" i="27"/>
  <c r="P96" i="27"/>
  <c r="Q94" i="27"/>
  <c r="E106" i="27"/>
  <c r="P97" i="27"/>
  <c r="D109" i="27"/>
  <c r="Q92" i="27"/>
  <c r="E104" i="27"/>
  <c r="P87" i="27"/>
  <c r="D99" i="27"/>
  <c r="D101" i="27"/>
  <c r="P89" i="27"/>
  <c r="D104" i="27"/>
  <c r="P92" i="27"/>
  <c r="Q93" i="27"/>
  <c r="E105" i="27"/>
  <c r="D103" i="27"/>
  <c r="P91" i="27"/>
  <c r="Q96" i="27"/>
  <c r="E108" i="27"/>
  <c r="Q91" i="27"/>
  <c r="E103" i="27"/>
  <c r="E99" i="27"/>
  <c r="Q87" i="27"/>
  <c r="Q90" i="27"/>
  <c r="E102" i="27"/>
  <c r="D105" i="27"/>
  <c r="P93" i="27"/>
  <c r="E107" i="27"/>
  <c r="Q95" i="27"/>
  <c r="E100" i="27"/>
  <c r="Q88" i="27"/>
  <c r="P90" i="27"/>
  <c r="D102" i="27"/>
  <c r="V76" i="22"/>
  <c r="Q97" i="27"/>
  <c r="E109" i="27"/>
  <c r="D110" i="27"/>
  <c r="P98" i="27"/>
  <c r="V75" i="22"/>
  <c r="N87" i="22"/>
  <c r="D99" i="22"/>
  <c r="D105" i="22"/>
  <c r="N93" i="22"/>
  <c r="E101" i="22"/>
  <c r="O89" i="22"/>
  <c r="O94" i="22"/>
  <c r="E106" i="22"/>
  <c r="D108" i="22"/>
  <c r="N96" i="22"/>
  <c r="D106" i="22"/>
  <c r="N94" i="22"/>
  <c r="N97" i="22"/>
  <c r="D109" i="22"/>
  <c r="O90" i="22"/>
  <c r="E102" i="22"/>
  <c r="D107" i="22"/>
  <c r="N95" i="22"/>
  <c r="O92" i="22"/>
  <c r="E104" i="22"/>
  <c r="O95" i="22"/>
  <c r="E107" i="22"/>
  <c r="O88" i="22"/>
  <c r="E100" i="22"/>
  <c r="O91" i="22"/>
  <c r="E103" i="22"/>
  <c r="E105" i="22"/>
  <c r="O93" i="22"/>
  <c r="V74" i="22"/>
  <c r="O87" i="22"/>
  <c r="E99" i="22"/>
  <c r="N92" i="22"/>
  <c r="D104" i="22"/>
  <c r="N90" i="22"/>
  <c r="D102" i="22"/>
  <c r="N91" i="22"/>
  <c r="D103" i="22"/>
  <c r="N88" i="22"/>
  <c r="D100" i="22"/>
  <c r="N89" i="22"/>
  <c r="D101" i="22"/>
  <c r="O96" i="22"/>
  <c r="E108" i="22"/>
  <c r="O86" i="22"/>
  <c r="E98" i="22"/>
  <c r="E97" i="22"/>
  <c r="O85" i="22"/>
  <c r="N86" i="22"/>
  <c r="D98" i="22"/>
  <c r="K108" i="17"/>
  <c r="J96" i="17"/>
  <c r="K101" i="17"/>
  <c r="K102" i="17"/>
  <c r="K100" i="17"/>
  <c r="J101" i="17"/>
  <c r="J107" i="17"/>
  <c r="J104" i="17"/>
  <c r="K106" i="17"/>
  <c r="J99" i="17"/>
  <c r="K105" i="17"/>
  <c r="K107" i="17"/>
  <c r="J106" i="17"/>
  <c r="J103" i="17"/>
  <c r="J102" i="17"/>
  <c r="K103" i="17"/>
  <c r="J105" i="17"/>
  <c r="K99" i="17"/>
  <c r="J100" i="17"/>
  <c r="K104" i="17"/>
  <c r="K97" i="17"/>
  <c r="K98" i="17"/>
  <c r="Q8" i="18"/>
  <c r="E14" i="32" s="1"/>
  <c r="Q7" i="18"/>
  <c r="E13" i="32" s="1"/>
  <c r="Q6" i="18"/>
  <c r="E12" i="32" s="1"/>
  <c r="O8" i="18"/>
  <c r="N6" i="31"/>
  <c r="O6" i="31" s="1"/>
  <c r="N7" i="31"/>
  <c r="O7" i="31" s="1"/>
  <c r="AI52" i="14"/>
  <c r="AI64" i="14" s="1"/>
  <c r="L40" i="28"/>
  <c r="W40" i="28" s="1"/>
  <c r="X40" i="28" s="1"/>
  <c r="O6" i="18"/>
  <c r="AI57" i="14"/>
  <c r="AI69" i="14" s="1"/>
  <c r="L45" i="28"/>
  <c r="W45" i="28" s="1"/>
  <c r="X45" i="28" s="1"/>
  <c r="J110" i="17"/>
  <c r="AI54" i="14"/>
  <c r="AI66" i="14" s="1"/>
  <c r="L42" i="28"/>
  <c r="W42" i="28" s="1"/>
  <c r="X42" i="28" s="1"/>
  <c r="AI61" i="14"/>
  <c r="AI73" i="14" s="1"/>
  <c r="L49" i="28"/>
  <c r="W49" i="28" s="1"/>
  <c r="X49" i="28" s="1"/>
  <c r="T6" i="12"/>
  <c r="AI59" i="14"/>
  <c r="AI71" i="14" s="1"/>
  <c r="L47" i="28"/>
  <c r="W47" i="28" s="1"/>
  <c r="X47" i="28" s="1"/>
  <c r="O4" i="18"/>
  <c r="C5" i="29" s="1"/>
  <c r="D5" i="29" s="1"/>
  <c r="AI58" i="14"/>
  <c r="AI70" i="14" s="1"/>
  <c r="L46" i="28"/>
  <c r="W46" i="28" s="1"/>
  <c r="X46" i="28" s="1"/>
  <c r="W6" i="18"/>
  <c r="O4" i="12"/>
  <c r="AA2" i="25"/>
  <c r="E68" i="32"/>
  <c r="I68" i="32" s="1"/>
  <c r="N8" i="31"/>
  <c r="O8" i="31" s="1"/>
  <c r="AI50" i="14"/>
  <c r="AI62" i="14" s="1"/>
  <c r="L38" i="28"/>
  <c r="W38" i="28" s="1"/>
  <c r="X38" i="28" s="1"/>
  <c r="AI56" i="14"/>
  <c r="AI68" i="14" s="1"/>
  <c r="L44" i="28"/>
  <c r="W44" i="28" s="1"/>
  <c r="X44" i="28" s="1"/>
  <c r="AI51" i="14"/>
  <c r="AI63" i="14" s="1"/>
  <c r="L39" i="28"/>
  <c r="W39" i="28" s="1"/>
  <c r="X39" i="28" s="1"/>
  <c r="Q5" i="18"/>
  <c r="O5" i="18"/>
  <c r="AI55" i="14"/>
  <c r="AI67" i="14" s="1"/>
  <c r="L43" i="28"/>
  <c r="W43" i="28" s="1"/>
  <c r="X43" i="28" s="1"/>
  <c r="AI60" i="14"/>
  <c r="AI72" i="14" s="1"/>
  <c r="L48" i="28"/>
  <c r="W48" i="28" s="1"/>
  <c r="X48" i="28" s="1"/>
  <c r="O6" i="12"/>
  <c r="AI53" i="14"/>
  <c r="AI65" i="14" s="1"/>
  <c r="L41" i="28"/>
  <c r="W41" i="28" s="1"/>
  <c r="X41" i="28" s="1"/>
  <c r="H82" i="28"/>
  <c r="S81" i="28"/>
  <c r="L71" i="17"/>
  <c r="N71" i="17" s="1"/>
  <c r="F72" i="17"/>
  <c r="Q78" i="22"/>
  <c r="V78" i="22" s="1"/>
  <c r="J4" i="12"/>
  <c r="J11" i="12" s="1"/>
  <c r="E6" i="12"/>
  <c r="E11" i="12" s="1"/>
  <c r="R5" i="18" l="1"/>
  <c r="E11" i="32"/>
  <c r="I11" i="32" s="1"/>
  <c r="X6" i="18"/>
  <c r="F12" i="32"/>
  <c r="I12" i="32" s="1"/>
  <c r="M71" i="27"/>
  <c r="L71" i="26"/>
  <c r="W71" i="26" s="1"/>
  <c r="X71" i="26" s="1"/>
  <c r="Y71" i="26" s="1"/>
  <c r="M71" i="25"/>
  <c r="Y71" i="25" s="1"/>
  <c r="Z71" i="25" s="1"/>
  <c r="AA71" i="25" s="1"/>
  <c r="L70" i="26"/>
  <c r="W70" i="26" s="1"/>
  <c r="X70" i="26" s="1"/>
  <c r="Y70" i="26" s="1"/>
  <c r="M70" i="27"/>
  <c r="M70" i="25"/>
  <c r="Y70" i="25" s="1"/>
  <c r="Z70" i="25" s="1"/>
  <c r="AA70" i="25" s="1"/>
  <c r="M69" i="27"/>
  <c r="L69" i="26"/>
  <c r="W69" i="26" s="1"/>
  <c r="X69" i="26" s="1"/>
  <c r="M69" i="25"/>
  <c r="Y69" i="25" s="1"/>
  <c r="Z69" i="25" s="1"/>
  <c r="M73" i="27"/>
  <c r="L73" i="26"/>
  <c r="W73" i="26" s="1"/>
  <c r="X73" i="26" s="1"/>
  <c r="Y73" i="26" s="1"/>
  <c r="M73" i="25"/>
  <c r="Y73" i="25" s="1"/>
  <c r="Z73" i="25" s="1"/>
  <c r="AA73" i="25" s="1"/>
  <c r="C9" i="29"/>
  <c r="D9" i="29" s="1"/>
  <c r="D16" i="29" s="1"/>
  <c r="D17" i="29" s="1"/>
  <c r="D18" i="29" s="1"/>
  <c r="D19" i="29" s="1"/>
  <c r="D20" i="29" s="1"/>
  <c r="P9" i="18"/>
  <c r="L72" i="26"/>
  <c r="W72" i="26" s="1"/>
  <c r="X72" i="26" s="1"/>
  <c r="Y72" i="26" s="1"/>
  <c r="M72" i="25"/>
  <c r="Y72" i="25" s="1"/>
  <c r="Z72" i="25" s="1"/>
  <c r="AA72" i="25" s="1"/>
  <c r="M72" i="27"/>
  <c r="E110" i="27"/>
  <c r="E122" i="27" s="1"/>
  <c r="O10" i="31"/>
  <c r="N10" i="31" s="1"/>
  <c r="N11" i="31" s="1"/>
  <c r="N12" i="31" s="1"/>
  <c r="N13" i="31" s="1"/>
  <c r="N14" i="31" s="1"/>
  <c r="N15" i="31" s="1"/>
  <c r="E118" i="28"/>
  <c r="P106" i="28"/>
  <c r="O108" i="28"/>
  <c r="D120" i="28"/>
  <c r="O105" i="28"/>
  <c r="D117" i="28"/>
  <c r="P108" i="28"/>
  <c r="E120" i="28"/>
  <c r="O107" i="28"/>
  <c r="D119" i="28"/>
  <c r="O104" i="28"/>
  <c r="D116" i="28"/>
  <c r="P103" i="28"/>
  <c r="E115" i="28"/>
  <c r="P107" i="28"/>
  <c r="E119" i="28"/>
  <c r="O101" i="28"/>
  <c r="D113" i="28"/>
  <c r="E111" i="28"/>
  <c r="P99" i="28"/>
  <c r="O103" i="28"/>
  <c r="D115" i="28"/>
  <c r="O102" i="28"/>
  <c r="D114" i="28"/>
  <c r="P104" i="28"/>
  <c r="E116" i="28"/>
  <c r="E114" i="28"/>
  <c r="P102" i="28"/>
  <c r="P101" i="28"/>
  <c r="E113" i="28"/>
  <c r="D121" i="28"/>
  <c r="O109" i="28"/>
  <c r="O100" i="28"/>
  <c r="D112" i="28"/>
  <c r="O106" i="28"/>
  <c r="D118" i="28"/>
  <c r="D111" i="28"/>
  <c r="O99" i="28"/>
  <c r="E112" i="28"/>
  <c r="P100" i="28"/>
  <c r="P105" i="28"/>
  <c r="E117" i="28"/>
  <c r="E110" i="28"/>
  <c r="P98" i="28"/>
  <c r="P97" i="28"/>
  <c r="E109" i="28"/>
  <c r="O98" i="28"/>
  <c r="D110" i="28"/>
  <c r="Q99" i="27"/>
  <c r="E111" i="27"/>
  <c r="Q105" i="27"/>
  <c r="E117" i="27"/>
  <c r="Q104" i="27"/>
  <c r="E116" i="27"/>
  <c r="E112" i="27"/>
  <c r="Q100" i="27"/>
  <c r="E115" i="27"/>
  <c r="Q103" i="27"/>
  <c r="D121" i="27"/>
  <c r="P109" i="27"/>
  <c r="E119" i="27"/>
  <c r="Q107" i="27"/>
  <c r="P104" i="27"/>
  <c r="D116" i="27"/>
  <c r="D119" i="27"/>
  <c r="P107" i="27"/>
  <c r="E120" i="27"/>
  <c r="Q108" i="27"/>
  <c r="Q106" i="27"/>
  <c r="E118" i="27"/>
  <c r="Q101" i="27"/>
  <c r="E113" i="27"/>
  <c r="P105" i="27"/>
  <c r="D117" i="27"/>
  <c r="D113" i="27"/>
  <c r="P101" i="27"/>
  <c r="P100" i="27"/>
  <c r="D112" i="27"/>
  <c r="D114" i="27"/>
  <c r="P102" i="27"/>
  <c r="Q102" i="27"/>
  <c r="E114" i="27"/>
  <c r="D111" i="27"/>
  <c r="P99" i="27"/>
  <c r="D115" i="27"/>
  <c r="P103" i="27"/>
  <c r="D120" i="27"/>
  <c r="P108" i="27"/>
  <c r="D118" i="27"/>
  <c r="P106" i="27"/>
  <c r="Q109" i="27"/>
  <c r="E121" i="27"/>
  <c r="D122" i="27"/>
  <c r="P110" i="27"/>
  <c r="O100" i="22"/>
  <c r="E112" i="22"/>
  <c r="O102" i="22"/>
  <c r="E114" i="22"/>
  <c r="E118" i="22"/>
  <c r="O106" i="22"/>
  <c r="O107" i="22"/>
  <c r="E119" i="22"/>
  <c r="D121" i="22"/>
  <c r="N109" i="22"/>
  <c r="N100" i="22"/>
  <c r="D112" i="22"/>
  <c r="D115" i="22"/>
  <c r="N103" i="22"/>
  <c r="O101" i="22"/>
  <c r="E113" i="22"/>
  <c r="O99" i="22"/>
  <c r="E111" i="22"/>
  <c r="E116" i="22"/>
  <c r="O104" i="22"/>
  <c r="E120" i="22"/>
  <c r="O108" i="22"/>
  <c r="N102" i="22"/>
  <c r="D114" i="22"/>
  <c r="O105" i="22"/>
  <c r="E117" i="22"/>
  <c r="N106" i="22"/>
  <c r="D118" i="22"/>
  <c r="N105" i="22"/>
  <c r="D117" i="22"/>
  <c r="O103" i="22"/>
  <c r="E115" i="22"/>
  <c r="N99" i="22"/>
  <c r="D111" i="22"/>
  <c r="N101" i="22"/>
  <c r="D113" i="22"/>
  <c r="N104" i="22"/>
  <c r="D116" i="22"/>
  <c r="N107" i="22"/>
  <c r="D119" i="22"/>
  <c r="D120" i="22"/>
  <c r="N108" i="22"/>
  <c r="E109" i="22"/>
  <c r="O97" i="22"/>
  <c r="O98" i="22"/>
  <c r="E110" i="22"/>
  <c r="N98" i="22"/>
  <c r="D110" i="22"/>
  <c r="K120" i="17"/>
  <c r="J108" i="17"/>
  <c r="K111" i="17"/>
  <c r="J111" i="17"/>
  <c r="J113" i="17"/>
  <c r="J118" i="17"/>
  <c r="K118" i="17"/>
  <c r="K112" i="17"/>
  <c r="K116" i="17"/>
  <c r="K115" i="17"/>
  <c r="J117" i="17"/>
  <c r="K119" i="17"/>
  <c r="J116" i="17"/>
  <c r="K114" i="17"/>
  <c r="J115" i="17"/>
  <c r="J112" i="17"/>
  <c r="J114" i="17"/>
  <c r="J119" i="17"/>
  <c r="K113" i="17"/>
  <c r="K117" i="17"/>
  <c r="K110" i="17"/>
  <c r="K109" i="17"/>
  <c r="P8" i="18"/>
  <c r="E8" i="32"/>
  <c r="I8" i="32" s="1"/>
  <c r="R8" i="18"/>
  <c r="O5" i="12"/>
  <c r="O8" i="12"/>
  <c r="R7" i="18"/>
  <c r="O7" i="12"/>
  <c r="P5" i="18"/>
  <c r="C6" i="29"/>
  <c r="D6" i="29" s="1"/>
  <c r="L59" i="28"/>
  <c r="L51" i="28"/>
  <c r="L57" i="28"/>
  <c r="T7" i="12"/>
  <c r="L58" i="28"/>
  <c r="P6" i="18"/>
  <c r="C7" i="29"/>
  <c r="D7" i="29" s="1"/>
  <c r="L52" i="28"/>
  <c r="L55" i="28"/>
  <c r="W7" i="18"/>
  <c r="F13" i="32" s="1"/>
  <c r="I13" i="32" s="1"/>
  <c r="L56" i="28"/>
  <c r="L50" i="28"/>
  <c r="L54" i="28"/>
  <c r="L60" i="28"/>
  <c r="L61" i="28"/>
  <c r="P7" i="18"/>
  <c r="C8" i="29"/>
  <c r="D8" i="29" s="1"/>
  <c r="J122" i="17"/>
  <c r="J134" i="17"/>
  <c r="L53" i="28"/>
  <c r="R6" i="18"/>
  <c r="H83" i="28"/>
  <c r="S82" i="28"/>
  <c r="Q79" i="22"/>
  <c r="V79" i="22" s="1"/>
  <c r="F73" i="17"/>
  <c r="L72" i="17"/>
  <c r="N72" i="17" s="1"/>
  <c r="Q110" i="27" l="1"/>
  <c r="M81" i="27"/>
  <c r="Y69" i="27"/>
  <c r="M85" i="27"/>
  <c r="Y73" i="27"/>
  <c r="AA69" i="25"/>
  <c r="AA74" i="25" s="1"/>
  <c r="O12" i="12" s="1"/>
  <c r="N9" i="12"/>
  <c r="O9" i="12" s="1"/>
  <c r="O11" i="12" s="1"/>
  <c r="M82" i="27"/>
  <c r="Y70" i="27"/>
  <c r="M83" i="27"/>
  <c r="Y71" i="27"/>
  <c r="M84" i="27"/>
  <c r="Y72" i="27"/>
  <c r="Y69" i="26"/>
  <c r="Y74" i="26" s="1"/>
  <c r="S9" i="12"/>
  <c r="T9" i="12" s="1"/>
  <c r="D133" i="28"/>
  <c r="O121" i="28"/>
  <c r="D126" i="28"/>
  <c r="O114" i="28"/>
  <c r="P119" i="28"/>
  <c r="E131" i="28"/>
  <c r="P120" i="28"/>
  <c r="E132" i="28"/>
  <c r="E125" i="28"/>
  <c r="P113" i="28"/>
  <c r="O115" i="28"/>
  <c r="D127" i="28"/>
  <c r="E127" i="28"/>
  <c r="P115" i="28"/>
  <c r="O117" i="28"/>
  <c r="D129" i="28"/>
  <c r="D123" i="28"/>
  <c r="O111" i="28"/>
  <c r="D130" i="28"/>
  <c r="O118" i="28"/>
  <c r="D128" i="28"/>
  <c r="O116" i="28"/>
  <c r="O120" i="28"/>
  <c r="D132" i="28"/>
  <c r="E126" i="28"/>
  <c r="P114" i="28"/>
  <c r="E123" i="28"/>
  <c r="P111" i="28"/>
  <c r="E124" i="28"/>
  <c r="P112" i="28"/>
  <c r="E129" i="28"/>
  <c r="P117" i="28"/>
  <c r="D124" i="28"/>
  <c r="O112" i="28"/>
  <c r="E128" i="28"/>
  <c r="P116" i="28"/>
  <c r="O113" i="28"/>
  <c r="D125" i="28"/>
  <c r="D131" i="28"/>
  <c r="O119" i="28"/>
  <c r="E130" i="28"/>
  <c r="P118" i="28"/>
  <c r="E121" i="28"/>
  <c r="P109" i="28"/>
  <c r="E122" i="28"/>
  <c r="P110" i="28"/>
  <c r="D122" i="28"/>
  <c r="O110" i="28"/>
  <c r="E124" i="27"/>
  <c r="Q112" i="27"/>
  <c r="E125" i="27"/>
  <c r="Q113" i="27"/>
  <c r="D128" i="27"/>
  <c r="P116" i="27"/>
  <c r="D124" i="27"/>
  <c r="P112" i="27"/>
  <c r="E130" i="27"/>
  <c r="Q118" i="27"/>
  <c r="Q116" i="27"/>
  <c r="E128" i="27"/>
  <c r="P115" i="27"/>
  <c r="D127" i="27"/>
  <c r="Q119" i="27"/>
  <c r="E131" i="27"/>
  <c r="E129" i="27"/>
  <c r="Q117" i="27"/>
  <c r="D132" i="27"/>
  <c r="P120" i="27"/>
  <c r="D123" i="27"/>
  <c r="P111" i="27"/>
  <c r="P113" i="27"/>
  <c r="D125" i="27"/>
  <c r="E132" i="27"/>
  <c r="Q120" i="27"/>
  <c r="D133" i="27"/>
  <c r="P121" i="27"/>
  <c r="E126" i="27"/>
  <c r="Q114" i="27"/>
  <c r="P117" i="27"/>
  <c r="D129" i="27"/>
  <c r="E123" i="27"/>
  <c r="Q111" i="27"/>
  <c r="D126" i="27"/>
  <c r="P114" i="27"/>
  <c r="D130" i="27"/>
  <c r="P118" i="27"/>
  <c r="D131" i="27"/>
  <c r="P119" i="27"/>
  <c r="Q115" i="27"/>
  <c r="E127" i="27"/>
  <c r="Q122" i="27"/>
  <c r="E134" i="27"/>
  <c r="Q134" i="27" s="1"/>
  <c r="E133" i="27"/>
  <c r="Q121" i="27"/>
  <c r="D134" i="27"/>
  <c r="P134" i="27" s="1"/>
  <c r="P122" i="27"/>
  <c r="D131" i="22"/>
  <c r="N119" i="22"/>
  <c r="O115" i="22"/>
  <c r="E127" i="22"/>
  <c r="N114" i="22"/>
  <c r="D126" i="22"/>
  <c r="O113" i="22"/>
  <c r="E125" i="22"/>
  <c r="O119" i="22"/>
  <c r="E131" i="22"/>
  <c r="N116" i="22"/>
  <c r="D128" i="22"/>
  <c r="N117" i="22"/>
  <c r="D129" i="22"/>
  <c r="E132" i="22"/>
  <c r="O120" i="22"/>
  <c r="N115" i="22"/>
  <c r="D127" i="22"/>
  <c r="O118" i="22"/>
  <c r="E130" i="22"/>
  <c r="N113" i="22"/>
  <c r="D125" i="22"/>
  <c r="N118" i="22"/>
  <c r="D130" i="22"/>
  <c r="N112" i="22"/>
  <c r="D124" i="22"/>
  <c r="O114" i="22"/>
  <c r="E126" i="22"/>
  <c r="E128" i="22"/>
  <c r="O116" i="22"/>
  <c r="N111" i="22"/>
  <c r="D123" i="22"/>
  <c r="O117" i="22"/>
  <c r="E129" i="22"/>
  <c r="O111" i="22"/>
  <c r="E123" i="22"/>
  <c r="O112" i="22"/>
  <c r="E124" i="22"/>
  <c r="N120" i="22"/>
  <c r="D132" i="22"/>
  <c r="N121" i="22"/>
  <c r="D133" i="22"/>
  <c r="E122" i="22"/>
  <c r="O110" i="22"/>
  <c r="E121" i="22"/>
  <c r="O109" i="22"/>
  <c r="N110" i="22"/>
  <c r="D122" i="22"/>
  <c r="K144" i="17"/>
  <c r="K132" i="17"/>
  <c r="J120" i="17"/>
  <c r="J143" i="17"/>
  <c r="J131" i="17"/>
  <c r="K126" i="17"/>
  <c r="K138" i="17"/>
  <c r="K127" i="17"/>
  <c r="K139" i="17"/>
  <c r="J142" i="17"/>
  <c r="J130" i="17"/>
  <c r="J140" i="17"/>
  <c r="J128" i="17"/>
  <c r="K140" i="17"/>
  <c r="K128" i="17"/>
  <c r="J137" i="17"/>
  <c r="J125" i="17"/>
  <c r="K129" i="17"/>
  <c r="K141" i="17"/>
  <c r="J124" i="17"/>
  <c r="J136" i="17"/>
  <c r="K143" i="17"/>
  <c r="K131" i="17"/>
  <c r="K124" i="17"/>
  <c r="K136" i="17"/>
  <c r="J135" i="17"/>
  <c r="J123" i="17"/>
  <c r="K137" i="17"/>
  <c r="K125" i="17"/>
  <c r="J141" i="17"/>
  <c r="J129" i="17"/>
  <c r="K130" i="17"/>
  <c r="K142" i="17"/>
  <c r="J138" i="17"/>
  <c r="J126" i="17"/>
  <c r="J139" i="17"/>
  <c r="J127" i="17"/>
  <c r="K123" i="17"/>
  <c r="K135" i="17"/>
  <c r="K121" i="17"/>
  <c r="K134" i="17"/>
  <c r="K122" i="17"/>
  <c r="W54" i="28"/>
  <c r="X54" i="28" s="1"/>
  <c r="L66" i="28"/>
  <c r="W55" i="28"/>
  <c r="X55" i="28" s="1"/>
  <c r="L67" i="28"/>
  <c r="T12" i="12"/>
  <c r="T8" i="12"/>
  <c r="W50" i="28"/>
  <c r="X50" i="28" s="1"/>
  <c r="L62" i="28"/>
  <c r="W52" i="28"/>
  <c r="X52" i="28" s="1"/>
  <c r="L64" i="28"/>
  <c r="W57" i="28"/>
  <c r="X57" i="28" s="1"/>
  <c r="L69" i="28"/>
  <c r="W59" i="28"/>
  <c r="X59" i="28" s="1"/>
  <c r="L71" i="28"/>
  <c r="W53" i="28"/>
  <c r="X53" i="28" s="1"/>
  <c r="L65" i="28"/>
  <c r="W61" i="28"/>
  <c r="X61" i="28" s="1"/>
  <c r="L73" i="28"/>
  <c r="L68" i="28"/>
  <c r="W56" i="28"/>
  <c r="X56" i="28" s="1"/>
  <c r="S67" i="27"/>
  <c r="Z67" i="27" s="1"/>
  <c r="E69" i="32"/>
  <c r="S68" i="27"/>
  <c r="Z68" i="27" s="1"/>
  <c r="S62" i="27"/>
  <c r="Z62" i="27" s="1"/>
  <c r="S64" i="27"/>
  <c r="Z64" i="27" s="1"/>
  <c r="S71" i="27"/>
  <c r="Z71" i="27" s="1"/>
  <c r="S69" i="27"/>
  <c r="Z69" i="27" s="1"/>
  <c r="S72" i="27"/>
  <c r="Z72" i="27" s="1"/>
  <c r="S70" i="27"/>
  <c r="Z70" i="27" s="1"/>
  <c r="S66" i="27"/>
  <c r="Z66" i="27" s="1"/>
  <c r="S65" i="27"/>
  <c r="Z65" i="27" s="1"/>
  <c r="S73" i="27"/>
  <c r="Z73" i="27" s="1"/>
  <c r="M10" i="31"/>
  <c r="W60" i="28"/>
  <c r="X60" i="28" s="1"/>
  <c r="L72" i="28"/>
  <c r="W58" i="28"/>
  <c r="X58" i="28" s="1"/>
  <c r="L70" i="28"/>
  <c r="W51" i="28"/>
  <c r="X51" i="28" s="1"/>
  <c r="L63" i="28"/>
  <c r="H84" i="28"/>
  <c r="S83" i="28"/>
  <c r="L73" i="17"/>
  <c r="N73" i="17" s="1"/>
  <c r="F74" i="17"/>
  <c r="Q80" i="22"/>
  <c r="V80" i="22" s="1"/>
  <c r="T11" i="12" l="1"/>
  <c r="M96" i="27"/>
  <c r="Y84" i="27"/>
  <c r="M94" i="27"/>
  <c r="Y82" i="27"/>
  <c r="M97" i="27"/>
  <c r="Y85" i="27"/>
  <c r="M93" i="27"/>
  <c r="Y81" i="27"/>
  <c r="M95" i="27"/>
  <c r="Y83" i="27"/>
  <c r="O132" i="28"/>
  <c r="D144" i="28"/>
  <c r="O144" i="28" s="1"/>
  <c r="D141" i="28"/>
  <c r="O141" i="28" s="1"/>
  <c r="O129" i="28"/>
  <c r="P132" i="28"/>
  <c r="E144" i="28"/>
  <c r="P144" i="28" s="1"/>
  <c r="P129" i="28"/>
  <c r="E141" i="28"/>
  <c r="P141" i="28" s="1"/>
  <c r="O125" i="28"/>
  <c r="D137" i="28"/>
  <c r="O137" i="28" s="1"/>
  <c r="E143" i="28"/>
  <c r="P143" i="28" s="1"/>
  <c r="P131" i="28"/>
  <c r="D143" i="28"/>
  <c r="O143" i="28" s="1"/>
  <c r="O131" i="28"/>
  <c r="E136" i="28"/>
  <c r="P136" i="28" s="1"/>
  <c r="P124" i="28"/>
  <c r="O128" i="28"/>
  <c r="D140" i="28"/>
  <c r="O140" i="28" s="1"/>
  <c r="P127" i="28"/>
  <c r="E139" i="28"/>
  <c r="P139" i="28" s="1"/>
  <c r="D139" i="28"/>
  <c r="O139" i="28" s="1"/>
  <c r="O127" i="28"/>
  <c r="P128" i="28"/>
  <c r="E140" i="28"/>
  <c r="P140" i="28" s="1"/>
  <c r="E135" i="28"/>
  <c r="P135" i="28" s="1"/>
  <c r="P123" i="28"/>
  <c r="D142" i="28"/>
  <c r="O142" i="28" s="1"/>
  <c r="O130" i="28"/>
  <c r="D138" i="28"/>
  <c r="O138" i="28" s="1"/>
  <c r="O126" i="28"/>
  <c r="E142" i="28"/>
  <c r="P142" i="28" s="1"/>
  <c r="P130" i="28"/>
  <c r="D136" i="28"/>
  <c r="O136" i="28" s="1"/>
  <c r="O124" i="28"/>
  <c r="E138" i="28"/>
  <c r="P138" i="28" s="1"/>
  <c r="P126" i="28"/>
  <c r="O123" i="28"/>
  <c r="D135" i="28"/>
  <c r="O135" i="28" s="1"/>
  <c r="P125" i="28"/>
  <c r="E137" i="28"/>
  <c r="P137" i="28" s="1"/>
  <c r="D145" i="28"/>
  <c r="O145" i="28" s="1"/>
  <c r="O133" i="28"/>
  <c r="E134" i="28"/>
  <c r="P134" i="28" s="1"/>
  <c r="P122" i="28"/>
  <c r="P121" i="28"/>
  <c r="E133" i="28"/>
  <c r="D134" i="28"/>
  <c r="O134" i="28" s="1"/>
  <c r="O122" i="28"/>
  <c r="P129" i="27"/>
  <c r="D141" i="27"/>
  <c r="P141" i="27" s="1"/>
  <c r="P125" i="27"/>
  <c r="D137" i="27"/>
  <c r="P137" i="27" s="1"/>
  <c r="E143" i="27"/>
  <c r="Q143" i="27" s="1"/>
  <c r="Q131" i="27"/>
  <c r="P127" i="27"/>
  <c r="D139" i="27"/>
  <c r="P139" i="27" s="1"/>
  <c r="D136" i="27"/>
  <c r="P136" i="27" s="1"/>
  <c r="P124" i="27"/>
  <c r="D142" i="27"/>
  <c r="P142" i="27" s="1"/>
  <c r="P130" i="27"/>
  <c r="Q126" i="27"/>
  <c r="E138" i="27"/>
  <c r="Q138" i="27" s="1"/>
  <c r="D135" i="27"/>
  <c r="P135" i="27" s="1"/>
  <c r="P123" i="27"/>
  <c r="P128" i="27"/>
  <c r="D140" i="27"/>
  <c r="P140" i="27" s="1"/>
  <c r="Q128" i="27"/>
  <c r="E140" i="27"/>
  <c r="Q140" i="27" s="1"/>
  <c r="P126" i="27"/>
  <c r="D138" i="27"/>
  <c r="P138" i="27" s="1"/>
  <c r="P133" i="27"/>
  <c r="D145" i="27"/>
  <c r="P145" i="27" s="1"/>
  <c r="D144" i="27"/>
  <c r="P144" i="27" s="1"/>
  <c r="P132" i="27"/>
  <c r="E137" i="27"/>
  <c r="Q137" i="27" s="1"/>
  <c r="Q125" i="27"/>
  <c r="E139" i="27"/>
  <c r="Q139" i="27" s="1"/>
  <c r="Q127" i="27"/>
  <c r="D143" i="27"/>
  <c r="P143" i="27" s="1"/>
  <c r="P131" i="27"/>
  <c r="E135" i="27"/>
  <c r="Q135" i="27" s="1"/>
  <c r="Q123" i="27"/>
  <c r="E144" i="27"/>
  <c r="Q144" i="27" s="1"/>
  <c r="Q132" i="27"/>
  <c r="Q129" i="27"/>
  <c r="E141" i="27"/>
  <c r="Q141" i="27" s="1"/>
  <c r="E142" i="27"/>
  <c r="Q142" i="27" s="1"/>
  <c r="Q130" i="27"/>
  <c r="E136" i="27"/>
  <c r="Q136" i="27" s="1"/>
  <c r="Q124" i="27"/>
  <c r="Q133" i="27"/>
  <c r="E145" i="27"/>
  <c r="Q145" i="27" s="1"/>
  <c r="N132" i="22"/>
  <c r="D144" i="22"/>
  <c r="N144" i="22" s="1"/>
  <c r="D135" i="22"/>
  <c r="N135" i="22" s="1"/>
  <c r="N123" i="22"/>
  <c r="D142" i="22"/>
  <c r="N142" i="22" s="1"/>
  <c r="N130" i="22"/>
  <c r="E137" i="22"/>
  <c r="O137" i="22" s="1"/>
  <c r="O125" i="22"/>
  <c r="O124" i="22"/>
  <c r="E136" i="22"/>
  <c r="O136" i="22" s="1"/>
  <c r="N125" i="22"/>
  <c r="D137" i="22"/>
  <c r="N137" i="22" s="1"/>
  <c r="N129" i="22"/>
  <c r="D141" i="22"/>
  <c r="N141" i="22" s="1"/>
  <c r="D138" i="22"/>
  <c r="N138" i="22" s="1"/>
  <c r="N126" i="22"/>
  <c r="O128" i="22"/>
  <c r="E140" i="22"/>
  <c r="O140" i="22" s="1"/>
  <c r="E135" i="22"/>
  <c r="O135" i="22" s="1"/>
  <c r="O123" i="22"/>
  <c r="E138" i="22"/>
  <c r="O138" i="22" s="1"/>
  <c r="O126" i="22"/>
  <c r="E142" i="22"/>
  <c r="O142" i="22" s="1"/>
  <c r="O130" i="22"/>
  <c r="N128" i="22"/>
  <c r="D140" i="22"/>
  <c r="N140" i="22" s="1"/>
  <c r="E139" i="22"/>
  <c r="O139" i="22" s="1"/>
  <c r="O127" i="22"/>
  <c r="D145" i="22"/>
  <c r="N145" i="22" s="1"/>
  <c r="N133" i="22"/>
  <c r="O129" i="22"/>
  <c r="E141" i="22"/>
  <c r="O141" i="22" s="1"/>
  <c r="D136" i="22"/>
  <c r="N136" i="22" s="1"/>
  <c r="N124" i="22"/>
  <c r="D139" i="22"/>
  <c r="N139" i="22" s="1"/>
  <c r="N127" i="22"/>
  <c r="E143" i="22"/>
  <c r="O143" i="22" s="1"/>
  <c r="O131" i="22"/>
  <c r="E144" i="22"/>
  <c r="O144" i="22" s="1"/>
  <c r="O132" i="22"/>
  <c r="D143" i="22"/>
  <c r="N143" i="22" s="1"/>
  <c r="N131" i="22"/>
  <c r="O121" i="22"/>
  <c r="E133" i="22"/>
  <c r="O122" i="22"/>
  <c r="E134" i="22"/>
  <c r="O134" i="22" s="1"/>
  <c r="D134" i="22"/>
  <c r="N134" i="22" s="1"/>
  <c r="N122" i="22"/>
  <c r="J144" i="17"/>
  <c r="J132" i="17"/>
  <c r="K145" i="17"/>
  <c r="K133" i="17"/>
  <c r="L80" i="28"/>
  <c r="W68" i="28"/>
  <c r="X68" i="28" s="1"/>
  <c r="W69" i="28"/>
  <c r="X69" i="28" s="1"/>
  <c r="L81" i="28"/>
  <c r="E70" i="32"/>
  <c r="S80" i="27"/>
  <c r="Z80" i="27" s="1"/>
  <c r="S74" i="27"/>
  <c r="Z74" i="27" s="1"/>
  <c r="S78" i="27"/>
  <c r="Z78" i="27" s="1"/>
  <c r="S83" i="27"/>
  <c r="Z83" i="27" s="1"/>
  <c r="S75" i="27"/>
  <c r="Z75" i="27" s="1"/>
  <c r="S76" i="27"/>
  <c r="Z76" i="27" s="1"/>
  <c r="S84" i="27"/>
  <c r="Z84" i="27" s="1"/>
  <c r="S81" i="27"/>
  <c r="Z81" i="27" s="1"/>
  <c r="S77" i="27"/>
  <c r="Z77" i="27" s="1"/>
  <c r="S82" i="27"/>
  <c r="Z82" i="27" s="1"/>
  <c r="S79" i="27"/>
  <c r="Z79" i="27" s="1"/>
  <c r="M11" i="31"/>
  <c r="S85" i="27"/>
  <c r="Z85" i="27" s="1"/>
  <c r="W73" i="28"/>
  <c r="X73" i="28" s="1"/>
  <c r="L85" i="28"/>
  <c r="L79" i="28"/>
  <c r="W67" i="28"/>
  <c r="X67" i="28" s="1"/>
  <c r="L84" i="28"/>
  <c r="W72" i="28"/>
  <c r="X72" i="28" s="1"/>
  <c r="W63" i="28"/>
  <c r="X63" i="28" s="1"/>
  <c r="L75" i="28"/>
  <c r="W64" i="28"/>
  <c r="X64" i="28" s="1"/>
  <c r="L76" i="28"/>
  <c r="W65" i="28"/>
  <c r="X65" i="28" s="1"/>
  <c r="L77" i="28"/>
  <c r="L78" i="28"/>
  <c r="W66" i="28"/>
  <c r="X66" i="28" s="1"/>
  <c r="W70" i="28"/>
  <c r="X70" i="28" s="1"/>
  <c r="L82" i="28"/>
  <c r="W62" i="28"/>
  <c r="X62" i="28" s="1"/>
  <c r="L74" i="28"/>
  <c r="W8" i="18"/>
  <c r="F14" i="32" s="1"/>
  <c r="I14" i="32" s="1"/>
  <c r="L83" i="28"/>
  <c r="W71" i="28"/>
  <c r="X71" i="28" s="1"/>
  <c r="H85" i="28"/>
  <c r="S84" i="28"/>
  <c r="Q81" i="22"/>
  <c r="V81" i="22" s="1"/>
  <c r="L74" i="17"/>
  <c r="F75" i="17"/>
  <c r="M109" i="27" l="1"/>
  <c r="Y97" i="27"/>
  <c r="M108" i="27"/>
  <c r="Y96" i="27"/>
  <c r="M105" i="27"/>
  <c r="Y93" i="27"/>
  <c r="M106" i="27"/>
  <c r="Y94" i="27"/>
  <c r="M107" i="27"/>
  <c r="Y95" i="27"/>
  <c r="W9" i="18"/>
  <c r="E145" i="28"/>
  <c r="P145" i="28" s="1"/>
  <c r="P133" i="28"/>
  <c r="E145" i="22"/>
  <c r="O145" i="22" s="1"/>
  <c r="O133" i="22"/>
  <c r="L95" i="28"/>
  <c r="W83" i="28"/>
  <c r="X83" i="28" s="1"/>
  <c r="L90" i="28"/>
  <c r="W78" i="28"/>
  <c r="X78" i="28" s="1"/>
  <c r="L96" i="28"/>
  <c r="W84" i="28"/>
  <c r="X84" i="28" s="1"/>
  <c r="W77" i="28"/>
  <c r="X77" i="28" s="1"/>
  <c r="L89" i="28"/>
  <c r="W79" i="28"/>
  <c r="X79" i="28" s="1"/>
  <c r="L91" i="28"/>
  <c r="L86" i="28"/>
  <c r="W74" i="28"/>
  <c r="X74" i="28" s="1"/>
  <c r="L88" i="28"/>
  <c r="W76" i="28"/>
  <c r="X76" i="28" s="1"/>
  <c r="L97" i="28"/>
  <c r="W85" i="28"/>
  <c r="L93" i="28"/>
  <c r="W81" i="28"/>
  <c r="X81" i="28" s="1"/>
  <c r="L94" i="28"/>
  <c r="W82" i="28"/>
  <c r="X82" i="28" s="1"/>
  <c r="L87" i="28"/>
  <c r="W75" i="28"/>
  <c r="X75" i="28" s="1"/>
  <c r="E71" i="32"/>
  <c r="S86" i="27"/>
  <c r="Z86" i="27" s="1"/>
  <c r="S87" i="27"/>
  <c r="Z87" i="27" s="1"/>
  <c r="M12" i="31"/>
  <c r="S88" i="27"/>
  <c r="Z88" i="27" s="1"/>
  <c r="L92" i="28"/>
  <c r="W80" i="28"/>
  <c r="X80" i="28" s="1"/>
  <c r="H86" i="28"/>
  <c r="S85" i="28"/>
  <c r="F76" i="17"/>
  <c r="L75" i="17"/>
  <c r="Q82" i="22"/>
  <c r="V82" i="22" s="1"/>
  <c r="X9" i="18" l="1"/>
  <c r="H14" i="29"/>
  <c r="J14" i="29" s="1"/>
  <c r="D45" i="32" s="1"/>
  <c r="M117" i="27"/>
  <c r="Y105" i="27"/>
  <c r="M120" i="27"/>
  <c r="Y108" i="27"/>
  <c r="M119" i="27"/>
  <c r="Y107" i="27"/>
  <c r="M118" i="27"/>
  <c r="Y106" i="27"/>
  <c r="M121" i="27"/>
  <c r="Y109" i="27"/>
  <c r="F15" i="32"/>
  <c r="X85" i="28"/>
  <c r="W10" i="18" s="1"/>
  <c r="W97" i="28"/>
  <c r="L109" i="28"/>
  <c r="W89" i="28"/>
  <c r="L101" i="28"/>
  <c r="W94" i="28"/>
  <c r="L106" i="28"/>
  <c r="W88" i="28"/>
  <c r="L100" i="28"/>
  <c r="W96" i="28"/>
  <c r="L108" i="28"/>
  <c r="W86" i="28"/>
  <c r="L98" i="28"/>
  <c r="W90" i="28"/>
  <c r="L102" i="28"/>
  <c r="E72" i="32"/>
  <c r="S107" i="27"/>
  <c r="Z107" i="27" s="1"/>
  <c r="S104" i="27"/>
  <c r="Z104" i="27" s="1"/>
  <c r="M13" i="31"/>
  <c r="S109" i="27"/>
  <c r="Z109" i="27" s="1"/>
  <c r="S105" i="27"/>
  <c r="Z105" i="27" s="1"/>
  <c r="S99" i="27"/>
  <c r="Z99" i="27" s="1"/>
  <c r="S102" i="27"/>
  <c r="Z102" i="27" s="1"/>
  <c r="S108" i="27"/>
  <c r="S100" i="27"/>
  <c r="Z100" i="27" s="1"/>
  <c r="S98" i="27"/>
  <c r="Z98" i="27" s="1"/>
  <c r="S101" i="27"/>
  <c r="Z101" i="27" s="1"/>
  <c r="S106" i="27"/>
  <c r="Z106" i="27" s="1"/>
  <c r="S103" i="27"/>
  <c r="Z103" i="27" s="1"/>
  <c r="W92" i="28"/>
  <c r="L104" i="28"/>
  <c r="W93" i="28"/>
  <c r="L105" i="28"/>
  <c r="W91" i="28"/>
  <c r="L103" i="28"/>
  <c r="W87" i="28"/>
  <c r="L99" i="28"/>
  <c r="W95" i="28"/>
  <c r="L107" i="28"/>
  <c r="H87" i="28"/>
  <c r="S86" i="28"/>
  <c r="X86" i="28" s="1"/>
  <c r="S89" i="27"/>
  <c r="Z89" i="27" s="1"/>
  <c r="Q83" i="22"/>
  <c r="V83" i="22" s="1"/>
  <c r="L76" i="17"/>
  <c r="F77" i="17"/>
  <c r="F16" i="32" l="1"/>
  <c r="B6" i="34"/>
  <c r="M130" i="27"/>
  <c r="Y118" i="27"/>
  <c r="M132" i="27"/>
  <c r="Y120" i="27"/>
  <c r="M133" i="27"/>
  <c r="Y121" i="27"/>
  <c r="M131" i="27"/>
  <c r="Y119" i="27"/>
  <c r="Z108" i="27"/>
  <c r="Q12" i="18" s="1"/>
  <c r="C17" i="29" s="1"/>
  <c r="E17" i="29" s="1"/>
  <c r="M129" i="27"/>
  <c r="Y117" i="27"/>
  <c r="L112" i="28"/>
  <c r="W100" i="28"/>
  <c r="L119" i="28"/>
  <c r="W107" i="28"/>
  <c r="W104" i="28"/>
  <c r="L116" i="28"/>
  <c r="L114" i="28"/>
  <c r="W102" i="28"/>
  <c r="W105" i="28"/>
  <c r="L117" i="28"/>
  <c r="W106" i="28"/>
  <c r="L118" i="28"/>
  <c r="L111" i="28"/>
  <c r="W99" i="28"/>
  <c r="L110" i="28"/>
  <c r="W98" i="28"/>
  <c r="W101" i="28"/>
  <c r="L113" i="28"/>
  <c r="L115" i="28"/>
  <c r="W103" i="28"/>
  <c r="E73" i="32"/>
  <c r="S119" i="27"/>
  <c r="Z119" i="27" s="1"/>
  <c r="S121" i="27"/>
  <c r="Z121" i="27" s="1"/>
  <c r="S114" i="27"/>
  <c r="Z114" i="27" s="1"/>
  <c r="S115" i="27"/>
  <c r="Z115" i="27" s="1"/>
  <c r="M14" i="31"/>
  <c r="S113" i="27"/>
  <c r="Z113" i="27" s="1"/>
  <c r="S118" i="27"/>
  <c r="Z118" i="27" s="1"/>
  <c r="S117" i="27"/>
  <c r="Z117" i="27" s="1"/>
  <c r="S111" i="27"/>
  <c r="Z111" i="27" s="1"/>
  <c r="S112" i="27"/>
  <c r="Z112" i="27" s="1"/>
  <c r="S120" i="27"/>
  <c r="Z120" i="27" s="1"/>
  <c r="S116" i="27"/>
  <c r="Z116" i="27" s="1"/>
  <c r="S110" i="27"/>
  <c r="Z110" i="27" s="1"/>
  <c r="L120" i="28"/>
  <c r="W108" i="28"/>
  <c r="W109" i="28"/>
  <c r="L121" i="28"/>
  <c r="H88" i="28"/>
  <c r="S87" i="28"/>
  <c r="X87" i="28" s="1"/>
  <c r="S90" i="27"/>
  <c r="Z90" i="27" s="1"/>
  <c r="L77" i="17"/>
  <c r="F78" i="17"/>
  <c r="Q84" i="22"/>
  <c r="V84" i="22" s="1"/>
  <c r="M141" i="27" l="1"/>
  <c r="Y141" i="27" s="1"/>
  <c r="Y129" i="27"/>
  <c r="M143" i="27"/>
  <c r="Y143" i="27" s="1"/>
  <c r="Y131" i="27"/>
  <c r="M144" i="27"/>
  <c r="Y144" i="27" s="1"/>
  <c r="Y132" i="27"/>
  <c r="M145" i="27"/>
  <c r="Y145" i="27" s="1"/>
  <c r="Y133" i="27"/>
  <c r="M142" i="27"/>
  <c r="Y142" i="27" s="1"/>
  <c r="Y130" i="27"/>
  <c r="B25" i="34"/>
  <c r="Q13" i="18"/>
  <c r="C18" i="29" s="1"/>
  <c r="E18" i="29" s="1"/>
  <c r="E18" i="32"/>
  <c r="L128" i="28"/>
  <c r="W116" i="28"/>
  <c r="W114" i="28"/>
  <c r="L126" i="28"/>
  <c r="K25" i="34"/>
  <c r="C48" i="32"/>
  <c r="L123" i="28"/>
  <c r="W111" i="28"/>
  <c r="W110" i="28"/>
  <c r="L122" i="28"/>
  <c r="L132" i="28"/>
  <c r="W120" i="28"/>
  <c r="L127" i="28"/>
  <c r="W115" i="28"/>
  <c r="L130" i="28"/>
  <c r="W118" i="28"/>
  <c r="L131" i="28"/>
  <c r="W119" i="28"/>
  <c r="L133" i="28"/>
  <c r="W121" i="28"/>
  <c r="W113" i="28"/>
  <c r="L125" i="28"/>
  <c r="W117" i="28"/>
  <c r="L129" i="28"/>
  <c r="E74" i="32"/>
  <c r="S123" i="27"/>
  <c r="Z123" i="27" s="1"/>
  <c r="S130" i="27"/>
  <c r="Z130" i="27" s="1"/>
  <c r="S132" i="27"/>
  <c r="M15" i="31"/>
  <c r="S127" i="27"/>
  <c r="Z127" i="27" s="1"/>
  <c r="S125" i="27"/>
  <c r="Z125" i="27" s="1"/>
  <c r="S126" i="27"/>
  <c r="Z126" i="27" s="1"/>
  <c r="S133" i="27"/>
  <c r="Z133" i="27" s="1"/>
  <c r="S131" i="27"/>
  <c r="Z131" i="27" s="1"/>
  <c r="S122" i="27"/>
  <c r="S124" i="27"/>
  <c r="Z124" i="27" s="1"/>
  <c r="S128" i="27"/>
  <c r="Z128" i="27" s="1"/>
  <c r="S129" i="27"/>
  <c r="W112" i="28"/>
  <c r="L124" i="28"/>
  <c r="H89" i="28"/>
  <c r="S88" i="28"/>
  <c r="X88" i="28" s="1"/>
  <c r="S91" i="27"/>
  <c r="Z91" i="27" s="1"/>
  <c r="Q85" i="22"/>
  <c r="V85" i="22" s="1"/>
  <c r="L78" i="17"/>
  <c r="F79" i="17"/>
  <c r="Z122" i="27" l="1"/>
  <c r="Z129" i="27"/>
  <c r="Z132" i="27"/>
  <c r="E19" i="32"/>
  <c r="B35" i="34"/>
  <c r="R13" i="18"/>
  <c r="W133" i="28"/>
  <c r="L145" i="28"/>
  <c r="W145" i="28" s="1"/>
  <c r="W130" i="28"/>
  <c r="L142" i="28"/>
  <c r="W142" i="28" s="1"/>
  <c r="W123" i="28"/>
  <c r="L135" i="28"/>
  <c r="W135" i="28" s="1"/>
  <c r="L139" i="28"/>
  <c r="W139" i="28" s="1"/>
  <c r="W127" i="28"/>
  <c r="W129" i="28"/>
  <c r="L141" i="28"/>
  <c r="W141" i="28" s="1"/>
  <c r="L138" i="28"/>
  <c r="W138" i="28" s="1"/>
  <c r="W126" i="28"/>
  <c r="C49" i="32"/>
  <c r="K35" i="34"/>
  <c r="W132" i="28"/>
  <c r="L144" i="28"/>
  <c r="W144" i="28" s="1"/>
  <c r="L136" i="28"/>
  <c r="W136" i="28" s="1"/>
  <c r="W124" i="28"/>
  <c r="W125" i="28"/>
  <c r="L137" i="28"/>
  <c r="W137" i="28" s="1"/>
  <c r="L134" i="28"/>
  <c r="W134" i="28" s="1"/>
  <c r="W122" i="28"/>
  <c r="E75" i="32"/>
  <c r="S145" i="27"/>
  <c r="Z145" i="27" s="1"/>
  <c r="S138" i="27"/>
  <c r="Z138" i="27" s="1"/>
  <c r="S134" i="27"/>
  <c r="S136" i="27"/>
  <c r="Z136" i="27" s="1"/>
  <c r="S135" i="27"/>
  <c r="Z135" i="27" s="1"/>
  <c r="S140" i="27"/>
  <c r="Z140" i="27" s="1"/>
  <c r="S141" i="27"/>
  <c r="Z141" i="27" s="1"/>
  <c r="S142" i="27"/>
  <c r="Z142" i="27" s="1"/>
  <c r="S144" i="27"/>
  <c r="Z144" i="27" s="1"/>
  <c r="S143" i="27"/>
  <c r="Z143" i="27" s="1"/>
  <c r="S139" i="27"/>
  <c r="Z139" i="27" s="1"/>
  <c r="S137" i="27"/>
  <c r="Z137" i="27" s="1"/>
  <c r="W131" i="28"/>
  <c r="L143" i="28"/>
  <c r="W143" i="28" s="1"/>
  <c r="W128" i="28"/>
  <c r="L140" i="28"/>
  <c r="W140" i="28" s="1"/>
  <c r="H90" i="28"/>
  <c r="S89" i="28"/>
  <c r="X89" i="28" s="1"/>
  <c r="S92" i="27"/>
  <c r="Z92" i="27" s="1"/>
  <c r="L79" i="17"/>
  <c r="F80" i="17"/>
  <c r="Q86" i="22"/>
  <c r="V86" i="22" s="1"/>
  <c r="Q14" i="18" l="1"/>
  <c r="E20" i="32" s="1"/>
  <c r="Z134" i="27"/>
  <c r="Q15" i="18" s="1"/>
  <c r="H91" i="28"/>
  <c r="S90" i="28"/>
  <c r="X90" i="28" s="1"/>
  <c r="S93" i="27"/>
  <c r="Z93" i="27" s="1"/>
  <c r="Q87" i="22"/>
  <c r="V87" i="22" s="1"/>
  <c r="F81" i="17"/>
  <c r="L80" i="17"/>
  <c r="R15" i="18" l="1"/>
  <c r="B45" i="34"/>
  <c r="C19" i="29"/>
  <c r="E19" i="29" s="1"/>
  <c r="K45" i="34" s="1"/>
  <c r="R14" i="18"/>
  <c r="C20" i="29"/>
  <c r="E20" i="29" s="1"/>
  <c r="K55" i="34" s="1"/>
  <c r="E21" i="32"/>
  <c r="B55" i="34"/>
  <c r="H92" i="28"/>
  <c r="S91" i="28"/>
  <c r="X91" i="28" s="1"/>
  <c r="S94" i="27"/>
  <c r="Z94" i="27" s="1"/>
  <c r="L81" i="17"/>
  <c r="F82" i="17"/>
  <c r="Q88" i="22"/>
  <c r="V88" i="22" s="1"/>
  <c r="C50" i="32" l="1"/>
  <c r="C51" i="32"/>
  <c r="H93" i="28"/>
  <c r="S92" i="28"/>
  <c r="X92" i="28" s="1"/>
  <c r="S95" i="27"/>
  <c r="Z95" i="27" s="1"/>
  <c r="Q89" i="22"/>
  <c r="V89" i="22" s="1"/>
  <c r="F83" i="17"/>
  <c r="L82" i="17"/>
  <c r="H94" i="28" l="1"/>
  <c r="S93" i="28"/>
  <c r="X93" i="28" s="1"/>
  <c r="S96" i="27"/>
  <c r="Z96" i="27" s="1"/>
  <c r="S97" i="27"/>
  <c r="Z97" i="27" s="1"/>
  <c r="F84" i="17"/>
  <c r="L83" i="17"/>
  <c r="Q90" i="22"/>
  <c r="V90" i="22" s="1"/>
  <c r="H95" i="28" l="1"/>
  <c r="S94" i="28"/>
  <c r="X94" i="28" s="1"/>
  <c r="Q91" i="22"/>
  <c r="V91" i="22" s="1"/>
  <c r="F85" i="17"/>
  <c r="L84" i="17"/>
  <c r="H96" i="28" l="1"/>
  <c r="S95" i="28"/>
  <c r="X95" i="28" s="1"/>
  <c r="F86" i="17"/>
  <c r="L85" i="17"/>
  <c r="Q92" i="22"/>
  <c r="V92" i="22" s="1"/>
  <c r="H97" i="28" l="1"/>
  <c r="S96" i="28"/>
  <c r="X96" i="28" s="1"/>
  <c r="Q93" i="22"/>
  <c r="V93" i="22" s="1"/>
  <c r="L86" i="17"/>
  <c r="F87" i="17"/>
  <c r="S97" i="28" l="1"/>
  <c r="X97" i="28" s="1"/>
  <c r="H98" i="28"/>
  <c r="L87" i="17"/>
  <c r="F88" i="17"/>
  <c r="Q94" i="22"/>
  <c r="V94" i="22" s="1"/>
  <c r="H99" i="28" l="1"/>
  <c r="S98" i="28"/>
  <c r="X98" i="28" s="1"/>
  <c r="H15" i="29"/>
  <c r="J15" i="29" s="1"/>
  <c r="X10" i="18"/>
  <c r="X7" i="18"/>
  <c r="X8" i="18"/>
  <c r="Q95" i="22"/>
  <c r="V95" i="22" s="1"/>
  <c r="L88" i="17"/>
  <c r="F89" i="17"/>
  <c r="D46" i="32" l="1"/>
  <c r="K6" i="34"/>
  <c r="H100" i="28"/>
  <c r="S99" i="28"/>
  <c r="X99" i="28" s="1"/>
  <c r="Q10" i="18"/>
  <c r="Q11" i="18"/>
  <c r="F90" i="17"/>
  <c r="L89" i="17"/>
  <c r="Q96" i="22"/>
  <c r="V96" i="22" s="1"/>
  <c r="E16" i="32" l="1"/>
  <c r="B5" i="34"/>
  <c r="Q97" i="22"/>
  <c r="V97" i="22" s="1"/>
  <c r="S100" i="28"/>
  <c r="X100" i="28" s="1"/>
  <c r="H101" i="28"/>
  <c r="R12" i="18"/>
  <c r="E17" i="32"/>
  <c r="B15" i="34"/>
  <c r="C16" i="29"/>
  <c r="E16" i="29" s="1"/>
  <c r="R11" i="18"/>
  <c r="C15" i="29"/>
  <c r="E15" i="29" s="1"/>
  <c r="L90" i="17"/>
  <c r="F91" i="17"/>
  <c r="C46" i="32" l="1"/>
  <c r="F46" i="32" s="1"/>
  <c r="K5" i="34"/>
  <c r="Q98" i="22"/>
  <c r="V98" i="22" s="1"/>
  <c r="S101" i="28"/>
  <c r="X101" i="28" s="1"/>
  <c r="H102" i="28"/>
  <c r="C47" i="32"/>
  <c r="K15" i="34"/>
  <c r="F92" i="17"/>
  <c r="L91" i="17"/>
  <c r="K7" i="34" l="1"/>
  <c r="L5" i="34" s="1"/>
  <c r="H103" i="28"/>
  <c r="S102" i="28"/>
  <c r="X102" i="28" s="1"/>
  <c r="Q99" i="22"/>
  <c r="V99" i="22" s="1"/>
  <c r="F93" i="17"/>
  <c r="L92" i="17"/>
  <c r="L6" i="34" l="1"/>
  <c r="L4" i="34"/>
  <c r="L3" i="34"/>
  <c r="Q100" i="22"/>
  <c r="V100" i="22" s="1"/>
  <c r="H104" i="28"/>
  <c r="S103" i="28"/>
  <c r="X103" i="28" s="1"/>
  <c r="F94" i="17"/>
  <c r="L93" i="17"/>
  <c r="H105" i="28" l="1"/>
  <c r="S104" i="28"/>
  <c r="X104" i="28" s="1"/>
  <c r="Q101" i="22"/>
  <c r="V101" i="22" s="1"/>
  <c r="L94" i="17"/>
  <c r="F95" i="17"/>
  <c r="Q102" i="22" l="1"/>
  <c r="V102" i="22" s="1"/>
  <c r="S105" i="28"/>
  <c r="X105" i="28" s="1"/>
  <c r="H106" i="28"/>
  <c r="L95" i="17"/>
  <c r="F96" i="17"/>
  <c r="H107" i="28" l="1"/>
  <c r="S106" i="28"/>
  <c r="X106" i="28" s="1"/>
  <c r="Q103" i="22"/>
  <c r="V103" i="22" s="1"/>
  <c r="F97" i="17"/>
  <c r="L96" i="17"/>
  <c r="L97" i="17" l="1"/>
  <c r="F98" i="17"/>
  <c r="Q104" i="22"/>
  <c r="V104" i="22" s="1"/>
  <c r="S107" i="28"/>
  <c r="X107" i="28" s="1"/>
  <c r="H108" i="28"/>
  <c r="S63" i="27"/>
  <c r="Z63" i="27" l="1"/>
  <c r="Q9" i="18" s="1"/>
  <c r="Q105" i="22"/>
  <c r="V105" i="22" s="1"/>
  <c r="F99" i="17"/>
  <c r="L98" i="17"/>
  <c r="H109" i="28"/>
  <c r="S108" i="28"/>
  <c r="X108" i="28" s="1"/>
  <c r="F39" i="32"/>
  <c r="R9" i="18" l="1"/>
  <c r="C14" i="29"/>
  <c r="E14" i="29" s="1"/>
  <c r="C45" i="32" s="1"/>
  <c r="F45" i="32" s="1"/>
  <c r="R10" i="18"/>
  <c r="E15" i="32"/>
  <c r="S109" i="28"/>
  <c r="X109" i="28" s="1"/>
  <c r="H110" i="28"/>
  <c r="F100" i="17"/>
  <c r="L99" i="17"/>
  <c r="Q106" i="22"/>
  <c r="V106" i="22" s="1"/>
  <c r="F101" i="17" l="1"/>
  <c r="L100" i="17"/>
  <c r="Q107" i="22"/>
  <c r="V107" i="22" s="1"/>
  <c r="H111" i="28"/>
  <c r="S110" i="28"/>
  <c r="X110" i="28" s="1"/>
  <c r="S111" i="28" l="1"/>
  <c r="X111" i="28" s="1"/>
  <c r="H112" i="28"/>
  <c r="Q108" i="22"/>
  <c r="V108" i="22" s="1"/>
  <c r="F102" i="17"/>
  <c r="L101" i="17"/>
  <c r="H113" i="28" l="1"/>
  <c r="S112" i="28"/>
  <c r="X112" i="28" s="1"/>
  <c r="F103" i="17"/>
  <c r="L102" i="17"/>
  <c r="Q109" i="22"/>
  <c r="V109" i="22" s="1"/>
  <c r="Q110" i="22" l="1"/>
  <c r="V110" i="22" s="1"/>
  <c r="F104" i="17"/>
  <c r="L103" i="17"/>
  <c r="S113" i="28"/>
  <c r="X113" i="28" s="1"/>
  <c r="H114" i="28"/>
  <c r="H115" i="28" l="1"/>
  <c r="S114" i="28"/>
  <c r="X114" i="28" s="1"/>
  <c r="F105" i="17"/>
  <c r="L104" i="17"/>
  <c r="Q111" i="22"/>
  <c r="V111" i="22" s="1"/>
  <c r="Q112" i="22" l="1"/>
  <c r="V112" i="22" s="1"/>
  <c r="F106" i="17"/>
  <c r="L105" i="17"/>
  <c r="S115" i="28"/>
  <c r="X115" i="28" s="1"/>
  <c r="H116" i="28"/>
  <c r="F107" i="17" l="1"/>
  <c r="L106" i="17"/>
  <c r="H117" i="28"/>
  <c r="S116" i="28"/>
  <c r="X116" i="28" s="1"/>
  <c r="Q113" i="22"/>
  <c r="V113" i="22" s="1"/>
  <c r="H118" i="28" l="1"/>
  <c r="S117" i="28"/>
  <c r="X117" i="28" s="1"/>
  <c r="Q114" i="22"/>
  <c r="V114" i="22" s="1"/>
  <c r="F108" i="17"/>
  <c r="L107" i="17"/>
  <c r="F109" i="17" l="1"/>
  <c r="L108" i="17"/>
  <c r="Q115" i="22"/>
  <c r="V115" i="22" s="1"/>
  <c r="H119" i="28"/>
  <c r="S118" i="28"/>
  <c r="X118" i="28" s="1"/>
  <c r="H120" i="28" l="1"/>
  <c r="S119" i="28"/>
  <c r="X119" i="28" s="1"/>
  <c r="Q116" i="22"/>
  <c r="V116" i="22" s="1"/>
  <c r="L109" i="17"/>
  <c r="F110" i="17"/>
  <c r="F111" i="17" l="1"/>
  <c r="L110" i="17"/>
  <c r="Q117" i="22"/>
  <c r="V117" i="22" s="1"/>
  <c r="S120" i="28"/>
  <c r="X120" i="28" s="1"/>
  <c r="H121" i="28"/>
  <c r="S121" i="28" l="1"/>
  <c r="X121" i="28" s="1"/>
  <c r="H122" i="28"/>
  <c r="Q118" i="22"/>
  <c r="V118" i="22" s="1"/>
  <c r="F112" i="17"/>
  <c r="L111" i="17"/>
  <c r="F113" i="17" l="1"/>
  <c r="L112" i="17"/>
  <c r="Q119" i="22"/>
  <c r="V119" i="22" s="1"/>
  <c r="H123" i="28"/>
  <c r="S122" i="28"/>
  <c r="X122" i="28" s="1"/>
  <c r="S123" i="28" l="1"/>
  <c r="X123" i="28" s="1"/>
  <c r="H124" i="28"/>
  <c r="Q120" i="22"/>
  <c r="V120" i="22" s="1"/>
  <c r="F114" i="17"/>
  <c r="L113" i="17"/>
  <c r="F115" i="17" l="1"/>
  <c r="L114" i="17"/>
  <c r="Q121" i="22"/>
  <c r="V121" i="22" s="1"/>
  <c r="H125" i="28"/>
  <c r="S124" i="28"/>
  <c r="X124" i="28" s="1"/>
  <c r="S125" i="28" l="1"/>
  <c r="X125" i="28" s="1"/>
  <c r="H126" i="28"/>
  <c r="Q122" i="22"/>
  <c r="V122" i="22" s="1"/>
  <c r="F116" i="17"/>
  <c r="L115" i="17"/>
  <c r="F117" i="17" l="1"/>
  <c r="L116" i="17"/>
  <c r="Q123" i="22"/>
  <c r="V123" i="22" s="1"/>
  <c r="S126" i="28"/>
  <c r="X126" i="28" s="1"/>
  <c r="H127" i="28"/>
  <c r="Q124" i="22" l="1"/>
  <c r="V124" i="22" s="1"/>
  <c r="H128" i="28"/>
  <c r="S127" i="28"/>
  <c r="X127" i="28" s="1"/>
  <c r="F118" i="17"/>
  <c r="L117" i="17"/>
  <c r="F119" i="17" l="1"/>
  <c r="L118" i="17"/>
  <c r="S128" i="28"/>
  <c r="X128" i="28" s="1"/>
  <c r="H129" i="28"/>
  <c r="Q125" i="22"/>
  <c r="V125" i="22" s="1"/>
  <c r="Q126" i="22" l="1"/>
  <c r="V126" i="22" s="1"/>
  <c r="H130" i="28"/>
  <c r="S129" i="28"/>
  <c r="X129" i="28" s="1"/>
  <c r="F120" i="17"/>
  <c r="L119" i="17"/>
  <c r="F121" i="17" l="1"/>
  <c r="L120" i="17"/>
  <c r="S130" i="28"/>
  <c r="X130" i="28" s="1"/>
  <c r="H131" i="28"/>
  <c r="Q127" i="22"/>
  <c r="V127" i="22" s="1"/>
  <c r="S131" i="28" l="1"/>
  <c r="X131" i="28" s="1"/>
  <c r="H132" i="28"/>
  <c r="Q128" i="22"/>
  <c r="V128" i="22" s="1"/>
  <c r="F122" i="17"/>
  <c r="L121" i="17"/>
  <c r="F123" i="17" l="1"/>
  <c r="L122" i="17"/>
  <c r="Q129" i="22"/>
  <c r="V129" i="22" s="1"/>
  <c r="H133" i="28"/>
  <c r="S132" i="28"/>
  <c r="X132" i="28" s="1"/>
  <c r="S133" i="28" l="1"/>
  <c r="X133" i="28" s="1"/>
  <c r="H134" i="28"/>
  <c r="Q130" i="22"/>
  <c r="V130" i="22" s="1"/>
  <c r="F124" i="17"/>
  <c r="L123" i="17"/>
  <c r="F125" i="17" l="1"/>
  <c r="L124" i="17"/>
  <c r="Q131" i="22"/>
  <c r="V131" i="22" s="1"/>
  <c r="H135" i="28"/>
  <c r="S134" i="28"/>
  <c r="X134" i="28" s="1"/>
  <c r="H136" i="28" l="1"/>
  <c r="S135" i="28"/>
  <c r="X135" i="28" s="1"/>
  <c r="Q132" i="22"/>
  <c r="V132" i="22" s="1"/>
  <c r="F126" i="17"/>
  <c r="L125" i="17"/>
  <c r="F127" i="17" l="1"/>
  <c r="L126" i="17"/>
  <c r="Q133" i="22"/>
  <c r="V133" i="22" s="1"/>
  <c r="S136" i="28"/>
  <c r="X136" i="28" s="1"/>
  <c r="H137" i="28"/>
  <c r="Q134" i="22" l="1"/>
  <c r="V134" i="22" s="1"/>
  <c r="H138" i="28"/>
  <c r="S137" i="28"/>
  <c r="X137" i="28" s="1"/>
  <c r="F128" i="17"/>
  <c r="L127" i="17"/>
  <c r="F129" i="17" l="1"/>
  <c r="L128" i="17"/>
  <c r="H139" i="28"/>
  <c r="S138" i="28"/>
  <c r="X138" i="28" s="1"/>
  <c r="Q135" i="22"/>
  <c r="V135" i="22" s="1"/>
  <c r="Q136" i="22" l="1"/>
  <c r="V136" i="22" s="1"/>
  <c r="H140" i="28"/>
  <c r="S139" i="28"/>
  <c r="X139" i="28" s="1"/>
  <c r="F130" i="17"/>
  <c r="L129" i="17"/>
  <c r="F131" i="17" l="1"/>
  <c r="L130" i="17"/>
  <c r="S140" i="28"/>
  <c r="X140" i="28" s="1"/>
  <c r="H141" i="28"/>
  <c r="Q137" i="22"/>
  <c r="V137" i="22" s="1"/>
  <c r="H142" i="28" l="1"/>
  <c r="S141" i="28"/>
  <c r="X141" i="28" s="1"/>
  <c r="Q138" i="22"/>
  <c r="V138" i="22" s="1"/>
  <c r="F132" i="17"/>
  <c r="L131" i="17"/>
  <c r="Q139" i="22" l="1"/>
  <c r="V139" i="22" s="1"/>
  <c r="F133" i="17"/>
  <c r="L132" i="17"/>
  <c r="H143" i="28"/>
  <c r="S142" i="28"/>
  <c r="X142" i="28" s="1"/>
  <c r="S143" i="28" l="1"/>
  <c r="X143" i="28" s="1"/>
  <c r="H144" i="28"/>
  <c r="F134" i="17"/>
  <c r="L133" i="17"/>
  <c r="Q140" i="22"/>
  <c r="V140" i="22" s="1"/>
  <c r="Q141" i="22" l="1"/>
  <c r="V141" i="22" s="1"/>
  <c r="F135" i="17"/>
  <c r="L134" i="17"/>
  <c r="S144" i="28"/>
  <c r="X144" i="28" s="1"/>
  <c r="H145" i="28"/>
  <c r="S145" i="28" s="1"/>
  <c r="X145" i="28" s="1"/>
  <c r="W11" i="18" l="1"/>
  <c r="W12" i="18"/>
  <c r="W13" i="18"/>
  <c r="W14" i="18"/>
  <c r="W15" i="18"/>
  <c r="F136" i="17"/>
  <c r="L135" i="17"/>
  <c r="Q142" i="22"/>
  <c r="V142" i="22" s="1"/>
  <c r="Q143" i="22" l="1"/>
  <c r="V143" i="22" s="1"/>
  <c r="F137" i="17"/>
  <c r="L136" i="17"/>
  <c r="H20" i="29"/>
  <c r="J20" i="29" s="1"/>
  <c r="B56" i="34"/>
  <c r="F21" i="32"/>
  <c r="X15" i="18"/>
  <c r="H19" i="29"/>
  <c r="J19" i="29" s="1"/>
  <c r="B46" i="34"/>
  <c r="F20" i="32"/>
  <c r="X14" i="18"/>
  <c r="H18" i="29"/>
  <c r="J18" i="29" s="1"/>
  <c r="F19" i="32"/>
  <c r="B36" i="34"/>
  <c r="X13" i="18"/>
  <c r="B26" i="34"/>
  <c r="F18" i="32"/>
  <c r="X12" i="18"/>
  <c r="H17" i="29"/>
  <c r="J17" i="29" s="1"/>
  <c r="F17" i="32"/>
  <c r="B16" i="34"/>
  <c r="X11" i="18"/>
  <c r="H16" i="29"/>
  <c r="J16" i="29" s="1"/>
  <c r="D51" i="32" l="1"/>
  <c r="F51" i="32" s="1"/>
  <c r="G51" i="32" s="1"/>
  <c r="K56" i="34"/>
  <c r="D48" i="32"/>
  <c r="F48" i="32" s="1"/>
  <c r="K26" i="34"/>
  <c r="F138" i="17"/>
  <c r="L137" i="17"/>
  <c r="K16" i="34"/>
  <c r="D47" i="32"/>
  <c r="F47" i="32" s="1"/>
  <c r="D49" i="32"/>
  <c r="F49" i="32" s="1"/>
  <c r="K36" i="34"/>
  <c r="D50" i="32"/>
  <c r="F50" i="32" s="1"/>
  <c r="K46" i="34"/>
  <c r="Q145" i="22"/>
  <c r="V145" i="22" s="1"/>
  <c r="Q144" i="22"/>
  <c r="V144" i="22" s="1"/>
  <c r="K17" i="34" l="1"/>
  <c r="L16" i="34" s="1"/>
  <c r="K57" i="34"/>
  <c r="K47" i="34"/>
  <c r="L46" i="34" s="1"/>
  <c r="K10" i="18"/>
  <c r="B4" i="34" s="1"/>
  <c r="K11" i="18"/>
  <c r="K12" i="18"/>
  <c r="K13" i="18"/>
  <c r="K14" i="18"/>
  <c r="K15" i="18"/>
  <c r="K37" i="34"/>
  <c r="F139" i="17"/>
  <c r="L138" i="17"/>
  <c r="K27" i="34"/>
  <c r="B44" i="34" l="1"/>
  <c r="D20" i="32"/>
  <c r="L14" i="18"/>
  <c r="B34" i="34"/>
  <c r="D19" i="32"/>
  <c r="L13" i="18"/>
  <c r="L55" i="34"/>
  <c r="L54" i="34"/>
  <c r="L53" i="34"/>
  <c r="D18" i="32"/>
  <c r="B24" i="34"/>
  <c r="L12" i="18"/>
  <c r="L56" i="34"/>
  <c r="D17" i="32"/>
  <c r="B14" i="34"/>
  <c r="L11" i="18"/>
  <c r="D16" i="32"/>
  <c r="L10" i="18"/>
  <c r="D15" i="32"/>
  <c r="L25" i="34"/>
  <c r="L23" i="34"/>
  <c r="L24" i="34"/>
  <c r="L26" i="34"/>
  <c r="F140" i="17"/>
  <c r="L139" i="17"/>
  <c r="L35" i="34"/>
  <c r="L34" i="34"/>
  <c r="L33" i="34"/>
  <c r="L36" i="34"/>
  <c r="L45" i="34"/>
  <c r="L43" i="34"/>
  <c r="L44" i="34"/>
  <c r="B54" i="34"/>
  <c r="D21" i="32"/>
  <c r="L15" i="18"/>
  <c r="L15" i="34"/>
  <c r="L13" i="34"/>
  <c r="L14" i="34"/>
  <c r="F141" i="17" l="1"/>
  <c r="L140" i="17"/>
  <c r="F142" i="17" l="1"/>
  <c r="L141" i="17"/>
  <c r="F143" i="17" l="1"/>
  <c r="L142" i="17"/>
  <c r="F144" i="17" l="1"/>
  <c r="L143" i="17"/>
  <c r="F145" i="17" l="1"/>
  <c r="L145" i="17" s="1"/>
  <c r="L144" i="17"/>
  <c r="C69" i="32" l="1"/>
  <c r="I69" i="32" s="1"/>
  <c r="D9" i="31"/>
  <c r="E9" i="31" s="1"/>
  <c r="E10" i="31" s="1"/>
  <c r="D10" i="31" s="1"/>
  <c r="D11" i="31" l="1"/>
  <c r="D12" i="31" s="1"/>
  <c r="D13" i="31" s="1"/>
  <c r="D14" i="31" s="1"/>
  <c r="D15" i="31" s="1"/>
  <c r="C10" i="31"/>
  <c r="G82" i="17" l="1"/>
  <c r="M82" i="17" s="1"/>
  <c r="N82" i="17" s="1"/>
  <c r="G78" i="17"/>
  <c r="M78" i="17" s="1"/>
  <c r="N78" i="17" s="1"/>
  <c r="G74" i="17"/>
  <c r="M74" i="17" s="1"/>
  <c r="N74" i="17" s="1"/>
  <c r="G85" i="17"/>
  <c r="M85" i="17" s="1"/>
  <c r="N85" i="17" s="1"/>
  <c r="G81" i="17"/>
  <c r="M81" i="17" s="1"/>
  <c r="N81" i="17" s="1"/>
  <c r="G77" i="17"/>
  <c r="M77" i="17" s="1"/>
  <c r="N77" i="17" s="1"/>
  <c r="G84" i="17"/>
  <c r="M84" i="17" s="1"/>
  <c r="N84" i="17" s="1"/>
  <c r="G80" i="17"/>
  <c r="M80" i="17" s="1"/>
  <c r="N80" i="17" s="1"/>
  <c r="G76" i="17"/>
  <c r="M76" i="17" s="1"/>
  <c r="N76" i="17" s="1"/>
  <c r="G83" i="17"/>
  <c r="M83" i="17" s="1"/>
  <c r="N83" i="17" s="1"/>
  <c r="G79" i="17"/>
  <c r="M79" i="17" s="1"/>
  <c r="N79" i="17" s="1"/>
  <c r="G75" i="17"/>
  <c r="M75" i="17" s="1"/>
  <c r="N75" i="17" s="1"/>
  <c r="C11" i="31"/>
  <c r="C70" i="32"/>
  <c r="I70" i="32" s="1"/>
  <c r="G94" i="17" l="1"/>
  <c r="M94" i="17" s="1"/>
  <c r="N94" i="17" s="1"/>
  <c r="G90" i="17"/>
  <c r="M90" i="17" s="1"/>
  <c r="N90" i="17" s="1"/>
  <c r="G86" i="17"/>
  <c r="M86" i="17" s="1"/>
  <c r="N86" i="17" s="1"/>
  <c r="G97" i="17"/>
  <c r="M97" i="17" s="1"/>
  <c r="N97" i="17" s="1"/>
  <c r="G93" i="17"/>
  <c r="M93" i="17" s="1"/>
  <c r="N93" i="17" s="1"/>
  <c r="G89" i="17"/>
  <c r="M89" i="17" s="1"/>
  <c r="N89" i="17" s="1"/>
  <c r="G96" i="17"/>
  <c r="M96" i="17" s="1"/>
  <c r="N96" i="17" s="1"/>
  <c r="G92" i="17"/>
  <c r="M92" i="17" s="1"/>
  <c r="N92" i="17" s="1"/>
  <c r="G88" i="17"/>
  <c r="M88" i="17" s="1"/>
  <c r="N88" i="17" s="1"/>
  <c r="G95" i="17"/>
  <c r="M95" i="17" s="1"/>
  <c r="N95" i="17" s="1"/>
  <c r="G91" i="17"/>
  <c r="M91" i="17" s="1"/>
  <c r="N91" i="17" s="1"/>
  <c r="G87" i="17"/>
  <c r="M87" i="17" s="1"/>
  <c r="N87" i="17" s="1"/>
  <c r="E10" i="18"/>
  <c r="B3" i="34" s="1"/>
  <c r="C71" i="32"/>
  <c r="I71" i="32" s="1"/>
  <c r="C12" i="31"/>
  <c r="B7" i="34" l="1"/>
  <c r="G106" i="17"/>
  <c r="M106" i="17" s="1"/>
  <c r="N106" i="17" s="1"/>
  <c r="G102" i="17"/>
  <c r="M102" i="17" s="1"/>
  <c r="N102" i="17" s="1"/>
  <c r="G98" i="17"/>
  <c r="M98" i="17" s="1"/>
  <c r="N98" i="17" s="1"/>
  <c r="G109" i="17"/>
  <c r="M109" i="17" s="1"/>
  <c r="N109" i="17" s="1"/>
  <c r="G105" i="17"/>
  <c r="M105" i="17" s="1"/>
  <c r="N105" i="17" s="1"/>
  <c r="G101" i="17"/>
  <c r="M101" i="17" s="1"/>
  <c r="N101" i="17" s="1"/>
  <c r="G108" i="17"/>
  <c r="M108" i="17" s="1"/>
  <c r="N108" i="17" s="1"/>
  <c r="G104" i="17"/>
  <c r="M104" i="17" s="1"/>
  <c r="N104" i="17" s="1"/>
  <c r="G100" i="17"/>
  <c r="M100" i="17" s="1"/>
  <c r="N100" i="17" s="1"/>
  <c r="G107" i="17"/>
  <c r="M107" i="17" s="1"/>
  <c r="N107" i="17" s="1"/>
  <c r="G103" i="17"/>
  <c r="M103" i="17" s="1"/>
  <c r="N103" i="17" s="1"/>
  <c r="G99" i="17"/>
  <c r="M99" i="17" s="1"/>
  <c r="N99" i="17" s="1"/>
  <c r="E11" i="18"/>
  <c r="C16" i="32"/>
  <c r="C13" i="31"/>
  <c r="C72" i="32"/>
  <c r="I72" i="32" s="1"/>
  <c r="I16" i="32" l="1"/>
  <c r="K16" i="32"/>
  <c r="F7" i="34"/>
  <c r="C4" i="34"/>
  <c r="D4" i="34" s="1"/>
  <c r="C5" i="34"/>
  <c r="D5" i="34" s="1"/>
  <c r="C6" i="34"/>
  <c r="D6" i="34" s="1"/>
  <c r="G7" i="34"/>
  <c r="C3" i="34"/>
  <c r="D3" i="34" s="1"/>
  <c r="G118" i="17"/>
  <c r="M118" i="17" s="1"/>
  <c r="N118" i="17" s="1"/>
  <c r="G114" i="17"/>
  <c r="M114" i="17" s="1"/>
  <c r="N114" i="17" s="1"/>
  <c r="G110" i="17"/>
  <c r="M110" i="17" s="1"/>
  <c r="N110" i="17" s="1"/>
  <c r="G121" i="17"/>
  <c r="M121" i="17" s="1"/>
  <c r="N121" i="17" s="1"/>
  <c r="G117" i="17"/>
  <c r="M117" i="17" s="1"/>
  <c r="N117" i="17" s="1"/>
  <c r="G113" i="17"/>
  <c r="M113" i="17" s="1"/>
  <c r="N113" i="17" s="1"/>
  <c r="G120" i="17"/>
  <c r="M120" i="17" s="1"/>
  <c r="N120" i="17" s="1"/>
  <c r="G116" i="17"/>
  <c r="M116" i="17" s="1"/>
  <c r="N116" i="17" s="1"/>
  <c r="G112" i="17"/>
  <c r="M112" i="17" s="1"/>
  <c r="N112" i="17" s="1"/>
  <c r="G119" i="17"/>
  <c r="M119" i="17" s="1"/>
  <c r="N119" i="17" s="1"/>
  <c r="G115" i="17"/>
  <c r="M115" i="17" s="1"/>
  <c r="N115" i="17" s="1"/>
  <c r="G111" i="17"/>
  <c r="M111" i="17" s="1"/>
  <c r="N111" i="17" s="1"/>
  <c r="E12" i="18"/>
  <c r="C17" i="32"/>
  <c r="B13" i="34"/>
  <c r="B17" i="34" s="1"/>
  <c r="F11" i="18"/>
  <c r="C14" i="31"/>
  <c r="C73" i="32"/>
  <c r="I73" i="32" s="1"/>
  <c r="I17" i="32" l="1"/>
  <c r="K17" i="32"/>
  <c r="F5" i="34"/>
  <c r="E25" i="32" s="1"/>
  <c r="M5" i="34"/>
  <c r="O5" i="34" s="1"/>
  <c r="C55" i="32" s="1"/>
  <c r="F6" i="34"/>
  <c r="F25" i="32" s="1"/>
  <c r="M6" i="34"/>
  <c r="O6" i="34" s="1"/>
  <c r="D55" i="32" s="1"/>
  <c r="F3" i="34"/>
  <c r="C25" i="32" s="1"/>
  <c r="K25" i="32" s="1"/>
  <c r="M3" i="34"/>
  <c r="F4" i="34"/>
  <c r="D25" i="32" s="1"/>
  <c r="M4" i="34"/>
  <c r="O4" i="34" s="1"/>
  <c r="G130" i="17"/>
  <c r="M130" i="17" s="1"/>
  <c r="N130" i="17" s="1"/>
  <c r="G126" i="17"/>
  <c r="M126" i="17" s="1"/>
  <c r="N126" i="17" s="1"/>
  <c r="G122" i="17"/>
  <c r="M122" i="17" s="1"/>
  <c r="N122" i="17" s="1"/>
  <c r="G133" i="17"/>
  <c r="M133" i="17" s="1"/>
  <c r="N133" i="17" s="1"/>
  <c r="G129" i="17"/>
  <c r="M129" i="17" s="1"/>
  <c r="N129" i="17" s="1"/>
  <c r="G125" i="17"/>
  <c r="M125" i="17" s="1"/>
  <c r="N125" i="17" s="1"/>
  <c r="G132" i="17"/>
  <c r="M132" i="17" s="1"/>
  <c r="N132" i="17" s="1"/>
  <c r="G128" i="17"/>
  <c r="M128" i="17" s="1"/>
  <c r="N128" i="17" s="1"/>
  <c r="G124" i="17"/>
  <c r="M124" i="17" s="1"/>
  <c r="N124" i="17" s="1"/>
  <c r="G131" i="17"/>
  <c r="M131" i="17" s="1"/>
  <c r="N131" i="17" s="1"/>
  <c r="G127" i="17"/>
  <c r="M127" i="17" s="1"/>
  <c r="N127" i="17" s="1"/>
  <c r="G123" i="17"/>
  <c r="M123" i="17" s="1"/>
  <c r="N123" i="17" s="1"/>
  <c r="C13" i="34"/>
  <c r="C14" i="34"/>
  <c r="C15" i="34"/>
  <c r="C16" i="34"/>
  <c r="E13" i="18"/>
  <c r="B23" i="34"/>
  <c r="C18" i="32"/>
  <c r="F12" i="18"/>
  <c r="C15" i="31"/>
  <c r="C74" i="32"/>
  <c r="I74" i="32" s="1"/>
  <c r="I18" i="32" l="1"/>
  <c r="K18" i="32"/>
  <c r="M7" i="34"/>
  <c r="O3" i="34"/>
  <c r="E14" i="18"/>
  <c r="C20" i="32" s="1"/>
  <c r="C75" i="32"/>
  <c r="I75" i="32" s="1"/>
  <c r="G142" i="17"/>
  <c r="M142" i="17" s="1"/>
  <c r="N142" i="17" s="1"/>
  <c r="G138" i="17"/>
  <c r="M138" i="17" s="1"/>
  <c r="N138" i="17" s="1"/>
  <c r="G134" i="17"/>
  <c r="M134" i="17" s="1"/>
  <c r="N134" i="17" s="1"/>
  <c r="G145" i="17"/>
  <c r="M145" i="17" s="1"/>
  <c r="N145" i="17" s="1"/>
  <c r="E9" i="18" s="1"/>
  <c r="G141" i="17"/>
  <c r="M141" i="17" s="1"/>
  <c r="N141" i="17" s="1"/>
  <c r="G137" i="17"/>
  <c r="M137" i="17" s="1"/>
  <c r="N137" i="17" s="1"/>
  <c r="G144" i="17"/>
  <c r="M144" i="17" s="1"/>
  <c r="N144" i="17" s="1"/>
  <c r="G140" i="17"/>
  <c r="M140" i="17" s="1"/>
  <c r="N140" i="17" s="1"/>
  <c r="G136" i="17"/>
  <c r="M136" i="17" s="1"/>
  <c r="N136" i="17" s="1"/>
  <c r="G143" i="17"/>
  <c r="M143" i="17" s="1"/>
  <c r="N143" i="17" s="1"/>
  <c r="G139" i="17"/>
  <c r="M139" i="17" s="1"/>
  <c r="N139" i="17" s="1"/>
  <c r="G135" i="17"/>
  <c r="M135" i="17" s="1"/>
  <c r="N135" i="17" s="1"/>
  <c r="B27" i="34"/>
  <c r="F13" i="18"/>
  <c r="C19" i="32"/>
  <c r="B33" i="34"/>
  <c r="B37" i="34" s="1"/>
  <c r="I15" i="33"/>
  <c r="D27" i="33"/>
  <c r="D32" i="33" s="1"/>
  <c r="D17" i="34" s="1"/>
  <c r="D14" i="34" s="1"/>
  <c r="F14" i="34" s="1"/>
  <c r="D20" i="33"/>
  <c r="D7" i="33" s="1"/>
  <c r="E27" i="33"/>
  <c r="F27" i="33" s="1"/>
  <c r="G27" i="33" s="1"/>
  <c r="H27" i="33" s="1"/>
  <c r="I19" i="32" l="1"/>
  <c r="K19" i="32"/>
  <c r="I20" i="32"/>
  <c r="K20" i="32"/>
  <c r="D26" i="32"/>
  <c r="P7" i="34"/>
  <c r="O7" i="34"/>
  <c r="B43" i="34"/>
  <c r="B47" i="34" s="1"/>
  <c r="C43" i="34" s="1"/>
  <c r="F14" i="18"/>
  <c r="C25" i="34"/>
  <c r="C26" i="34"/>
  <c r="C24" i="34"/>
  <c r="E15" i="18"/>
  <c r="C23" i="34"/>
  <c r="C33" i="34"/>
  <c r="C36" i="34"/>
  <c r="C34" i="34"/>
  <c r="C35" i="34"/>
  <c r="F9" i="18"/>
  <c r="C15" i="32"/>
  <c r="F10" i="18"/>
  <c r="M14" i="34"/>
  <c r="O14" i="34" s="1"/>
  <c r="D16" i="34"/>
  <c r="D15" i="34"/>
  <c r="G17" i="34"/>
  <c r="D13" i="34"/>
  <c r="F17" i="34"/>
  <c r="I15" i="32" l="1"/>
  <c r="K15" i="32"/>
  <c r="C21" i="32"/>
  <c r="B53" i="34"/>
  <c r="B57" i="34" s="1"/>
  <c r="F15" i="18"/>
  <c r="C45" i="34"/>
  <c r="C46" i="34"/>
  <c r="C44" i="34"/>
  <c r="M13" i="34"/>
  <c r="F13" i="34"/>
  <c r="F15" i="34"/>
  <c r="M15" i="34"/>
  <c r="O15" i="34" s="1"/>
  <c r="M16" i="34"/>
  <c r="O16" i="34" s="1"/>
  <c r="D56" i="32" s="1"/>
  <c r="F16" i="34"/>
  <c r="F26" i="32" s="1"/>
  <c r="I21" i="32" l="1"/>
  <c r="J21" i="32" s="1"/>
  <c r="K21" i="32"/>
  <c r="L21" i="32" s="1"/>
  <c r="C56" i="32"/>
  <c r="F56" i="32" s="1"/>
  <c r="F55" i="32"/>
  <c r="C26" i="32"/>
  <c r="K26" i="32" s="1"/>
  <c r="E26" i="32"/>
  <c r="C53" i="34"/>
  <c r="C55" i="34"/>
  <c r="C56" i="34"/>
  <c r="C54" i="34"/>
  <c r="O13" i="34"/>
  <c r="M17" i="34"/>
  <c r="I26" i="32" l="1"/>
  <c r="I25" i="32"/>
  <c r="O17" i="34"/>
  <c r="P17" i="34"/>
  <c r="I16" i="33"/>
  <c r="F28" i="33"/>
  <c r="E28" i="33"/>
  <c r="E32" i="33" s="1"/>
  <c r="D27" i="34" s="1"/>
  <c r="E20" i="33"/>
  <c r="E8" i="33" s="1"/>
  <c r="F27" i="34" l="1"/>
  <c r="D24" i="34"/>
  <c r="G27" i="34"/>
  <c r="D26" i="34"/>
  <c r="G28" i="33"/>
  <c r="D25" i="34"/>
  <c r="D23" i="34"/>
  <c r="M23" i="34" l="1"/>
  <c r="F23" i="34"/>
  <c r="C27" i="32" s="1"/>
  <c r="H28" i="33"/>
  <c r="F24" i="34"/>
  <c r="D27" i="32" s="1"/>
  <c r="M24" i="34"/>
  <c r="O24" i="34" s="1"/>
  <c r="F25" i="34"/>
  <c r="E27" i="32" s="1"/>
  <c r="M25" i="34"/>
  <c r="O25" i="34" s="1"/>
  <c r="C57" i="32" s="1"/>
  <c r="M26" i="34"/>
  <c r="O26" i="34" s="1"/>
  <c r="D57" i="32" s="1"/>
  <c r="F26" i="34"/>
  <c r="F27" i="32" s="1"/>
  <c r="K27" i="32" l="1"/>
  <c r="F57" i="32"/>
  <c r="I27" i="32"/>
  <c r="M27" i="34"/>
  <c r="O23" i="34"/>
  <c r="O27" i="34" l="1"/>
  <c r="P27" i="34"/>
  <c r="I17" i="33"/>
  <c r="F29" i="33"/>
  <c r="F32" i="33" s="1"/>
  <c r="D37" i="34" s="1"/>
  <c r="F20" i="33"/>
  <c r="F9" i="33" s="1"/>
  <c r="G29" i="33"/>
  <c r="D35" i="34" l="1"/>
  <c r="D34" i="34"/>
  <c r="F37" i="34"/>
  <c r="D33" i="34"/>
  <c r="G37" i="34"/>
  <c r="D36" i="34"/>
  <c r="H29" i="33"/>
  <c r="M36" i="34" l="1"/>
  <c r="O36" i="34" s="1"/>
  <c r="D58" i="32" s="1"/>
  <c r="F36" i="34"/>
  <c r="F28" i="32" s="1"/>
  <c r="F34" i="34"/>
  <c r="D28" i="32" s="1"/>
  <c r="M34" i="34"/>
  <c r="O34" i="34" s="1"/>
  <c r="M33" i="34"/>
  <c r="F33" i="34"/>
  <c r="C28" i="32" s="1"/>
  <c r="K28" i="32" s="1"/>
  <c r="F35" i="34"/>
  <c r="E28" i="32" s="1"/>
  <c r="M35" i="34"/>
  <c r="O35" i="34" s="1"/>
  <c r="C58" i="32" s="1"/>
  <c r="I28" i="32" l="1"/>
  <c r="F58" i="32"/>
  <c r="O33" i="34"/>
  <c r="M37" i="34"/>
  <c r="O37" i="34" l="1"/>
  <c r="P37" i="34"/>
  <c r="I18" i="33"/>
  <c r="H30" i="33"/>
  <c r="G20" i="33"/>
  <c r="G10" i="33" s="1"/>
  <c r="G30" i="33"/>
  <c r="G32" i="33"/>
  <c r="D47" i="34"/>
  <c r="D45" i="34" s="1"/>
  <c r="D44" i="34" l="1"/>
  <c r="M44" i="34" s="1"/>
  <c r="O44" i="34" s="1"/>
  <c r="G47" i="34"/>
  <c r="M45" i="34"/>
  <c r="O45" i="34" s="1"/>
  <c r="C59" i="32" s="1"/>
  <c r="F45" i="34"/>
  <c r="E29" i="32" s="1"/>
  <c r="D43" i="34"/>
  <c r="F47" i="34"/>
  <c r="D46" i="34"/>
  <c r="F44" i="34" l="1"/>
  <c r="D29" i="32" s="1"/>
  <c r="M46" i="34"/>
  <c r="O46" i="34" s="1"/>
  <c r="D59" i="32" s="1"/>
  <c r="F59" i="32" s="1"/>
  <c r="F46" i="34"/>
  <c r="F29" i="32" s="1"/>
  <c r="M43" i="34"/>
  <c r="F43" i="34"/>
  <c r="C29" i="32" s="1"/>
  <c r="K29" i="32" s="1"/>
  <c r="I29" i="32" l="1"/>
  <c r="O43" i="34"/>
  <c r="M47" i="34"/>
  <c r="O47" i="34" l="1"/>
  <c r="P47" i="34"/>
  <c r="E12" i="33"/>
  <c r="I19" i="33"/>
  <c r="I20" i="33" s="1"/>
  <c r="H20" i="33"/>
  <c r="H31" i="33"/>
  <c r="H32" i="33"/>
  <c r="D57" i="34" s="1"/>
  <c r="D53" i="34" s="1"/>
  <c r="D12" i="33" l="1"/>
  <c r="I6" i="33"/>
  <c r="H12" i="33"/>
  <c r="I11" i="33"/>
  <c r="F53" i="34"/>
  <c r="C30" i="32" s="1"/>
  <c r="M53" i="34"/>
  <c r="I9" i="33"/>
  <c r="F12" i="33"/>
  <c r="F57" i="34"/>
  <c r="I7" i="33"/>
  <c r="G57" i="34"/>
  <c r="I8" i="33"/>
  <c r="C12" i="33"/>
  <c r="D56" i="34"/>
  <c r="D54" i="34"/>
  <c r="D55" i="34"/>
  <c r="M56" i="34" l="1"/>
  <c r="O56" i="34" s="1"/>
  <c r="D60" i="32" s="1"/>
  <c r="F56" i="34"/>
  <c r="F30" i="32" s="1"/>
  <c r="O53" i="34"/>
  <c r="F55" i="34"/>
  <c r="E30" i="32" s="1"/>
  <c r="M55" i="34"/>
  <c r="O55" i="34" s="1"/>
  <c r="C60" i="32" s="1"/>
  <c r="G12" i="33"/>
  <c r="I10" i="33"/>
  <c r="I12" i="33" s="1"/>
  <c r="F54" i="34"/>
  <c r="D30" i="32" s="1"/>
  <c r="K30" i="32" s="1"/>
  <c r="L30" i="32" s="1"/>
  <c r="M54" i="34"/>
  <c r="O54" i="34" s="1"/>
  <c r="I30" i="32" l="1"/>
  <c r="J30" i="32" s="1"/>
  <c r="M57" i="34"/>
  <c r="O57" i="34" s="1"/>
  <c r="F60" i="32"/>
  <c r="G60" i="32" s="1"/>
  <c r="P57" i="34" l="1"/>
</calcChain>
</file>

<file path=xl/comments1.xml><?xml version="1.0" encoding="utf-8"?>
<comments xmlns="http://schemas.openxmlformats.org/spreadsheetml/2006/main">
  <authors>
    <author>tbrackenbury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2009-2013 Historic Customer Counts have been adjusted for Jan 2014 Reclassification
</t>
        </r>
      </text>
    </comment>
  </commentList>
</comments>
</file>

<file path=xl/comments2.xml><?xml version="1.0" encoding="utf-8"?>
<comments xmlns="http://schemas.openxmlformats.org/spreadsheetml/2006/main">
  <authors>
    <author>tbrackenbury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2009-2013 customer counts are actual values and have not been adjusted to compensate for Jan 2014 Reclassification.</t>
        </r>
      </text>
    </comment>
  </commentList>
</comments>
</file>

<file path=xl/comments3.xml><?xml version="1.0" encoding="utf-8"?>
<comments xmlns="http://schemas.openxmlformats.org/spreadsheetml/2006/main">
  <authors>
    <author>tbrackenbury</author>
  </authors>
  <commentList>
    <comment ref="B41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Added Summary of Actual kWh for 2010-2012</t>
        </r>
      </text>
    </comment>
  </commentList>
</comments>
</file>

<file path=xl/sharedStrings.xml><?xml version="1.0" encoding="utf-8"?>
<sst xmlns="http://schemas.openxmlformats.org/spreadsheetml/2006/main" count="723" uniqueCount="202">
  <si>
    <t>Date</t>
  </si>
  <si>
    <t>WholesalekWh</t>
  </si>
  <si>
    <t>ReskWh</t>
  </si>
  <si>
    <t>GSlt50kWh</t>
  </si>
  <si>
    <t>GSgt50NONkWh</t>
  </si>
  <si>
    <t>GSgt50IntkWh</t>
  </si>
  <si>
    <t>LUkWh</t>
  </si>
  <si>
    <t>StreetkWh</t>
  </si>
  <si>
    <t>USLkWh</t>
  </si>
  <si>
    <t>HDD</t>
  </si>
  <si>
    <t>CDD</t>
  </si>
  <si>
    <t>PeakDays</t>
  </si>
  <si>
    <t>MonthDays</t>
  </si>
  <si>
    <t>const</t>
  </si>
  <si>
    <t>p-value</t>
  </si>
  <si>
    <t>R-squared</t>
  </si>
  <si>
    <t>Adjusted R-squared</t>
  </si>
  <si>
    <t>P-value(F)</t>
  </si>
  <si>
    <t>Durbin-Watson</t>
  </si>
  <si>
    <t>Weather Normal</t>
  </si>
  <si>
    <t>Weather Actual</t>
  </si>
  <si>
    <t>GS&lt;50 Cust</t>
  </si>
  <si>
    <t>Res Cust</t>
  </si>
  <si>
    <t>LU Cust</t>
  </si>
  <si>
    <t>Street Cust</t>
  </si>
  <si>
    <t>USL Cust</t>
  </si>
  <si>
    <t>GSgt50kWh</t>
  </si>
  <si>
    <t>GS&gt;50 kWh</t>
  </si>
  <si>
    <t>GS&lt;50 kWh</t>
  </si>
  <si>
    <t>LU kWh</t>
  </si>
  <si>
    <t>DFEB</t>
  </si>
  <si>
    <t>DAPR</t>
  </si>
  <si>
    <t>DDEC</t>
  </si>
  <si>
    <t>Year</t>
  </si>
  <si>
    <t>Res kWh</t>
  </si>
  <si>
    <t>Actual</t>
  </si>
  <si>
    <t>Street_kW</t>
  </si>
  <si>
    <t>Error (%)</t>
  </si>
  <si>
    <t>Absolute</t>
  </si>
  <si>
    <t>GS&gt;50NONCust</t>
  </si>
  <si>
    <t>GS&gt;50IntCust</t>
  </si>
  <si>
    <t>Kingston HDD</t>
  </si>
  <si>
    <t>Kingston CDD</t>
  </si>
  <si>
    <t>Shoulder</t>
  </si>
  <si>
    <t>std. error</t>
  </si>
  <si>
    <t>QueensSummer</t>
  </si>
  <si>
    <t>Dependent variable: ReskWh</t>
  </si>
  <si>
    <t>coefficient</t>
  </si>
  <si>
    <t>t-ratio</t>
  </si>
  <si>
    <t>Mean dependent var</t>
  </si>
  <si>
    <t>S.D. dependent var</t>
  </si>
  <si>
    <t>Sum squared resid</t>
  </si>
  <si>
    <t>S.E. of regression</t>
  </si>
  <si>
    <t>Log-likelihood</t>
  </si>
  <si>
    <t>Akaike criterion</t>
  </si>
  <si>
    <t>Schwarz criterion</t>
  </si>
  <si>
    <t>Hannan-Quinn</t>
  </si>
  <si>
    <t>rho</t>
  </si>
  <si>
    <t>Predicted Value</t>
  </si>
  <si>
    <t>Absolute Error %</t>
  </si>
  <si>
    <t>Normalized Value</t>
  </si>
  <si>
    <t>Normalized</t>
  </si>
  <si>
    <t>Predicted</t>
  </si>
  <si>
    <t>Jan</t>
  </si>
  <si>
    <t>Feb</t>
  </si>
  <si>
    <t>Mar</t>
  </si>
  <si>
    <t>Apr</t>
  </si>
  <si>
    <t>May</t>
  </si>
  <si>
    <t>June</t>
  </si>
  <si>
    <t>July</t>
  </si>
  <si>
    <t>Sept</t>
  </si>
  <si>
    <t>Oct</t>
  </si>
  <si>
    <t>Nov</t>
  </si>
  <si>
    <t>Dec</t>
  </si>
  <si>
    <t>10-year</t>
  </si>
  <si>
    <t>20-year</t>
  </si>
  <si>
    <t>August</t>
  </si>
  <si>
    <t>Dependent variable: GSlt50kWh</t>
  </si>
  <si>
    <t>Dependent variable: GSgt50kWh</t>
  </si>
  <si>
    <t>Dependent variable: LUkWh</t>
  </si>
  <si>
    <t>Annual Change</t>
  </si>
  <si>
    <t>Trend</t>
  </si>
  <si>
    <t>GS&gt;50</t>
  </si>
  <si>
    <t>kWh Actual</t>
  </si>
  <si>
    <t>A</t>
  </si>
  <si>
    <t>C = B / A</t>
  </si>
  <si>
    <t>B</t>
  </si>
  <si>
    <t>Ratio</t>
  </si>
  <si>
    <t>kW Actual</t>
  </si>
  <si>
    <t>kWh Normalized</t>
  </si>
  <si>
    <t>D</t>
  </si>
  <si>
    <t>E</t>
  </si>
  <si>
    <t>F = D * E</t>
  </si>
  <si>
    <t>Large Use</t>
  </si>
  <si>
    <t>Street Light</t>
  </si>
  <si>
    <t>BMO</t>
  </si>
  <si>
    <t>Scotia</t>
  </si>
  <si>
    <t>TD</t>
  </si>
  <si>
    <t>RBC</t>
  </si>
  <si>
    <t>Average</t>
  </si>
  <si>
    <t>USL</t>
  </si>
  <si>
    <t>Residential</t>
  </si>
  <si>
    <t>GS &lt; 50</t>
  </si>
  <si>
    <t>GS &gt; 50</t>
  </si>
  <si>
    <t>GSgt50Cust</t>
  </si>
  <si>
    <t>Mean Absolute Percentage Error (Monthly)</t>
  </si>
  <si>
    <t>Mean Absolute Percentage Error (Annual)</t>
  </si>
  <si>
    <t>Customers</t>
  </si>
  <si>
    <t>Lamps / Devices</t>
  </si>
  <si>
    <t>Connections</t>
  </si>
  <si>
    <t>6 Year (2015-2020) kWh Target:</t>
  </si>
  <si>
    <t>Total</t>
  </si>
  <si>
    <t>%</t>
  </si>
  <si>
    <t>Total in Year</t>
  </si>
  <si>
    <t>kWh</t>
  </si>
  <si>
    <t>2015 Programs</t>
  </si>
  <si>
    <t>2016 Programs</t>
  </si>
  <si>
    <t>2017 Programs</t>
  </si>
  <si>
    <t>2018 Programs</t>
  </si>
  <si>
    <t>2019 Programs</t>
  </si>
  <si>
    <t>2020 Programs</t>
  </si>
  <si>
    <t>Impact Year</t>
  </si>
  <si>
    <t>Delivery Year</t>
  </si>
  <si>
    <t>CDM Load Forecast Adjustment</t>
  </si>
  <si>
    <t>C = A / B</t>
  </si>
  <si>
    <t>E = D * C</t>
  </si>
  <si>
    <t>F = A - E</t>
  </si>
  <si>
    <t>Retail kWh</t>
  </si>
  <si>
    <t>kW</t>
  </si>
  <si>
    <t>G</t>
  </si>
  <si>
    <t>I = G / H</t>
  </si>
  <si>
    <t>J = G / A * E</t>
  </si>
  <si>
    <t>K = G - J</t>
  </si>
  <si>
    <t>H</t>
  </si>
  <si>
    <t>2014 Actual</t>
  </si>
  <si>
    <t>2015 Forecast</t>
  </si>
  <si>
    <t>2013 Actual</t>
  </si>
  <si>
    <t>2014 Normalized</t>
  </si>
  <si>
    <t>2016 Forecast</t>
  </si>
  <si>
    <t>2017 Forecast</t>
  </si>
  <si>
    <t>2018 Forecast</t>
  </si>
  <si>
    <t>2019 Forecast</t>
  </si>
  <si>
    <t>2020 Forecast</t>
  </si>
  <si>
    <t>CDM Adjusted</t>
  </si>
  <si>
    <t>Normal Forecast</t>
  </si>
  <si>
    <t>Customer Connections</t>
  </si>
  <si>
    <t>Hartington IHD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</si>
  <si>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</si>
  <si>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</si>
  <si>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</si>
  <si>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</si>
  <si>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</si>
  <si>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</si>
  <si>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</si>
  <si>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</si>
  <si>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10 Year Average</t>
  </si>
  <si>
    <t>20 Year Trend (2016)</t>
  </si>
  <si>
    <t>Spring</t>
  </si>
  <si>
    <t>Fall</t>
  </si>
  <si>
    <t>OntFTE</t>
  </si>
  <si>
    <t>Res_Cust</t>
  </si>
  <si>
    <t>F(4, 67)</t>
  </si>
  <si>
    <t>GS_50_Cust</t>
  </si>
  <si>
    <t>F(8, 63)</t>
  </si>
  <si>
    <t>Model 12: OLS, using observations 2009:01-2014:12 (T = 72)</t>
  </si>
  <si>
    <t>Theil's U</t>
  </si>
  <si>
    <t>Reclassification</t>
  </si>
  <si>
    <t>Model 9: OLS, using observations 2009:01-2014:12 (T = 72)</t>
  </si>
  <si>
    <t>Reclassificatio</t>
  </si>
  <si>
    <t>DJAN</t>
  </si>
  <si>
    <t>DMAR</t>
  </si>
  <si>
    <t>KingstonFTE</t>
  </si>
  <si>
    <t>Model 6: OLS, using observations 2009:01-2014:12 (T = 72)</t>
  </si>
  <si>
    <t>F(10, 61)</t>
  </si>
  <si>
    <t>F(9, 62)</t>
  </si>
  <si>
    <t>Model 14: OLS, using observations 2009:01-2014:12 (T = 72)</t>
  </si>
  <si>
    <t>2016 CDM Adjusted Load Forecast</t>
  </si>
  <si>
    <t>2017 CDM Adjusted Load Forecast</t>
  </si>
  <si>
    <t>Weather Normalized 2016 Forecast  - Classes with CDM programs anticipated</t>
  </si>
  <si>
    <t>Weather Normalized 2017 Forecast  - Classes with CDM programs anticipated</t>
  </si>
  <si>
    <t>Weather Normalized 2020 Forecast  - Classes with CDM programs anticipated</t>
  </si>
  <si>
    <t>2020 CDM Adjusted Load Forecast</t>
  </si>
  <si>
    <t>Weather Normalized 2019 Forecast  - Classes with CDM programs anticipated</t>
  </si>
  <si>
    <t>2019 CDM Adjusted Load Forecast</t>
  </si>
  <si>
    <t>Weather Normalized 2018 Forecast  - Classes with CDM programs anticipated</t>
  </si>
  <si>
    <t>2018 CDM Adjusted Load Forecast</t>
  </si>
  <si>
    <t>2011 Actual</t>
  </si>
  <si>
    <t>2012 Actual</t>
  </si>
  <si>
    <t>2010 Actual</t>
  </si>
  <si>
    <t>Weather Normalized 2015 Forecast  - Classes with CDM programs anticipated</t>
  </si>
  <si>
    <t>2015 CDM Adjusted Load Forecast</t>
  </si>
  <si>
    <t>2010 Normalized</t>
  </si>
  <si>
    <t>2011 Normalized</t>
  </si>
  <si>
    <t>2012 Normalized</t>
  </si>
  <si>
    <t>2013 Normalized</t>
  </si>
  <si>
    <t>*Customers</t>
  </si>
  <si>
    <t>**Customers</t>
  </si>
  <si>
    <t>*NOTE:  GS&lt;50 Customer Count for 2010-2013 has been increased by 53 due to Reclassification of 53 customers that occurred in Jan 2014</t>
  </si>
  <si>
    <t>**NOTE: GS&gt;50 Customer Count for 2010-2013 has been reduced by 53 due to Reclassification of 53 customers that occurred in Jan 2014</t>
  </si>
  <si>
    <t>2009 Actual</t>
  </si>
  <si>
    <t>2009 Normalized</t>
  </si>
  <si>
    <t>Total of kWh rate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</si>
</sst>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mmm\ yy"/>
    <numFmt numFmtId="169" formatCode="_-* #,##0_-;\-* #,##0_-;_-* &quot;-&quot;??_-;_-@_-"/>
    <numFmt numFmtId="170" formatCode="#,##0_ ;\-#,##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&quot;£ &quot;#,##0.00;[Red]\-&quot;£ &quot;#,##0.00"/>
    <numFmt numFmtId="177" formatCode="#,##0.0000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128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0" fontId="30" fillId="51" borderId="10" applyNumberFormat="0" applyAlignment="0" applyProtection="0"/>
    <xf numFmtId="0" fontId="31" fillId="52" borderId="11" applyNumberFormat="0" applyAlignment="0" applyProtection="0"/>
    <xf numFmtId="16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7" fillId="38" borderId="10" applyNumberFormat="0" applyAlignment="0" applyProtection="0"/>
    <xf numFmtId="0" fontId="38" fillId="0" borderId="15" applyNumberFormat="0" applyFill="0" applyAlignment="0" applyProtection="0"/>
    <xf numFmtId="0" fontId="39" fillId="53" borderId="0" applyNumberFormat="0" applyBorder="0" applyAlignment="0" applyProtection="0"/>
    <xf numFmtId="0" fontId="2" fillId="54" borderId="16" applyNumberFormat="0" applyFont="0" applyAlignment="0" applyProtection="0"/>
    <xf numFmtId="0" fontId="40" fillId="51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" fillId="0" borderId="0"/>
    <xf numFmtId="172" fontId="2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173" fontId="2" fillId="0" borderId="0"/>
    <xf numFmtId="174" fontId="2" fillId="0" borderId="0"/>
    <xf numFmtId="173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25" fillId="55" borderId="0" applyNumberFormat="0" applyBorder="0" applyAlignment="0" applyProtection="0"/>
    <xf numFmtId="10" fontId="25" fillId="60" borderId="19" applyNumberFormat="0" applyBorder="0" applyAlignment="0" applyProtection="0"/>
    <xf numFmtId="175" fontId="2" fillId="0" borderId="0"/>
    <xf numFmtId="166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6" fontId="2" fillId="0" borderId="0"/>
    <xf numFmtId="10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66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167" fontId="0" fillId="0" borderId="0" xfId="3" applyNumberFormat="1" applyFont="1"/>
    <xf numFmtId="0" fontId="0" fillId="0" borderId="0" xfId="0" applyFill="1"/>
    <xf numFmtId="167" fontId="0" fillId="0" borderId="0" xfId="0" applyNumberFormat="1"/>
    <xf numFmtId="168" fontId="0" fillId="0" borderId="0" xfId="0" applyNumberFormat="1"/>
    <xf numFmtId="0" fontId="4" fillId="0" borderId="0" xfId="0" applyFont="1"/>
    <xf numFmtId="10" fontId="0" fillId="0" borderId="0" xfId="3" applyNumberFormat="1" applyFont="1"/>
    <xf numFmtId="10" fontId="0" fillId="0" borderId="0" xfId="0" applyNumberFormat="1"/>
    <xf numFmtId="168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7" fillId="0" borderId="0" xfId="0" applyFont="1"/>
    <xf numFmtId="3" fontId="7" fillId="0" borderId="0" xfId="0" applyNumberFormat="1" applyFont="1"/>
    <xf numFmtId="167" fontId="7" fillId="0" borderId="0" xfId="3" applyNumberFormat="1" applyFont="1"/>
    <xf numFmtId="169" fontId="0" fillId="0" borderId="0" xfId="4" applyNumberFormat="1" applyFont="1"/>
    <xf numFmtId="169" fontId="7" fillId="0" borderId="0" xfId="4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9" fontId="3" fillId="0" borderId="0" xfId="4" applyNumberFormat="1" applyFont="1" applyAlignment="1">
      <alignment horizontal="center"/>
    </xf>
    <xf numFmtId="10" fontId="7" fillId="0" borderId="0" xfId="3" applyNumberFormat="1" applyFont="1"/>
    <xf numFmtId="0" fontId="0" fillId="0" borderId="0" xfId="0" applyAlignment="1">
      <alignment horizontal="center"/>
    </xf>
    <xf numFmtId="0" fontId="0" fillId="0" borderId="0" xfId="0"/>
    <xf numFmtId="0" fontId="0" fillId="0" borderId="24" xfId="0" applyBorder="1"/>
    <xf numFmtId="0" fontId="2" fillId="0" borderId="0" xfId="0" applyFont="1"/>
    <xf numFmtId="0" fontId="3" fillId="0" borderId="0" xfId="0" applyFont="1" applyAlignment="1">
      <alignment horizontal="center"/>
    </xf>
    <xf numFmtId="10" fontId="44" fillId="0" borderId="0" xfId="126" applyNumberFormat="1" applyFont="1" applyBorder="1"/>
    <xf numFmtId="10" fontId="44" fillId="0" borderId="22" xfId="126" applyNumberFormat="1" applyFont="1" applyBorder="1"/>
    <xf numFmtId="10" fontId="44" fillId="0" borderId="46" xfId="126" applyNumberFormat="1" applyFont="1" applyBorder="1"/>
    <xf numFmtId="10" fontId="44" fillId="0" borderId="33" xfId="126" applyNumberFormat="1" applyFont="1" applyBorder="1"/>
    <xf numFmtId="0" fontId="22" fillId="0" borderId="27" xfId="124" applyFont="1" applyBorder="1"/>
    <xf numFmtId="0" fontId="22" fillId="59" borderId="28" xfId="124" applyFont="1" applyFill="1" applyBorder="1" applyAlignment="1">
      <alignment horizontal="right"/>
    </xf>
    <xf numFmtId="0" fontId="22" fillId="59" borderId="0" xfId="124" applyFont="1" applyFill="1" applyBorder="1" applyAlignment="1">
      <alignment horizontal="right"/>
    </xf>
    <xf numFmtId="0" fontId="22" fillId="59" borderId="22" xfId="124" applyFont="1" applyFill="1" applyBorder="1" applyAlignment="1">
      <alignment horizontal="right"/>
    </xf>
    <xf numFmtId="0" fontId="22" fillId="0" borderId="50" xfId="124" applyFont="1" applyBorder="1"/>
    <xf numFmtId="10" fontId="22" fillId="0" borderId="51" xfId="124" applyNumberFormat="1" applyFont="1" applyBorder="1"/>
    <xf numFmtId="10" fontId="22" fillId="0" borderId="52" xfId="124" applyNumberFormat="1" applyFont="1" applyBorder="1"/>
    <xf numFmtId="10" fontId="22" fillId="0" borderId="53" xfId="124" applyNumberFormat="1" applyFont="1" applyBorder="1"/>
    <xf numFmtId="0" fontId="1" fillId="0" borderId="28" xfId="124" applyFont="1" applyBorder="1"/>
    <xf numFmtId="0" fontId="1" fillId="0" borderId="0" xfId="124" applyFont="1" applyBorder="1"/>
    <xf numFmtId="0" fontId="1" fillId="0" borderId="31" xfId="124" applyFont="1" applyBorder="1"/>
    <xf numFmtId="0" fontId="1" fillId="0" borderId="44" xfId="124" applyFont="1" applyBorder="1"/>
    <xf numFmtId="10" fontId="44" fillId="58" borderId="0" xfId="126" applyNumberFormat="1" applyFont="1" applyFill="1" applyBorder="1"/>
    <xf numFmtId="10" fontId="44" fillId="58" borderId="45" xfId="126" applyNumberFormat="1" applyFont="1" applyFill="1" applyBorder="1"/>
    <xf numFmtId="0" fontId="0" fillId="0" borderId="0" xfId="0" applyAlignment="1">
      <alignment horizontal="center" wrapText="1"/>
    </xf>
    <xf numFmtId="0" fontId="22" fillId="59" borderId="28" xfId="124" applyFont="1" applyFill="1" applyBorder="1" applyAlignment="1">
      <alignment horizontal="center"/>
    </xf>
    <xf numFmtId="0" fontId="22" fillId="57" borderId="39" xfId="124" applyFont="1" applyFill="1" applyBorder="1" applyAlignment="1">
      <alignment horizontal="center" vertical="center"/>
    </xf>
    <xf numFmtId="0" fontId="22" fillId="57" borderId="34" xfId="124" applyFont="1" applyFill="1" applyBorder="1" applyAlignment="1">
      <alignment horizontal="center" vertical="center"/>
    </xf>
    <xf numFmtId="9" fontId="0" fillId="0" borderId="0" xfId="0" applyNumberFormat="1"/>
    <xf numFmtId="9" fontId="0" fillId="0" borderId="0" xfId="3" applyFont="1"/>
    <xf numFmtId="3" fontId="0" fillId="0" borderId="41" xfId="0" applyNumberFormat="1" applyBorder="1"/>
    <xf numFmtId="0" fontId="2" fillId="0" borderId="0" xfId="0" applyFont="1" applyAlignment="1">
      <alignment horizontal="center" wrapText="1"/>
    </xf>
    <xf numFmtId="169" fontId="0" fillId="0" borderId="41" xfId="4" applyNumberFormat="1" applyFont="1" applyBorder="1"/>
    <xf numFmtId="3" fontId="0" fillId="0" borderId="0" xfId="0" applyNumberFormat="1" applyBorder="1"/>
    <xf numFmtId="3" fontId="0" fillId="0" borderId="23" xfId="0" applyNumberFormat="1" applyBorder="1"/>
    <xf numFmtId="3" fontId="0" fillId="0" borderId="43" xfId="0" applyNumberFormat="1" applyBorder="1"/>
    <xf numFmtId="3" fontId="0" fillId="0" borderId="37" xfId="0" applyNumberFormat="1" applyBorder="1"/>
    <xf numFmtId="3" fontId="0" fillId="0" borderId="21" xfId="0" applyNumberFormat="1" applyBorder="1"/>
    <xf numFmtId="3" fontId="0" fillId="0" borderId="25" xfId="0" applyNumberFormat="1" applyBorder="1"/>
    <xf numFmtId="0" fontId="3" fillId="61" borderId="26" xfId="0" applyFont="1" applyFill="1" applyBorder="1" applyAlignment="1">
      <alignment horizontal="center"/>
    </xf>
    <xf numFmtId="3" fontId="0" fillId="61" borderId="22" xfId="0" applyNumberFormat="1" applyFill="1" applyBorder="1"/>
    <xf numFmtId="3" fontId="0" fillId="61" borderId="24" xfId="0" applyNumberFormat="1" applyFill="1" applyBorder="1"/>
    <xf numFmtId="0" fontId="3" fillId="61" borderId="35" xfId="0" applyFont="1" applyFill="1" applyBorder="1"/>
    <xf numFmtId="0" fontId="3" fillId="61" borderId="28" xfId="0" applyFont="1" applyFill="1" applyBorder="1"/>
    <xf numFmtId="0" fontId="3" fillId="61" borderId="27" xfId="0" applyFont="1" applyFill="1" applyBorder="1"/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6" fillId="0" borderId="0" xfId="0" applyFont="1"/>
    <xf numFmtId="0" fontId="45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169" fontId="4" fillId="0" borderId="0" xfId="4" applyNumberFormat="1" applyFont="1"/>
    <xf numFmtId="0" fontId="0" fillId="0" borderId="0" xfId="0" applyAlignment="1">
      <alignment horizontal="center" wrapText="1"/>
    </xf>
    <xf numFmtId="1" fontId="0" fillId="0" borderId="0" xfId="0" applyNumberFormat="1"/>
    <xf numFmtId="15" fontId="0" fillId="0" borderId="0" xfId="0" applyNumberFormat="1"/>
    <xf numFmtId="169" fontId="44" fillId="56" borderId="0" xfId="125" applyNumberFormat="1" applyFont="1" applyFill="1" applyBorder="1"/>
    <xf numFmtId="169" fontId="44" fillId="58" borderId="0" xfId="125" applyNumberFormat="1" applyFont="1" applyFill="1" applyBorder="1"/>
    <xf numFmtId="169" fontId="44" fillId="58" borderId="0" xfId="126" applyNumberFormat="1" applyFont="1" applyFill="1" applyBorder="1"/>
    <xf numFmtId="169" fontId="44" fillId="58" borderId="45" xfId="125" applyNumberFormat="1" applyFont="1" applyFill="1" applyBorder="1"/>
    <xf numFmtId="169" fontId="44" fillId="0" borderId="22" xfId="125" applyNumberFormat="1" applyFont="1" applyBorder="1"/>
    <xf numFmtId="169" fontId="44" fillId="0" borderId="0" xfId="125" applyNumberFormat="1" applyFont="1" applyBorder="1"/>
    <xf numFmtId="169" fontId="44" fillId="58" borderId="49" xfId="125" applyNumberFormat="1" applyFont="1" applyFill="1" applyBorder="1"/>
    <xf numFmtId="169" fontId="44" fillId="58" borderId="48" xfId="125" applyNumberFormat="1" applyFont="1" applyFill="1" applyBorder="1"/>
    <xf numFmtId="169" fontId="44" fillId="0" borderId="0" xfId="125" applyNumberFormat="1" applyFont="1" applyFill="1" applyBorder="1"/>
    <xf numFmtId="169" fontId="44" fillId="0" borderId="44" xfId="125" applyNumberFormat="1" applyFont="1" applyBorder="1"/>
    <xf numFmtId="169" fontId="44" fillId="56" borderId="46" xfId="125" applyNumberFormat="1" applyFont="1" applyFill="1" applyBorder="1"/>
    <xf numFmtId="169" fontId="44" fillId="0" borderId="33" xfId="125" applyNumberFormat="1" applyFont="1" applyBorder="1"/>
    <xf numFmtId="169" fontId="22" fillId="0" borderId="23" xfId="125" applyNumberFormat="1" applyFont="1" applyBorder="1"/>
    <xf numFmtId="169" fontId="22" fillId="0" borderId="47" xfId="125" applyNumberFormat="1" applyFont="1" applyBorder="1"/>
    <xf numFmtId="169" fontId="22" fillId="0" borderId="24" xfId="125" applyNumberFormat="1" applyFont="1" applyBorder="1"/>
    <xf numFmtId="169" fontId="44" fillId="56" borderId="22" xfId="125" applyNumberFormat="1" applyFont="1" applyFill="1" applyBorder="1"/>
    <xf numFmtId="169" fontId="44" fillId="56" borderId="33" xfId="125" applyNumberFormat="1" applyFont="1" applyFill="1" applyBorder="1"/>
    <xf numFmtId="165" fontId="0" fillId="0" borderId="0" xfId="4" applyFont="1"/>
    <xf numFmtId="165" fontId="4" fillId="0" borderId="0" xfId="4" applyFont="1"/>
    <xf numFmtId="167" fontId="7" fillId="0" borderId="0" xfId="0" applyNumberFormat="1" applyFont="1"/>
    <xf numFmtId="177" fontId="7" fillId="0" borderId="0" xfId="0" applyNumberFormat="1" applyFont="1"/>
    <xf numFmtId="0" fontId="3" fillId="62" borderId="28" xfId="0" applyFont="1" applyFill="1" applyBorder="1"/>
    <xf numFmtId="0" fontId="3" fillId="0" borderId="0" xfId="0" applyFont="1" applyAlignment="1">
      <alignment horizontal="center"/>
    </xf>
    <xf numFmtId="0" fontId="22" fillId="59" borderId="54" xfId="124" applyFont="1" applyFill="1" applyBorder="1" applyAlignment="1">
      <alignment vertical="top"/>
    </xf>
    <xf numFmtId="0" fontId="22" fillId="59" borderId="40" xfId="124" applyFont="1" applyFill="1" applyBorder="1" applyAlignment="1">
      <alignment vertical="top"/>
    </xf>
    <xf numFmtId="0" fontId="22" fillId="59" borderId="55" xfId="124" applyFont="1" applyFill="1" applyBorder="1" applyAlignment="1">
      <alignment vertical="top"/>
    </xf>
    <xf numFmtId="0" fontId="1" fillId="0" borderId="57" xfId="124" applyFont="1" applyBorder="1"/>
    <xf numFmtId="0" fontId="1" fillId="0" borderId="58" xfId="124" applyFont="1" applyBorder="1"/>
    <xf numFmtId="0" fontId="22" fillId="0" borderId="56" xfId="124" applyFont="1" applyBorder="1"/>
    <xf numFmtId="0" fontId="7" fillId="62" borderId="0" xfId="0" applyFont="1" applyFill="1"/>
    <xf numFmtId="3" fontId="7" fillId="62" borderId="0" xfId="0" applyNumberFormat="1" applyFont="1" applyFill="1"/>
    <xf numFmtId="169" fontId="7" fillId="62" borderId="0" xfId="4" applyNumberFormat="1" applyFont="1" applyFill="1"/>
    <xf numFmtId="0" fontId="3" fillId="62" borderId="0" xfId="0" applyFont="1" applyFill="1" applyAlignment="1">
      <alignment horizontal="center"/>
    </xf>
    <xf numFmtId="0" fontId="2" fillId="62" borderId="0" xfId="0" applyFont="1" applyFill="1" applyAlignment="1">
      <alignment horizontal="center" wrapText="1"/>
    </xf>
    <xf numFmtId="0" fontId="0" fillId="62" borderId="0" xfId="0" applyFill="1" applyAlignment="1">
      <alignment horizontal="center" wrapText="1"/>
    </xf>
    <xf numFmtId="0" fontId="0" fillId="62" borderId="0" xfId="0" applyFill="1"/>
    <xf numFmtId="0" fontId="2" fillId="62" borderId="0" xfId="0" applyFont="1" applyFill="1"/>
    <xf numFmtId="3" fontId="0" fillId="62" borderId="0" xfId="0" applyNumberFormat="1" applyFill="1"/>
    <xf numFmtId="9" fontId="0" fillId="62" borderId="0" xfId="3" applyFont="1" applyFill="1"/>
    <xf numFmtId="169" fontId="0" fillId="62" borderId="0" xfId="4" applyNumberFormat="1" applyFont="1" applyFill="1"/>
    <xf numFmtId="3" fontId="0" fillId="62" borderId="41" xfId="0" applyNumberFormat="1" applyFill="1" applyBorder="1"/>
    <xf numFmtId="9" fontId="0" fillId="62" borderId="0" xfId="0" applyNumberFormat="1" applyFill="1"/>
    <xf numFmtId="167" fontId="0" fillId="62" borderId="0" xfId="3" applyNumberFormat="1" applyFont="1" applyFill="1"/>
    <xf numFmtId="169" fontId="0" fillId="62" borderId="41" xfId="4" applyNumberFormat="1" applyFont="1" applyFill="1" applyBorder="1"/>
    <xf numFmtId="0" fontId="22" fillId="62" borderId="42" xfId="124" applyFont="1" applyFill="1" applyBorder="1" applyAlignment="1">
      <alignment horizontal="center" vertical="center"/>
    </xf>
    <xf numFmtId="169" fontId="44" fillId="62" borderId="43" xfId="125" applyNumberFormat="1" applyFont="1" applyFill="1" applyBorder="1"/>
    <xf numFmtId="0" fontId="0" fillId="0" borderId="43" xfId="0" applyFill="1" applyBorder="1"/>
    <xf numFmtId="169" fontId="44" fillId="0" borderId="44" xfId="125" applyNumberFormat="1" applyFont="1" applyFill="1" applyBorder="1"/>
    <xf numFmtId="3" fontId="0" fillId="0" borderId="0" xfId="0" applyNumberFormat="1" applyFill="1"/>
    <xf numFmtId="167" fontId="0" fillId="0" borderId="0" xfId="3" applyNumberFormat="1" applyFont="1" applyFill="1"/>
    <xf numFmtId="167" fontId="0" fillId="0" borderId="0" xfId="0" applyNumberFormat="1" applyFill="1"/>
    <xf numFmtId="10" fontId="0" fillId="0" borderId="0" xfId="3" applyNumberFormat="1" applyFont="1" applyFill="1"/>
    <xf numFmtId="0" fontId="7" fillId="0" borderId="0" xfId="0" applyFont="1" applyFill="1"/>
    <xf numFmtId="0" fontId="0" fillId="62" borderId="0" xfId="0" applyFill="1" applyAlignment="1">
      <alignment horizontal="right"/>
    </xf>
    <xf numFmtId="0" fontId="2" fillId="62" borderId="0" xfId="0" applyFont="1" applyFill="1" applyAlignment="1">
      <alignment horizontal="right"/>
    </xf>
    <xf numFmtId="10" fontId="0" fillId="62" borderId="0" xfId="3" applyNumberFormat="1" applyFont="1" applyFill="1"/>
    <xf numFmtId="167" fontId="0" fillId="62" borderId="0" xfId="0" applyNumberFormat="1" applyFill="1"/>
    <xf numFmtId="10" fontId="7" fillId="62" borderId="0" xfId="3" applyNumberFormat="1" applyFont="1" applyFill="1"/>
    <xf numFmtId="0" fontId="0" fillId="62" borderId="0" xfId="0" applyFill="1" applyAlignment="1">
      <alignment horizontal="center" wrapText="1"/>
    </xf>
    <xf numFmtId="169" fontId="22" fillId="0" borderId="23" xfId="125" applyNumberFormat="1" applyFont="1" applyFill="1" applyBorder="1"/>
    <xf numFmtId="3" fontId="0" fillId="62" borderId="43" xfId="0" applyNumberFormat="1" applyFill="1" applyBorder="1"/>
    <xf numFmtId="3" fontId="0" fillId="62" borderId="0" xfId="0" applyNumberFormat="1" applyFill="1" applyBorder="1"/>
    <xf numFmtId="3" fontId="0" fillId="62" borderId="21" xfId="0" applyNumberFormat="1" applyFill="1" applyBorder="1"/>
    <xf numFmtId="3" fontId="0" fillId="62" borderId="22" xfId="0" applyNumberFormat="1" applyFill="1" applyBorder="1"/>
    <xf numFmtId="0" fontId="0" fillId="0" borderId="0" xfId="0" applyAlignment="1">
      <alignment horizontal="center" wrapText="1"/>
    </xf>
    <xf numFmtId="0" fontId="0" fillId="6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6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22" fillId="59" borderId="35" xfId="124" applyFont="1" applyFill="1" applyBorder="1" applyAlignment="1">
      <alignment horizontal="center" vertical="top"/>
    </xf>
    <xf numFmtId="0" fontId="22" fillId="59" borderId="36" xfId="124" applyFont="1" applyFill="1" applyBorder="1" applyAlignment="1">
      <alignment horizontal="center" vertical="top"/>
    </xf>
    <xf numFmtId="0" fontId="22" fillId="59" borderId="26" xfId="124" applyFont="1" applyFill="1" applyBorder="1" applyAlignment="1">
      <alignment horizontal="center" vertical="top"/>
    </xf>
    <xf numFmtId="170" fontId="44" fillId="56" borderId="28" xfId="125" applyNumberFormat="1" applyFont="1" applyFill="1" applyBorder="1" applyAlignment="1">
      <alignment horizontal="center" vertical="top"/>
    </xf>
    <xf numFmtId="170" fontId="44" fillId="56" borderId="0" xfId="125" applyNumberFormat="1" applyFont="1" applyFill="1" applyBorder="1" applyAlignment="1">
      <alignment horizontal="center" vertical="top"/>
    </xf>
    <xf numFmtId="170" fontId="44" fillId="56" borderId="22" xfId="125" applyNumberFormat="1" applyFont="1" applyFill="1" applyBorder="1" applyAlignment="1">
      <alignment horizontal="center" vertical="top"/>
    </xf>
    <xf numFmtId="0" fontId="22" fillId="57" borderId="28" xfId="124" applyFont="1" applyFill="1" applyBorder="1" applyAlignment="1">
      <alignment horizontal="center" vertical="top"/>
    </xf>
    <xf numFmtId="0" fontId="22" fillId="57" borderId="0" xfId="124" applyFont="1" applyFill="1" applyBorder="1" applyAlignment="1">
      <alignment horizontal="center" vertical="top"/>
    </xf>
    <xf numFmtId="0" fontId="22" fillId="57" borderId="22" xfId="124" applyFont="1" applyFill="1" applyBorder="1" applyAlignment="1">
      <alignment horizontal="center" vertical="top"/>
    </xf>
    <xf numFmtId="0" fontId="22" fillId="57" borderId="32" xfId="124" applyFont="1" applyFill="1" applyBorder="1" applyAlignment="1">
      <alignment horizontal="center" vertical="center"/>
    </xf>
    <xf numFmtId="0" fontId="22" fillId="57" borderId="20" xfId="124" applyFont="1" applyFill="1" applyBorder="1" applyAlignment="1">
      <alignment horizontal="center" vertical="center"/>
    </xf>
    <xf numFmtId="0" fontId="22" fillId="57" borderId="30" xfId="124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128">
    <cellStyle name="$" xfId="101"/>
    <cellStyle name="$.00" xfId="102"/>
    <cellStyle name="$_9. Rev2Cost_GDPIPI" xfId="103"/>
    <cellStyle name="$_lists" xfId="104"/>
    <cellStyle name="$_lists_4. Current Monthly Fixed Charge" xfId="105"/>
    <cellStyle name="$_Sheet4" xfId="106"/>
    <cellStyle name="$M" xfId="107"/>
    <cellStyle name="$M.00" xfId="108"/>
    <cellStyle name="$M_9. Rev2Cost_GDPIPI" xfId="109"/>
    <cellStyle name="20% - Accent1 2" xfId="68"/>
    <cellStyle name="20% - Accent1 3" xfId="5"/>
    <cellStyle name="20% - Accent2 2" xfId="72"/>
    <cellStyle name="20% - Accent2 3" xfId="6"/>
    <cellStyle name="20% - Accent3 2" xfId="76"/>
    <cellStyle name="20% - Accent3 3" xfId="7"/>
    <cellStyle name="20% - Accent4 2" xfId="80"/>
    <cellStyle name="20% - Accent4 3" xfId="8"/>
    <cellStyle name="20% - Accent5 2" xfId="84"/>
    <cellStyle name="20% - Accent5 3" xfId="9"/>
    <cellStyle name="20% - Accent6 2" xfId="88"/>
    <cellStyle name="20% - Accent6 3" xfId="10"/>
    <cellStyle name="40% - Accent1 2" xfId="69"/>
    <cellStyle name="40% - Accent1 3" xfId="11"/>
    <cellStyle name="40% - Accent2 2" xfId="73"/>
    <cellStyle name="40% - Accent2 3" xfId="12"/>
    <cellStyle name="40% - Accent3 2" xfId="77"/>
    <cellStyle name="40% - Accent3 3" xfId="13"/>
    <cellStyle name="40% - Accent4 2" xfId="81"/>
    <cellStyle name="40% - Accent4 3" xfId="14"/>
    <cellStyle name="40% - Accent5 2" xfId="85"/>
    <cellStyle name="40% - Accent5 3" xfId="15"/>
    <cellStyle name="40% - Accent6 2" xfId="89"/>
    <cellStyle name="40% - Accent6 3" xfId="16"/>
    <cellStyle name="60% - Accent1 2" xfId="70"/>
    <cellStyle name="60% - Accent1 3" xfId="17"/>
    <cellStyle name="60% - Accent2 2" xfId="74"/>
    <cellStyle name="60% - Accent2 3" xfId="18"/>
    <cellStyle name="60% - Accent3 2" xfId="78"/>
    <cellStyle name="60% - Accent3 3" xfId="19"/>
    <cellStyle name="60% - Accent4 2" xfId="82"/>
    <cellStyle name="60% - Accent4 3" xfId="20"/>
    <cellStyle name="60% - Accent5 2" xfId="86"/>
    <cellStyle name="60% - Accent5 3" xfId="21"/>
    <cellStyle name="60% - Accent6 2" xfId="90"/>
    <cellStyle name="60% - Accent6 3" xfId="22"/>
    <cellStyle name="Accent1 2" xfId="67"/>
    <cellStyle name="Accent1 3" xfId="23"/>
    <cellStyle name="Accent2 2" xfId="71"/>
    <cellStyle name="Accent2 3" xfId="24"/>
    <cellStyle name="Accent3 2" xfId="75"/>
    <cellStyle name="Accent3 3" xfId="25"/>
    <cellStyle name="Accent4 2" xfId="79"/>
    <cellStyle name="Accent4 3" xfId="26"/>
    <cellStyle name="Accent5 2" xfId="83"/>
    <cellStyle name="Accent5 3" xfId="27"/>
    <cellStyle name="Accent6 2" xfId="87"/>
    <cellStyle name="Accent6 3" xfId="28"/>
    <cellStyle name="Bad 2" xfId="56"/>
    <cellStyle name="Bad 3" xfId="29"/>
    <cellStyle name="Calculation 2" xfId="60"/>
    <cellStyle name="Calculation 3" xfId="30"/>
    <cellStyle name="Check Cell 2" xfId="62"/>
    <cellStyle name="Check Cell 3" xfId="31"/>
    <cellStyle name="Comma" xfId="4" builtinId="3"/>
    <cellStyle name="Comma 2" xfId="1"/>
    <cellStyle name="Comma 2 2" xfId="92"/>
    <cellStyle name="Comma 3" xfId="95"/>
    <cellStyle name="Comma 3 2" xfId="125"/>
    <cellStyle name="Comma 4" xfId="100"/>
    <cellStyle name="Comma0" xfId="110"/>
    <cellStyle name="Currency 2" xfId="99"/>
    <cellStyle name="Currency 3" xfId="127"/>
    <cellStyle name="Currency 4" xfId="32"/>
    <cellStyle name="Currency0" xfId="111"/>
    <cellStyle name="Date" xfId="112"/>
    <cellStyle name="Explanatory Text 2" xfId="65"/>
    <cellStyle name="Explanatory Text 3" xfId="33"/>
    <cellStyle name="Fixed" xfId="113"/>
    <cellStyle name="Good 2" xfId="55"/>
    <cellStyle name="Good 3" xfId="34"/>
    <cellStyle name="Grey" xfId="114"/>
    <cellStyle name="Heading 1 2" xfId="51"/>
    <cellStyle name="Heading 1 3" xfId="35"/>
    <cellStyle name="Heading 2 2" xfId="50"/>
    <cellStyle name="Heading 2 3" xfId="36"/>
    <cellStyle name="Heading 3 2" xfId="53"/>
    <cellStyle name="Heading 3 3" xfId="37"/>
    <cellStyle name="Heading 4 2" xfId="54"/>
    <cellStyle name="Heading 4 3" xfId="38"/>
    <cellStyle name="Hyperlink 2" xfId="39"/>
    <cellStyle name="Input [yellow]" xfId="115"/>
    <cellStyle name="Input 2" xfId="58"/>
    <cellStyle name="Input 3" xfId="40"/>
    <cellStyle name="Linked Cell 2" xfId="61"/>
    <cellStyle name="Linked Cell 3" xfId="41"/>
    <cellStyle name="M" xfId="116"/>
    <cellStyle name="M.00" xfId="117"/>
    <cellStyle name="M_9. Rev2Cost_GDPIPI" xfId="118"/>
    <cellStyle name="M_lists" xfId="119"/>
    <cellStyle name="M_lists_4. Current Monthly Fixed Charge" xfId="120"/>
    <cellStyle name="M_Sheet4" xfId="121"/>
    <cellStyle name="Neutral 2" xfId="57"/>
    <cellStyle name="Neutral 3" xfId="42"/>
    <cellStyle name="Normal" xfId="0" builtinId="0"/>
    <cellStyle name="Normal - Style1" xfId="122"/>
    <cellStyle name="Normal 2" xfId="2"/>
    <cellStyle name="Normal 2 2" xfId="48"/>
    <cellStyle name="Normal 3" xfId="52"/>
    <cellStyle name="Normal 4" xfId="91"/>
    <cellStyle name="Normal 5" xfId="94"/>
    <cellStyle name="Normal 5 2" xfId="124"/>
    <cellStyle name="Normal 6" xfId="97"/>
    <cellStyle name="Note 2" xfId="64"/>
    <cellStyle name="Note 3" xfId="43"/>
    <cellStyle name="Output 2" xfId="59"/>
    <cellStyle name="Output 3" xfId="44"/>
    <cellStyle name="Percent" xfId="3" builtinId="5"/>
    <cellStyle name="Percent [2]" xfId="123"/>
    <cellStyle name="Percent 2" xfId="93"/>
    <cellStyle name="Percent 3" xfId="96"/>
    <cellStyle name="Percent 3 2" xfId="126"/>
    <cellStyle name="Percent 4" xfId="98"/>
    <cellStyle name="Title 2" xfId="49"/>
    <cellStyle name="Title 3" xfId="45"/>
    <cellStyle name="Total 2" xfId="66"/>
    <cellStyle name="Total 3" xfId="46"/>
    <cellStyle name="Warning Text 2" xfId="63"/>
    <cellStyle name="Warning Text 3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Monthly'!$C$2:$C$73</c:f>
              <c:numCache>
                <c:formatCode>General</c:formatCode>
                <c:ptCount val="72"/>
                <c:pt idx="0">
                  <c:v>24633368.951099999</c:v>
                </c:pt>
                <c:pt idx="1">
                  <c:v>21259564.445299998</c:v>
                </c:pt>
                <c:pt idx="2">
                  <c:v>20311506.205500003</c:v>
                </c:pt>
                <c:pt idx="3">
                  <c:v>15355678.4505</c:v>
                </c:pt>
                <c:pt idx="4">
                  <c:v>13117710.1909</c:v>
                </c:pt>
                <c:pt idx="5">
                  <c:v>11957071.520799998</c:v>
                </c:pt>
                <c:pt idx="6">
                  <c:v>12423690.194100002</c:v>
                </c:pt>
                <c:pt idx="7">
                  <c:v>13070512.381900001</c:v>
                </c:pt>
                <c:pt idx="8">
                  <c:v>13202217.812000001</c:v>
                </c:pt>
                <c:pt idx="9">
                  <c:v>14811561.364799999</c:v>
                </c:pt>
                <c:pt idx="10">
                  <c:v>16459360.333399998</c:v>
                </c:pt>
                <c:pt idx="11">
                  <c:v>19859508.091600001</c:v>
                </c:pt>
                <c:pt idx="12">
                  <c:v>23606855.725399997</c:v>
                </c:pt>
                <c:pt idx="13">
                  <c:v>21091517.422400001</c:v>
                </c:pt>
                <c:pt idx="14">
                  <c:v>19291304.618700001</c:v>
                </c:pt>
                <c:pt idx="15">
                  <c:v>14289179.892700002</c:v>
                </c:pt>
                <c:pt idx="16">
                  <c:v>12526333.185799999</c:v>
                </c:pt>
                <c:pt idx="17">
                  <c:v>12654046.736899998</c:v>
                </c:pt>
                <c:pt idx="18">
                  <c:v>14622071.658500001</c:v>
                </c:pt>
                <c:pt idx="19">
                  <c:v>13964183.280500002</c:v>
                </c:pt>
                <c:pt idx="20">
                  <c:v>13079707.3025</c:v>
                </c:pt>
                <c:pt idx="21">
                  <c:v>14420343.764199998</c:v>
                </c:pt>
                <c:pt idx="22">
                  <c:v>16915365.330200002</c:v>
                </c:pt>
                <c:pt idx="23">
                  <c:v>20949855.477400001</c:v>
                </c:pt>
                <c:pt idx="24">
                  <c:v>22949860.934299998</c:v>
                </c:pt>
                <c:pt idx="25">
                  <c:v>20130373.043899998</c:v>
                </c:pt>
                <c:pt idx="26">
                  <c:v>19264282.676100001</c:v>
                </c:pt>
                <c:pt idx="27">
                  <c:v>15275002.8061</c:v>
                </c:pt>
                <c:pt idx="28">
                  <c:v>12988644.4836</c:v>
                </c:pt>
                <c:pt idx="29">
                  <c:v>12227658.222899999</c:v>
                </c:pt>
                <c:pt idx="30">
                  <c:v>14186476.795499999</c:v>
                </c:pt>
                <c:pt idx="31">
                  <c:v>13646879.092999998</c:v>
                </c:pt>
                <c:pt idx="32">
                  <c:v>12374381.956699999</c:v>
                </c:pt>
                <c:pt idx="33">
                  <c:v>13664672.127900001</c:v>
                </c:pt>
                <c:pt idx="34">
                  <c:v>15512028.3873</c:v>
                </c:pt>
                <c:pt idx="35">
                  <c:v>18884077.882800002</c:v>
                </c:pt>
                <c:pt idx="36">
                  <c:v>20794679.283499997</c:v>
                </c:pt>
                <c:pt idx="37">
                  <c:v>18571936.430599999</c:v>
                </c:pt>
                <c:pt idx="38">
                  <c:v>16671968.3027</c:v>
                </c:pt>
                <c:pt idx="39">
                  <c:v>14395404.4703</c:v>
                </c:pt>
                <c:pt idx="40">
                  <c:v>11731052.347100001</c:v>
                </c:pt>
                <c:pt idx="41">
                  <c:v>12434620.296799999</c:v>
                </c:pt>
                <c:pt idx="42">
                  <c:v>14445687.284299999</c:v>
                </c:pt>
                <c:pt idx="43">
                  <c:v>13861522.800799999</c:v>
                </c:pt>
                <c:pt idx="44">
                  <c:v>12546095.385499999</c:v>
                </c:pt>
                <c:pt idx="45">
                  <c:v>13105249.1916</c:v>
                </c:pt>
                <c:pt idx="46">
                  <c:v>16847106.408300001</c:v>
                </c:pt>
                <c:pt idx="47">
                  <c:v>19547886.409699999</c:v>
                </c:pt>
                <c:pt idx="48">
                  <c:v>21901118.335200001</c:v>
                </c:pt>
                <c:pt idx="49">
                  <c:v>19629047.322099999</c:v>
                </c:pt>
                <c:pt idx="50">
                  <c:v>18854792.866099998</c:v>
                </c:pt>
                <c:pt idx="51">
                  <c:v>15311977.522799999</c:v>
                </c:pt>
                <c:pt idx="52">
                  <c:v>11256892.577400001</c:v>
                </c:pt>
                <c:pt idx="53">
                  <c:v>11837120.3138</c:v>
                </c:pt>
                <c:pt idx="54">
                  <c:v>13724938.6174</c:v>
                </c:pt>
                <c:pt idx="55">
                  <c:v>12808476.5385</c:v>
                </c:pt>
                <c:pt idx="56">
                  <c:v>12245851.7632</c:v>
                </c:pt>
                <c:pt idx="57">
                  <c:v>13101524.618600002</c:v>
                </c:pt>
                <c:pt idx="58">
                  <c:v>17400393.981199998</c:v>
                </c:pt>
                <c:pt idx="59">
                  <c:v>21276561.418000001</c:v>
                </c:pt>
                <c:pt idx="60">
                  <c:v>24045022.723000001</c:v>
                </c:pt>
                <c:pt idx="61">
                  <c:v>20749302.4553</c:v>
                </c:pt>
                <c:pt idx="62">
                  <c:v>20476865.275200002</c:v>
                </c:pt>
                <c:pt idx="63">
                  <c:v>15606789.041399999</c:v>
                </c:pt>
                <c:pt idx="64">
                  <c:v>11442915.201100001</c:v>
                </c:pt>
                <c:pt idx="65">
                  <c:v>11450449.290999999</c:v>
                </c:pt>
                <c:pt idx="66">
                  <c:v>12659349.261</c:v>
                </c:pt>
                <c:pt idx="67">
                  <c:v>12690651.3156</c:v>
                </c:pt>
                <c:pt idx="68">
                  <c:v>12397214.755899999</c:v>
                </c:pt>
                <c:pt idx="69">
                  <c:v>13065374.972399998</c:v>
                </c:pt>
                <c:pt idx="70">
                  <c:v>17254782.230599999</c:v>
                </c:pt>
                <c:pt idx="71">
                  <c:v>20222691.8213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Predicted Monthly'!$N$1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Monthly'!$N$2:$N$73</c:f>
              <c:numCache>
                <c:formatCode>_-* #,##0.00_-;\-* #,##0.00_-;_-* "-"??_-;_-@_-</c:formatCode>
                <c:ptCount val="72"/>
                <c:pt idx="0">
                  <c:v>24448087.090128921</c:v>
                </c:pt>
                <c:pt idx="1">
                  <c:v>20892433.923092984</c:v>
                </c:pt>
                <c:pt idx="2">
                  <c:v>19406241.273919441</c:v>
                </c:pt>
                <c:pt idx="3">
                  <c:v>15746035.098852543</c:v>
                </c:pt>
                <c:pt idx="4">
                  <c:v>13058921.212028492</c:v>
                </c:pt>
                <c:pt idx="5">
                  <c:v>12681560.641350389</c:v>
                </c:pt>
                <c:pt idx="6">
                  <c:v>12114473.038357131</c:v>
                </c:pt>
                <c:pt idx="7">
                  <c:v>14135732.364253227</c:v>
                </c:pt>
                <c:pt idx="8">
                  <c:v>12362791.849509027</c:v>
                </c:pt>
                <c:pt idx="9">
                  <c:v>15708170.915927922</c:v>
                </c:pt>
                <c:pt idx="10">
                  <c:v>16541536.503105732</c:v>
                </c:pt>
                <c:pt idx="11">
                  <c:v>21273041.170203082</c:v>
                </c:pt>
                <c:pt idx="12">
                  <c:v>22086564.002057619</c:v>
                </c:pt>
                <c:pt idx="13">
                  <c:v>20030871.601659685</c:v>
                </c:pt>
                <c:pt idx="14">
                  <c:v>17475081.621233843</c:v>
                </c:pt>
                <c:pt idx="15">
                  <c:v>14257347.781303436</c:v>
                </c:pt>
                <c:pt idx="16">
                  <c:v>12892428.723885741</c:v>
                </c:pt>
                <c:pt idx="17">
                  <c:v>12121650.711716015</c:v>
                </c:pt>
                <c:pt idx="18">
                  <c:v>15826227.22113234</c:v>
                </c:pt>
                <c:pt idx="19">
                  <c:v>13869632.279848807</c:v>
                </c:pt>
                <c:pt idx="20">
                  <c:v>12980037.502529293</c:v>
                </c:pt>
                <c:pt idx="21">
                  <c:v>14708183.364383191</c:v>
                </c:pt>
                <c:pt idx="22">
                  <c:v>17321463.268863633</c:v>
                </c:pt>
                <c:pt idx="23">
                  <c:v>21315272.663880978</c:v>
                </c:pt>
                <c:pt idx="24">
                  <c:v>23408944.206455946</c:v>
                </c:pt>
                <c:pt idx="25">
                  <c:v>21091112.890685089</c:v>
                </c:pt>
                <c:pt idx="26">
                  <c:v>19466883.527120132</c:v>
                </c:pt>
                <c:pt idx="27">
                  <c:v>15726180.633758415</c:v>
                </c:pt>
                <c:pt idx="28">
                  <c:v>12409384.504355896</c:v>
                </c:pt>
                <c:pt idx="29">
                  <c:v>11313411.049316455</c:v>
                </c:pt>
                <c:pt idx="30">
                  <c:v>14486729.072916832</c:v>
                </c:pt>
                <c:pt idx="31">
                  <c:v>12643575.788941186</c:v>
                </c:pt>
                <c:pt idx="32">
                  <c:v>12022712.409845423</c:v>
                </c:pt>
                <c:pt idx="33">
                  <c:v>14052801.860860091</c:v>
                </c:pt>
                <c:pt idx="34">
                  <c:v>15977293.976646867</c:v>
                </c:pt>
                <c:pt idx="35">
                  <c:v>19438522.382210404</c:v>
                </c:pt>
                <c:pt idx="36">
                  <c:v>20755132.79998599</c:v>
                </c:pt>
                <c:pt idx="37">
                  <c:v>19095417.705583453</c:v>
                </c:pt>
                <c:pt idx="38">
                  <c:v>16184504.389048884</c:v>
                </c:pt>
                <c:pt idx="39">
                  <c:v>15242280.847277543</c:v>
                </c:pt>
                <c:pt idx="40">
                  <c:v>11719691.967563499</c:v>
                </c:pt>
                <c:pt idx="41">
                  <c:v>12160367.612586714</c:v>
                </c:pt>
                <c:pt idx="42">
                  <c:v>14245299.458383337</c:v>
                </c:pt>
                <c:pt idx="43">
                  <c:v>13144740.49126428</c:v>
                </c:pt>
                <c:pt idx="44">
                  <c:v>12108160.34037549</c:v>
                </c:pt>
                <c:pt idx="45">
                  <c:v>13707626.389909498</c:v>
                </c:pt>
                <c:pt idx="46">
                  <c:v>17349816.370498434</c:v>
                </c:pt>
                <c:pt idx="47">
                  <c:v>19575364.129377089</c:v>
                </c:pt>
                <c:pt idx="48">
                  <c:v>21043026.659808163</c:v>
                </c:pt>
                <c:pt idx="49">
                  <c:v>20405326.882702097</c:v>
                </c:pt>
                <c:pt idx="50">
                  <c:v>18800773.559717547</c:v>
                </c:pt>
                <c:pt idx="51">
                  <c:v>15640192.355089741</c:v>
                </c:pt>
                <c:pt idx="52">
                  <c:v>11976520.150626887</c:v>
                </c:pt>
                <c:pt idx="53">
                  <c:v>11954292.999466326</c:v>
                </c:pt>
                <c:pt idx="54">
                  <c:v>13453836.523367368</c:v>
                </c:pt>
                <c:pt idx="55">
                  <c:v>12087201.544150326</c:v>
                </c:pt>
                <c:pt idx="56">
                  <c:v>12149640.554667071</c:v>
                </c:pt>
                <c:pt idx="57">
                  <c:v>13414246.899896521</c:v>
                </c:pt>
                <c:pt idx="58">
                  <c:v>17430442.427595675</c:v>
                </c:pt>
                <c:pt idx="59">
                  <c:v>21268346.842735648</c:v>
                </c:pt>
                <c:pt idx="60">
                  <c:v>22596735.341742348</c:v>
                </c:pt>
                <c:pt idx="61">
                  <c:v>21000079.978107095</c:v>
                </c:pt>
                <c:pt idx="62">
                  <c:v>20710327.522966214</c:v>
                </c:pt>
                <c:pt idx="63">
                  <c:v>15283266.647139192</c:v>
                </c:pt>
                <c:pt idx="64">
                  <c:v>12230705.292765893</c:v>
                </c:pt>
                <c:pt idx="65">
                  <c:v>12078140.894886564</c:v>
                </c:pt>
                <c:pt idx="66">
                  <c:v>12196377.662157077</c:v>
                </c:pt>
                <c:pt idx="67">
                  <c:v>12179952.009907741</c:v>
                </c:pt>
                <c:pt idx="68">
                  <c:v>12415965.174731657</c:v>
                </c:pt>
                <c:pt idx="69">
                  <c:v>13560680.337123416</c:v>
                </c:pt>
                <c:pt idx="70">
                  <c:v>17486499.718254954</c:v>
                </c:pt>
                <c:pt idx="71">
                  <c:v>19397846.968704395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3136"/>
        <c:axId val="206738560"/>
      </c:lineChart>
      <c:dateAx>
        <c:axId val="20820313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06738560"/>
        <c:crosses val="autoZero"/>
        <c:auto val="1"/>
        <c:lblOffset val="100"/>
        <c:baseTimeUnit val="months"/>
      </c:dateAx>
      <c:valAx>
        <c:axId val="206738560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820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Monthly'!$C$2:$C$145</c:f>
              <c:numCache>
                <c:formatCode>General</c:formatCode>
                <c:ptCount val="144"/>
                <c:pt idx="0">
                  <c:v>9405720.7811999973</c:v>
                </c:pt>
                <c:pt idx="1">
                  <c:v>8296015.0248000016</c:v>
                </c:pt>
                <c:pt idx="2">
                  <c:v>8604597.311900001</c:v>
                </c:pt>
                <c:pt idx="3">
                  <c:v>7316308.4113000007</c:v>
                </c:pt>
                <c:pt idx="4">
                  <c:v>6892994.1161999991</c:v>
                </c:pt>
                <c:pt idx="5">
                  <c:v>6896984.1305000009</c:v>
                </c:pt>
                <c:pt idx="6">
                  <c:v>7547793.2116999989</c:v>
                </c:pt>
                <c:pt idx="7">
                  <c:v>7818900.3452000003</c:v>
                </c:pt>
                <c:pt idx="8">
                  <c:v>7086905.3305000011</c:v>
                </c:pt>
                <c:pt idx="9">
                  <c:v>7315482.7944999998</c:v>
                </c:pt>
                <c:pt idx="10">
                  <c:v>7548115.7056999998</c:v>
                </c:pt>
                <c:pt idx="11">
                  <c:v>8620869.761500001</c:v>
                </c:pt>
                <c:pt idx="12">
                  <c:v>9325181.3517000005</c:v>
                </c:pt>
                <c:pt idx="13">
                  <c:v>8591993.1293000001</c:v>
                </c:pt>
                <c:pt idx="14">
                  <c:v>8207095.9015999986</c:v>
                </c:pt>
                <c:pt idx="15">
                  <c:v>6918818.8890000004</c:v>
                </c:pt>
                <c:pt idx="16">
                  <c:v>6986125.7528999997</c:v>
                </c:pt>
                <c:pt idx="17">
                  <c:v>7185164.8809000012</c:v>
                </c:pt>
                <c:pt idx="18">
                  <c:v>8291002.0009999992</c:v>
                </c:pt>
                <c:pt idx="19">
                  <c:v>8091227.442999999</c:v>
                </c:pt>
                <c:pt idx="20">
                  <c:v>7107037.0582999997</c:v>
                </c:pt>
                <c:pt idx="21">
                  <c:v>7112672.8845999986</c:v>
                </c:pt>
                <c:pt idx="22">
                  <c:v>7591437.2906999998</c:v>
                </c:pt>
                <c:pt idx="23">
                  <c:v>8718326.5439999998</c:v>
                </c:pt>
                <c:pt idx="24">
                  <c:v>9393676.9426000006</c:v>
                </c:pt>
                <c:pt idx="25">
                  <c:v>8452752.0697000008</c:v>
                </c:pt>
                <c:pt idx="26">
                  <c:v>8568325.1115000006</c:v>
                </c:pt>
                <c:pt idx="27">
                  <c:v>7346493.2652000012</c:v>
                </c:pt>
                <c:pt idx="28">
                  <c:v>7368309.8563999999</c:v>
                </c:pt>
                <c:pt idx="29">
                  <c:v>7131096.6754999999</c:v>
                </c:pt>
                <c:pt idx="30">
                  <c:v>8127943.4221000001</c:v>
                </c:pt>
                <c:pt idx="31">
                  <c:v>7808808.1944000004</c:v>
                </c:pt>
                <c:pt idx="32">
                  <c:v>6954625.1506999992</c:v>
                </c:pt>
                <c:pt idx="33">
                  <c:v>6817049.963200001</c:v>
                </c:pt>
                <c:pt idx="34">
                  <c:v>7100784.7841999996</c:v>
                </c:pt>
                <c:pt idx="35">
                  <c:v>7938769.4755000006</c:v>
                </c:pt>
                <c:pt idx="36">
                  <c:v>8455236.2163999993</c:v>
                </c:pt>
                <c:pt idx="37">
                  <c:v>7820724.9231000002</c:v>
                </c:pt>
                <c:pt idx="38">
                  <c:v>7522796.9426999995</c:v>
                </c:pt>
                <c:pt idx="39">
                  <c:v>6733723.8155000005</c:v>
                </c:pt>
                <c:pt idx="40">
                  <c:v>6797543.6818000004</c:v>
                </c:pt>
                <c:pt idx="41">
                  <c:v>7173898.5476000002</c:v>
                </c:pt>
                <c:pt idx="42">
                  <c:v>7895965.2410000004</c:v>
                </c:pt>
                <c:pt idx="43">
                  <c:v>7673572.2456</c:v>
                </c:pt>
                <c:pt idx="44">
                  <c:v>6803174.4414999997</c:v>
                </c:pt>
                <c:pt idx="45">
                  <c:v>6614485.8804000001</c:v>
                </c:pt>
                <c:pt idx="46">
                  <c:v>7233949.3405999998</c:v>
                </c:pt>
                <c:pt idx="47">
                  <c:v>7883569.6208999995</c:v>
                </c:pt>
                <c:pt idx="48">
                  <c:v>8494433.2956000008</c:v>
                </c:pt>
                <c:pt idx="49">
                  <c:v>7732556.6048999997</c:v>
                </c:pt>
                <c:pt idx="50">
                  <c:v>7818446.9395999992</c:v>
                </c:pt>
                <c:pt idx="51">
                  <c:v>6860921.9294999996</c:v>
                </c:pt>
                <c:pt idx="52">
                  <c:v>6349928.6646999987</c:v>
                </c:pt>
                <c:pt idx="53">
                  <c:v>6492686.1686000004</c:v>
                </c:pt>
                <c:pt idx="54">
                  <c:v>7411287.6236999994</c:v>
                </c:pt>
                <c:pt idx="55">
                  <c:v>7080591.3404999999</c:v>
                </c:pt>
                <c:pt idx="56">
                  <c:v>6427748.052699999</c:v>
                </c:pt>
                <c:pt idx="57">
                  <c:v>6420522.6624999996</c:v>
                </c:pt>
                <c:pt idx="58">
                  <c:v>7196501.2766999993</c:v>
                </c:pt>
                <c:pt idx="59">
                  <c:v>8089952.5006000008</c:v>
                </c:pt>
                <c:pt idx="60">
                  <c:v>9744747.6810999997</c:v>
                </c:pt>
                <c:pt idx="61">
                  <c:v>8690919.2281999998</c:v>
                </c:pt>
                <c:pt idx="62">
                  <c:v>8839537.966</c:v>
                </c:pt>
                <c:pt idx="63">
                  <c:v>7227399.0751</c:v>
                </c:pt>
                <c:pt idx="64">
                  <c:v>6595622.3787000002</c:v>
                </c:pt>
                <c:pt idx="65">
                  <c:v>6748420.8118000003</c:v>
                </c:pt>
                <c:pt idx="66">
                  <c:v>7210633.4199000001</c:v>
                </c:pt>
                <c:pt idx="67">
                  <c:v>7172486.9500000002</c:v>
                </c:pt>
                <c:pt idx="68">
                  <c:v>6683803.4541999996</c:v>
                </c:pt>
                <c:pt idx="69">
                  <c:v>6719023.064100001</c:v>
                </c:pt>
                <c:pt idx="70">
                  <c:v>7525140.5691000018</c:v>
                </c:pt>
                <c:pt idx="71">
                  <c:v>8312820.2866000012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Normalized Monthly'!$V$1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Monthly'!$V$2:$V$145</c:f>
              <c:numCache>
                <c:formatCode>_-* #,##0_-;\-* #,##0_-;_-* "-"??_-;_-@_-</c:formatCode>
                <c:ptCount val="144"/>
                <c:pt idx="0">
                  <c:v>9193145.0733574685</c:v>
                </c:pt>
                <c:pt idx="1">
                  <c:v>8868244.7982572448</c:v>
                </c:pt>
                <c:pt idx="2">
                  <c:v>8544319.1965833958</c:v>
                </c:pt>
                <c:pt idx="3">
                  <c:v>7796599.3449973492</c:v>
                </c:pt>
                <c:pt idx="4">
                  <c:v>7311969.0306336544</c:v>
                </c:pt>
                <c:pt idx="5">
                  <c:v>7458107.3391792178</c:v>
                </c:pt>
                <c:pt idx="6">
                  <c:v>8131261.2622672152</c:v>
                </c:pt>
                <c:pt idx="7">
                  <c:v>7824913.3730894104</c:v>
                </c:pt>
                <c:pt idx="8">
                  <c:v>7180531.4741575141</c:v>
                </c:pt>
                <c:pt idx="9">
                  <c:v>7439087.2422245126</c:v>
                </c:pt>
                <c:pt idx="10">
                  <c:v>7969975.5796313621</c:v>
                </c:pt>
                <c:pt idx="11">
                  <c:v>8764421.7780973949</c:v>
                </c:pt>
                <c:pt idx="12">
                  <c:v>9076847.1307445448</c:v>
                </c:pt>
                <c:pt idx="13">
                  <c:v>8727284.6735704709</c:v>
                </c:pt>
                <c:pt idx="14">
                  <c:v>8311756.6813366106</c:v>
                </c:pt>
                <c:pt idx="15">
                  <c:v>7571083.1674859496</c:v>
                </c:pt>
                <c:pt idx="16">
                  <c:v>7058267.5021807132</c:v>
                </c:pt>
                <c:pt idx="17">
                  <c:v>7260776.5126093626</c:v>
                </c:pt>
                <c:pt idx="18">
                  <c:v>7898698.7470204327</c:v>
                </c:pt>
                <c:pt idx="19">
                  <c:v>7676906.9106672518</c:v>
                </c:pt>
                <c:pt idx="20">
                  <c:v>7029001.8428676641</c:v>
                </c:pt>
                <c:pt idx="21">
                  <c:v>7347451.4816854382</c:v>
                </c:pt>
                <c:pt idx="22">
                  <c:v>7938233.6898430642</c:v>
                </c:pt>
                <c:pt idx="23">
                  <c:v>8708017.7062352486</c:v>
                </c:pt>
                <c:pt idx="24">
                  <c:v>9016919.8900147062</c:v>
                </c:pt>
                <c:pt idx="25">
                  <c:v>8688496.4460467882</c:v>
                </c:pt>
                <c:pt idx="26">
                  <c:v>8265922.1160775432</c:v>
                </c:pt>
                <c:pt idx="27">
                  <c:v>7518202.2644914947</c:v>
                </c:pt>
                <c:pt idx="28">
                  <c:v>7015956.1057893364</c:v>
                </c:pt>
                <c:pt idx="29">
                  <c:v>7218465.1162179857</c:v>
                </c:pt>
                <c:pt idx="30">
                  <c:v>7874003.1949675186</c:v>
                </c:pt>
                <c:pt idx="31">
                  <c:v>7557085.7991866358</c:v>
                </c:pt>
                <c:pt idx="32">
                  <c:v>6916227.0691224327</c:v>
                </c:pt>
                <c:pt idx="33">
                  <c:v>7185352.3437925084</c:v>
                </c:pt>
                <c:pt idx="34">
                  <c:v>7712717.5123316655</c:v>
                </c:pt>
                <c:pt idx="35">
                  <c:v>8482501.5287238508</c:v>
                </c:pt>
                <c:pt idx="36">
                  <c:v>8801973.2191063855</c:v>
                </c:pt>
                <c:pt idx="37">
                  <c:v>8462980.2685353905</c:v>
                </c:pt>
                <c:pt idx="38">
                  <c:v>8040405.9385661446</c:v>
                </c:pt>
                <c:pt idx="39">
                  <c:v>7264500.7360385563</c:v>
                </c:pt>
                <c:pt idx="40">
                  <c:v>6744638.7329979343</c:v>
                </c:pt>
                <c:pt idx="41">
                  <c:v>6957717.2500296598</c:v>
                </c:pt>
                <c:pt idx="42">
                  <c:v>7616778.497646885</c:v>
                </c:pt>
                <c:pt idx="43">
                  <c:v>7324523.2839398533</c:v>
                </c:pt>
                <c:pt idx="44">
                  <c:v>6585015.8255802533</c:v>
                </c:pt>
                <c:pt idx="45">
                  <c:v>6875280.1134564849</c:v>
                </c:pt>
                <c:pt idx="46">
                  <c:v>7459015.9838787252</c:v>
                </c:pt>
                <c:pt idx="47">
                  <c:v>8235846.3380062971</c:v>
                </c:pt>
                <c:pt idx="48">
                  <c:v>8534179.0151826739</c:v>
                </c:pt>
                <c:pt idx="49">
                  <c:v>8226894.5844209138</c:v>
                </c:pt>
                <c:pt idx="50">
                  <c:v>7800797.0855839755</c:v>
                </c:pt>
                <c:pt idx="51">
                  <c:v>7067169.9094686992</c:v>
                </c:pt>
                <c:pt idx="52">
                  <c:v>6554354.244163461</c:v>
                </c:pt>
                <c:pt idx="53">
                  <c:v>6774479.0989305759</c:v>
                </c:pt>
                <c:pt idx="54">
                  <c:v>7447633.0220185723</c:v>
                </c:pt>
                <c:pt idx="55">
                  <c:v>7151854.6394438455</c:v>
                </c:pt>
                <c:pt idx="56">
                  <c:v>6496903.2339088712</c:v>
                </c:pt>
                <c:pt idx="57">
                  <c:v>6713180.975563556</c:v>
                </c:pt>
                <c:pt idx="58">
                  <c:v>7113712.0648657735</c:v>
                </c:pt>
                <c:pt idx="59">
                  <c:v>7862357.0680518039</c:v>
                </c:pt>
                <c:pt idx="60">
                  <c:v>9152489.0297301542</c:v>
                </c:pt>
                <c:pt idx="61">
                  <c:v>8813496.0791591592</c:v>
                </c:pt>
                <c:pt idx="62">
                  <c:v>8274657.1765560526</c:v>
                </c:pt>
                <c:pt idx="63">
                  <c:v>7537506.831573084</c:v>
                </c:pt>
                <c:pt idx="64">
                  <c:v>7028214.33513554</c:v>
                </c:pt>
                <c:pt idx="65">
                  <c:v>7202537.9946226478</c:v>
                </c:pt>
                <c:pt idx="66">
                  <c:v>7872168.7488429509</c:v>
                </c:pt>
                <c:pt idx="67">
                  <c:v>7576390.366268225</c:v>
                </c:pt>
                <c:pt idx="68">
                  <c:v>6650154.9579209089</c:v>
                </c:pt>
                <c:pt idx="69">
                  <c:v>6961558.2590032984</c:v>
                </c:pt>
                <c:pt idx="70">
                  <c:v>7499492.9341455325</c:v>
                </c:pt>
                <c:pt idx="71">
                  <c:v>8251661.1061992552</c:v>
                </c:pt>
                <c:pt idx="72">
                  <c:v>9171881.7903559301</c:v>
                </c:pt>
                <c:pt idx="73">
                  <c:v>8843754.7246252429</c:v>
                </c:pt>
                <c:pt idx="74">
                  <c:v>8439092.6172316894</c:v>
                </c:pt>
                <c:pt idx="75">
                  <c:v>7702238.6504859515</c:v>
                </c:pt>
                <c:pt idx="76">
                  <c:v>7242566.8964333348</c:v>
                </c:pt>
                <c:pt idx="77">
                  <c:v>7452418.6228345986</c:v>
                </c:pt>
                <c:pt idx="78">
                  <c:v>8132915.2618952114</c:v>
                </c:pt>
                <c:pt idx="79">
                  <c:v>7858572.2707638703</c:v>
                </c:pt>
                <c:pt idx="80">
                  <c:v>7225056.2566722836</c:v>
                </c:pt>
                <c:pt idx="81">
                  <c:v>7533232.7671242077</c:v>
                </c:pt>
                <c:pt idx="82">
                  <c:v>8074986.9893713649</c:v>
                </c:pt>
                <c:pt idx="83">
                  <c:v>8848590.5528684743</c:v>
                </c:pt>
                <c:pt idx="84">
                  <c:v>8995338.0212989505</c:v>
                </c:pt>
                <c:pt idx="85">
                  <c:v>8667210.9555682633</c:v>
                </c:pt>
                <c:pt idx="86">
                  <c:v>8262548.8481747098</c:v>
                </c:pt>
                <c:pt idx="87">
                  <c:v>7525694.8814289719</c:v>
                </c:pt>
                <c:pt idx="88">
                  <c:v>7066023.1273763552</c:v>
                </c:pt>
                <c:pt idx="89">
                  <c:v>7275874.8537776191</c:v>
                </c:pt>
                <c:pt idx="90">
                  <c:v>7956371.4928382318</c:v>
                </c:pt>
                <c:pt idx="91">
                  <c:v>7682028.5017068908</c:v>
                </c:pt>
                <c:pt idx="92">
                  <c:v>7048512.4876153041</c:v>
                </c:pt>
                <c:pt idx="93">
                  <c:v>7356688.9980672281</c:v>
                </c:pt>
                <c:pt idx="94">
                  <c:v>7898443.2203143854</c:v>
                </c:pt>
                <c:pt idx="95">
                  <c:v>8672046.7838114947</c:v>
                </c:pt>
                <c:pt idx="96">
                  <c:v>8821742.7180690449</c:v>
                </c:pt>
                <c:pt idx="97">
                  <c:v>8493615.6523383576</c:v>
                </c:pt>
                <c:pt idx="98">
                  <c:v>8088953.5449448042</c:v>
                </c:pt>
                <c:pt idx="99">
                  <c:v>7352099.5781990662</c:v>
                </c:pt>
                <c:pt idx="100">
                  <c:v>6892427.8241464496</c:v>
                </c:pt>
                <c:pt idx="101">
                  <c:v>7102279.5505477134</c:v>
                </c:pt>
                <c:pt idx="102">
                  <c:v>7782776.1896083262</c:v>
                </c:pt>
                <c:pt idx="103">
                  <c:v>7508433.1984769851</c:v>
                </c:pt>
                <c:pt idx="104">
                  <c:v>6874917.1843853984</c:v>
                </c:pt>
                <c:pt idx="105">
                  <c:v>7183093.6948373225</c:v>
                </c:pt>
                <c:pt idx="106">
                  <c:v>7724847.9170844797</c:v>
                </c:pt>
                <c:pt idx="107">
                  <c:v>8498451.480581589</c:v>
                </c:pt>
                <c:pt idx="108">
                  <c:v>8651046.6381991468</c:v>
                </c:pt>
                <c:pt idx="109">
                  <c:v>8322919.5724684596</c:v>
                </c:pt>
                <c:pt idx="110">
                  <c:v>7918257.4650749061</c:v>
                </c:pt>
                <c:pt idx="111">
                  <c:v>7181403.4983291682</c:v>
                </c:pt>
                <c:pt idx="112">
                  <c:v>6721731.7442765515</c:v>
                </c:pt>
                <c:pt idx="113">
                  <c:v>6931583.4706778154</c:v>
                </c:pt>
                <c:pt idx="114">
                  <c:v>7612080.1097384281</c:v>
                </c:pt>
                <c:pt idx="115">
                  <c:v>7337737.1186070871</c:v>
                </c:pt>
                <c:pt idx="116">
                  <c:v>6704221.1045155004</c:v>
                </c:pt>
                <c:pt idx="117">
                  <c:v>7012397.6149674244</c:v>
                </c:pt>
                <c:pt idx="118">
                  <c:v>7554151.8372145817</c:v>
                </c:pt>
                <c:pt idx="119">
                  <c:v>8327755.400711691</c:v>
                </c:pt>
                <c:pt idx="120">
                  <c:v>8483201.3616229612</c:v>
                </c:pt>
                <c:pt idx="121">
                  <c:v>8155074.295892274</c:v>
                </c:pt>
                <c:pt idx="122">
                  <c:v>7750412.1884987205</c:v>
                </c:pt>
                <c:pt idx="123">
                  <c:v>7013558.2217529826</c:v>
                </c:pt>
                <c:pt idx="124">
                  <c:v>6553886.4677003659</c:v>
                </c:pt>
                <c:pt idx="125">
                  <c:v>6763738.1941016298</c:v>
                </c:pt>
                <c:pt idx="126">
                  <c:v>7444234.8331622425</c:v>
                </c:pt>
                <c:pt idx="127">
                  <c:v>7169891.8420309015</c:v>
                </c:pt>
                <c:pt idx="128">
                  <c:v>6536375.8279393148</c:v>
                </c:pt>
                <c:pt idx="129">
                  <c:v>6844552.3383912388</c:v>
                </c:pt>
                <c:pt idx="130">
                  <c:v>7386306.5606383961</c:v>
                </c:pt>
                <c:pt idx="131">
                  <c:v>8159910.1241355054</c:v>
                </c:pt>
                <c:pt idx="132">
                  <c:v>8318159.2769400049</c:v>
                </c:pt>
                <c:pt idx="133">
                  <c:v>7990032.2112093177</c:v>
                </c:pt>
                <c:pt idx="134">
                  <c:v>7585370.1038157642</c:v>
                </c:pt>
                <c:pt idx="135">
                  <c:v>6848516.1370700262</c:v>
                </c:pt>
                <c:pt idx="136">
                  <c:v>6388844.3830174096</c:v>
                </c:pt>
                <c:pt idx="137">
                  <c:v>6598696.1094186734</c:v>
                </c:pt>
                <c:pt idx="138">
                  <c:v>7279192.7484792862</c:v>
                </c:pt>
                <c:pt idx="139">
                  <c:v>7004849.7573479451</c:v>
                </c:pt>
                <c:pt idx="140">
                  <c:v>6371333.7432563584</c:v>
                </c:pt>
                <c:pt idx="141">
                  <c:v>6679510.2537082825</c:v>
                </c:pt>
                <c:pt idx="142">
                  <c:v>7221264.4759554397</c:v>
                </c:pt>
                <c:pt idx="143">
                  <c:v>7994868.0394525491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66720"/>
        <c:axId val="212768256"/>
      </c:lineChart>
      <c:dateAx>
        <c:axId val="21276672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2768256"/>
        <c:crosses val="autoZero"/>
        <c:auto val="1"/>
        <c:lblOffset val="100"/>
        <c:baseTimeUnit val="months"/>
      </c:dateAx>
      <c:valAx>
        <c:axId val="212768256"/>
        <c:scaling>
          <c:orientation val="minMax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2766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Monthly'!$C$2:$C$97</c:f>
              <c:numCache>
                <c:formatCode>General</c:formatCode>
                <c:ptCount val="96"/>
                <c:pt idx="0">
                  <c:v>27533756.625</c:v>
                </c:pt>
                <c:pt idx="1">
                  <c:v>24291631.503800005</c:v>
                </c:pt>
                <c:pt idx="2">
                  <c:v>24586605.8006</c:v>
                </c:pt>
                <c:pt idx="3">
                  <c:v>21089323.380000003</c:v>
                </c:pt>
                <c:pt idx="4">
                  <c:v>19975230.055300001</c:v>
                </c:pt>
                <c:pt idx="5">
                  <c:v>20048133.696800001</c:v>
                </c:pt>
                <c:pt idx="6">
                  <c:v>21499529.221799999</c:v>
                </c:pt>
                <c:pt idx="7">
                  <c:v>22275252.256499998</c:v>
                </c:pt>
                <c:pt idx="8">
                  <c:v>20599806.352499999</c:v>
                </c:pt>
                <c:pt idx="9">
                  <c:v>21874263.0603</c:v>
                </c:pt>
                <c:pt idx="10">
                  <c:v>22191761.7973</c:v>
                </c:pt>
                <c:pt idx="11">
                  <c:v>24151995.9263</c:v>
                </c:pt>
                <c:pt idx="12">
                  <c:v>27078016.2597</c:v>
                </c:pt>
                <c:pt idx="13">
                  <c:v>23463051.8583</c:v>
                </c:pt>
                <c:pt idx="14">
                  <c:v>23312331.343999997</c:v>
                </c:pt>
                <c:pt idx="15">
                  <c:v>20685922.196199998</c:v>
                </c:pt>
                <c:pt idx="16">
                  <c:v>21075021.926799998</c:v>
                </c:pt>
                <c:pt idx="17">
                  <c:v>21210428.387199998</c:v>
                </c:pt>
                <c:pt idx="18">
                  <c:v>24170485.458300002</c:v>
                </c:pt>
                <c:pt idx="19">
                  <c:v>23341072.185600001</c:v>
                </c:pt>
                <c:pt idx="20">
                  <c:v>20619864.412799999</c:v>
                </c:pt>
                <c:pt idx="21">
                  <c:v>21162272.6325</c:v>
                </c:pt>
                <c:pt idx="22">
                  <c:v>22484948.883300003</c:v>
                </c:pt>
                <c:pt idx="23">
                  <c:v>25202682.410200004</c:v>
                </c:pt>
                <c:pt idx="24">
                  <c:v>26719422.829099998</c:v>
                </c:pt>
                <c:pt idx="25">
                  <c:v>24134565.637199998</c:v>
                </c:pt>
                <c:pt idx="26">
                  <c:v>24768007.689200003</c:v>
                </c:pt>
                <c:pt idx="27">
                  <c:v>21428998.341600001</c:v>
                </c:pt>
                <c:pt idx="28">
                  <c:v>20975723.055199999</c:v>
                </c:pt>
                <c:pt idx="29">
                  <c:v>21081698.477299999</c:v>
                </c:pt>
                <c:pt idx="30">
                  <c:v>23454116.069599997</c:v>
                </c:pt>
                <c:pt idx="31">
                  <c:v>22777142.470799997</c:v>
                </c:pt>
                <c:pt idx="32">
                  <c:v>21103919.222400002</c:v>
                </c:pt>
                <c:pt idx="33">
                  <c:v>21513172.633600004</c:v>
                </c:pt>
                <c:pt idx="34">
                  <c:v>21850936.435900003</c:v>
                </c:pt>
                <c:pt idx="35">
                  <c:v>23904881.2892</c:v>
                </c:pt>
                <c:pt idx="36">
                  <c:v>25676776.359000001</c:v>
                </c:pt>
                <c:pt idx="37">
                  <c:v>23619151.4311</c:v>
                </c:pt>
                <c:pt idx="38">
                  <c:v>23091329.537699997</c:v>
                </c:pt>
                <c:pt idx="39">
                  <c:v>20776077.264199998</c:v>
                </c:pt>
                <c:pt idx="40">
                  <c:v>20837523.118300002</c:v>
                </c:pt>
                <c:pt idx="41">
                  <c:v>21707404.059699997</c:v>
                </c:pt>
                <c:pt idx="42">
                  <c:v>24001087.441299997</c:v>
                </c:pt>
                <c:pt idx="43">
                  <c:v>23568098.964500003</c:v>
                </c:pt>
                <c:pt idx="44">
                  <c:v>21326862.559</c:v>
                </c:pt>
                <c:pt idx="45">
                  <c:v>21490324.533200003</c:v>
                </c:pt>
                <c:pt idx="46">
                  <c:v>23484747.608399998</c:v>
                </c:pt>
                <c:pt idx="47">
                  <c:v>24894285.0704</c:v>
                </c:pt>
                <c:pt idx="48">
                  <c:v>26810651.434600003</c:v>
                </c:pt>
                <c:pt idx="49">
                  <c:v>24213515.8378</c:v>
                </c:pt>
                <c:pt idx="50">
                  <c:v>24696912.8497</c:v>
                </c:pt>
                <c:pt idx="51">
                  <c:v>22008310.044</c:v>
                </c:pt>
                <c:pt idx="52">
                  <c:v>20617959.457099997</c:v>
                </c:pt>
                <c:pt idx="53">
                  <c:v>21092145.934599999</c:v>
                </c:pt>
                <c:pt idx="54">
                  <c:v>23877312.323899999</c:v>
                </c:pt>
                <c:pt idx="55">
                  <c:v>23179917.367399998</c:v>
                </c:pt>
                <c:pt idx="56">
                  <c:v>21295501.819000002</c:v>
                </c:pt>
                <c:pt idx="57">
                  <c:v>21567999.4855</c:v>
                </c:pt>
                <c:pt idx="58">
                  <c:v>23530421.391399998</c:v>
                </c:pt>
                <c:pt idx="59">
                  <c:v>26567352.533199999</c:v>
                </c:pt>
                <c:pt idx="60">
                  <c:v>27388268.627300002</c:v>
                </c:pt>
                <c:pt idx="61">
                  <c:v>24609829.1688</c:v>
                </c:pt>
                <c:pt idx="62">
                  <c:v>25870494.024299998</c:v>
                </c:pt>
                <c:pt idx="63">
                  <c:v>21799596.722000003</c:v>
                </c:pt>
                <c:pt idx="64">
                  <c:v>20212222.446800001</c:v>
                </c:pt>
                <c:pt idx="65">
                  <c:v>20688536.661700003</c:v>
                </c:pt>
                <c:pt idx="66">
                  <c:v>21993476.2918</c:v>
                </c:pt>
                <c:pt idx="67">
                  <c:v>21804865.032099999</c:v>
                </c:pt>
                <c:pt idx="68">
                  <c:v>20432736.001000002</c:v>
                </c:pt>
                <c:pt idx="69">
                  <c:v>20689847.513800003</c:v>
                </c:pt>
                <c:pt idx="70">
                  <c:v>22488576.116</c:v>
                </c:pt>
                <c:pt idx="71">
                  <c:v>24519678.561099999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Monthly'!$Z$2:$Z$145</c:f>
              <c:numCache>
                <c:formatCode>_-* #,##0_-;\-* #,##0_-;_-* "-"??_-;_-@_-</c:formatCode>
                <c:ptCount val="144"/>
                <c:pt idx="0">
                  <c:v>27102219.06294053</c:v>
                </c:pt>
                <c:pt idx="1">
                  <c:v>24388817.763660483</c:v>
                </c:pt>
                <c:pt idx="2">
                  <c:v>24496199.994847126</c:v>
                </c:pt>
                <c:pt idx="3">
                  <c:v>21075816.681284774</c:v>
                </c:pt>
                <c:pt idx="4">
                  <c:v>20391332.007284764</c:v>
                </c:pt>
                <c:pt idx="5">
                  <c:v>20983486.212884195</c:v>
                </c:pt>
                <c:pt idx="6">
                  <c:v>22581452.211548928</c:v>
                </c:pt>
                <c:pt idx="7">
                  <c:v>22085900.794984393</c:v>
                </c:pt>
                <c:pt idx="8">
                  <c:v>20287471.074666403</c:v>
                </c:pt>
                <c:pt idx="9">
                  <c:v>21077531.70142458</c:v>
                </c:pt>
                <c:pt idx="10">
                  <c:v>22310792.121182036</c:v>
                </c:pt>
                <c:pt idx="11">
                  <c:v>24639390.334923174</c:v>
                </c:pt>
                <c:pt idx="12">
                  <c:v>26329144.324200273</c:v>
                </c:pt>
                <c:pt idx="13">
                  <c:v>23836947.10591469</c:v>
                </c:pt>
                <c:pt idx="14">
                  <c:v>24196579.604902036</c:v>
                </c:pt>
                <c:pt idx="15">
                  <c:v>20935307.99872167</c:v>
                </c:pt>
                <c:pt idx="16">
                  <c:v>20498638.422978614</c:v>
                </c:pt>
                <c:pt idx="17">
                  <c:v>21438399.041569352</c:v>
                </c:pt>
                <c:pt idx="18">
                  <c:v>23171637.711318422</c:v>
                </c:pt>
                <c:pt idx="19">
                  <c:v>22682184.652876537</c:v>
                </c:pt>
                <c:pt idx="20">
                  <c:v>20695260.226949234</c:v>
                </c:pt>
                <c:pt idx="21">
                  <c:v>21341177.84353558</c:v>
                </c:pt>
                <c:pt idx="22">
                  <c:v>22496822.796277434</c:v>
                </c:pt>
                <c:pt idx="23">
                  <c:v>24911906.816121668</c:v>
                </c:pt>
                <c:pt idx="24">
                  <c:v>26713094.440185454</c:v>
                </c:pt>
                <c:pt idx="25">
                  <c:v>24261368.143986579</c:v>
                </c:pt>
                <c:pt idx="26">
                  <c:v>24634860.547798138</c:v>
                </c:pt>
                <c:pt idx="27">
                  <c:v>21383568.073091201</c:v>
                </c:pt>
                <c:pt idx="28">
                  <c:v>20918069.895313784</c:v>
                </c:pt>
                <c:pt idx="29">
                  <c:v>21773562.292573299</c:v>
                </c:pt>
                <c:pt idx="30">
                  <c:v>23431957.476271607</c:v>
                </c:pt>
                <c:pt idx="31">
                  <c:v>22948048.379759405</c:v>
                </c:pt>
                <c:pt idx="32">
                  <c:v>21005475.649269592</c:v>
                </c:pt>
                <c:pt idx="33">
                  <c:v>21605378.381839544</c:v>
                </c:pt>
                <c:pt idx="34">
                  <c:v>22692832.602846257</c:v>
                </c:pt>
                <c:pt idx="35">
                  <c:v>25004798.930798337</c:v>
                </c:pt>
                <c:pt idx="36">
                  <c:v>26697879.29723325</c:v>
                </c:pt>
                <c:pt idx="37">
                  <c:v>24164102.364475023</c:v>
                </c:pt>
                <c:pt idx="38">
                  <c:v>24516527.71295378</c:v>
                </c:pt>
                <c:pt idx="39">
                  <c:v>21305151.764140584</c:v>
                </c:pt>
                <c:pt idx="40">
                  <c:v>20799737.060469426</c:v>
                </c:pt>
                <c:pt idx="41">
                  <c:v>21568189.25543287</c:v>
                </c:pt>
                <c:pt idx="42">
                  <c:v>23187222.309430413</c:v>
                </c:pt>
                <c:pt idx="43">
                  <c:v>22684463.742357273</c:v>
                </c:pt>
                <c:pt idx="44">
                  <c:v>20789569.084462758</c:v>
                </c:pt>
                <c:pt idx="45">
                  <c:v>21446020.228715502</c:v>
                </c:pt>
                <c:pt idx="46">
                  <c:v>22640472.91496516</c:v>
                </c:pt>
                <c:pt idx="47">
                  <c:v>25029500.313739873</c:v>
                </c:pt>
                <c:pt idx="48">
                  <c:v>26799641.75099742</c:v>
                </c:pt>
                <c:pt idx="49">
                  <c:v>24366764.925359469</c:v>
                </c:pt>
                <c:pt idx="50">
                  <c:v>24730278.197697598</c:v>
                </c:pt>
                <c:pt idx="51">
                  <c:v>21487856.062078163</c:v>
                </c:pt>
                <c:pt idx="52">
                  <c:v>21047860.109177299</c:v>
                </c:pt>
                <c:pt idx="53">
                  <c:v>21885057.432068851</c:v>
                </c:pt>
                <c:pt idx="54">
                  <c:v>23581151.55688902</c:v>
                </c:pt>
                <c:pt idx="55">
                  <c:v>23068968.254535418</c:v>
                </c:pt>
                <c:pt idx="56">
                  <c:v>21212881.330148701</c:v>
                </c:pt>
                <c:pt idx="57">
                  <c:v>21893171.510699101</c:v>
                </c:pt>
                <c:pt idx="58">
                  <c:v>23022759.842371434</c:v>
                </c:pt>
                <c:pt idx="59">
                  <c:v>25260437.080465719</c:v>
                </c:pt>
                <c:pt idx="60">
                  <c:v>26454424.356111914</c:v>
                </c:pt>
                <c:pt idx="61">
                  <c:v>23943377.6672654</c:v>
                </c:pt>
                <c:pt idx="62">
                  <c:v>24335719.54163789</c:v>
                </c:pt>
                <c:pt idx="63">
                  <c:v>21125452.385210637</c:v>
                </c:pt>
                <c:pt idx="64">
                  <c:v>20635560.774942596</c:v>
                </c:pt>
                <c:pt idx="65">
                  <c:v>21355226.104924805</c:v>
                </c:pt>
                <c:pt idx="66">
                  <c:v>22993663.025676247</c:v>
                </c:pt>
                <c:pt idx="67">
                  <c:v>22449879.140323438</c:v>
                </c:pt>
                <c:pt idx="68">
                  <c:v>20605988.932182029</c:v>
                </c:pt>
                <c:pt idx="69">
                  <c:v>21343936.316801157</c:v>
                </c:pt>
                <c:pt idx="70">
                  <c:v>22489602.138069581</c:v>
                </c:pt>
                <c:pt idx="71">
                  <c:v>24746128.846724797</c:v>
                </c:pt>
                <c:pt idx="72">
                  <c:v>26514441.608139843</c:v>
                </c:pt>
                <c:pt idx="73">
                  <c:v>24001239.981291257</c:v>
                </c:pt>
                <c:pt idx="74">
                  <c:v>24392242.988857731</c:v>
                </c:pt>
                <c:pt idx="75">
                  <c:v>21184124.39487632</c:v>
                </c:pt>
                <c:pt idx="76">
                  <c:v>20697905.104990508</c:v>
                </c:pt>
                <c:pt idx="77">
                  <c:v>21422052.450994775</c:v>
                </c:pt>
                <c:pt idx="78">
                  <c:v>23063351.996488605</c:v>
                </c:pt>
                <c:pt idx="79">
                  <c:v>22520326.802325875</c:v>
                </c:pt>
                <c:pt idx="80">
                  <c:v>20674804.451792367</c:v>
                </c:pt>
                <c:pt idx="81">
                  <c:v>21412273.669695061</c:v>
                </c:pt>
                <c:pt idx="82">
                  <c:v>22556517.741926614</c:v>
                </c:pt>
                <c:pt idx="83">
                  <c:v>24812336.763841506</c:v>
                </c:pt>
                <c:pt idx="84">
                  <c:v>26569907.346078455</c:v>
                </c:pt>
                <c:pt idx="85">
                  <c:v>24054573.384653583</c:v>
                </c:pt>
                <c:pt idx="86">
                  <c:v>24444251.568962596</c:v>
                </c:pt>
                <c:pt idx="87">
                  <c:v>21238259.000875298</c:v>
                </c:pt>
                <c:pt idx="88">
                  <c:v>20755673.511924218</c:v>
                </c:pt>
                <c:pt idx="89">
                  <c:v>21484255.861499868</c:v>
                </c:pt>
                <c:pt idx="90">
                  <c:v>23128388.005291793</c:v>
                </c:pt>
                <c:pt idx="91">
                  <c:v>22586113.544308282</c:v>
                </c:pt>
                <c:pt idx="92">
                  <c:v>20738976.171137117</c:v>
                </c:pt>
                <c:pt idx="93">
                  <c:v>21475972.237876434</c:v>
                </c:pt>
                <c:pt idx="94">
                  <c:v>22618809.473982204</c:v>
                </c:pt>
                <c:pt idx="95">
                  <c:v>24873928.232175302</c:v>
                </c:pt>
                <c:pt idx="96">
                  <c:v>26630203.555216655</c:v>
                </c:pt>
                <c:pt idx="97">
                  <c:v>24112713.270451516</c:v>
                </c:pt>
                <c:pt idx="98">
                  <c:v>24501051.727241434</c:v>
                </c:pt>
                <c:pt idx="99">
                  <c:v>21297209.102839541</c:v>
                </c:pt>
                <c:pt idx="100">
                  <c:v>20818298.29508372</c:v>
                </c:pt>
                <c:pt idx="101">
                  <c:v>21551365.542020936</c:v>
                </c:pt>
                <c:pt idx="102">
                  <c:v>23198362.150841799</c:v>
                </c:pt>
                <c:pt idx="103">
                  <c:v>22656846.86878578</c:v>
                </c:pt>
                <c:pt idx="104">
                  <c:v>20808076.303972285</c:v>
                </c:pt>
                <c:pt idx="105">
                  <c:v>21544593.896597631</c:v>
                </c:pt>
                <c:pt idx="106">
                  <c:v>22686008.46967122</c:v>
                </c:pt>
                <c:pt idx="107">
                  <c:v>24940419.086175643</c:v>
                </c:pt>
                <c:pt idx="108">
                  <c:v>26695384.57835545</c:v>
                </c:pt>
                <c:pt idx="109">
                  <c:v>24175713.711612459</c:v>
                </c:pt>
                <c:pt idx="110">
                  <c:v>24562697.368948687</c:v>
                </c:pt>
                <c:pt idx="111">
                  <c:v>21361028.875098668</c:v>
                </c:pt>
                <c:pt idx="112">
                  <c:v>20885834.088701546</c:v>
                </c:pt>
                <c:pt idx="113">
                  <c:v>21623436.688095648</c:v>
                </c:pt>
                <c:pt idx="114">
                  <c:v>23273329.987177022</c:v>
                </c:pt>
                <c:pt idx="115">
                  <c:v>22732582.424811434</c:v>
                </c:pt>
                <c:pt idx="116">
                  <c:v>20882160.294949617</c:v>
                </c:pt>
                <c:pt idx="117">
                  <c:v>21618194.030627221</c:v>
                </c:pt>
                <c:pt idx="118">
                  <c:v>22758169.935709506</c:v>
                </c:pt>
                <c:pt idx="119">
                  <c:v>25011864.443931267</c:v>
                </c:pt>
                <c:pt idx="120">
                  <c:v>26765505.369652327</c:v>
                </c:pt>
                <c:pt idx="121">
                  <c:v>24243629.389384244</c:v>
                </c:pt>
                <c:pt idx="122">
                  <c:v>24629243.005772922</c:v>
                </c:pt>
                <c:pt idx="123">
                  <c:v>21429773.101443492</c:v>
                </c:pt>
                <c:pt idx="124">
                  <c:v>20958336.141645357</c:v>
                </c:pt>
                <c:pt idx="125">
                  <c:v>21700525.116211478</c:v>
                </c:pt>
                <c:pt idx="126">
                  <c:v>23353347.693318799</c:v>
                </c:pt>
                <c:pt idx="127">
                  <c:v>22813376.487490151</c:v>
                </c:pt>
                <c:pt idx="128">
                  <c:v>20961284.212473232</c:v>
                </c:pt>
                <c:pt idx="129">
                  <c:v>21696828.647812426</c:v>
                </c:pt>
                <c:pt idx="130">
                  <c:v>22835349.699888512</c:v>
                </c:pt>
                <c:pt idx="131">
                  <c:v>25088320.043609418</c:v>
                </c:pt>
                <c:pt idx="132">
                  <c:v>26840621.50149909</c:v>
                </c:pt>
                <c:pt idx="133">
                  <c:v>24316515.600178745</c:v>
                </c:pt>
                <c:pt idx="134">
                  <c:v>24700743.762659218</c:v>
                </c:pt>
                <c:pt idx="135">
                  <c:v>21503497.18198248</c:v>
                </c:pt>
                <c:pt idx="136">
                  <c:v>21035860.324332565</c:v>
                </c:pt>
                <c:pt idx="137">
                  <c:v>21782687.270791393</c:v>
                </c:pt>
                <c:pt idx="138">
                  <c:v>23438472.080302451</c:v>
                </c:pt>
                <c:pt idx="139">
                  <c:v>22899285.965021785</c:v>
                </c:pt>
                <c:pt idx="140">
                  <c:v>21045504.755716775</c:v>
                </c:pt>
                <c:pt idx="141">
                  <c:v>21780554.386088755</c:v>
                </c:pt>
                <c:pt idx="142">
                  <c:v>22917604.218062308</c:v>
                </c:pt>
                <c:pt idx="143">
                  <c:v>25169842.250431743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50528"/>
        <c:axId val="217756416"/>
      </c:lineChart>
      <c:dateAx>
        <c:axId val="2177505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7756416"/>
        <c:crosses val="autoZero"/>
        <c:auto val="1"/>
        <c:lblOffset val="100"/>
        <c:baseTimeUnit val="months"/>
      </c:dateAx>
      <c:valAx>
        <c:axId val="217756416"/>
        <c:scaling>
          <c:orientation val="minMax"/>
          <c:min val="19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7750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Normalized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Monthly'!$C$2:$C$97</c:f>
              <c:numCache>
                <c:formatCode>General</c:formatCode>
                <c:ptCount val="96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12401325.915100001</c:v>
                </c:pt>
                <c:pt idx="25">
                  <c:v>11361644.729800001</c:v>
                </c:pt>
                <c:pt idx="26">
                  <c:v>12401622.3706</c:v>
                </c:pt>
                <c:pt idx="27">
                  <c:v>11657885.962400001</c:v>
                </c:pt>
                <c:pt idx="28">
                  <c:v>12129470.6171</c:v>
                </c:pt>
                <c:pt idx="29">
                  <c:v>13315461.3706</c:v>
                </c:pt>
                <c:pt idx="30">
                  <c:v>15254632.6943</c:v>
                </c:pt>
                <c:pt idx="31">
                  <c:v>14946593.828</c:v>
                </c:pt>
                <c:pt idx="32">
                  <c:v>14191674.646299999</c:v>
                </c:pt>
                <c:pt idx="33">
                  <c:v>12844301.167599998</c:v>
                </c:pt>
                <c:pt idx="34">
                  <c:v>11999298.3411</c:v>
                </c:pt>
                <c:pt idx="35">
                  <c:v>11987806.8026</c:v>
                </c:pt>
                <c:pt idx="36">
                  <c:v>12582843.8882</c:v>
                </c:pt>
                <c:pt idx="37">
                  <c:v>11873899.731000001</c:v>
                </c:pt>
                <c:pt idx="38">
                  <c:v>12252096.686999999</c:v>
                </c:pt>
                <c:pt idx="39">
                  <c:v>11690706.498199999</c:v>
                </c:pt>
                <c:pt idx="40">
                  <c:v>12480043.750300001</c:v>
                </c:pt>
                <c:pt idx="41">
                  <c:v>13240556.216700001</c:v>
                </c:pt>
                <c:pt idx="42">
                  <c:v>15413074.367999999</c:v>
                </c:pt>
                <c:pt idx="43">
                  <c:v>15313195.499</c:v>
                </c:pt>
                <c:pt idx="44">
                  <c:v>13786568.186000001</c:v>
                </c:pt>
                <c:pt idx="45">
                  <c:v>12860549.23</c:v>
                </c:pt>
                <c:pt idx="46">
                  <c:v>12100791.463000001</c:v>
                </c:pt>
                <c:pt idx="47">
                  <c:v>11854109.139</c:v>
                </c:pt>
                <c:pt idx="48">
                  <c:v>12788339.523400001</c:v>
                </c:pt>
                <c:pt idx="49">
                  <c:v>11751175.538600001</c:v>
                </c:pt>
                <c:pt idx="50">
                  <c:v>12610126.845000001</c:v>
                </c:pt>
                <c:pt idx="51">
                  <c:v>11972197.742000001</c:v>
                </c:pt>
                <c:pt idx="52">
                  <c:v>12329554.254999999</c:v>
                </c:pt>
                <c:pt idx="53">
                  <c:v>12519194.473000001</c:v>
                </c:pt>
                <c:pt idx="54">
                  <c:v>15242330.061000001</c:v>
                </c:pt>
                <c:pt idx="55">
                  <c:v>14587365.41</c:v>
                </c:pt>
                <c:pt idx="56">
                  <c:v>13272017.319</c:v>
                </c:pt>
                <c:pt idx="57">
                  <c:v>12991616.025000002</c:v>
                </c:pt>
                <c:pt idx="58">
                  <c:v>12006063.484999999</c:v>
                </c:pt>
                <c:pt idx="59">
                  <c:v>11873765.093</c:v>
                </c:pt>
                <c:pt idx="60">
                  <c:v>12772928.206999999</c:v>
                </c:pt>
                <c:pt idx="61">
                  <c:v>11586289.765999999</c:v>
                </c:pt>
                <c:pt idx="62">
                  <c:v>12718168.484999999</c:v>
                </c:pt>
                <c:pt idx="63">
                  <c:v>11494836.318</c:v>
                </c:pt>
                <c:pt idx="64">
                  <c:v>11858207.989999998</c:v>
                </c:pt>
                <c:pt idx="65">
                  <c:v>12819088.591</c:v>
                </c:pt>
                <c:pt idx="66">
                  <c:v>14008809.457</c:v>
                </c:pt>
                <c:pt idx="67">
                  <c:v>14091447.23</c:v>
                </c:pt>
                <c:pt idx="68">
                  <c:v>13562155.984999999</c:v>
                </c:pt>
                <c:pt idx="69">
                  <c:v>12773242.293000001</c:v>
                </c:pt>
                <c:pt idx="70">
                  <c:v>11904214.238</c:v>
                </c:pt>
                <c:pt idx="71">
                  <c:v>11928804.916999999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Normalized Monthly'!$X$1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Monthly'!$X$2:$X$145</c:f>
              <c:numCache>
                <c:formatCode>_-* #,##0_-;\-* #,##0_-;_-* "-"??_-;_-@_-</c:formatCode>
                <c:ptCount val="144"/>
                <c:pt idx="0">
                  <c:v>12973030.324599944</c:v>
                </c:pt>
                <c:pt idx="1">
                  <c:v>11662295.190951228</c:v>
                </c:pt>
                <c:pt idx="2">
                  <c:v>12448854.94999776</c:v>
                </c:pt>
                <c:pt idx="3">
                  <c:v>11455752.579196367</c:v>
                </c:pt>
                <c:pt idx="4">
                  <c:v>11747410.597889047</c:v>
                </c:pt>
                <c:pt idx="5">
                  <c:v>12541175.228661958</c:v>
                </c:pt>
                <c:pt idx="6">
                  <c:v>14150291.635252666</c:v>
                </c:pt>
                <c:pt idx="7">
                  <c:v>13851686.971849103</c:v>
                </c:pt>
                <c:pt idx="8">
                  <c:v>12783328.048546234</c:v>
                </c:pt>
                <c:pt idx="9">
                  <c:v>12387562.662677208</c:v>
                </c:pt>
                <c:pt idx="10">
                  <c:v>11602886.021078812</c:v>
                </c:pt>
                <c:pt idx="11">
                  <c:v>11517875.160037007</c:v>
                </c:pt>
                <c:pt idx="12">
                  <c:v>12064275.843865991</c:v>
                </c:pt>
                <c:pt idx="13">
                  <c:v>11002635.931116961</c:v>
                </c:pt>
                <c:pt idx="14">
                  <c:v>12073251.643821023</c:v>
                </c:pt>
                <c:pt idx="15">
                  <c:v>11259323.028403606</c:v>
                </c:pt>
                <c:pt idx="16">
                  <c:v>11830042.610359844</c:v>
                </c:pt>
                <c:pt idx="17">
                  <c:v>13015242.588260831</c:v>
                </c:pt>
                <c:pt idx="18">
                  <c:v>14776687.901867883</c:v>
                </c:pt>
                <c:pt idx="19">
                  <c:v>14484950.52525604</c:v>
                </c:pt>
                <c:pt idx="20">
                  <c:v>13204330.010209084</c:v>
                </c:pt>
                <c:pt idx="21">
                  <c:v>12646246.936535761</c:v>
                </c:pt>
                <c:pt idx="22">
                  <c:v>11774168.463042729</c:v>
                </c:pt>
                <c:pt idx="23">
                  <c:v>11786548.214683512</c:v>
                </c:pt>
                <c:pt idx="24">
                  <c:v>12458432.957161201</c:v>
                </c:pt>
                <c:pt idx="25">
                  <c:v>11442366.856757237</c:v>
                </c:pt>
                <c:pt idx="26">
                  <c:v>12528590.039442478</c:v>
                </c:pt>
                <c:pt idx="27">
                  <c:v>11725898.802411513</c:v>
                </c:pt>
                <c:pt idx="28">
                  <c:v>12264154.846806893</c:v>
                </c:pt>
                <c:pt idx="29">
                  <c:v>13354461.407222288</c:v>
                </c:pt>
                <c:pt idx="30">
                  <c:v>15031626.382930951</c:v>
                </c:pt>
                <c:pt idx="31">
                  <c:v>14746131.99431158</c:v>
                </c:pt>
                <c:pt idx="32">
                  <c:v>13515455.383204415</c:v>
                </c:pt>
                <c:pt idx="33">
                  <c:v>12905555.509193547</c:v>
                </c:pt>
                <c:pt idx="34">
                  <c:v>11956688.2833931</c:v>
                </c:pt>
                <c:pt idx="35">
                  <c:v>11852948.458373884</c:v>
                </c:pt>
                <c:pt idx="36">
                  <c:v>12403094.934998346</c:v>
                </c:pt>
                <c:pt idx="37">
                  <c:v>11638651.180924481</c:v>
                </c:pt>
                <c:pt idx="38">
                  <c:v>12357132.440619616</c:v>
                </c:pt>
                <c:pt idx="39">
                  <c:v>11599390.717134463</c:v>
                </c:pt>
                <c:pt idx="40">
                  <c:v>12092697.247984039</c:v>
                </c:pt>
                <c:pt idx="41">
                  <c:v>13084988.896917598</c:v>
                </c:pt>
                <c:pt idx="42">
                  <c:v>14717828.657879705</c:v>
                </c:pt>
                <c:pt idx="43">
                  <c:v>14411108.110085914</c:v>
                </c:pt>
                <c:pt idx="44">
                  <c:v>13234121.195714019</c:v>
                </c:pt>
                <c:pt idx="45">
                  <c:v>12687899.799226386</c:v>
                </c:pt>
                <c:pt idx="46">
                  <c:v>11859522.241680665</c:v>
                </c:pt>
                <c:pt idx="47">
                  <c:v>11842559.949756831</c:v>
                </c:pt>
                <c:pt idx="48">
                  <c:v>12479483.959476676</c:v>
                </c:pt>
                <c:pt idx="49">
                  <c:v>11484644.018247109</c:v>
                </c:pt>
                <c:pt idx="50">
                  <c:v>12559629.822545905</c:v>
                </c:pt>
                <c:pt idx="51">
                  <c:v>11766927.3663029</c:v>
                </c:pt>
                <c:pt idx="52">
                  <c:v>12333901.155463658</c:v>
                </c:pt>
                <c:pt idx="53">
                  <c:v>13403605.855503887</c:v>
                </c:pt>
                <c:pt idx="54">
                  <c:v>15123223.149561368</c:v>
                </c:pt>
                <c:pt idx="55">
                  <c:v>14805889.522180378</c:v>
                </c:pt>
                <c:pt idx="56">
                  <c:v>13672603.523755794</c:v>
                </c:pt>
                <c:pt idx="57">
                  <c:v>13153226.975635802</c:v>
                </c:pt>
                <c:pt idx="58">
                  <c:v>12251806.458578145</c:v>
                </c:pt>
                <c:pt idx="59">
                  <c:v>12064410.594459787</c:v>
                </c:pt>
                <c:pt idx="60">
                  <c:v>12547132.80076554</c:v>
                </c:pt>
                <c:pt idx="61">
                  <c:v>11464266.728842106</c:v>
                </c:pt>
                <c:pt idx="62">
                  <c:v>12571716.070701759</c:v>
                </c:pt>
                <c:pt idx="63">
                  <c:v>11815222.944815099</c:v>
                </c:pt>
                <c:pt idx="64">
                  <c:v>12326009.842043594</c:v>
                </c:pt>
                <c:pt idx="65">
                  <c:v>13263363.19664339</c:v>
                </c:pt>
                <c:pt idx="66">
                  <c:v>14918053.415579155</c:v>
                </c:pt>
                <c:pt idx="67">
                  <c:v>14565134.756641068</c:v>
                </c:pt>
                <c:pt idx="68">
                  <c:v>13445583.331799923</c:v>
                </c:pt>
                <c:pt idx="69">
                  <c:v>12991133.858801654</c:v>
                </c:pt>
                <c:pt idx="70">
                  <c:v>12107818.006922169</c:v>
                </c:pt>
                <c:pt idx="71">
                  <c:v>11941648.301978216</c:v>
                </c:pt>
                <c:pt idx="72">
                  <c:v>12576513.062108751</c:v>
                </c:pt>
                <c:pt idx="73">
                  <c:v>11491220.340752635</c:v>
                </c:pt>
                <c:pt idx="74">
                  <c:v>12597162.001012113</c:v>
                </c:pt>
                <c:pt idx="75">
                  <c:v>11843088.345121928</c:v>
                </c:pt>
                <c:pt idx="76">
                  <c:v>12358010.597596645</c:v>
                </c:pt>
                <c:pt idx="77">
                  <c:v>13300411.095838957</c:v>
                </c:pt>
                <c:pt idx="78">
                  <c:v>14958324.881624632</c:v>
                </c:pt>
                <c:pt idx="79">
                  <c:v>14606260.575593315</c:v>
                </c:pt>
                <c:pt idx="80">
                  <c:v>13484871.215087188</c:v>
                </c:pt>
                <c:pt idx="81">
                  <c:v>13029883.284374563</c:v>
                </c:pt>
                <c:pt idx="82">
                  <c:v>12144966.418224415</c:v>
                </c:pt>
                <c:pt idx="83">
                  <c:v>11977999.795863219</c:v>
                </c:pt>
                <c:pt idx="84">
                  <c:v>12600767.918882521</c:v>
                </c:pt>
                <c:pt idx="85">
                  <c:v>11857092.570154862</c:v>
                </c:pt>
                <c:pt idx="86">
                  <c:v>12617523.794464404</c:v>
                </c:pt>
                <c:pt idx="87">
                  <c:v>11865844.230434334</c:v>
                </c:pt>
                <c:pt idx="88">
                  <c:v>12384858.461874684</c:v>
                </c:pt>
                <c:pt idx="89">
                  <c:v>13332253.163611522</c:v>
                </c:pt>
                <c:pt idx="90">
                  <c:v>14993356.703833958</c:v>
                </c:pt>
                <c:pt idx="91">
                  <c:v>14642137.789290337</c:v>
                </c:pt>
                <c:pt idx="92">
                  <c:v>13518929.771466147</c:v>
                </c:pt>
                <c:pt idx="93">
                  <c:v>13063409.030992363</c:v>
                </c:pt>
                <c:pt idx="94">
                  <c:v>12176907.943819057</c:v>
                </c:pt>
                <c:pt idx="95">
                  <c:v>12009152.763011364</c:v>
                </c:pt>
                <c:pt idx="96">
                  <c:v>12630462.310429359</c:v>
                </c:pt>
                <c:pt idx="97">
                  <c:v>11884358.752256552</c:v>
                </c:pt>
                <c:pt idx="98">
                  <c:v>12643281.325727398</c:v>
                </c:pt>
                <c:pt idx="99">
                  <c:v>11894022.787090851</c:v>
                </c:pt>
                <c:pt idx="100">
                  <c:v>12417175.032260215</c:v>
                </c:pt>
                <c:pt idx="101">
                  <c:v>13369620.122280886</c:v>
                </c:pt>
                <c:pt idx="102">
                  <c:v>15033949.301677501</c:v>
                </c:pt>
                <c:pt idx="103">
                  <c:v>14683585.289275801</c:v>
                </c:pt>
                <c:pt idx="104">
                  <c:v>13558538.154238727</c:v>
                </c:pt>
                <c:pt idx="105">
                  <c:v>13102478.609893981</c:v>
                </c:pt>
                <c:pt idx="106">
                  <c:v>12214375.479211006</c:v>
                </c:pt>
                <c:pt idx="107">
                  <c:v>12045822.868674275</c:v>
                </c:pt>
                <c:pt idx="108">
                  <c:v>12665657.431515448</c:v>
                </c:pt>
                <c:pt idx="109">
                  <c:v>11917098.346541233</c:v>
                </c:pt>
                <c:pt idx="110">
                  <c:v>12674495.296851441</c:v>
                </c:pt>
                <c:pt idx="111">
                  <c:v>11927685.020144109</c:v>
                </c:pt>
                <c:pt idx="112">
                  <c:v>12455021.831696931</c:v>
                </c:pt>
                <c:pt idx="113">
                  <c:v>13412574.12686963</c:v>
                </c:pt>
                <c:pt idx="114">
                  <c:v>15080165.233881127</c:v>
                </c:pt>
                <c:pt idx="115">
                  <c:v>14730665.741270464</c:v>
                </c:pt>
                <c:pt idx="116">
                  <c:v>13603758.798951844</c:v>
                </c:pt>
                <c:pt idx="117">
                  <c:v>13147154.38919259</c:v>
                </c:pt>
                <c:pt idx="118">
                  <c:v>12257431.192010464</c:v>
                </c:pt>
                <c:pt idx="119">
                  <c:v>12088072.180660259</c:v>
                </c:pt>
                <c:pt idx="120">
                  <c:v>12706415.165348105</c:v>
                </c:pt>
                <c:pt idx="121">
                  <c:v>11955372.92889598</c:v>
                </c:pt>
                <c:pt idx="122">
                  <c:v>12711227.092784993</c:v>
                </c:pt>
                <c:pt idx="123">
                  <c:v>11966892.620953571</c:v>
                </c:pt>
                <c:pt idx="124">
                  <c:v>12498461.075261656</c:v>
                </c:pt>
                <c:pt idx="125">
                  <c:v>13461178.031644356</c:v>
                </c:pt>
                <c:pt idx="126">
                  <c:v>15132067.762956399</c:v>
                </c:pt>
                <c:pt idx="127">
                  <c:v>14783442.515984412</c:v>
                </c:pt>
                <c:pt idx="128">
                  <c:v>13654654.843552338</c:v>
                </c:pt>
                <c:pt idx="129">
                  <c:v>13197499.43864266</c:v>
                </c:pt>
                <c:pt idx="130">
                  <c:v>12306137.949213268</c:v>
                </c:pt>
                <c:pt idx="131">
                  <c:v>12135963.465040434</c:v>
                </c:pt>
                <c:pt idx="132">
                  <c:v>12752798.091320738</c:v>
                </c:pt>
                <c:pt idx="133">
                  <c:v>11999244.767936565</c:v>
                </c:pt>
                <c:pt idx="134">
                  <c:v>12753538.789057143</c:v>
                </c:pt>
                <c:pt idx="135">
                  <c:v>12011707.974906493</c:v>
                </c:pt>
                <c:pt idx="136">
                  <c:v>12547555.677950848</c:v>
                </c:pt>
                <c:pt idx="137">
                  <c:v>13515495.397982154</c:v>
                </c:pt>
                <c:pt idx="138">
                  <c:v>15189720.863118131</c:v>
                </c:pt>
                <c:pt idx="139">
                  <c:v>14841979.697048251</c:v>
                </c:pt>
                <c:pt idx="140">
                  <c:v>13711290.13628895</c:v>
                </c:pt>
                <c:pt idx="141">
                  <c:v>13253577.537533397</c:v>
                </c:pt>
                <c:pt idx="142">
                  <c:v>12360559.32506896</c:v>
                </c:pt>
                <c:pt idx="143">
                  <c:v>12189560.194004234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63040"/>
        <c:axId val="217468928"/>
      </c:lineChart>
      <c:dateAx>
        <c:axId val="2174630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7468928"/>
        <c:crosses val="autoZero"/>
        <c:auto val="1"/>
        <c:lblOffset val="100"/>
        <c:baseTimeUnit val="months"/>
      </c:dateAx>
      <c:valAx>
        <c:axId val="217468928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7463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 Customers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Residential</c:v>
          </c:tx>
          <c:marker>
            <c:symbol val="none"/>
          </c:marker>
          <c:cat>
            <c:numRef>
              <c:f>'Connection count GS Adjusted 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 GS Adjusted '!$C$4:$C$15</c:f>
              <c:numCache>
                <c:formatCode>#,##0</c:formatCode>
                <c:ptCount val="12"/>
                <c:pt idx="0">
                  <c:v>23107.416666666668</c:v>
                </c:pt>
                <c:pt idx="1">
                  <c:v>23163.416666666668</c:v>
                </c:pt>
                <c:pt idx="2">
                  <c:v>23212.083333333332</c:v>
                </c:pt>
                <c:pt idx="3">
                  <c:v>23192.5</c:v>
                </c:pt>
                <c:pt idx="4">
                  <c:v>23467.5</c:v>
                </c:pt>
                <c:pt idx="5">
                  <c:v>23852.583333333332</c:v>
                </c:pt>
                <c:pt idx="6">
                  <c:v>24004.475833780409</c:v>
                </c:pt>
                <c:pt idx="7">
                  <c:v>24157.335580892955</c:v>
                </c:pt>
                <c:pt idx="8">
                  <c:v>24311.16873406732</c:v>
                </c:pt>
                <c:pt idx="9">
                  <c:v>24465.981491922685</c:v>
                </c:pt>
                <c:pt idx="10">
                  <c:v>24621.780092550849</c:v>
                </c:pt>
                <c:pt idx="11">
                  <c:v>24778.570813767583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50656"/>
        <c:axId val="209352192"/>
      </c:lineChart>
      <c:catAx>
        <c:axId val="2093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352192"/>
        <c:crosses val="autoZero"/>
        <c:auto val="1"/>
        <c:lblAlgn val="ctr"/>
        <c:lblOffset val="100"/>
        <c:tickLblSkip val="1"/>
        <c:noMultiLvlLbl val="0"/>
      </c:catAx>
      <c:valAx>
        <c:axId val="20935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Customers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0935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Customers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'Connection count GS Adjusted '!$G$2:$H$2</c:f>
              <c:strCache>
                <c:ptCount val="1"/>
                <c:pt idx="0">
                  <c:v>GS &lt; 50</c:v>
                </c:pt>
              </c:strCache>
            </c:strRef>
          </c:tx>
          <c:marker>
            <c:symbol val="none"/>
          </c:marker>
          <c:cat>
            <c:numRef>
              <c:f>'Connection count GS Adjusted 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 GS Adjusted '!$H$4:$H$15</c:f>
              <c:numCache>
                <c:formatCode>#,##0</c:formatCode>
                <c:ptCount val="12"/>
                <c:pt idx="0">
                  <c:v>3319.4166666666665</c:v>
                </c:pt>
                <c:pt idx="1">
                  <c:v>3300</c:v>
                </c:pt>
                <c:pt idx="2">
                  <c:v>3297.75</c:v>
                </c:pt>
                <c:pt idx="3">
                  <c:v>3249.8333333333335</c:v>
                </c:pt>
                <c:pt idx="4">
                  <c:v>3212.75</c:v>
                </c:pt>
                <c:pt idx="5">
                  <c:v>3051.3333333333335</c:v>
                </c:pt>
                <c:pt idx="6">
                  <c:v>3000.3728711861681</c:v>
                </c:pt>
                <c:pt idx="7">
                  <c:v>2950.2635021247315</c:v>
                </c:pt>
                <c:pt idx="8">
                  <c:v>2900.9910120031923</c:v>
                </c:pt>
                <c:pt idx="9">
                  <c:v>2852.5414240668401</c:v>
                </c:pt>
                <c:pt idx="10">
                  <c:v>2804.9009949874062</c:v>
                </c:pt>
                <c:pt idx="11">
                  <c:v>2758.0562109645957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847680"/>
        <c:axId val="217849216"/>
      </c:lineChart>
      <c:catAx>
        <c:axId val="2178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849216"/>
        <c:crosses val="autoZero"/>
        <c:auto val="1"/>
        <c:lblAlgn val="ctr"/>
        <c:lblOffset val="100"/>
        <c:tickLblSkip val="1"/>
        <c:noMultiLvlLbl val="0"/>
      </c:catAx>
      <c:valAx>
        <c:axId val="217849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Customers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178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&gt; 50 Customers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'Connection count GS Adjusted '!$L$2:$M$2</c:f>
              <c:strCache>
                <c:ptCount val="1"/>
                <c:pt idx="0">
                  <c:v>GS &gt; 50</c:v>
                </c:pt>
              </c:strCache>
            </c:strRef>
          </c:tx>
          <c:marker>
            <c:symbol val="none"/>
          </c:marker>
          <c:cat>
            <c:numRef>
              <c:f>'Connection count GS Adjusted 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 GS Adjusted '!$M$4:$M$15</c:f>
              <c:numCache>
                <c:formatCode>#,##0</c:formatCode>
                <c:ptCount val="12"/>
                <c:pt idx="0">
                  <c:v>295.16666666666669</c:v>
                </c:pt>
                <c:pt idx="1">
                  <c:v>293.83333333333331</c:v>
                </c:pt>
                <c:pt idx="2">
                  <c:v>291.08333333333331</c:v>
                </c:pt>
                <c:pt idx="3">
                  <c:v>306.58333333333331</c:v>
                </c:pt>
                <c:pt idx="4">
                  <c:v>317.75</c:v>
                </c:pt>
                <c:pt idx="5">
                  <c:v>324.5</c:v>
                </c:pt>
                <c:pt idx="6">
                  <c:v>330.70760277267368</c:v>
                </c:pt>
                <c:pt idx="7">
                  <c:v>337.03395541340069</c:v>
                </c:pt>
                <c:pt idx="8">
                  <c:v>343.48132957706599</c:v>
                </c:pt>
                <c:pt idx="9">
                  <c:v>350.05204037473698</c:v>
                </c:pt>
                <c:pt idx="10">
                  <c:v>356.74844720496901</c:v>
                </c:pt>
                <c:pt idx="11">
                  <c:v>363.57295460101398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886720"/>
        <c:axId val="217888256"/>
      </c:lineChart>
      <c:catAx>
        <c:axId val="21788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888256"/>
        <c:crosses val="autoZero"/>
        <c:auto val="1"/>
        <c:lblAlgn val="ctr"/>
        <c:lblOffset val="100"/>
        <c:tickLblSkip val="1"/>
        <c:noMultiLvlLbl val="0"/>
      </c:catAx>
      <c:valAx>
        <c:axId val="21788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Customers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17886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Street Light Customers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'Connection count GS Adjusted '!$U$1:$U$2</c:f>
              <c:strCache>
                <c:ptCount val="1"/>
                <c:pt idx="0">
                  <c:v>Street Light</c:v>
                </c:pt>
              </c:strCache>
            </c:strRef>
          </c:tx>
          <c:marker>
            <c:symbol val="none"/>
          </c:marker>
          <c:cat>
            <c:numRef>
              <c:f>'Connection count GS Adjusted 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 GS Adjusted '!$V$4:$V$15</c:f>
              <c:numCache>
                <c:formatCode>#,##0</c:formatCode>
                <c:ptCount val="12"/>
                <c:pt idx="0">
                  <c:v>5114</c:v>
                </c:pt>
                <c:pt idx="1">
                  <c:v>5117.25</c:v>
                </c:pt>
                <c:pt idx="2">
                  <c:v>5119.583333333333</c:v>
                </c:pt>
                <c:pt idx="3">
                  <c:v>5126</c:v>
                </c:pt>
                <c:pt idx="4">
                  <c:v>5384.916666666667</c:v>
                </c:pt>
                <c:pt idx="5">
                  <c:v>5228.083333333333</c:v>
                </c:pt>
                <c:pt idx="6">
                  <c:v>5336.5</c:v>
                </c:pt>
                <c:pt idx="7">
                  <c:v>5348.5</c:v>
                </c:pt>
                <c:pt idx="8">
                  <c:v>5360.5</c:v>
                </c:pt>
                <c:pt idx="9">
                  <c:v>5372.5</c:v>
                </c:pt>
                <c:pt idx="10">
                  <c:v>5384.5</c:v>
                </c:pt>
                <c:pt idx="11">
                  <c:v>5396.5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29600"/>
        <c:axId val="217931136"/>
      </c:lineChart>
      <c:catAx>
        <c:axId val="2179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931136"/>
        <c:crosses val="autoZero"/>
        <c:auto val="1"/>
        <c:lblAlgn val="ctr"/>
        <c:lblOffset val="100"/>
        <c:tickLblSkip val="1"/>
        <c:noMultiLvlLbl val="0"/>
      </c:catAx>
      <c:valAx>
        <c:axId val="217931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Connections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1792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USL Customers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USL</c:v>
          </c:tx>
          <c:marker>
            <c:symbol val="none"/>
          </c:marker>
          <c:cat>
            <c:numRef>
              <c:f>'Connection count GS Adjusted '!$Z$4:$Z$15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 GS Adjusted '!$AA$4:$AA$15</c:f>
              <c:numCache>
                <c:formatCode>#,##0</c:formatCode>
                <c:ptCount val="12"/>
                <c:pt idx="0">
                  <c:v>162.58333333333334</c:v>
                </c:pt>
                <c:pt idx="1">
                  <c:v>158.25</c:v>
                </c:pt>
                <c:pt idx="2">
                  <c:v>155.5</c:v>
                </c:pt>
                <c:pt idx="3">
                  <c:v>152</c:v>
                </c:pt>
                <c:pt idx="4">
                  <c:v>150.83333333333334</c:v>
                </c:pt>
                <c:pt idx="5">
                  <c:v>146.5</c:v>
                </c:pt>
                <c:pt idx="6">
                  <c:v>143.47952986235688</c:v>
                </c:pt>
                <c:pt idx="7">
                  <c:v>140.52133439947414</c:v>
                </c:pt>
                <c:pt idx="8">
                  <c:v>137.6241296605296</c:v>
                </c:pt>
                <c:pt idx="9">
                  <c:v>134.78665816661319</c:v>
                </c:pt>
                <c:pt idx="10">
                  <c:v>132.00768836494109</c:v>
                </c:pt>
                <c:pt idx="11">
                  <c:v>129.28601409432264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56352"/>
        <c:axId val="217957888"/>
      </c:lineChart>
      <c:catAx>
        <c:axId val="2179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957888"/>
        <c:crosses val="autoZero"/>
        <c:auto val="1"/>
        <c:lblAlgn val="ctr"/>
        <c:lblOffset val="100"/>
        <c:tickLblSkip val="1"/>
        <c:noMultiLvlLbl val="0"/>
      </c:catAx>
      <c:valAx>
        <c:axId val="21795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Connections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21795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Residential Customers</c:v>
          </c:tx>
          <c:marker>
            <c:symbol val="none"/>
          </c:marke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cat>
            <c:numRef>
              <c:f>'Connection countGSNot Adjusted'!$B$4:$B$15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countGSNot Adjusted'!$C$4:$C$15</c:f>
              <c:numCache>
                <c:formatCode>#,##0</c:formatCode>
                <c:ptCount val="12"/>
                <c:pt idx="0">
                  <c:v>23107.416666666668</c:v>
                </c:pt>
                <c:pt idx="1">
                  <c:v>23163.416666666668</c:v>
                </c:pt>
                <c:pt idx="2">
                  <c:v>23212.083333333332</c:v>
                </c:pt>
                <c:pt idx="3">
                  <c:v>23192.5</c:v>
                </c:pt>
                <c:pt idx="4">
                  <c:v>23467.5</c:v>
                </c:pt>
                <c:pt idx="5">
                  <c:v>23852.583333333332</c:v>
                </c:pt>
                <c:pt idx="6">
                  <c:v>24004.475833780409</c:v>
                </c:pt>
                <c:pt idx="7">
                  <c:v>24157.335580892955</c:v>
                </c:pt>
                <c:pt idx="8">
                  <c:v>24311.16873406732</c:v>
                </c:pt>
                <c:pt idx="9">
                  <c:v>24465.981491922685</c:v>
                </c:pt>
                <c:pt idx="10">
                  <c:v>24621.780092550849</c:v>
                </c:pt>
                <c:pt idx="11">
                  <c:v>24778.570813767583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29440"/>
        <c:axId val="218440832"/>
      </c:lineChart>
      <c:catAx>
        <c:axId val="2180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440832"/>
        <c:crosses val="autoZero"/>
        <c:auto val="1"/>
        <c:lblAlgn val="ctr"/>
        <c:lblOffset val="100"/>
        <c:noMultiLvlLbl val="0"/>
      </c:catAx>
      <c:valAx>
        <c:axId val="218440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802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'Connection countGSNot Adjusted'!$G$2:$H$2</c:f>
              <c:strCache>
                <c:ptCount val="1"/>
                <c:pt idx="0">
                  <c:v>GS &lt; 50</c:v>
                </c:pt>
              </c:strCache>
            </c:strRef>
          </c:tx>
          <c:marker>
            <c:symbol val="none"/>
          </c:marker>
          <c:cat>
            <c:numRef>
              <c:f>'Connection countGSNot Adjusted'!$B$4:$B$15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countGSNot Adjusted'!$H$4:$H$15</c:f>
              <c:numCache>
                <c:formatCode>#,##0</c:formatCode>
                <c:ptCount val="12"/>
                <c:pt idx="0">
                  <c:v>3266.4166666666665</c:v>
                </c:pt>
                <c:pt idx="1">
                  <c:v>3247</c:v>
                </c:pt>
                <c:pt idx="2">
                  <c:v>3244.75</c:v>
                </c:pt>
                <c:pt idx="3">
                  <c:v>3196.8333333333335</c:v>
                </c:pt>
                <c:pt idx="4">
                  <c:v>3159.75</c:v>
                </c:pt>
                <c:pt idx="5">
                  <c:v>3051.3333333333335</c:v>
                </c:pt>
                <c:pt idx="6">
                  <c:v>3010.0469347592793</c:v>
                </c:pt>
                <c:pt idx="7">
                  <c:v>2969.3191663055713</c:v>
                </c:pt>
                <c:pt idx="8">
                  <c:v>2929.142469366418</c:v>
                </c:pt>
                <c:pt idx="9">
                  <c:v>2889.5093876085689</c:v>
                </c:pt>
                <c:pt idx="10">
                  <c:v>2850.4125655875032</c:v>
                </c:pt>
                <c:pt idx="11">
                  <c:v>2811.8447473823453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73600"/>
        <c:axId val="218475136"/>
      </c:lineChart>
      <c:catAx>
        <c:axId val="2184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475136"/>
        <c:crosses val="autoZero"/>
        <c:auto val="1"/>
        <c:lblAlgn val="ctr"/>
        <c:lblOffset val="100"/>
        <c:noMultiLvlLbl val="0"/>
      </c:catAx>
      <c:valAx>
        <c:axId val="218475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847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Monthly'!$C$2:$C$73</c:f>
              <c:numCache>
                <c:formatCode>General</c:formatCode>
                <c:ptCount val="72"/>
                <c:pt idx="0">
                  <c:v>9405720.7811999973</c:v>
                </c:pt>
                <c:pt idx="1">
                  <c:v>8296015.0248000016</c:v>
                </c:pt>
                <c:pt idx="2">
                  <c:v>8604597.311900001</c:v>
                </c:pt>
                <c:pt idx="3">
                  <c:v>7316308.4113000007</c:v>
                </c:pt>
                <c:pt idx="4">
                  <c:v>6892994.1161999991</c:v>
                </c:pt>
                <c:pt idx="5">
                  <c:v>6896984.1305000009</c:v>
                </c:pt>
                <c:pt idx="6">
                  <c:v>7547793.2116999989</c:v>
                </c:pt>
                <c:pt idx="7">
                  <c:v>7818900.3452000003</c:v>
                </c:pt>
                <c:pt idx="8">
                  <c:v>7086905.3305000011</c:v>
                </c:pt>
                <c:pt idx="9">
                  <c:v>7315482.7944999998</c:v>
                </c:pt>
                <c:pt idx="10">
                  <c:v>7548115.7056999998</c:v>
                </c:pt>
                <c:pt idx="11">
                  <c:v>8620869.761500001</c:v>
                </c:pt>
                <c:pt idx="12">
                  <c:v>9325181.3517000005</c:v>
                </c:pt>
                <c:pt idx="13">
                  <c:v>8591993.1293000001</c:v>
                </c:pt>
                <c:pt idx="14">
                  <c:v>8207095.9015999986</c:v>
                </c:pt>
                <c:pt idx="15">
                  <c:v>6918818.8890000004</c:v>
                </c:pt>
                <c:pt idx="16">
                  <c:v>6986125.7528999997</c:v>
                </c:pt>
                <c:pt idx="17">
                  <c:v>7185164.8809000012</c:v>
                </c:pt>
                <c:pt idx="18">
                  <c:v>8291002.0009999992</c:v>
                </c:pt>
                <c:pt idx="19">
                  <c:v>8091227.442999999</c:v>
                </c:pt>
                <c:pt idx="20">
                  <c:v>7107037.0582999997</c:v>
                </c:pt>
                <c:pt idx="21">
                  <c:v>7112672.8845999986</c:v>
                </c:pt>
                <c:pt idx="22">
                  <c:v>7591437.2906999998</c:v>
                </c:pt>
                <c:pt idx="23">
                  <c:v>8718326.5439999998</c:v>
                </c:pt>
                <c:pt idx="24">
                  <c:v>9393676.9426000006</c:v>
                </c:pt>
                <c:pt idx="25">
                  <c:v>8452752.0697000008</c:v>
                </c:pt>
                <c:pt idx="26">
                  <c:v>8568325.1115000006</c:v>
                </c:pt>
                <c:pt idx="27">
                  <c:v>7346493.2652000012</c:v>
                </c:pt>
                <c:pt idx="28">
                  <c:v>7368309.8563999999</c:v>
                </c:pt>
                <c:pt idx="29">
                  <c:v>7131096.6754999999</c:v>
                </c:pt>
                <c:pt idx="30">
                  <c:v>8127943.4221000001</c:v>
                </c:pt>
                <c:pt idx="31">
                  <c:v>7808808.1944000004</c:v>
                </c:pt>
                <c:pt idx="32">
                  <c:v>6954625.1506999992</c:v>
                </c:pt>
                <c:pt idx="33">
                  <c:v>6817049.963200001</c:v>
                </c:pt>
                <c:pt idx="34">
                  <c:v>7100784.7841999996</c:v>
                </c:pt>
                <c:pt idx="35">
                  <c:v>7938769.4755000006</c:v>
                </c:pt>
                <c:pt idx="36">
                  <c:v>8455236.2163999993</c:v>
                </c:pt>
                <c:pt idx="37">
                  <c:v>7820724.9231000002</c:v>
                </c:pt>
                <c:pt idx="38">
                  <c:v>7522796.9426999995</c:v>
                </c:pt>
                <c:pt idx="39">
                  <c:v>6733723.8155000005</c:v>
                </c:pt>
                <c:pt idx="40">
                  <c:v>6797543.6818000004</c:v>
                </c:pt>
                <c:pt idx="41">
                  <c:v>7173898.5476000002</c:v>
                </c:pt>
                <c:pt idx="42">
                  <c:v>7895965.2410000004</c:v>
                </c:pt>
                <c:pt idx="43">
                  <c:v>7673572.2456</c:v>
                </c:pt>
                <c:pt idx="44">
                  <c:v>6803174.4414999997</c:v>
                </c:pt>
                <c:pt idx="45">
                  <c:v>6614485.8804000001</c:v>
                </c:pt>
                <c:pt idx="46">
                  <c:v>7233949.3405999998</c:v>
                </c:pt>
                <c:pt idx="47">
                  <c:v>7883569.6208999995</c:v>
                </c:pt>
                <c:pt idx="48">
                  <c:v>8494433.2956000008</c:v>
                </c:pt>
                <c:pt idx="49">
                  <c:v>7732556.6048999997</c:v>
                </c:pt>
                <c:pt idx="50">
                  <c:v>7818446.9395999992</c:v>
                </c:pt>
                <c:pt idx="51">
                  <c:v>6860921.9294999996</c:v>
                </c:pt>
                <c:pt idx="52">
                  <c:v>6349928.6646999987</c:v>
                </c:pt>
                <c:pt idx="53">
                  <c:v>6492686.1686000004</c:v>
                </c:pt>
                <c:pt idx="54">
                  <c:v>7411287.6236999994</c:v>
                </c:pt>
                <c:pt idx="55">
                  <c:v>7080591.3404999999</c:v>
                </c:pt>
                <c:pt idx="56">
                  <c:v>6427748.052699999</c:v>
                </c:pt>
                <c:pt idx="57">
                  <c:v>6420522.6624999996</c:v>
                </c:pt>
                <c:pt idx="58">
                  <c:v>7196501.2766999993</c:v>
                </c:pt>
                <c:pt idx="59">
                  <c:v>8089952.5006000008</c:v>
                </c:pt>
                <c:pt idx="60">
                  <c:v>9744747.6810999997</c:v>
                </c:pt>
                <c:pt idx="61">
                  <c:v>8690919.2281999998</c:v>
                </c:pt>
                <c:pt idx="62">
                  <c:v>8839537.966</c:v>
                </c:pt>
                <c:pt idx="63">
                  <c:v>7227399.0751</c:v>
                </c:pt>
                <c:pt idx="64">
                  <c:v>6595622.3787000002</c:v>
                </c:pt>
                <c:pt idx="65">
                  <c:v>6748420.8118000003</c:v>
                </c:pt>
                <c:pt idx="66">
                  <c:v>7210633.4199000001</c:v>
                </c:pt>
                <c:pt idx="67">
                  <c:v>7172486.9500000002</c:v>
                </c:pt>
                <c:pt idx="68">
                  <c:v>6683803.4541999996</c:v>
                </c:pt>
                <c:pt idx="69">
                  <c:v>6719023.064100001</c:v>
                </c:pt>
                <c:pt idx="70">
                  <c:v>7525140.5691000018</c:v>
                </c:pt>
                <c:pt idx="71">
                  <c:v>8312820.2866000012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Predicted Monthly'!$V$1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Monthly'!$V$2:$V$73</c:f>
              <c:numCache>
                <c:formatCode>_-* #,##0_-;\-* #,##0_-;_-* "-"??_-;_-@_-</c:formatCode>
                <c:ptCount val="72"/>
                <c:pt idx="0">
                  <c:v>9524592.7411485072</c:v>
                </c:pt>
                <c:pt idx="1">
                  <c:v>8452491.4822770637</c:v>
                </c:pt>
                <c:pt idx="2">
                  <c:v>8539837.9957446679</c:v>
                </c:pt>
                <c:pt idx="3">
                  <c:v>7376738.0471565109</c:v>
                </c:pt>
                <c:pt idx="4">
                  <c:v>7245731.0417046277</c:v>
                </c:pt>
                <c:pt idx="5">
                  <c:v>7335587.9781959485</c:v>
                </c:pt>
                <c:pt idx="6">
                  <c:v>7221042.7160027195</c:v>
                </c:pt>
                <c:pt idx="7">
                  <c:v>7971487.1645724736</c:v>
                </c:pt>
                <c:pt idx="8">
                  <c:v>6820529.4088122034</c:v>
                </c:pt>
                <c:pt idx="9">
                  <c:v>7440210.8502687551</c:v>
                </c:pt>
                <c:pt idx="10">
                  <c:v>7604401.9478334021</c:v>
                </c:pt>
                <c:pt idx="11">
                  <c:v>8805655.2735846769</c:v>
                </c:pt>
                <c:pt idx="12">
                  <c:v>8968234.4284015819</c:v>
                </c:pt>
                <c:pt idx="13">
                  <c:v>8203853.5820410177</c:v>
                </c:pt>
                <c:pt idx="14">
                  <c:v>7972958.5546158608</c:v>
                </c:pt>
                <c:pt idx="15">
                  <c:v>6891885.75499635</c:v>
                </c:pt>
                <c:pt idx="16">
                  <c:v>7211197.1709600156</c:v>
                </c:pt>
                <c:pt idx="17">
                  <c:v>7087601.4744010866</c:v>
                </c:pt>
                <c:pt idx="18">
                  <c:v>8545573.9148815051</c:v>
                </c:pt>
                <c:pt idx="19">
                  <c:v>7867166.2690990148</c:v>
                </c:pt>
                <c:pt idx="20">
                  <c:v>7041203.5264070882</c:v>
                </c:pt>
                <c:pt idx="21">
                  <c:v>7201888.2996850144</c:v>
                </c:pt>
                <c:pt idx="22">
                  <c:v>7788337.9976931978</c:v>
                </c:pt>
                <c:pt idx="23">
                  <c:v>8803090.0894971676</c:v>
                </c:pt>
                <c:pt idx="24">
                  <c:v>9239077.8395087272</c:v>
                </c:pt>
                <c:pt idx="25">
                  <c:v>8422976.1941563096</c:v>
                </c:pt>
                <c:pt idx="26">
                  <c:v>8390718.7236078531</c:v>
                </c:pt>
                <c:pt idx="27">
                  <c:v>7165808.3713850621</c:v>
                </c:pt>
                <c:pt idx="28">
                  <c:v>6920156.8401610637</c:v>
                </c:pt>
                <c:pt idx="29">
                  <c:v>6869268.9409734197</c:v>
                </c:pt>
                <c:pt idx="30">
                  <c:v>8183048.1639079992</c:v>
                </c:pt>
                <c:pt idx="31">
                  <c:v>7401360.1990933549</c:v>
                </c:pt>
                <c:pt idx="32">
                  <c:v>6767210.5099329678</c:v>
                </c:pt>
                <c:pt idx="33">
                  <c:v>6988716.0501517961</c:v>
                </c:pt>
                <c:pt idx="34">
                  <c:v>7380027.5125876758</c:v>
                </c:pt>
                <c:pt idx="35">
                  <c:v>8286134.663193726</c:v>
                </c:pt>
                <c:pt idx="36">
                  <c:v>8571175.2564844564</c:v>
                </c:pt>
                <c:pt idx="37">
                  <c:v>7887967.0090781413</c:v>
                </c:pt>
                <c:pt idx="38">
                  <c:v>7573619.5576745532</c:v>
                </c:pt>
                <c:pt idx="39">
                  <c:v>6949738.1053506006</c:v>
                </c:pt>
                <c:pt idx="40">
                  <c:v>6754122.2042193851</c:v>
                </c:pt>
                <c:pt idx="41">
                  <c:v>7069391.9467762392</c:v>
                </c:pt>
                <c:pt idx="42">
                  <c:v>7962955.944698845</c:v>
                </c:pt>
                <c:pt idx="43">
                  <c:v>7458625.8158432562</c:v>
                </c:pt>
                <c:pt idx="44">
                  <c:v>6479592.7984910682</c:v>
                </c:pt>
                <c:pt idx="45">
                  <c:v>6647185.462771588</c:v>
                </c:pt>
                <c:pt idx="46">
                  <c:v>7462254.8527645022</c:v>
                </c:pt>
                <c:pt idx="47">
                  <c:v>8120398.9984129006</c:v>
                </c:pt>
                <c:pt idx="48">
                  <c:v>8403966.2800199464</c:v>
                </c:pt>
                <c:pt idx="49">
                  <c:v>7939129.5226115733</c:v>
                </c:pt>
                <c:pt idx="50">
                  <c:v>7901736.9404476807</c:v>
                </c:pt>
                <c:pt idx="51">
                  <c:v>6830835.8941998053</c:v>
                </c:pt>
                <c:pt idx="52">
                  <c:v>6501365.0017074691</c:v>
                </c:pt>
                <c:pt idx="53">
                  <c:v>6666504.4736293517</c:v>
                </c:pt>
                <c:pt idx="54">
                  <c:v>7449844.6157280011</c:v>
                </c:pt>
                <c:pt idx="55">
                  <c:v>6873719.4474050952</c:v>
                </c:pt>
                <c:pt idx="56">
                  <c:v>6374237.3489209898</c:v>
                </c:pt>
                <c:pt idx="57">
                  <c:v>6432452.2174169989</c:v>
                </c:pt>
                <c:pt idx="58">
                  <c:v>7125333.0360398181</c:v>
                </c:pt>
                <c:pt idx="59">
                  <c:v>8097668.4703674139</c:v>
                </c:pt>
                <c:pt idx="60">
                  <c:v>9346599.1754134391</c:v>
                </c:pt>
                <c:pt idx="61">
                  <c:v>8678543.1898359116</c:v>
                </c:pt>
                <c:pt idx="62">
                  <c:v>8800827.5282745194</c:v>
                </c:pt>
                <c:pt idx="63">
                  <c:v>7188659.2125116866</c:v>
                </c:pt>
                <c:pt idx="64">
                  <c:v>7029278.0401401781</c:v>
                </c:pt>
                <c:pt idx="65">
                  <c:v>7197025.9591169227</c:v>
                </c:pt>
                <c:pt idx="66">
                  <c:v>7266706.6777136177</c:v>
                </c:pt>
                <c:pt idx="67">
                  <c:v>7213059.4102871995</c:v>
                </c:pt>
                <c:pt idx="68">
                  <c:v>6572851.2255298588</c:v>
                </c:pt>
                <c:pt idx="69">
                  <c:v>6652829.219978869</c:v>
                </c:pt>
                <c:pt idx="70">
                  <c:v>7479197.4389142543</c:v>
                </c:pt>
                <c:pt idx="71">
                  <c:v>8044977.8070835713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83392"/>
        <c:axId val="207084928"/>
      </c:lineChart>
      <c:dateAx>
        <c:axId val="20708339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07084928"/>
        <c:crosses val="autoZero"/>
        <c:auto val="1"/>
        <c:lblOffset val="100"/>
        <c:baseTimeUnit val="months"/>
      </c:dateAx>
      <c:valAx>
        <c:axId val="207084928"/>
        <c:scaling>
          <c:orientation val="minMax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708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'Connection countGSNot Adjusted'!$L$2:$M$2</c:f>
              <c:strCache>
                <c:ptCount val="1"/>
                <c:pt idx="0">
                  <c:v>GS &gt; 50</c:v>
                </c:pt>
              </c:strCache>
            </c:strRef>
          </c:tx>
          <c:marker>
            <c:symbol val="none"/>
          </c:marker>
          <c:cat>
            <c:numRef>
              <c:f>'Connection countGSNot Adjusted'!$B$4:$B$15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countGSNot Adjusted'!$M$4:$M$15</c:f>
              <c:numCache>
                <c:formatCode>#,##0</c:formatCode>
                <c:ptCount val="12"/>
                <c:pt idx="0">
                  <c:v>295.16666666666669</c:v>
                </c:pt>
                <c:pt idx="1">
                  <c:v>346.83333333333331</c:v>
                </c:pt>
                <c:pt idx="2">
                  <c:v>344.08333333333331</c:v>
                </c:pt>
                <c:pt idx="3">
                  <c:v>359.58333333333331</c:v>
                </c:pt>
                <c:pt idx="4">
                  <c:v>370.75</c:v>
                </c:pt>
                <c:pt idx="5">
                  <c:v>324.5</c:v>
                </c:pt>
                <c:pt idx="6">
                  <c:v>330.70760277267368</c:v>
                </c:pt>
                <c:pt idx="7">
                  <c:v>337.03395541340069</c:v>
                </c:pt>
                <c:pt idx="8">
                  <c:v>343.48132957706599</c:v>
                </c:pt>
                <c:pt idx="9">
                  <c:v>350.05204037473698</c:v>
                </c:pt>
                <c:pt idx="10">
                  <c:v>356.74844720496901</c:v>
                </c:pt>
                <c:pt idx="11">
                  <c:v>363.57295460101398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91520"/>
        <c:axId val="218898816"/>
      </c:lineChart>
      <c:catAx>
        <c:axId val="2184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898816"/>
        <c:crosses val="autoZero"/>
        <c:auto val="1"/>
        <c:lblAlgn val="ctr"/>
        <c:lblOffset val="100"/>
        <c:noMultiLvlLbl val="0"/>
      </c:catAx>
      <c:valAx>
        <c:axId val="21889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849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'Connection countGSNot Adjusted'!$U$1:$U$2</c:f>
              <c:strCache>
                <c:ptCount val="1"/>
                <c:pt idx="0">
                  <c:v>Street Light</c:v>
                </c:pt>
              </c:strCache>
            </c:strRef>
          </c:tx>
          <c:marker>
            <c:symbol val="none"/>
          </c:marker>
          <c:cat>
            <c:numRef>
              <c:f>'Connection countGSNot Adjusted'!$B$4:$B$15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'Connection countGSNot Adjusted'!$V$4:$V$15</c:f>
              <c:numCache>
                <c:formatCode>#,##0</c:formatCode>
                <c:ptCount val="12"/>
                <c:pt idx="0">
                  <c:v>5114</c:v>
                </c:pt>
                <c:pt idx="1">
                  <c:v>5117.25</c:v>
                </c:pt>
                <c:pt idx="2">
                  <c:v>5119.583333333333</c:v>
                </c:pt>
                <c:pt idx="3">
                  <c:v>5126</c:v>
                </c:pt>
                <c:pt idx="4">
                  <c:v>5384.916666666667</c:v>
                </c:pt>
                <c:pt idx="5">
                  <c:v>5228.083333333333</c:v>
                </c:pt>
                <c:pt idx="6">
                  <c:v>5336.5</c:v>
                </c:pt>
                <c:pt idx="7">
                  <c:v>5348.5</c:v>
                </c:pt>
                <c:pt idx="8">
                  <c:v>5360.5</c:v>
                </c:pt>
                <c:pt idx="9">
                  <c:v>5372.5</c:v>
                </c:pt>
                <c:pt idx="10">
                  <c:v>5384.5</c:v>
                </c:pt>
                <c:pt idx="11">
                  <c:v>5396.5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935680"/>
        <c:axId val="218937216"/>
      </c:lineChart>
      <c:catAx>
        <c:axId val="2189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8937216"/>
        <c:crosses val="autoZero"/>
        <c:auto val="1"/>
        <c:lblAlgn val="ctr"/>
        <c:lblOffset val="100"/>
        <c:noMultiLvlLbl val="0"/>
      </c:catAx>
      <c:valAx>
        <c:axId val="218937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8935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Summary'!$C$4:$C$9</c:f>
              <c:numCache>
                <c:formatCode>#,##0</c:formatCode>
                <c:ptCount val="6"/>
                <c:pt idx="0">
                  <c:v>196461749.94190001</c:v>
                </c:pt>
                <c:pt idx="1">
                  <c:v>197410764.39520001</c:v>
                </c:pt>
                <c:pt idx="2">
                  <c:v>191104338.41010001</c:v>
                </c:pt>
                <c:pt idx="3">
                  <c:v>184953208.6112</c:v>
                </c:pt>
                <c:pt idx="4">
                  <c:v>189348695.8743</c:v>
                </c:pt>
                <c:pt idx="5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Summary'!$E$4:$E$15</c:f>
              <c:numCache>
                <c:formatCode>#,##0</c:formatCode>
                <c:ptCount val="12"/>
                <c:pt idx="0">
                  <c:v>199546506.20707685</c:v>
                </c:pt>
                <c:pt idx="1">
                  <c:v>196067449.81953228</c:v>
                </c:pt>
                <c:pt idx="2">
                  <c:v>192468474.32717651</c:v>
                </c:pt>
                <c:pt idx="3">
                  <c:v>187753433.52981678</c:v>
                </c:pt>
                <c:pt idx="4">
                  <c:v>187855597.68140596</c:v>
                </c:pt>
                <c:pt idx="5">
                  <c:v>189757911.12226292</c:v>
                </c:pt>
                <c:pt idx="6">
                  <c:v>187846946.93631631</c:v>
                </c:pt>
                <c:pt idx="7">
                  <c:v>185951799.75322267</c:v>
                </c:pt>
                <c:pt idx="8">
                  <c:v>184072570.29515868</c:v>
                </c:pt>
                <c:pt idx="9">
                  <c:v>182209359.92569673</c:v>
                </c:pt>
                <c:pt idx="10">
                  <c:v>180362270.65388906</c:v>
                </c:pt>
                <c:pt idx="11">
                  <c:v>178531405.13837859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12096"/>
        <c:axId val="219022080"/>
      </c:lineChart>
      <c:catAx>
        <c:axId val="2190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022080"/>
        <c:crosses val="autoZero"/>
        <c:auto val="1"/>
        <c:lblAlgn val="ctr"/>
        <c:lblOffset val="100"/>
        <c:noMultiLvlLbl val="0"/>
      </c:catAx>
      <c:valAx>
        <c:axId val="219022080"/>
        <c:scaling>
          <c:orientation val="minMax"/>
          <c:min val="150000000"/>
        </c:scaling>
        <c:delete val="0"/>
        <c:axPos val="l"/>
        <c:majorGridlines/>
        <c:title>
          <c:overlay val="0"/>
        </c:title>
        <c:numFmt formatCode="#,##0" sourceLinked="1"/>
        <c:majorTickMark val="none"/>
        <c:minorTickMark val="none"/>
        <c:tickLblPos val="nextTo"/>
        <c:crossAx val="219012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GS&lt;50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Summary'!$I$3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Summary'!$I$4:$I$9</c:f>
              <c:numCache>
                <c:formatCode>#,##0</c:formatCode>
                <c:ptCount val="6"/>
                <c:pt idx="0">
                  <c:v>93350686.924999997</c:v>
                </c:pt>
                <c:pt idx="1">
                  <c:v>94126083.127000004</c:v>
                </c:pt>
                <c:pt idx="2">
                  <c:v>93008634.910999998</c:v>
                </c:pt>
                <c:pt idx="3">
                  <c:v>88608640.897100002</c:v>
                </c:pt>
                <c:pt idx="4">
                  <c:v>86375577.059599996</c:v>
                </c:pt>
                <c:pt idx="5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Summary'!$K$3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Summary'!$K$4:$K$15</c:f>
              <c:numCache>
                <c:formatCode>#,##0</c:formatCode>
                <c:ptCount val="12"/>
                <c:pt idx="0">
                  <c:v>96482575.492475733</c:v>
                </c:pt>
                <c:pt idx="1">
                  <c:v>94604326.046246737</c:v>
                </c:pt>
                <c:pt idx="2">
                  <c:v>93451849.38676247</c:v>
                </c:pt>
                <c:pt idx="3">
                  <c:v>90368676.187782571</c:v>
                </c:pt>
                <c:pt idx="4">
                  <c:v>87743514.941602722</c:v>
                </c:pt>
                <c:pt idx="5">
                  <c:v>92820327.819156781</c:v>
                </c:pt>
                <c:pt idx="6">
                  <c:v>96525307.400662139</c:v>
                </c:pt>
                <c:pt idx="7">
                  <c:v>94406782.171978414</c:v>
                </c:pt>
                <c:pt idx="8">
                  <c:v>92323638.533219546</c:v>
                </c:pt>
                <c:pt idx="9">
                  <c:v>90275285.574780762</c:v>
                </c:pt>
                <c:pt idx="10">
                  <c:v>88261142.255866542</c:v>
                </c:pt>
                <c:pt idx="11">
                  <c:v>86280637.239671066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47808"/>
        <c:axId val="219049344"/>
      </c:lineChart>
      <c:catAx>
        <c:axId val="21904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049344"/>
        <c:crosses val="autoZero"/>
        <c:auto val="1"/>
        <c:lblAlgn val="ctr"/>
        <c:lblOffset val="100"/>
        <c:noMultiLvlLbl val="0"/>
      </c:catAx>
      <c:valAx>
        <c:axId val="219049344"/>
        <c:scaling>
          <c:orientation val="minMax"/>
        </c:scaling>
        <c:delete val="0"/>
        <c:axPos val="l"/>
        <c:majorGridlines/>
        <c:title>
          <c:overlay val="0"/>
        </c:title>
        <c:numFmt formatCode="#,##0" sourceLinked="1"/>
        <c:majorTickMark val="none"/>
        <c:minorTickMark val="none"/>
        <c:tickLblPos val="nextTo"/>
        <c:crossAx val="219047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GS&gt;50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Summary'!$O$3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Summary'!$O$4:$O$9</c:f>
              <c:numCache>
                <c:formatCode>#,##0</c:formatCode>
                <c:ptCount val="6"/>
                <c:pt idx="0">
                  <c:v>270117289.67619997</c:v>
                </c:pt>
                <c:pt idx="1">
                  <c:v>273806097.95489997</c:v>
                </c:pt>
                <c:pt idx="2">
                  <c:v>273712584.15109998</c:v>
                </c:pt>
                <c:pt idx="3">
                  <c:v>274473667.94679999</c:v>
                </c:pt>
                <c:pt idx="4">
                  <c:v>279458000.47820002</c:v>
                </c:pt>
                <c:pt idx="5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Summary'!$Q$3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Summary'!$Q$4:$Q$15</c:f>
              <c:numCache>
                <c:formatCode>#,##0</c:formatCode>
                <c:ptCount val="12"/>
                <c:pt idx="0">
                  <c:v>271420409.96163136</c:v>
                </c:pt>
                <c:pt idx="1">
                  <c:v>272534006.54536551</c:v>
                </c:pt>
                <c:pt idx="2">
                  <c:v>276373014.81373316</c:v>
                </c:pt>
                <c:pt idx="3">
                  <c:v>274828836.04837596</c:v>
                </c:pt>
                <c:pt idx="4">
                  <c:v>278356828.05248821</c:v>
                </c:pt>
                <c:pt idx="5">
                  <c:v>272478959.22987044</c:v>
                </c:pt>
                <c:pt idx="6">
                  <c:v>273251617.9552204</c:v>
                </c:pt>
                <c:pt idx="7">
                  <c:v>273969108.33876514</c:v>
                </c:pt>
                <c:pt idx="8">
                  <c:v>274745148.26889813</c:v>
                </c:pt>
                <c:pt idx="9">
                  <c:v>275580396.42801851</c:v>
                </c:pt>
                <c:pt idx="10">
                  <c:v>276475518.90870243</c:v>
                </c:pt>
                <c:pt idx="11">
                  <c:v>277431189.29706728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83520"/>
        <c:axId val="219085056"/>
      </c:lineChart>
      <c:catAx>
        <c:axId val="2190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085056"/>
        <c:crosses val="autoZero"/>
        <c:auto val="1"/>
        <c:lblAlgn val="ctr"/>
        <c:lblOffset val="100"/>
        <c:noMultiLvlLbl val="0"/>
      </c:catAx>
      <c:valAx>
        <c:axId val="219085056"/>
        <c:scaling>
          <c:orientation val="minMax"/>
        </c:scaling>
        <c:delete val="0"/>
        <c:axPos val="l"/>
        <c:majorGridlines/>
        <c:title>
          <c:overlay val="0"/>
        </c:title>
        <c:numFmt formatCode="#,##0" sourceLinked="1"/>
        <c:majorTickMark val="none"/>
        <c:minorTickMark val="none"/>
        <c:tickLblPos val="nextTo"/>
        <c:crossAx val="21908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Summary'!$U$2</c:f>
              <c:strCache>
                <c:ptCount val="1"/>
                <c:pt idx="0">
                  <c:v>LU kWh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Summary'!$U$4:$U$9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154491718.44549999</c:v>
                </c:pt>
                <c:pt idx="3">
                  <c:v>155448434.65640002</c:v>
                </c:pt>
                <c:pt idx="4">
                  <c:v>153943745.77000001</c:v>
                </c:pt>
                <c:pt idx="5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Summary'!$W$3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Summary'!$W$4:$W$15</c:f>
              <c:numCache>
                <c:formatCode>#,##0</c:formatCode>
                <c:ptCount val="12"/>
                <c:pt idx="0">
                  <c:v>149122149.37073734</c:v>
                </c:pt>
                <c:pt idx="1">
                  <c:v>149917703.69742325</c:v>
                </c:pt>
                <c:pt idx="2">
                  <c:v>153782310.92120907</c:v>
                </c:pt>
                <c:pt idx="3">
                  <c:v>151928995.37292206</c:v>
                </c:pt>
                <c:pt idx="4">
                  <c:v>155099352.4017114</c:v>
                </c:pt>
                <c:pt idx="5">
                  <c:v>153957083.2555337</c:v>
                </c:pt>
                <c:pt idx="6">
                  <c:v>154368711.61319837</c:v>
                </c:pt>
                <c:pt idx="7">
                  <c:v>155062234.14183554</c:v>
                </c:pt>
                <c:pt idx="8">
                  <c:v>155477670.03301656</c:v>
                </c:pt>
                <c:pt idx="9">
                  <c:v>155959779.58958554</c:v>
                </c:pt>
                <c:pt idx="10">
                  <c:v>156509312.89027819</c:v>
                </c:pt>
                <c:pt idx="11">
                  <c:v>157127028.45221585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14880"/>
        <c:axId val="219120768"/>
      </c:lineChart>
      <c:catAx>
        <c:axId val="2191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120768"/>
        <c:crosses val="autoZero"/>
        <c:auto val="1"/>
        <c:lblAlgn val="ctr"/>
        <c:lblOffset val="100"/>
        <c:noMultiLvlLbl val="0"/>
      </c:catAx>
      <c:valAx>
        <c:axId val="219120768"/>
        <c:scaling>
          <c:orientation val="minMax"/>
        </c:scaling>
        <c:delete val="0"/>
        <c:axPos val="l"/>
        <c:majorGridlines/>
        <c:title>
          <c:overlay val="0"/>
        </c:title>
        <c:numFmt formatCode="#,##0" sourceLinked="1"/>
        <c:majorTickMark val="none"/>
        <c:minorTickMark val="none"/>
        <c:tickLblPos val="nextTo"/>
        <c:crossAx val="219114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</a:t>
            </a:r>
            <a:r>
              <a:rPr lang="en-US"/>
              <a:t>Customer Count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Customer Count</c:v>
          </c:tx>
          <c:marker>
            <c:symbol val="none"/>
          </c:marker>
          <c:cat>
            <c:strRef>
              <c:f>'Summary Tables'!$B$70:$B$75</c:f>
              <c:strCache>
                <c:ptCount val="6"/>
                <c:pt idx="0">
                  <c:v>2015 Forecast</c:v>
                </c:pt>
                <c:pt idx="1">
                  <c:v>2016 Forecast</c:v>
                </c:pt>
                <c:pt idx="2">
                  <c:v>2017 Forecast</c:v>
                </c:pt>
                <c:pt idx="3">
                  <c:v>2018 Forecast</c:v>
                </c:pt>
                <c:pt idx="4">
                  <c:v>2019 Forecast</c:v>
                </c:pt>
                <c:pt idx="5">
                  <c:v>2020 Forecast</c:v>
                </c:pt>
              </c:strCache>
            </c:strRef>
          </c:cat>
          <c:val>
            <c:numRef>
              <c:f>'Summary Tables'!$I$70:$I$75</c:f>
              <c:numCache>
                <c:formatCode>#,##0</c:formatCode>
                <c:ptCount val="6"/>
                <c:pt idx="0">
                  <c:v>32818.535837601608</c:v>
                </c:pt>
                <c:pt idx="1">
                  <c:v>32936.654372830562</c:v>
                </c:pt>
                <c:pt idx="2">
                  <c:v>33056.765205308111</c:v>
                </c:pt>
                <c:pt idx="3">
                  <c:v>33178.861614530877</c:v>
                </c:pt>
                <c:pt idx="4">
                  <c:v>33302.937223108158</c:v>
                </c:pt>
                <c:pt idx="5">
                  <c:v>33428.985993427515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67648"/>
        <c:axId val="35469184"/>
      </c:lineChart>
      <c:catAx>
        <c:axId val="35467648"/>
        <c:scaling>
          <c:orientation val="minMax"/>
        </c:scaling>
        <c:delete val="0"/>
        <c:axPos val="b"/>
        <c:majorTickMark val="in"/>
        <c:minorTickMark val="none"/>
        <c:tickLblPos val="nextTo"/>
        <c:crossAx val="35469184"/>
        <c:crosses val="autoZero"/>
        <c:auto val="1"/>
        <c:lblAlgn val="ctr"/>
        <c:lblOffset val="100"/>
        <c:noMultiLvlLbl val="0"/>
      </c:catAx>
      <c:valAx>
        <c:axId val="3546918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#,##0" sourceLinked="1"/>
        <c:majorTickMark val="none"/>
        <c:minorTickMark val="none"/>
        <c:tickLblPos val="nextTo"/>
        <c:crossAx val="35467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kWh Forecast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Normal Forecast kWh</c:v>
          </c:tx>
          <c:marker>
            <c:symbol val="none"/>
          </c:marker>
          <c:cat>
            <c:strRef>
              <c:f>'Summary Tables'!$B$16:$B$21</c:f>
              <c:strCache>
                <c:ptCount val="6"/>
                <c:pt idx="0">
                  <c:v>2015 Forecast</c:v>
                </c:pt>
                <c:pt idx="1">
                  <c:v>2016 Forecast</c:v>
                </c:pt>
                <c:pt idx="2">
                  <c:v>2017 Forecast</c:v>
                </c:pt>
                <c:pt idx="3">
                  <c:v>2018 Forecast</c:v>
                </c:pt>
                <c:pt idx="4">
                  <c:v>2019 Forecast</c:v>
                </c:pt>
                <c:pt idx="5">
                  <c:v>2020 Forecast</c:v>
                </c:pt>
              </c:strCache>
            </c:strRef>
          </c:cat>
          <c:val>
            <c:numRef>
              <c:f>'Summary Tables'!$I$16:$I$21</c:f>
              <c:numCache>
                <c:formatCode>#,##0</c:formatCode>
                <c:ptCount val="6"/>
                <c:pt idx="0">
                  <c:v>715028486.57499051</c:v>
                </c:pt>
                <c:pt idx="1">
                  <c:v>712404227.72454023</c:v>
                </c:pt>
                <c:pt idx="2">
                  <c:v>709612250.26305079</c:v>
                </c:pt>
                <c:pt idx="3">
                  <c:v>706997472.92582834</c:v>
                </c:pt>
                <c:pt idx="4">
                  <c:v>704560822.36922514</c:v>
                </c:pt>
                <c:pt idx="5">
                  <c:v>702303251.7512393</c:v>
                </c:pt>
              </c:numCache>
            </c:numRef>
          </c:val>
          <c:smooth val="0"/>
        </c:ser>
        <c:ser>
          <c:idx val="1"/>
          <c:order val="1"/>
          <c:tx>
            <c:v>CDM Adjusted</c:v>
          </c:tx>
          <c:marker>
            <c:symbol val="none"/>
          </c:marker>
          <c:cat>
            <c:strRef>
              <c:f>'Summary Tables'!$B$16:$B$21</c:f>
              <c:strCache>
                <c:ptCount val="6"/>
                <c:pt idx="0">
                  <c:v>2015 Forecast</c:v>
                </c:pt>
                <c:pt idx="1">
                  <c:v>2016 Forecast</c:v>
                </c:pt>
                <c:pt idx="2">
                  <c:v>2017 Forecast</c:v>
                </c:pt>
                <c:pt idx="3">
                  <c:v>2018 Forecast</c:v>
                </c:pt>
                <c:pt idx="4">
                  <c:v>2019 Forecast</c:v>
                </c:pt>
                <c:pt idx="5">
                  <c:v>2020 Forecast</c:v>
                </c:pt>
              </c:strCache>
            </c:strRef>
          </c:cat>
          <c:val>
            <c:numRef>
              <c:f>'Summary Tables'!$I$25:$I$30</c:f>
              <c:numCache>
                <c:formatCode>#,##0</c:formatCode>
                <c:ptCount val="6"/>
                <c:pt idx="0">
                  <c:v>712428486.57499039</c:v>
                </c:pt>
                <c:pt idx="1">
                  <c:v>704804227.72454035</c:v>
                </c:pt>
                <c:pt idx="2">
                  <c:v>696862250.26305079</c:v>
                </c:pt>
                <c:pt idx="3">
                  <c:v>688547472.92582834</c:v>
                </c:pt>
                <c:pt idx="4">
                  <c:v>679960822.36922503</c:v>
                </c:pt>
                <c:pt idx="5">
                  <c:v>671053251.75123918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54976"/>
        <c:axId val="30256512"/>
      </c:lineChart>
      <c:catAx>
        <c:axId val="30254976"/>
        <c:scaling>
          <c:orientation val="minMax"/>
        </c:scaling>
        <c:delete val="0"/>
        <c:axPos val="b"/>
        <c:majorTickMark val="in"/>
        <c:minorTickMark val="none"/>
        <c:tickLblPos val="nextTo"/>
        <c:crossAx val="30256512"/>
        <c:crosses val="autoZero"/>
        <c:auto val="1"/>
        <c:lblAlgn val="ctr"/>
        <c:lblOffset val="100"/>
        <c:noMultiLvlLbl val="0"/>
      </c:catAx>
      <c:valAx>
        <c:axId val="30256512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#,##0" sourceLinked="1"/>
        <c:majorTickMark val="none"/>
        <c:minorTickMark val="none"/>
        <c:tickLblPos val="nextTo"/>
        <c:crossAx val="30254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</a:t>
            </a:r>
            <a:r>
              <a:rPr lang="en-US"/>
              <a:t>kW Forecast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Normal Forecast kW</c:v>
          </c:tx>
          <c:marker>
            <c:symbol val="none"/>
          </c:marker>
          <c:cat>
            <c:strRef>
              <c:f>'Summary Tables'!$B$16:$B$21</c:f>
              <c:strCache>
                <c:ptCount val="6"/>
                <c:pt idx="0">
                  <c:v>2015 Forecast</c:v>
                </c:pt>
                <c:pt idx="1">
                  <c:v>2016 Forecast</c:v>
                </c:pt>
                <c:pt idx="2">
                  <c:v>2017 Forecast</c:v>
                </c:pt>
                <c:pt idx="3">
                  <c:v>2018 Forecast</c:v>
                </c:pt>
                <c:pt idx="4">
                  <c:v>2019 Forecast</c:v>
                </c:pt>
                <c:pt idx="5">
                  <c:v>2020 Forecast</c:v>
                </c:pt>
              </c:strCache>
            </c:strRef>
          </c:cat>
          <c:val>
            <c:numRef>
              <c:f>'Summary Tables'!$F$46:$F$51</c:f>
              <c:numCache>
                <c:formatCode>#,##0</c:formatCode>
                <c:ptCount val="6"/>
                <c:pt idx="0">
                  <c:v>1042838.948604942</c:v>
                </c:pt>
                <c:pt idx="1">
                  <c:v>1046118.733146616</c:v>
                </c:pt>
                <c:pt idx="2">
                  <c:v>1049032.6193820296</c:v>
                </c:pt>
                <c:pt idx="3">
                  <c:v>1052234.1904288789</c:v>
                </c:pt>
                <c:pt idx="4">
                  <c:v>1055726.6827412923</c:v>
                </c:pt>
                <c:pt idx="5">
                  <c:v>1059513.3691835064</c:v>
                </c:pt>
              </c:numCache>
            </c:numRef>
          </c:val>
          <c:smooth val="0"/>
        </c:ser>
        <c:ser>
          <c:idx val="1"/>
          <c:order val="1"/>
          <c:tx>
            <c:v>CDM Adjusted</c:v>
          </c:tx>
          <c:marker>
            <c:symbol val="none"/>
          </c:marker>
          <c:cat>
            <c:strRef>
              <c:f>'Summary Tables'!$B$16:$B$21</c:f>
              <c:strCache>
                <c:ptCount val="6"/>
                <c:pt idx="0">
                  <c:v>2015 Forecast</c:v>
                </c:pt>
                <c:pt idx="1">
                  <c:v>2016 Forecast</c:v>
                </c:pt>
                <c:pt idx="2">
                  <c:v>2017 Forecast</c:v>
                </c:pt>
                <c:pt idx="3">
                  <c:v>2018 Forecast</c:v>
                </c:pt>
                <c:pt idx="4">
                  <c:v>2019 Forecast</c:v>
                </c:pt>
                <c:pt idx="5">
                  <c:v>2020 Forecast</c:v>
                </c:pt>
              </c:strCache>
            </c:strRef>
          </c:cat>
          <c:val>
            <c:numRef>
              <c:f>'Summary Tables'!$F$55:$F$60</c:f>
              <c:numCache>
                <c:formatCode>#,##0</c:formatCode>
                <c:ptCount val="6"/>
                <c:pt idx="0">
                  <c:v>1039049.1789940019</c:v>
                </c:pt>
                <c:pt idx="1">
                  <c:v>1034965.2708257135</c:v>
                </c:pt>
                <c:pt idx="2">
                  <c:v>1030195.4470546633</c:v>
                </c:pt>
                <c:pt idx="3">
                  <c:v>1024791.6099377888</c:v>
                </c:pt>
                <c:pt idx="4">
                  <c:v>1018888.4403518107</c:v>
                </c:pt>
                <c:pt idx="5">
                  <c:v>1012398.3158941433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16736"/>
        <c:axId val="290120832"/>
      </c:lineChart>
      <c:catAx>
        <c:axId val="290116736"/>
        <c:scaling>
          <c:orientation val="minMax"/>
        </c:scaling>
        <c:delete val="0"/>
        <c:axPos val="b"/>
        <c:majorTickMark val="in"/>
        <c:minorTickMark val="none"/>
        <c:tickLblPos val="nextTo"/>
        <c:crossAx val="290120832"/>
        <c:crosses val="autoZero"/>
        <c:auto val="1"/>
        <c:lblAlgn val="ctr"/>
        <c:lblOffset val="100"/>
        <c:noMultiLvlLbl val="0"/>
      </c:catAx>
      <c:valAx>
        <c:axId val="290120832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#,##0" sourceLinked="1"/>
        <c:majorTickMark val="none"/>
        <c:minorTickMark val="none"/>
        <c:tickLblPos val="nextTo"/>
        <c:crossAx val="290116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Monthly'!$C$2:$C$73</c:f>
              <c:numCache>
                <c:formatCode>General</c:formatCode>
                <c:ptCount val="72"/>
                <c:pt idx="0">
                  <c:v>27533756.625</c:v>
                </c:pt>
                <c:pt idx="1">
                  <c:v>24291631.503800005</c:v>
                </c:pt>
                <c:pt idx="2">
                  <c:v>24586605.8006</c:v>
                </c:pt>
                <c:pt idx="3">
                  <c:v>21089323.380000003</c:v>
                </c:pt>
                <c:pt idx="4">
                  <c:v>19975230.055300001</c:v>
                </c:pt>
                <c:pt idx="5">
                  <c:v>20048133.696800001</c:v>
                </c:pt>
                <c:pt idx="6">
                  <c:v>21499529.221799999</c:v>
                </c:pt>
                <c:pt idx="7">
                  <c:v>22275252.256499998</c:v>
                </c:pt>
                <c:pt idx="8">
                  <c:v>20599806.352499999</c:v>
                </c:pt>
                <c:pt idx="9">
                  <c:v>21874263.0603</c:v>
                </c:pt>
                <c:pt idx="10">
                  <c:v>22191761.7973</c:v>
                </c:pt>
                <c:pt idx="11">
                  <c:v>24151995.9263</c:v>
                </c:pt>
                <c:pt idx="12">
                  <c:v>27078016.2597</c:v>
                </c:pt>
                <c:pt idx="13">
                  <c:v>23463051.8583</c:v>
                </c:pt>
                <c:pt idx="14">
                  <c:v>23312331.343999997</c:v>
                </c:pt>
                <c:pt idx="15">
                  <c:v>20685922.196199998</c:v>
                </c:pt>
                <c:pt idx="16">
                  <c:v>21075021.926799998</c:v>
                </c:pt>
                <c:pt idx="17">
                  <c:v>21210428.387199998</c:v>
                </c:pt>
                <c:pt idx="18">
                  <c:v>24170485.458300002</c:v>
                </c:pt>
                <c:pt idx="19">
                  <c:v>23341072.185600001</c:v>
                </c:pt>
                <c:pt idx="20">
                  <c:v>20619864.412799999</c:v>
                </c:pt>
                <c:pt idx="21">
                  <c:v>21162272.6325</c:v>
                </c:pt>
                <c:pt idx="22">
                  <c:v>22484948.883300003</c:v>
                </c:pt>
                <c:pt idx="23">
                  <c:v>25202682.410200004</c:v>
                </c:pt>
                <c:pt idx="24">
                  <c:v>26719422.829099998</c:v>
                </c:pt>
                <c:pt idx="25">
                  <c:v>24134565.637199998</c:v>
                </c:pt>
                <c:pt idx="26">
                  <c:v>24768007.689200003</c:v>
                </c:pt>
                <c:pt idx="27">
                  <c:v>21428998.341600001</c:v>
                </c:pt>
                <c:pt idx="28">
                  <c:v>20975723.055199999</c:v>
                </c:pt>
                <c:pt idx="29">
                  <c:v>21081698.477299999</c:v>
                </c:pt>
                <c:pt idx="30">
                  <c:v>23454116.069599997</c:v>
                </c:pt>
                <c:pt idx="31">
                  <c:v>22777142.470799997</c:v>
                </c:pt>
                <c:pt idx="32">
                  <c:v>21103919.222400002</c:v>
                </c:pt>
                <c:pt idx="33">
                  <c:v>21513172.633600004</c:v>
                </c:pt>
                <c:pt idx="34">
                  <c:v>21850936.435900003</c:v>
                </c:pt>
                <c:pt idx="35">
                  <c:v>23904881.2892</c:v>
                </c:pt>
                <c:pt idx="36">
                  <c:v>25676776.359000001</c:v>
                </c:pt>
                <c:pt idx="37">
                  <c:v>23619151.4311</c:v>
                </c:pt>
                <c:pt idx="38">
                  <c:v>23091329.537699997</c:v>
                </c:pt>
                <c:pt idx="39">
                  <c:v>20776077.264199998</c:v>
                </c:pt>
                <c:pt idx="40">
                  <c:v>20837523.118300002</c:v>
                </c:pt>
                <c:pt idx="41">
                  <c:v>21707404.059699997</c:v>
                </c:pt>
                <c:pt idx="42">
                  <c:v>24001087.441299997</c:v>
                </c:pt>
                <c:pt idx="43">
                  <c:v>23568098.964500003</c:v>
                </c:pt>
                <c:pt idx="44">
                  <c:v>21326862.559</c:v>
                </c:pt>
                <c:pt idx="45">
                  <c:v>21490324.533200003</c:v>
                </c:pt>
                <c:pt idx="46">
                  <c:v>23484747.608399998</c:v>
                </c:pt>
                <c:pt idx="47">
                  <c:v>24894285.0704</c:v>
                </c:pt>
                <c:pt idx="48">
                  <c:v>26810651.434600003</c:v>
                </c:pt>
                <c:pt idx="49">
                  <c:v>24213515.8378</c:v>
                </c:pt>
                <c:pt idx="50">
                  <c:v>24696912.8497</c:v>
                </c:pt>
                <c:pt idx="51">
                  <c:v>22008310.044</c:v>
                </c:pt>
                <c:pt idx="52">
                  <c:v>20617959.457099997</c:v>
                </c:pt>
                <c:pt idx="53">
                  <c:v>21092145.934599999</c:v>
                </c:pt>
                <c:pt idx="54">
                  <c:v>23877312.323899999</c:v>
                </c:pt>
                <c:pt idx="55">
                  <c:v>23179917.367399998</c:v>
                </c:pt>
                <c:pt idx="56">
                  <c:v>21295501.819000002</c:v>
                </c:pt>
                <c:pt idx="57">
                  <c:v>21567999.4855</c:v>
                </c:pt>
                <c:pt idx="58">
                  <c:v>23530421.391399998</c:v>
                </c:pt>
                <c:pt idx="59">
                  <c:v>26567352.533199999</c:v>
                </c:pt>
                <c:pt idx="60">
                  <c:v>27388268.627300002</c:v>
                </c:pt>
                <c:pt idx="61">
                  <c:v>24609829.1688</c:v>
                </c:pt>
                <c:pt idx="62">
                  <c:v>25870494.024299998</c:v>
                </c:pt>
                <c:pt idx="63">
                  <c:v>21799596.722000003</c:v>
                </c:pt>
                <c:pt idx="64">
                  <c:v>20212222.446800001</c:v>
                </c:pt>
                <c:pt idx="65">
                  <c:v>20688536.661700003</c:v>
                </c:pt>
                <c:pt idx="66">
                  <c:v>21993476.2918</c:v>
                </c:pt>
                <c:pt idx="67">
                  <c:v>21804865.032099999</c:v>
                </c:pt>
                <c:pt idx="68">
                  <c:v>20432736.001000002</c:v>
                </c:pt>
                <c:pt idx="69">
                  <c:v>20689847.513800003</c:v>
                </c:pt>
                <c:pt idx="70">
                  <c:v>22488576.116</c:v>
                </c:pt>
                <c:pt idx="71">
                  <c:v>24519678.561099999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Monthly'!$Z$2:$Z$73</c:f>
              <c:numCache>
                <c:formatCode>_-* #,##0_-;\-* #,##0_-;_-* "-"??_-;_-@_-</c:formatCode>
                <c:ptCount val="72"/>
                <c:pt idx="0">
                  <c:v>27894926.885445349</c:v>
                </c:pt>
                <c:pt idx="1">
                  <c:v>24167451.73327323</c:v>
                </c:pt>
                <c:pt idx="2">
                  <c:v>24485482.517235205</c:v>
                </c:pt>
                <c:pt idx="3">
                  <c:v>21086873.269377381</c:v>
                </c:pt>
                <c:pt idx="4">
                  <c:v>20267071.819105715</c:v>
                </c:pt>
                <c:pt idx="5">
                  <c:v>20736991.49421249</c:v>
                </c:pt>
                <c:pt idx="6">
                  <c:v>20646074.63223727</c:v>
                </c:pt>
                <c:pt idx="7">
                  <c:v>22405054.212319661</c:v>
                </c:pt>
                <c:pt idx="8">
                  <c:v>19901920.081656639</c:v>
                </c:pt>
                <c:pt idx="9">
                  <c:v>21500156.186885554</c:v>
                </c:pt>
                <c:pt idx="10">
                  <c:v>21851636.87528998</c:v>
                </c:pt>
                <c:pt idx="11">
                  <c:v>24738006.549783953</c:v>
                </c:pt>
                <c:pt idx="12">
                  <c:v>26069380.424383257</c:v>
                </c:pt>
                <c:pt idx="13">
                  <c:v>23358053.196219385</c:v>
                </c:pt>
                <c:pt idx="14">
                  <c:v>23386292.034947444</c:v>
                </c:pt>
                <c:pt idx="15">
                  <c:v>20324152.677722443</c:v>
                </c:pt>
                <c:pt idx="16">
                  <c:v>20795722.349074755</c:v>
                </c:pt>
                <c:pt idx="17">
                  <c:v>21066419.734189525</c:v>
                </c:pt>
                <c:pt idx="18">
                  <c:v>24549760.485996492</c:v>
                </c:pt>
                <c:pt idx="19">
                  <c:v>23085725.789561179</c:v>
                </c:pt>
                <c:pt idx="20">
                  <c:v>21102184.32602929</c:v>
                </c:pt>
                <c:pt idx="21">
                  <c:v>21412978.421555944</c:v>
                </c:pt>
                <c:pt idx="22">
                  <c:v>22553494.350556303</c:v>
                </c:pt>
                <c:pt idx="23">
                  <c:v>25139286.970636472</c:v>
                </c:pt>
                <c:pt idx="24">
                  <c:v>27244419.175608147</c:v>
                </c:pt>
                <c:pt idx="25">
                  <c:v>24399307.478142899</c:v>
                </c:pt>
                <c:pt idx="26">
                  <c:v>24933330.733666841</c:v>
                </c:pt>
                <c:pt idx="27">
                  <c:v>21559135.127951641</c:v>
                </c:pt>
                <c:pt idx="28">
                  <c:v>20717987.644814067</c:v>
                </c:pt>
                <c:pt idx="29">
                  <c:v>21015271.771527849</c:v>
                </c:pt>
                <c:pt idx="30">
                  <c:v>24086813.411418285</c:v>
                </c:pt>
                <c:pt idx="31">
                  <c:v>22611183.203623578</c:v>
                </c:pt>
                <c:pt idx="32">
                  <c:v>21046126.686817486</c:v>
                </c:pt>
                <c:pt idx="33">
                  <c:v>21553059.895178262</c:v>
                </c:pt>
                <c:pt idx="34">
                  <c:v>22312323.595545288</c:v>
                </c:pt>
                <c:pt idx="35">
                  <c:v>24535157.519760806</c:v>
                </c:pt>
                <c:pt idx="36">
                  <c:v>26145890.648141526</c:v>
                </c:pt>
                <c:pt idx="37">
                  <c:v>23561841.806009393</c:v>
                </c:pt>
                <c:pt idx="38">
                  <c:v>23400136.645737816</c:v>
                </c:pt>
                <c:pt idx="39">
                  <c:v>21567567.899102725</c:v>
                </c:pt>
                <c:pt idx="40">
                  <c:v>20777386.275150441</c:v>
                </c:pt>
                <c:pt idx="41">
                  <c:v>21806161.232961915</c:v>
                </c:pt>
                <c:pt idx="42">
                  <c:v>23921430.719500788</c:v>
                </c:pt>
                <c:pt idx="43">
                  <c:v>22965910.626080602</c:v>
                </c:pt>
                <c:pt idx="44">
                  <c:v>20951421.882204425</c:v>
                </c:pt>
                <c:pt idx="45">
                  <c:v>21320434.168703347</c:v>
                </c:pt>
                <c:pt idx="46">
                  <c:v>23063389.207780931</c:v>
                </c:pt>
                <c:pt idx="47">
                  <c:v>24753390.332960788</c:v>
                </c:pt>
                <c:pt idx="48">
                  <c:v>26488218.067007832</c:v>
                </c:pt>
                <c:pt idx="49">
                  <c:v>24451502.392233588</c:v>
                </c:pt>
                <c:pt idx="50">
                  <c:v>24971691.308510028</c:v>
                </c:pt>
                <c:pt idx="51">
                  <c:v>21940998.076671831</c:v>
                </c:pt>
                <c:pt idx="52">
                  <c:v>20930465.561477661</c:v>
                </c:pt>
                <c:pt idx="53">
                  <c:v>21680440.321662486</c:v>
                </c:pt>
                <c:pt idx="54">
                  <c:v>23585692.358975854</c:v>
                </c:pt>
                <c:pt idx="55">
                  <c:v>22471648.197251894</c:v>
                </c:pt>
                <c:pt idx="56">
                  <c:v>21348072.468642902</c:v>
                </c:pt>
                <c:pt idx="57">
                  <c:v>21635793.221744139</c:v>
                </c:pt>
                <c:pt idx="58">
                  <c:v>23465723.215612382</c:v>
                </c:pt>
                <c:pt idx="59">
                  <c:v>25823220.311324842</c:v>
                </c:pt>
                <c:pt idx="60">
                  <c:v>26918668.476265743</c:v>
                </c:pt>
                <c:pt idx="61">
                  <c:v>24393588.831121609</c:v>
                </c:pt>
                <c:pt idx="62">
                  <c:v>25594136.463250682</c:v>
                </c:pt>
                <c:pt idx="63">
                  <c:v>21309500.897174034</c:v>
                </c:pt>
                <c:pt idx="64">
                  <c:v>20623409.319859304</c:v>
                </c:pt>
                <c:pt idx="65">
                  <c:v>21330263.214910325</c:v>
                </c:pt>
                <c:pt idx="66">
                  <c:v>21707179.178467479</c:v>
                </c:pt>
                <c:pt idx="67">
                  <c:v>21680318.80602039</c:v>
                </c:pt>
                <c:pt idx="68">
                  <c:v>20814606.346526813</c:v>
                </c:pt>
                <c:pt idx="69">
                  <c:v>21018409.129786685</c:v>
                </c:pt>
                <c:pt idx="70">
                  <c:v>22856232.397383891</c:v>
                </c:pt>
                <c:pt idx="71">
                  <c:v>24251814.105933201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19712"/>
        <c:axId val="206821248"/>
      </c:lineChart>
      <c:dateAx>
        <c:axId val="2068197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06821248"/>
        <c:crosses val="autoZero"/>
        <c:auto val="1"/>
        <c:lblOffset val="100"/>
        <c:baseTimeUnit val="months"/>
      </c:dateAx>
      <c:valAx>
        <c:axId val="206821248"/>
        <c:scaling>
          <c:orientation val="minMax"/>
          <c:min val="1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681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Predicted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Monthly'!$C$2:$C$73</c:f>
              <c:numCache>
                <c:formatCode>#,##0</c:formatCode>
                <c:ptCount val="72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12401325.915100001</c:v>
                </c:pt>
                <c:pt idx="25">
                  <c:v>11361644.729800001</c:v>
                </c:pt>
                <c:pt idx="26">
                  <c:v>12401622.3706</c:v>
                </c:pt>
                <c:pt idx="27">
                  <c:v>11657885.962400001</c:v>
                </c:pt>
                <c:pt idx="28">
                  <c:v>12129470.6171</c:v>
                </c:pt>
                <c:pt idx="29">
                  <c:v>13315461.3706</c:v>
                </c:pt>
                <c:pt idx="30">
                  <c:v>15254632.6943</c:v>
                </c:pt>
                <c:pt idx="31">
                  <c:v>14946593.828</c:v>
                </c:pt>
                <c:pt idx="32">
                  <c:v>14191674.646299999</c:v>
                </c:pt>
                <c:pt idx="33">
                  <c:v>12844301.167599998</c:v>
                </c:pt>
                <c:pt idx="34">
                  <c:v>11999298.3411</c:v>
                </c:pt>
                <c:pt idx="35">
                  <c:v>11987806.8026</c:v>
                </c:pt>
                <c:pt idx="36">
                  <c:v>12582843.8882</c:v>
                </c:pt>
                <c:pt idx="37">
                  <c:v>11873899.731000001</c:v>
                </c:pt>
                <c:pt idx="38">
                  <c:v>12252096.686999999</c:v>
                </c:pt>
                <c:pt idx="39">
                  <c:v>11690706.498199999</c:v>
                </c:pt>
                <c:pt idx="40">
                  <c:v>12480043.750300001</c:v>
                </c:pt>
                <c:pt idx="41">
                  <c:v>13240556.216700001</c:v>
                </c:pt>
                <c:pt idx="42">
                  <c:v>15413074.367999999</c:v>
                </c:pt>
                <c:pt idx="43">
                  <c:v>15313195.499</c:v>
                </c:pt>
                <c:pt idx="44">
                  <c:v>13786568.186000001</c:v>
                </c:pt>
                <c:pt idx="45">
                  <c:v>12860549.23</c:v>
                </c:pt>
                <c:pt idx="46">
                  <c:v>12100791.463000001</c:v>
                </c:pt>
                <c:pt idx="47">
                  <c:v>11854109.139</c:v>
                </c:pt>
                <c:pt idx="48">
                  <c:v>12788339.523400001</c:v>
                </c:pt>
                <c:pt idx="49">
                  <c:v>11751175.538600001</c:v>
                </c:pt>
                <c:pt idx="50">
                  <c:v>12610126.845000001</c:v>
                </c:pt>
                <c:pt idx="51">
                  <c:v>11972197.742000001</c:v>
                </c:pt>
                <c:pt idx="52">
                  <c:v>12329554.254999999</c:v>
                </c:pt>
                <c:pt idx="53">
                  <c:v>12519194.473000001</c:v>
                </c:pt>
                <c:pt idx="54">
                  <c:v>15242330.061000001</c:v>
                </c:pt>
                <c:pt idx="55">
                  <c:v>14587365.41</c:v>
                </c:pt>
                <c:pt idx="56">
                  <c:v>13272017.319</c:v>
                </c:pt>
                <c:pt idx="57">
                  <c:v>12991616.025000002</c:v>
                </c:pt>
                <c:pt idx="58">
                  <c:v>12006063.484999999</c:v>
                </c:pt>
                <c:pt idx="59">
                  <c:v>11873765.093</c:v>
                </c:pt>
                <c:pt idx="60">
                  <c:v>12772928.206999999</c:v>
                </c:pt>
                <c:pt idx="61">
                  <c:v>11586289.765999999</c:v>
                </c:pt>
                <c:pt idx="62">
                  <c:v>12718168.484999999</c:v>
                </c:pt>
                <c:pt idx="63">
                  <c:v>11494836.318</c:v>
                </c:pt>
                <c:pt idx="64">
                  <c:v>11858207.989999998</c:v>
                </c:pt>
                <c:pt idx="65">
                  <c:v>12819088.591</c:v>
                </c:pt>
                <c:pt idx="66">
                  <c:v>14008809.457</c:v>
                </c:pt>
                <c:pt idx="67">
                  <c:v>14091447.23</c:v>
                </c:pt>
                <c:pt idx="68">
                  <c:v>13562155.984999999</c:v>
                </c:pt>
                <c:pt idx="69">
                  <c:v>12773242.293000001</c:v>
                </c:pt>
                <c:pt idx="70">
                  <c:v>11904214.238</c:v>
                </c:pt>
                <c:pt idx="71">
                  <c:v>11928804.916999999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Predicted Monthly'!$X$1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Monthly'!$X$2:$X$73</c:f>
              <c:numCache>
                <c:formatCode>_-* #,##0_-;\-* #,##0_-;_-* "-"??_-;_-@_-</c:formatCode>
                <c:ptCount val="72"/>
                <c:pt idx="0">
                  <c:v>12772547.551625088</c:v>
                </c:pt>
                <c:pt idx="1">
                  <c:v>11718280.604939245</c:v>
                </c:pt>
                <c:pt idx="2">
                  <c:v>12451565.494248658</c:v>
                </c:pt>
                <c:pt idx="3">
                  <c:v>11464107.752147172</c:v>
                </c:pt>
                <c:pt idx="4">
                  <c:v>11543024.061482731</c:v>
                </c:pt>
                <c:pt idx="5">
                  <c:v>12282298.852042247</c:v>
                </c:pt>
                <c:pt idx="6">
                  <c:v>12972211.205463577</c:v>
                </c:pt>
                <c:pt idx="7">
                  <c:v>13987744.184005607</c:v>
                </c:pt>
                <c:pt idx="8">
                  <c:v>12464696.641385594</c:v>
                </c:pt>
                <c:pt idx="9">
                  <c:v>12247766.748190152</c:v>
                </c:pt>
                <c:pt idx="10">
                  <c:v>11719010.416863779</c:v>
                </c:pt>
                <c:pt idx="11">
                  <c:v>11492934.25286505</c:v>
                </c:pt>
                <c:pt idx="12">
                  <c:v>12129972.416393198</c:v>
                </c:pt>
                <c:pt idx="13">
                  <c:v>11123752.408399984</c:v>
                </c:pt>
                <c:pt idx="14">
                  <c:v>12278180.489380084</c:v>
                </c:pt>
                <c:pt idx="15">
                  <c:v>11438640.42720804</c:v>
                </c:pt>
                <c:pt idx="16">
                  <c:v>12228981.42089035</c:v>
                </c:pt>
                <c:pt idx="17">
                  <c:v>12818020.974778006</c:v>
                </c:pt>
                <c:pt idx="18">
                  <c:v>15594702.274807636</c:v>
                </c:pt>
                <c:pt idx="19">
                  <c:v>14738378.888669441</c:v>
                </c:pt>
                <c:pt idx="20">
                  <c:v>13359803.309877709</c:v>
                </c:pt>
                <c:pt idx="21">
                  <c:v>12595177.47054939</c:v>
                </c:pt>
                <c:pt idx="22">
                  <c:v>11759835.729054153</c:v>
                </c:pt>
                <c:pt idx="23">
                  <c:v>11729041.775864052</c:v>
                </c:pt>
                <c:pt idx="24">
                  <c:v>12324056.263398951</c:v>
                </c:pt>
                <c:pt idx="25">
                  <c:v>11407480.787225863</c:v>
                </c:pt>
                <c:pt idx="26">
                  <c:v>12453104.307102663</c:v>
                </c:pt>
                <c:pt idx="27">
                  <c:v>11670888.845192196</c:v>
                </c:pt>
                <c:pt idx="28">
                  <c:v>12114302.731220746</c:v>
                </c:pt>
                <c:pt idx="29">
                  <c:v>13015592.428527365</c:v>
                </c:pt>
                <c:pt idx="30">
                  <c:v>15447788.498378683</c:v>
                </c:pt>
                <c:pt idx="31">
                  <c:v>14585723.582801515</c:v>
                </c:pt>
                <c:pt idx="32">
                  <c:v>13630288.558212169</c:v>
                </c:pt>
                <c:pt idx="33">
                  <c:v>12899476.212508179</c:v>
                </c:pt>
                <c:pt idx="34">
                  <c:v>12052922.354459226</c:v>
                </c:pt>
                <c:pt idx="35">
                  <c:v>11971724.897454688</c:v>
                </c:pt>
                <c:pt idx="36">
                  <c:v>12542697.714078879</c:v>
                </c:pt>
                <c:pt idx="37">
                  <c:v>11790968.16757038</c:v>
                </c:pt>
                <c:pt idx="38">
                  <c:v>12639477.550035318</c:v>
                </c:pt>
                <c:pt idx="39">
                  <c:v>11544174.852258401</c:v>
                </c:pt>
                <c:pt idx="40">
                  <c:v>12409231.495435635</c:v>
                </c:pt>
                <c:pt idx="41">
                  <c:v>13225802.342335859</c:v>
                </c:pt>
                <c:pt idx="42">
                  <c:v>15179198.798483923</c:v>
                </c:pt>
                <c:pt idx="43">
                  <c:v>14611099.105253259</c:v>
                </c:pt>
                <c:pt idx="44">
                  <c:v>13201346.821546361</c:v>
                </c:pt>
                <c:pt idx="45">
                  <c:v>12686751.148220619</c:v>
                </c:pt>
                <c:pt idx="46">
                  <c:v>11752562.995521044</c:v>
                </c:pt>
                <c:pt idx="47">
                  <c:v>11912390.589774624</c:v>
                </c:pt>
                <c:pt idx="48">
                  <c:v>12558245.745299589</c:v>
                </c:pt>
                <c:pt idx="49">
                  <c:v>11463213.168378484</c:v>
                </c:pt>
                <c:pt idx="50">
                  <c:v>12498574.325786415</c:v>
                </c:pt>
                <c:pt idx="51">
                  <c:v>11641716.263017103</c:v>
                </c:pt>
                <c:pt idx="52">
                  <c:v>12299130.266787224</c:v>
                </c:pt>
                <c:pt idx="53">
                  <c:v>13085180.541384183</c:v>
                </c:pt>
                <c:pt idx="54">
                  <c:v>15127242.500409029</c:v>
                </c:pt>
                <c:pt idx="55">
                  <c:v>14488322.814013623</c:v>
                </c:pt>
                <c:pt idx="56">
                  <c:v>13545936.799117012</c:v>
                </c:pt>
                <c:pt idx="57">
                  <c:v>13226207.839275448</c:v>
                </c:pt>
                <c:pt idx="58">
                  <c:v>12139777.129647059</c:v>
                </c:pt>
                <c:pt idx="59">
                  <c:v>11922077.770810001</c:v>
                </c:pt>
                <c:pt idx="60">
                  <c:v>12429721.383969355</c:v>
                </c:pt>
                <c:pt idx="61">
                  <c:v>11350404.369985949</c:v>
                </c:pt>
                <c:pt idx="62">
                  <c:v>12253451.374882039</c:v>
                </c:pt>
                <c:pt idx="63">
                  <c:v>11758067.952577084</c:v>
                </c:pt>
                <c:pt idx="64">
                  <c:v>12430534.332178295</c:v>
                </c:pt>
                <c:pt idx="65">
                  <c:v>13351000.747563988</c:v>
                </c:pt>
                <c:pt idx="66">
                  <c:v>14127996.373962149</c:v>
                </c:pt>
                <c:pt idx="67">
                  <c:v>14073539.250325009</c:v>
                </c:pt>
                <c:pt idx="68">
                  <c:v>13542415.195595762</c:v>
                </c:pt>
                <c:pt idx="69">
                  <c:v>13089509.797917066</c:v>
                </c:pt>
                <c:pt idx="70">
                  <c:v>12015093.993159359</c:v>
                </c:pt>
                <c:pt idx="71">
                  <c:v>12066664.842931598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7712"/>
        <c:axId val="21989248"/>
      </c:lineChart>
      <c:dateAx>
        <c:axId val="219877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989248"/>
        <c:crosses val="autoZero"/>
        <c:auto val="1"/>
        <c:lblOffset val="100"/>
        <c:baseTimeUnit val="months"/>
      </c:dateAx>
      <c:valAx>
        <c:axId val="21989248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1987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Summary'!$C$4:$C$9</c:f>
              <c:numCache>
                <c:formatCode>#,##0</c:formatCode>
                <c:ptCount val="6"/>
                <c:pt idx="0">
                  <c:v>196461749.94190001</c:v>
                </c:pt>
                <c:pt idx="1">
                  <c:v>197410764.39520001</c:v>
                </c:pt>
                <c:pt idx="2">
                  <c:v>191104338.41010001</c:v>
                </c:pt>
                <c:pt idx="3">
                  <c:v>184953208.6112</c:v>
                </c:pt>
                <c:pt idx="4">
                  <c:v>189348695.8743</c:v>
                </c:pt>
                <c:pt idx="5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Summary'!$D$4:$D$9</c:f>
              <c:numCache>
                <c:formatCode>#,##0</c:formatCode>
                <c:ptCount val="6"/>
                <c:pt idx="0">
                  <c:v>198369025.08072889</c:v>
                </c:pt>
                <c:pt idx="1">
                  <c:v>194884760.74249455</c:v>
                </c:pt>
                <c:pt idx="2">
                  <c:v>192037552.30311272</c:v>
                </c:pt>
                <c:pt idx="3">
                  <c:v>185288402.50185421</c:v>
                </c:pt>
                <c:pt idx="4">
                  <c:v>189623847.3998234</c:v>
                </c:pt>
                <c:pt idx="5">
                  <c:v>191136577.54848656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08032"/>
        <c:axId val="206909824"/>
      </c:lineChart>
      <c:catAx>
        <c:axId val="2069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09824"/>
        <c:crosses val="autoZero"/>
        <c:auto val="1"/>
        <c:lblAlgn val="ctr"/>
        <c:lblOffset val="100"/>
        <c:noMultiLvlLbl val="0"/>
      </c:catAx>
      <c:valAx>
        <c:axId val="206909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6908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Summary'!$H$3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Summary'!$H$4:$H$9</c:f>
              <c:numCache>
                <c:formatCode>#,##0</c:formatCode>
                <c:ptCount val="6"/>
                <c:pt idx="0">
                  <c:v>93350686.924999997</c:v>
                </c:pt>
                <c:pt idx="1">
                  <c:v>94126083.127000004</c:v>
                </c:pt>
                <c:pt idx="2">
                  <c:v>93008634.910999998</c:v>
                </c:pt>
                <c:pt idx="3">
                  <c:v>88608640.897100002</c:v>
                </c:pt>
                <c:pt idx="4">
                  <c:v>86375577.059599996</c:v>
                </c:pt>
                <c:pt idx="5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Summary'!$I$4:$I$9</c:f>
              <c:numCache>
                <c:formatCode>#,##0</c:formatCode>
                <c:ptCount val="6"/>
                <c:pt idx="0">
                  <c:v>94338306.647301555</c:v>
                </c:pt>
                <c:pt idx="1">
                  <c:v>93582991.062678903</c:v>
                </c:pt>
                <c:pt idx="2">
                  <c:v>92014504.008659974</c:v>
                </c:pt>
                <c:pt idx="3">
                  <c:v>88937027.952565551</c:v>
                </c:pt>
                <c:pt idx="4">
                  <c:v>86596793.248494133</c:v>
                </c:pt>
                <c:pt idx="5">
                  <c:v>91470554.884800047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42976"/>
        <c:axId val="206944512"/>
      </c:lineChart>
      <c:catAx>
        <c:axId val="2069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44512"/>
        <c:crosses val="autoZero"/>
        <c:auto val="1"/>
        <c:lblAlgn val="ctr"/>
        <c:lblOffset val="100"/>
        <c:noMultiLvlLbl val="0"/>
      </c:catAx>
      <c:valAx>
        <c:axId val="20694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6942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Summary'!$M$3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Summary'!$M$4:$M$9</c:f>
              <c:numCache>
                <c:formatCode>#,##0</c:formatCode>
                <c:ptCount val="6"/>
                <c:pt idx="0">
                  <c:v>270117289.67619997</c:v>
                </c:pt>
                <c:pt idx="1">
                  <c:v>273806097.95489997</c:v>
                </c:pt>
                <c:pt idx="2">
                  <c:v>273712584.15109998</c:v>
                </c:pt>
                <c:pt idx="3">
                  <c:v>274473667.94679999</c:v>
                </c:pt>
                <c:pt idx="4">
                  <c:v>279458000.47820002</c:v>
                </c:pt>
                <c:pt idx="5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Summary'!$N$4:$N$9</c:f>
              <c:numCache>
                <c:formatCode>#,##0</c:formatCode>
                <c:ptCount val="6"/>
                <c:pt idx="0">
                  <c:v>269681646.25682247</c:v>
                </c:pt>
                <c:pt idx="1">
                  <c:v>272843450.76087248</c:v>
                </c:pt>
                <c:pt idx="2">
                  <c:v>276014116.24405515</c:v>
                </c:pt>
                <c:pt idx="3">
                  <c:v>274234961.44433469</c:v>
                </c:pt>
                <c:pt idx="4">
                  <c:v>278793465.50111544</c:v>
                </c:pt>
                <c:pt idx="5">
                  <c:v>272498127.16670018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7936"/>
        <c:axId val="206969472"/>
      </c:lineChart>
      <c:catAx>
        <c:axId val="20696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69472"/>
        <c:crosses val="autoZero"/>
        <c:auto val="1"/>
        <c:lblAlgn val="ctr"/>
        <c:lblOffset val="100"/>
        <c:noMultiLvlLbl val="0"/>
      </c:catAx>
      <c:valAx>
        <c:axId val="20696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6967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Summary'!$R$3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Summary'!$R$4:$R$9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154491718.44549999</c:v>
                </c:pt>
                <c:pt idx="3">
                  <c:v>155448434.65640002</c:v>
                </c:pt>
                <c:pt idx="4">
                  <c:v>153943745.77000001</c:v>
                </c:pt>
                <c:pt idx="5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Summary'!$S$3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Summary'!$S$4:$S$9</c:f>
              <c:numCache>
                <c:formatCode>#,##0</c:formatCode>
                <c:ptCount val="6"/>
                <c:pt idx="0">
                  <c:v>147116187.76525888</c:v>
                </c:pt>
                <c:pt idx="1">
                  <c:v>151794487.58587205</c:v>
                </c:pt>
                <c:pt idx="2">
                  <c:v>153573349.46648222</c:v>
                </c:pt>
                <c:pt idx="3">
                  <c:v>153495701.58051431</c:v>
                </c:pt>
                <c:pt idx="4">
                  <c:v>153995625.1639252</c:v>
                </c:pt>
                <c:pt idx="5">
                  <c:v>152488399.61504766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94048"/>
        <c:axId val="206995840"/>
      </c:lineChart>
      <c:catAx>
        <c:axId val="2069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95840"/>
        <c:crosses val="autoZero"/>
        <c:auto val="1"/>
        <c:lblAlgn val="ctr"/>
        <c:lblOffset val="100"/>
        <c:noMultiLvlLbl val="0"/>
      </c:catAx>
      <c:valAx>
        <c:axId val="206995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699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Monthly'!$C$2:$C$97</c:f>
              <c:numCache>
                <c:formatCode>General</c:formatCode>
                <c:ptCount val="96"/>
                <c:pt idx="0">
                  <c:v>24633368.951099999</c:v>
                </c:pt>
                <c:pt idx="1">
                  <c:v>21259564.445299998</c:v>
                </c:pt>
                <c:pt idx="2">
                  <c:v>20311506.205500003</c:v>
                </c:pt>
                <c:pt idx="3">
                  <c:v>15355678.4505</c:v>
                </c:pt>
                <c:pt idx="4">
                  <c:v>13117710.1909</c:v>
                </c:pt>
                <c:pt idx="5">
                  <c:v>11957071.520799998</c:v>
                </c:pt>
                <c:pt idx="6">
                  <c:v>12423690.194100002</c:v>
                </c:pt>
                <c:pt idx="7">
                  <c:v>13070512.381900001</c:v>
                </c:pt>
                <c:pt idx="8">
                  <c:v>13202217.812000001</c:v>
                </c:pt>
                <c:pt idx="9">
                  <c:v>14811561.364799999</c:v>
                </c:pt>
                <c:pt idx="10">
                  <c:v>16459360.333399998</c:v>
                </c:pt>
                <c:pt idx="11">
                  <c:v>19859508.091600001</c:v>
                </c:pt>
                <c:pt idx="12">
                  <c:v>23606855.725399997</c:v>
                </c:pt>
                <c:pt idx="13">
                  <c:v>21091517.422400001</c:v>
                </c:pt>
                <c:pt idx="14">
                  <c:v>19291304.618700001</c:v>
                </c:pt>
                <c:pt idx="15">
                  <c:v>14289179.892700002</c:v>
                </c:pt>
                <c:pt idx="16">
                  <c:v>12526333.185799999</c:v>
                </c:pt>
                <c:pt idx="17">
                  <c:v>12654046.736899998</c:v>
                </c:pt>
                <c:pt idx="18">
                  <c:v>14622071.658500001</c:v>
                </c:pt>
                <c:pt idx="19">
                  <c:v>13964183.280500002</c:v>
                </c:pt>
                <c:pt idx="20">
                  <c:v>13079707.3025</c:v>
                </c:pt>
                <c:pt idx="21">
                  <c:v>14420343.764199998</c:v>
                </c:pt>
                <c:pt idx="22">
                  <c:v>16915365.330200002</c:v>
                </c:pt>
                <c:pt idx="23">
                  <c:v>20949855.477400001</c:v>
                </c:pt>
                <c:pt idx="24">
                  <c:v>22949860.934299998</c:v>
                </c:pt>
                <c:pt idx="25">
                  <c:v>20130373.043899998</c:v>
                </c:pt>
                <c:pt idx="26">
                  <c:v>19264282.676100001</c:v>
                </c:pt>
                <c:pt idx="27">
                  <c:v>15275002.8061</c:v>
                </c:pt>
                <c:pt idx="28">
                  <c:v>12988644.4836</c:v>
                </c:pt>
                <c:pt idx="29">
                  <c:v>12227658.222899999</c:v>
                </c:pt>
                <c:pt idx="30">
                  <c:v>14186476.795499999</c:v>
                </c:pt>
                <c:pt idx="31">
                  <c:v>13646879.092999998</c:v>
                </c:pt>
                <c:pt idx="32">
                  <c:v>12374381.956699999</c:v>
                </c:pt>
                <c:pt idx="33">
                  <c:v>13664672.127900001</c:v>
                </c:pt>
                <c:pt idx="34">
                  <c:v>15512028.3873</c:v>
                </c:pt>
                <c:pt idx="35">
                  <c:v>18884077.882800002</c:v>
                </c:pt>
                <c:pt idx="36">
                  <c:v>20794679.283499997</c:v>
                </c:pt>
                <c:pt idx="37">
                  <c:v>18571936.430599999</c:v>
                </c:pt>
                <c:pt idx="38">
                  <c:v>16671968.3027</c:v>
                </c:pt>
                <c:pt idx="39">
                  <c:v>14395404.4703</c:v>
                </c:pt>
                <c:pt idx="40">
                  <c:v>11731052.347100001</c:v>
                </c:pt>
                <c:pt idx="41">
                  <c:v>12434620.296799999</c:v>
                </c:pt>
                <c:pt idx="42">
                  <c:v>14445687.284299999</c:v>
                </c:pt>
                <c:pt idx="43">
                  <c:v>13861522.800799999</c:v>
                </c:pt>
                <c:pt idx="44">
                  <c:v>12546095.385499999</c:v>
                </c:pt>
                <c:pt idx="45">
                  <c:v>13105249.1916</c:v>
                </c:pt>
                <c:pt idx="46">
                  <c:v>16847106.408300001</c:v>
                </c:pt>
                <c:pt idx="47">
                  <c:v>19547886.409699999</c:v>
                </c:pt>
                <c:pt idx="48">
                  <c:v>21901118.335200001</c:v>
                </c:pt>
                <c:pt idx="49">
                  <c:v>19629047.322099999</c:v>
                </c:pt>
                <c:pt idx="50">
                  <c:v>18854792.866099998</c:v>
                </c:pt>
                <c:pt idx="51">
                  <c:v>15311977.522799999</c:v>
                </c:pt>
                <c:pt idx="52">
                  <c:v>11256892.577400001</c:v>
                </c:pt>
                <c:pt idx="53">
                  <c:v>11837120.3138</c:v>
                </c:pt>
                <c:pt idx="54">
                  <c:v>13724938.6174</c:v>
                </c:pt>
                <c:pt idx="55">
                  <c:v>12808476.5385</c:v>
                </c:pt>
                <c:pt idx="56">
                  <c:v>12245851.7632</c:v>
                </c:pt>
                <c:pt idx="57">
                  <c:v>13101524.618600002</c:v>
                </c:pt>
                <c:pt idx="58">
                  <c:v>17400393.981199998</c:v>
                </c:pt>
                <c:pt idx="59">
                  <c:v>21276561.418000001</c:v>
                </c:pt>
                <c:pt idx="60">
                  <c:v>24045022.723000001</c:v>
                </c:pt>
                <c:pt idx="61">
                  <c:v>20749302.4553</c:v>
                </c:pt>
                <c:pt idx="62">
                  <c:v>20476865.275200002</c:v>
                </c:pt>
                <c:pt idx="63">
                  <c:v>15606789.041399999</c:v>
                </c:pt>
                <c:pt idx="64">
                  <c:v>11442915.201100001</c:v>
                </c:pt>
                <c:pt idx="65">
                  <c:v>11450449.290999999</c:v>
                </c:pt>
                <c:pt idx="66">
                  <c:v>12659349.261</c:v>
                </c:pt>
                <c:pt idx="67">
                  <c:v>12690651.3156</c:v>
                </c:pt>
                <c:pt idx="68">
                  <c:v>12397214.755899999</c:v>
                </c:pt>
                <c:pt idx="69">
                  <c:v>13065374.972399998</c:v>
                </c:pt>
                <c:pt idx="70">
                  <c:v>17254782.230599999</c:v>
                </c:pt>
                <c:pt idx="71">
                  <c:v>20222691.8213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Normalized Monthly'!$N$1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Monthly'!$N$2:$N$145</c:f>
              <c:numCache>
                <c:formatCode>_-* #,##0_-;\-* #,##0_-;_-* "-"??_-;_-@_-</c:formatCode>
                <c:ptCount val="144"/>
                <c:pt idx="0">
                  <c:v>22889836.751709916</c:v>
                </c:pt>
                <c:pt idx="1">
                  <c:v>21327579.990751863</c:v>
                </c:pt>
                <c:pt idx="2">
                  <c:v>19427308.951872967</c:v>
                </c:pt>
                <c:pt idx="3">
                  <c:v>15734516.444134619</c:v>
                </c:pt>
                <c:pt idx="4">
                  <c:v>13087160.258799937</c:v>
                </c:pt>
                <c:pt idx="5">
                  <c:v>12871843.169474453</c:v>
                </c:pt>
                <c:pt idx="6">
                  <c:v>14391295.32374426</c:v>
                </c:pt>
                <c:pt idx="7">
                  <c:v>13706944.347850576</c:v>
                </c:pt>
                <c:pt idx="8">
                  <c:v>12739464.228322137</c:v>
                </c:pt>
                <c:pt idx="9">
                  <c:v>14847256.318109415</c:v>
                </c:pt>
                <c:pt idx="10">
                  <c:v>17444112.202481784</c:v>
                </c:pt>
                <c:pt idx="11">
                  <c:v>21079188.219824918</c:v>
                </c:pt>
                <c:pt idx="12">
                  <c:v>22597189.951880947</c:v>
                </c:pt>
                <c:pt idx="13">
                  <c:v>20972248.204317056</c:v>
                </c:pt>
                <c:pt idx="14">
                  <c:v>19067889.014137775</c:v>
                </c:pt>
                <c:pt idx="15">
                  <c:v>15481388.440209335</c:v>
                </c:pt>
                <c:pt idx="16">
                  <c:v>12742730.209166139</c:v>
                </c:pt>
                <c:pt idx="17">
                  <c:v>12586009.955146123</c:v>
                </c:pt>
                <c:pt idx="18">
                  <c:v>14185862.41832342</c:v>
                </c:pt>
                <c:pt idx="19">
                  <c:v>13402033.094120469</c:v>
                </c:pt>
                <c:pt idx="20">
                  <c:v>12416837.652290378</c:v>
                </c:pt>
                <c:pt idx="21">
                  <c:v>14536894.195978794</c:v>
                </c:pt>
                <c:pt idx="22">
                  <c:v>17210062.237958275</c:v>
                </c:pt>
                <c:pt idx="23">
                  <c:v>20868304.446003571</c:v>
                </c:pt>
                <c:pt idx="24">
                  <c:v>22364502.704457566</c:v>
                </c:pt>
                <c:pt idx="25">
                  <c:v>20819961.265801165</c:v>
                </c:pt>
                <c:pt idx="26">
                  <c:v>18880171.431018587</c:v>
                </c:pt>
                <c:pt idx="27">
                  <c:v>15371345.731797386</c:v>
                </c:pt>
                <c:pt idx="28">
                  <c:v>12619060.329752922</c:v>
                </c:pt>
                <c:pt idx="29">
                  <c:v>12317892.063119438</c:v>
                </c:pt>
                <c:pt idx="30">
                  <c:v>13732415.000679463</c:v>
                </c:pt>
                <c:pt idx="31">
                  <c:v>13080769.235188831</c:v>
                </c:pt>
                <c:pt idx="32">
                  <c:v>12057417.714555185</c:v>
                </c:pt>
                <c:pt idx="33">
                  <c:v>14137955.462339919</c:v>
                </c:pt>
                <c:pt idx="34">
                  <c:v>16725272.327011403</c:v>
                </c:pt>
                <c:pt idx="35">
                  <c:v>20361711.061454661</c:v>
                </c:pt>
                <c:pt idx="36">
                  <c:v>21840193.997607008</c:v>
                </c:pt>
                <c:pt idx="37">
                  <c:v>20279299.953749083</c:v>
                </c:pt>
                <c:pt idx="38">
                  <c:v>18379028.914870188</c:v>
                </c:pt>
                <c:pt idx="39">
                  <c:v>14736656.939836539</c:v>
                </c:pt>
                <c:pt idx="40">
                  <c:v>12048419.241498046</c:v>
                </c:pt>
                <c:pt idx="41">
                  <c:v>11876709.099376626</c:v>
                </c:pt>
                <c:pt idx="42">
                  <c:v>13394798.536546309</c:v>
                </c:pt>
                <c:pt idx="43">
                  <c:v>12839905.68516469</c:v>
                </c:pt>
                <c:pt idx="44">
                  <c:v>11797476.125129264</c:v>
                </c:pt>
                <c:pt idx="45">
                  <c:v>13924346.254318319</c:v>
                </c:pt>
                <c:pt idx="46">
                  <c:v>16518476.704490436</c:v>
                </c:pt>
                <c:pt idx="47">
                  <c:v>20118122.077230267</c:v>
                </c:pt>
                <c:pt idx="48">
                  <c:v>21655201.848688073</c:v>
                </c:pt>
                <c:pt idx="49">
                  <c:v>20238755.817443613</c:v>
                </c:pt>
                <c:pt idx="50">
                  <c:v>18326220.324663572</c:v>
                </c:pt>
                <c:pt idx="51">
                  <c:v>14739719.750735126</c:v>
                </c:pt>
                <c:pt idx="52">
                  <c:v>12148234.96650565</c:v>
                </c:pt>
                <c:pt idx="53">
                  <c:v>12017406.337388042</c:v>
                </c:pt>
                <c:pt idx="54">
                  <c:v>13449644.597249724</c:v>
                </c:pt>
                <c:pt idx="55">
                  <c:v>12832066.759262264</c:v>
                </c:pt>
                <c:pt idx="56">
                  <c:v>11799176.21892773</c:v>
                </c:pt>
                <c:pt idx="57">
                  <c:v>13927409.065216906</c:v>
                </c:pt>
                <c:pt idx="58">
                  <c:v>16559695.594192581</c:v>
                </c:pt>
                <c:pt idx="59">
                  <c:v>20162066.401132666</c:v>
                </c:pt>
                <c:pt idx="60">
                  <c:v>21684156.284489077</c:v>
                </c:pt>
                <c:pt idx="61">
                  <c:v>20115085.938030388</c:v>
                </c:pt>
                <c:pt idx="62">
                  <c:v>18236618.372753527</c:v>
                </c:pt>
                <c:pt idx="63">
                  <c:v>14911759.482049469</c:v>
                </c:pt>
                <c:pt idx="64">
                  <c:v>12347529.039822534</c:v>
                </c:pt>
                <c:pt idx="65">
                  <c:v>12201710.522603527</c:v>
                </c:pt>
                <c:pt idx="66">
                  <c:v>13703447.354571681</c:v>
                </c:pt>
                <c:pt idx="67">
                  <c:v>13064066.042982191</c:v>
                </c:pt>
                <c:pt idx="68">
                  <c:v>12142918.30485807</c:v>
                </c:pt>
                <c:pt idx="69">
                  <c:v>14215279.75004204</c:v>
                </c:pt>
                <c:pt idx="70">
                  <c:v>16765803.253010098</c:v>
                </c:pt>
                <c:pt idx="71">
                  <c:v>20369536.777050305</c:v>
                </c:pt>
                <c:pt idx="72">
                  <c:v>21802335.758627713</c:v>
                </c:pt>
                <c:pt idx="73">
                  <c:v>20229177.260868646</c:v>
                </c:pt>
                <c:pt idx="74">
                  <c:v>18296201.011586703</c:v>
                </c:pt>
                <c:pt idx="75">
                  <c:v>14788738.029465627</c:v>
                </c:pt>
                <c:pt idx="76">
                  <c:v>12326711.369748216</c:v>
                </c:pt>
                <c:pt idx="77">
                  <c:v>12115482.431723114</c:v>
                </c:pt>
                <c:pt idx="78">
                  <c:v>13569524.165186826</c:v>
                </c:pt>
                <c:pt idx="79">
                  <c:v>12891986.774793778</c:v>
                </c:pt>
                <c:pt idx="80">
                  <c:v>11755529.734849591</c:v>
                </c:pt>
                <c:pt idx="81">
                  <c:v>13784284.2328295</c:v>
                </c:pt>
                <c:pt idx="82">
                  <c:v>16340258.604198063</c:v>
                </c:pt>
                <c:pt idx="83">
                  <c:v>19946717.562438525</c:v>
                </c:pt>
                <c:pt idx="84">
                  <c:v>21644406.826703247</c:v>
                </c:pt>
                <c:pt idx="85">
                  <c:v>20071248.32894418</c:v>
                </c:pt>
                <c:pt idx="86">
                  <c:v>18138272.079662234</c:v>
                </c:pt>
                <c:pt idx="87">
                  <c:v>14630809.097541161</c:v>
                </c:pt>
                <c:pt idx="88">
                  <c:v>12168782.43782375</c:v>
                </c:pt>
                <c:pt idx="89">
                  <c:v>11957553.499798648</c:v>
                </c:pt>
                <c:pt idx="90">
                  <c:v>13411595.233262356</c:v>
                </c:pt>
                <c:pt idx="91">
                  <c:v>12734057.842869312</c:v>
                </c:pt>
                <c:pt idx="92">
                  <c:v>11597600.802925125</c:v>
                </c:pt>
                <c:pt idx="93">
                  <c:v>13626355.30090503</c:v>
                </c:pt>
                <c:pt idx="94">
                  <c:v>16182329.672273595</c:v>
                </c:pt>
                <c:pt idx="95">
                  <c:v>19788788.630514059</c:v>
                </c:pt>
                <c:pt idx="96">
                  <c:v>21487804.37186458</c:v>
                </c:pt>
                <c:pt idx="97">
                  <c:v>19914645.874105513</c:v>
                </c:pt>
                <c:pt idx="98">
                  <c:v>17981669.62482357</c:v>
                </c:pt>
                <c:pt idx="99">
                  <c:v>14474206.642702494</c:v>
                </c:pt>
                <c:pt idx="100">
                  <c:v>12012179.982985083</c:v>
                </c:pt>
                <c:pt idx="101">
                  <c:v>11800951.044959981</c:v>
                </c:pt>
                <c:pt idx="102">
                  <c:v>13254992.778423689</c:v>
                </c:pt>
                <c:pt idx="103">
                  <c:v>12577455.388030645</c:v>
                </c:pt>
                <c:pt idx="104">
                  <c:v>11440998.348086458</c:v>
                </c:pt>
                <c:pt idx="105">
                  <c:v>13469752.846066367</c:v>
                </c:pt>
                <c:pt idx="106">
                  <c:v>16025727.217434928</c:v>
                </c:pt>
                <c:pt idx="107">
                  <c:v>19632186.175675392</c:v>
                </c:pt>
                <c:pt idx="108">
                  <c:v>21332536.841076083</c:v>
                </c:pt>
                <c:pt idx="109">
                  <c:v>19759378.343317017</c:v>
                </c:pt>
                <c:pt idx="110">
                  <c:v>17826402.09403507</c:v>
                </c:pt>
                <c:pt idx="111">
                  <c:v>14318939.111913994</c:v>
                </c:pt>
                <c:pt idx="112">
                  <c:v>11856912.452196583</c:v>
                </c:pt>
                <c:pt idx="113">
                  <c:v>11645683.514171481</c:v>
                </c:pt>
                <c:pt idx="114">
                  <c:v>13099725.247635193</c:v>
                </c:pt>
                <c:pt idx="115">
                  <c:v>12422187.857242145</c:v>
                </c:pt>
                <c:pt idx="116">
                  <c:v>11285730.817297958</c:v>
                </c:pt>
                <c:pt idx="117">
                  <c:v>13314485.315277867</c:v>
                </c:pt>
                <c:pt idx="118">
                  <c:v>15870459.686646428</c:v>
                </c:pt>
                <c:pt idx="119">
                  <c:v>19476918.644886896</c:v>
                </c:pt>
                <c:pt idx="120">
                  <c:v>21178612.735092111</c:v>
                </c:pt>
                <c:pt idx="121">
                  <c:v>19605454.237333044</c:v>
                </c:pt>
                <c:pt idx="122">
                  <c:v>17672477.988051102</c:v>
                </c:pt>
                <c:pt idx="123">
                  <c:v>14165015.005930021</c:v>
                </c:pt>
                <c:pt idx="124">
                  <c:v>11702988.346212611</c:v>
                </c:pt>
                <c:pt idx="125">
                  <c:v>11491759.408187512</c:v>
                </c:pt>
                <c:pt idx="126">
                  <c:v>12945801.141651221</c:v>
                </c:pt>
                <c:pt idx="127">
                  <c:v>12268263.751258176</c:v>
                </c:pt>
                <c:pt idx="128">
                  <c:v>11131806.711313989</c:v>
                </c:pt>
                <c:pt idx="129">
                  <c:v>13160561.209293894</c:v>
                </c:pt>
                <c:pt idx="130">
                  <c:v>15716535.580662459</c:v>
                </c:pt>
                <c:pt idx="131">
                  <c:v>19322994.538902923</c:v>
                </c:pt>
                <c:pt idx="132">
                  <c:v>21026040.608799569</c:v>
                </c:pt>
                <c:pt idx="133">
                  <c:v>19452882.111040503</c:v>
                </c:pt>
                <c:pt idx="134">
                  <c:v>17519905.86175856</c:v>
                </c:pt>
                <c:pt idx="135">
                  <c:v>14012442.879637484</c:v>
                </c:pt>
                <c:pt idx="136">
                  <c:v>11550416.219920073</c:v>
                </c:pt>
                <c:pt idx="137">
                  <c:v>11339187.281894971</c:v>
                </c:pt>
                <c:pt idx="138">
                  <c:v>12793229.015358679</c:v>
                </c:pt>
                <c:pt idx="139">
                  <c:v>12115691.624965634</c:v>
                </c:pt>
                <c:pt idx="140">
                  <c:v>10979234.585021447</c:v>
                </c:pt>
                <c:pt idx="141">
                  <c:v>13007989.083001353</c:v>
                </c:pt>
                <c:pt idx="142">
                  <c:v>15563963.454369918</c:v>
                </c:pt>
                <c:pt idx="143">
                  <c:v>19170422.412610382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0672"/>
        <c:axId val="21982208"/>
      </c:lineChart>
      <c:dateAx>
        <c:axId val="219806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1982208"/>
        <c:crosses val="autoZero"/>
        <c:auto val="1"/>
        <c:lblOffset val="100"/>
        <c:baseTimeUnit val="months"/>
      </c:dateAx>
      <c:valAx>
        <c:axId val="2198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98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371476</xdr:colOff>
      <xdr:row>7</xdr:row>
      <xdr:rowOff>114299</xdr:rowOff>
    </xdr:from>
    <xdr:to>
      <xdr:col>26</xdr:col>
      <xdr:colOff>85726</xdr:colOff>
      <xdr:row>28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17</xdr:row>
      <xdr:rowOff>68580</xdr:rowOff>
    </xdr:from>
    <xdr:to>
      <xdr:col>11</xdr:col>
      <xdr:colOff>297180</xdr:colOff>
      <xdr:row>30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21</xdr:col>
      <xdr:colOff>617220</xdr:colOff>
      <xdr:row>31</xdr:row>
      <xdr:rowOff>26670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91440</xdr:colOff>
      <xdr:row>18</xdr:row>
      <xdr:rowOff>0</xdr:rowOff>
    </xdr:from>
    <xdr:to>
      <xdr:col>32</xdr:col>
      <xdr:colOff>7620</xdr:colOff>
      <xdr:row>31</xdr:row>
      <xdr:rowOff>26670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251460</xdr:colOff>
      <xdr:row>2</xdr:row>
      <xdr:rowOff>15240</xdr:rowOff>
    </xdr:from>
    <xdr:to>
      <xdr:col>35</xdr:col>
      <xdr:colOff>167640</xdr:colOff>
      <xdr:row>15</xdr:row>
      <xdr:rowOff>41910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537210</xdr:colOff>
      <xdr:row>16</xdr:row>
      <xdr:rowOff>80010</xdr:rowOff>
    </xdr:from>
    <xdr:to>
      <xdr:col>38</xdr:col>
      <xdr:colOff>495300</xdr:colOff>
      <xdr:row>29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17</xdr:row>
      <xdr:rowOff>68580</xdr:rowOff>
    </xdr:from>
    <xdr:to>
      <xdr:col>11</xdr:col>
      <xdr:colOff>297180</xdr:colOff>
      <xdr:row>30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21</xdr:col>
      <xdr:colOff>617220</xdr:colOff>
      <xdr:row>31</xdr:row>
      <xdr:rowOff>26670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91440</xdr:colOff>
      <xdr:row>18</xdr:row>
      <xdr:rowOff>0</xdr:rowOff>
    </xdr:from>
    <xdr:to>
      <xdr:col>32</xdr:col>
      <xdr:colOff>7620</xdr:colOff>
      <xdr:row>31</xdr:row>
      <xdr:rowOff>26670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251460</xdr:colOff>
      <xdr:row>2</xdr:row>
      <xdr:rowOff>15240</xdr:rowOff>
    </xdr:from>
    <xdr:to>
      <xdr:col>35</xdr:col>
      <xdr:colOff>167640</xdr:colOff>
      <xdr:row>15</xdr:row>
      <xdr:rowOff>41910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17</xdr:row>
      <xdr:rowOff>85725</xdr:rowOff>
    </xdr:from>
    <xdr:to>
      <xdr:col>10</xdr:col>
      <xdr:colOff>31799</xdr:colOff>
      <xdr:row>34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514349</xdr:colOff>
      <xdr:row>35</xdr:row>
      <xdr:rowOff>0</xdr:rowOff>
    </xdr:from>
    <xdr:to>
      <xdr:col>15</xdr:col>
      <xdr:colOff>279449</xdr:colOff>
      <xdr:row>51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20</xdr:col>
      <xdr:colOff>460425</xdr:colOff>
      <xdr:row>32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514349</xdr:colOff>
      <xdr:row>34</xdr:row>
      <xdr:rowOff>0</xdr:rowOff>
    </xdr:from>
    <xdr:to>
      <xdr:col>25</xdr:col>
      <xdr:colOff>60374</xdr:colOff>
      <xdr:row>50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</xdr:colOff>
      <xdr:row>57</xdr:row>
      <xdr:rowOff>76200</xdr:rowOff>
    </xdr:from>
    <xdr:to>
      <xdr:col>19</xdr:col>
      <xdr:colOff>160020</xdr:colOff>
      <xdr:row>75</xdr:row>
      <xdr:rowOff>137160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579966</xdr:colOff>
      <xdr:row>15</xdr:row>
      <xdr:rowOff>25400</xdr:rowOff>
    </xdr:from>
    <xdr:to>
      <xdr:col>26</xdr:col>
      <xdr:colOff>53340</xdr:colOff>
      <xdr:row>33</xdr:row>
      <xdr:rowOff>53340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38</xdr:row>
      <xdr:rowOff>0</xdr:rowOff>
    </xdr:from>
    <xdr:to>
      <xdr:col>21</xdr:col>
      <xdr:colOff>87207</xdr:colOff>
      <xdr:row>56</xdr:row>
      <xdr:rowOff>70273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7</xdr:row>
      <xdr:rowOff>114299</xdr:rowOff>
    </xdr:from>
    <xdr:to>
      <xdr:col>35</xdr:col>
      <xdr:colOff>85725</xdr:colOff>
      <xdr:row>28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7</xdr:row>
      <xdr:rowOff>114299</xdr:rowOff>
    </xdr:from>
    <xdr:to>
      <xdr:col>38</xdr:col>
      <xdr:colOff>85725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7</xdr:row>
      <xdr:rowOff>114299</xdr:rowOff>
    </xdr:from>
    <xdr:to>
      <xdr:col>36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7</xdr:col>
      <xdr:colOff>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32</xdr:row>
      <xdr:rowOff>0</xdr:rowOff>
    </xdr:from>
    <xdr:to>
      <xdr:col>12</xdr:col>
      <xdr:colOff>0</xdr:colOff>
      <xdr:row>48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17</xdr:col>
      <xdr:colOff>457200</xdr:colOff>
      <xdr:row>30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32</xdr:row>
      <xdr:rowOff>0</xdr:rowOff>
    </xdr:from>
    <xdr:to>
      <xdr:col>20</xdr:col>
      <xdr:colOff>495300</xdr:colOff>
      <xdr:row>48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266699</xdr:colOff>
      <xdr:row>7</xdr:row>
      <xdr:rowOff>104775</xdr:rowOff>
    </xdr:from>
    <xdr:to>
      <xdr:col>23</xdr:col>
      <xdr:colOff>200024</xdr:colOff>
      <xdr:row>29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295274</xdr:colOff>
      <xdr:row>7</xdr:row>
      <xdr:rowOff>114299</xdr:rowOff>
    </xdr:from>
    <xdr:to>
      <xdr:col>33</xdr:col>
      <xdr:colOff>342899</xdr:colOff>
      <xdr:row>28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7</xdr:row>
      <xdr:rowOff>114299</xdr:rowOff>
    </xdr:from>
    <xdr:to>
      <xdr:col>37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295275</xdr:colOff>
      <xdr:row>7</xdr:row>
      <xdr:rowOff>114299</xdr:rowOff>
    </xdr:from>
    <xdr:to>
      <xdr:col>35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>
      <selection activeCell="B74" sqref="B74"/>
    </sheetView>
  </sheetViews>
  <sheetFormatPr defaultRowHeight="13.2" x14ac:dyDescent="0.25"/>
  <cols>
    <col min="2" max="2" width="9.109375" style="6"/>
    <col min="3" max="3" width="14.33203125" bestFit="1" customWidth="1"/>
    <col min="4" max="5" width="11.33203125" bestFit="1" customWidth="1"/>
    <col min="6" max="7" width="15.33203125" bestFit="1" customWidth="1"/>
    <col min="8" max="8" width="15.33203125" customWidth="1"/>
    <col min="9" max="9" width="11.33203125" bestFit="1" customWidth="1"/>
    <col min="10" max="10" width="9.88671875" bestFit="1" customWidth="1"/>
    <col min="11" max="11" width="9.88671875" customWidth="1"/>
    <col min="13" max="14" width="4.88671875" bestFit="1" customWidth="1"/>
    <col min="15" max="15" width="9.5546875" bestFit="1" customWidth="1"/>
    <col min="16" max="16" width="10.44140625" bestFit="1" customWidth="1"/>
    <col min="17" max="18" width="10.88671875" style="30" customWidth="1"/>
    <col min="21" max="21" width="11.33203125" bestFit="1" customWidth="1"/>
    <col min="22" max="22" width="14.88671875" bestFit="1" customWidth="1"/>
    <col min="23" max="23" width="12.6640625" bestFit="1" customWidth="1"/>
    <col min="24" max="24" width="11.33203125" bestFit="1" customWidth="1"/>
    <col min="25" max="25" width="11.33203125" style="30" customWidth="1"/>
    <col min="27" max="27" width="11.33203125" bestFit="1" customWidth="1"/>
    <col min="28" max="29" width="11.33203125" customWidth="1"/>
    <col min="30" max="31" width="11.33203125" style="30" customWidth="1"/>
    <col min="32" max="34" width="11.33203125" customWidth="1"/>
  </cols>
  <sheetData>
    <row r="1" spans="1:37" x14ac:dyDescent="0.25">
      <c r="A1" s="2" t="s">
        <v>0</v>
      </c>
      <c r="B1" s="19" t="s">
        <v>33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26</v>
      </c>
      <c r="I1" s="2" t="s">
        <v>6</v>
      </c>
      <c r="J1" s="2" t="s">
        <v>7</v>
      </c>
      <c r="K1" s="2" t="s">
        <v>36</v>
      </c>
      <c r="L1" s="2" t="s">
        <v>8</v>
      </c>
      <c r="M1" s="16" t="s">
        <v>9</v>
      </c>
      <c r="N1" s="16" t="s">
        <v>10</v>
      </c>
      <c r="O1" s="2" t="s">
        <v>11</v>
      </c>
      <c r="P1" s="2" t="s">
        <v>12</v>
      </c>
      <c r="Q1" s="30" t="s">
        <v>159</v>
      </c>
      <c r="R1" s="30" t="s">
        <v>171</v>
      </c>
      <c r="S1" s="16" t="s">
        <v>81</v>
      </c>
      <c r="T1" s="2" t="s">
        <v>22</v>
      </c>
      <c r="U1" s="2" t="s">
        <v>21</v>
      </c>
      <c r="V1" s="2" t="s">
        <v>39</v>
      </c>
      <c r="W1" s="2" t="s">
        <v>40</v>
      </c>
      <c r="X1" s="16" t="s">
        <v>104</v>
      </c>
      <c r="Y1" s="79" t="s">
        <v>166</v>
      </c>
      <c r="Z1" s="2" t="s">
        <v>23</v>
      </c>
      <c r="AA1" s="2" t="s">
        <v>24</v>
      </c>
      <c r="AB1" s="2" t="s">
        <v>25</v>
      </c>
      <c r="AC1" s="2" t="s">
        <v>43</v>
      </c>
      <c r="AD1" s="2" t="s">
        <v>157</v>
      </c>
      <c r="AE1" s="2" t="s">
        <v>158</v>
      </c>
      <c r="AF1" s="2" t="s">
        <v>30</v>
      </c>
      <c r="AG1" s="2" t="s">
        <v>31</v>
      </c>
      <c r="AH1" s="2" t="s">
        <v>32</v>
      </c>
      <c r="AI1" s="2" t="s">
        <v>45</v>
      </c>
      <c r="AJ1" s="2" t="s">
        <v>169</v>
      </c>
      <c r="AK1" s="2" t="s">
        <v>170</v>
      </c>
    </row>
    <row r="2" spans="1:37" x14ac:dyDescent="0.25">
      <c r="A2" s="1">
        <v>39814</v>
      </c>
      <c r="B2" s="6">
        <f>YEAR(A2)</f>
        <v>2009</v>
      </c>
      <c r="C2" s="3">
        <v>78090233.917599991</v>
      </c>
      <c r="D2" s="3">
        <v>24633368.951099999</v>
      </c>
      <c r="E2" s="3">
        <v>9405720.7811999973</v>
      </c>
      <c r="F2" s="3">
        <v>9921525.8462000024</v>
      </c>
      <c r="G2" s="3">
        <v>17612230.7788</v>
      </c>
      <c r="H2" s="3">
        <f t="shared" ref="H2:H58" si="0">F2+G2</f>
        <v>27533756.625</v>
      </c>
      <c r="I2" s="3">
        <v>12630235.100299999</v>
      </c>
      <c r="J2" s="3">
        <v>427665</v>
      </c>
      <c r="K2" s="3">
        <v>936.23599999999999</v>
      </c>
      <c r="L2" s="3">
        <v>192266.65</v>
      </c>
      <c r="M2" s="4">
        <v>887.09999999999991</v>
      </c>
      <c r="N2" s="4">
        <v>0</v>
      </c>
      <c r="O2">
        <v>21</v>
      </c>
      <c r="P2">
        <v>31</v>
      </c>
      <c r="Q2" s="30">
        <v>6506.5</v>
      </c>
      <c r="R2" s="30">
        <v>79.5</v>
      </c>
      <c r="S2">
        <v>1</v>
      </c>
      <c r="T2" s="4">
        <v>23190</v>
      </c>
      <c r="U2" s="4">
        <v>3262</v>
      </c>
      <c r="V2" s="4">
        <f t="shared" ref="V2:V13" si="1">X2-W2</f>
        <v>365</v>
      </c>
      <c r="W2" s="4">
        <v>0</v>
      </c>
      <c r="X2">
        <v>365</v>
      </c>
      <c r="Y2" s="4">
        <v>0</v>
      </c>
      <c r="Z2">
        <v>3</v>
      </c>
      <c r="AA2" s="4">
        <v>5107</v>
      </c>
      <c r="AB2" s="4">
        <v>165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1</v>
      </c>
      <c r="AK2" s="4">
        <v>0</v>
      </c>
    </row>
    <row r="3" spans="1:37" x14ac:dyDescent="0.25">
      <c r="A3" s="1">
        <v>39845</v>
      </c>
      <c r="B3" s="6">
        <f t="shared" ref="B3:B61" si="2">YEAR(A3)</f>
        <v>2009</v>
      </c>
      <c r="C3" s="3">
        <v>66114223.934500001</v>
      </c>
      <c r="D3" s="3">
        <v>21259564.445299998</v>
      </c>
      <c r="E3" s="3">
        <v>8296015.0248000016</v>
      </c>
      <c r="F3" s="3">
        <v>8734547.7158000004</v>
      </c>
      <c r="G3" s="3">
        <v>15557083.788000003</v>
      </c>
      <c r="H3" s="3">
        <f t="shared" si="0"/>
        <v>24291631.503800005</v>
      </c>
      <c r="I3" s="3">
        <v>11333821.4934</v>
      </c>
      <c r="J3" s="3">
        <v>355742</v>
      </c>
      <c r="K3" s="3">
        <v>936.82</v>
      </c>
      <c r="L3" s="3">
        <v>173660.2</v>
      </c>
      <c r="M3" s="4">
        <v>653.80000000000007</v>
      </c>
      <c r="N3" s="4">
        <v>0</v>
      </c>
      <c r="O3">
        <v>19</v>
      </c>
      <c r="P3">
        <v>28</v>
      </c>
      <c r="Q3" s="30">
        <v>6436.2</v>
      </c>
      <c r="R3" s="30">
        <v>78.900000000000006</v>
      </c>
      <c r="S3">
        <v>2</v>
      </c>
      <c r="T3" s="4">
        <v>23198</v>
      </c>
      <c r="U3" s="4">
        <v>3265</v>
      </c>
      <c r="V3" s="4">
        <f t="shared" si="1"/>
        <v>361</v>
      </c>
      <c r="W3" s="4">
        <v>0</v>
      </c>
      <c r="X3">
        <v>361</v>
      </c>
      <c r="Y3" s="4">
        <v>0</v>
      </c>
      <c r="Z3">
        <v>3</v>
      </c>
      <c r="AA3" s="4">
        <v>5111</v>
      </c>
      <c r="AB3" s="4">
        <v>166</v>
      </c>
      <c r="AC3" s="4">
        <v>0</v>
      </c>
      <c r="AD3" s="4">
        <v>0</v>
      </c>
      <c r="AE3" s="4">
        <v>0</v>
      </c>
      <c r="AF3" s="4">
        <v>1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</row>
    <row r="4" spans="1:37" x14ac:dyDescent="0.25">
      <c r="A4" s="1">
        <v>39873</v>
      </c>
      <c r="B4" s="6">
        <f t="shared" si="2"/>
        <v>2009</v>
      </c>
      <c r="C4" s="3">
        <v>67704548.678800002</v>
      </c>
      <c r="D4" s="3">
        <v>20311506.205500003</v>
      </c>
      <c r="E4" s="3">
        <v>8604597.311900001</v>
      </c>
      <c r="F4" s="3">
        <v>8517387.6423000004</v>
      </c>
      <c r="G4" s="3">
        <v>16069218.158300001</v>
      </c>
      <c r="H4" s="3">
        <f t="shared" si="0"/>
        <v>24586605.8006</v>
      </c>
      <c r="I4" s="3">
        <v>12370923.8947</v>
      </c>
      <c r="J4" s="3">
        <v>350654</v>
      </c>
      <c r="K4" s="3">
        <v>936.82</v>
      </c>
      <c r="L4" s="3">
        <v>192266.65</v>
      </c>
      <c r="M4" s="4">
        <v>555.60000000000014</v>
      </c>
      <c r="N4" s="4">
        <v>0</v>
      </c>
      <c r="O4">
        <v>22</v>
      </c>
      <c r="P4">
        <v>31</v>
      </c>
      <c r="Q4" s="30">
        <v>6363.8</v>
      </c>
      <c r="R4" s="30">
        <v>78</v>
      </c>
      <c r="S4">
        <v>3</v>
      </c>
      <c r="T4" s="4">
        <v>23222</v>
      </c>
      <c r="U4" s="4">
        <v>3290</v>
      </c>
      <c r="V4" s="4">
        <f t="shared" si="1"/>
        <v>339</v>
      </c>
      <c r="W4" s="4">
        <v>0</v>
      </c>
      <c r="X4">
        <v>339</v>
      </c>
      <c r="Y4" s="4">
        <v>0</v>
      </c>
      <c r="Z4">
        <v>3</v>
      </c>
      <c r="AA4" s="4">
        <v>5111</v>
      </c>
      <c r="AB4" s="4">
        <v>166</v>
      </c>
      <c r="AC4" s="4">
        <v>1</v>
      </c>
      <c r="AD4" s="4">
        <v>1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1</v>
      </c>
    </row>
    <row r="5" spans="1:37" x14ac:dyDescent="0.25">
      <c r="A5" s="1">
        <v>39904</v>
      </c>
      <c r="B5" s="6">
        <f t="shared" si="2"/>
        <v>2009</v>
      </c>
      <c r="C5" s="3">
        <v>56956687.641800001</v>
      </c>
      <c r="D5" s="3">
        <v>15355678.4505</v>
      </c>
      <c r="E5" s="3">
        <v>7316308.4113000007</v>
      </c>
      <c r="F5" s="3">
        <v>7286827.567400001</v>
      </c>
      <c r="G5" s="3">
        <v>13802495.8126</v>
      </c>
      <c r="H5" s="3">
        <f t="shared" si="0"/>
        <v>21089323.380000003</v>
      </c>
      <c r="I5" s="3">
        <v>11402691.3343</v>
      </c>
      <c r="J5" s="3">
        <v>295647</v>
      </c>
      <c r="K5" s="3">
        <v>936.82</v>
      </c>
      <c r="L5" s="3">
        <v>186064.5</v>
      </c>
      <c r="M5" s="4">
        <v>326.29999999999995</v>
      </c>
      <c r="N5" s="4">
        <v>0.8</v>
      </c>
      <c r="O5">
        <v>20</v>
      </c>
      <c r="P5">
        <v>30</v>
      </c>
      <c r="Q5" s="30">
        <v>6359.6</v>
      </c>
      <c r="R5" s="30">
        <v>77.2</v>
      </c>
      <c r="S5">
        <v>4</v>
      </c>
      <c r="T5" s="4">
        <v>23086</v>
      </c>
      <c r="U5" s="4">
        <v>3289</v>
      </c>
      <c r="V5" s="4">
        <f t="shared" si="1"/>
        <v>341</v>
      </c>
      <c r="W5" s="4">
        <v>0</v>
      </c>
      <c r="X5">
        <v>341</v>
      </c>
      <c r="Y5" s="4">
        <v>0</v>
      </c>
      <c r="Z5">
        <v>3</v>
      </c>
      <c r="AA5" s="4">
        <v>5111</v>
      </c>
      <c r="AB5" s="4">
        <v>166</v>
      </c>
      <c r="AC5" s="4">
        <v>1</v>
      </c>
      <c r="AD5" s="4">
        <v>1</v>
      </c>
      <c r="AE5" s="4">
        <v>0</v>
      </c>
      <c r="AF5" s="4">
        <v>0</v>
      </c>
      <c r="AG5" s="4">
        <v>1</v>
      </c>
      <c r="AH5" s="4">
        <v>0</v>
      </c>
      <c r="AI5" s="4">
        <v>0</v>
      </c>
      <c r="AJ5" s="4">
        <v>0</v>
      </c>
      <c r="AK5" s="4">
        <v>0</v>
      </c>
    </row>
    <row r="6" spans="1:37" x14ac:dyDescent="0.25">
      <c r="A6" s="1">
        <v>39934</v>
      </c>
      <c r="B6" s="6">
        <f t="shared" si="2"/>
        <v>2009</v>
      </c>
      <c r="C6" s="3">
        <v>52049491.908100002</v>
      </c>
      <c r="D6" s="3">
        <v>13117710.1909</v>
      </c>
      <c r="E6" s="3">
        <v>6892994.1161999991</v>
      </c>
      <c r="F6" s="3">
        <v>7113135.8810000001</v>
      </c>
      <c r="G6" s="3">
        <v>12862094.1743</v>
      </c>
      <c r="H6" s="3">
        <f t="shared" si="0"/>
        <v>19975230.055300001</v>
      </c>
      <c r="I6" s="3">
        <v>11555213.605999999</v>
      </c>
      <c r="J6" s="3">
        <v>266705</v>
      </c>
      <c r="K6" s="3">
        <v>937.45</v>
      </c>
      <c r="L6" s="3">
        <v>192266.65</v>
      </c>
      <c r="M6" s="4">
        <v>165.29999999999995</v>
      </c>
      <c r="N6" s="4">
        <v>0</v>
      </c>
      <c r="O6">
        <v>20</v>
      </c>
      <c r="P6">
        <v>31</v>
      </c>
      <c r="Q6" s="30">
        <v>6382.1</v>
      </c>
      <c r="R6" s="30">
        <v>76.900000000000006</v>
      </c>
      <c r="S6">
        <v>5</v>
      </c>
      <c r="T6" s="4">
        <v>22950</v>
      </c>
      <c r="U6" s="4">
        <v>3284</v>
      </c>
      <c r="V6" s="4">
        <f t="shared" si="1"/>
        <v>343</v>
      </c>
      <c r="W6" s="4">
        <v>0</v>
      </c>
      <c r="X6">
        <v>343</v>
      </c>
      <c r="Y6" s="4">
        <v>0</v>
      </c>
      <c r="Z6">
        <v>3</v>
      </c>
      <c r="AA6" s="4">
        <v>5116</v>
      </c>
      <c r="AB6" s="4">
        <v>166</v>
      </c>
      <c r="AC6" s="4">
        <v>1</v>
      </c>
      <c r="AD6" s="4">
        <v>1</v>
      </c>
      <c r="AE6" s="4">
        <v>0</v>
      </c>
      <c r="AF6" s="4">
        <v>0</v>
      </c>
      <c r="AG6" s="4">
        <v>0</v>
      </c>
      <c r="AH6" s="4">
        <v>0</v>
      </c>
      <c r="AI6" s="4">
        <v>1</v>
      </c>
      <c r="AJ6" s="4">
        <v>0</v>
      </c>
      <c r="AK6" s="4">
        <v>0</v>
      </c>
    </row>
    <row r="7" spans="1:37" x14ac:dyDescent="0.25">
      <c r="A7" s="1">
        <v>39965</v>
      </c>
      <c r="B7" s="6">
        <f t="shared" si="2"/>
        <v>2009</v>
      </c>
      <c r="C7" s="3">
        <v>53222452.300999999</v>
      </c>
      <c r="D7" s="3">
        <v>11957071.520799998</v>
      </c>
      <c r="E7" s="3">
        <v>6896984.1305000009</v>
      </c>
      <c r="F7" s="3">
        <v>6933478.6116000004</v>
      </c>
      <c r="G7" s="3">
        <v>13114655.085199999</v>
      </c>
      <c r="H7" s="3">
        <f t="shared" si="0"/>
        <v>20048133.696800001</v>
      </c>
      <c r="I7" s="3">
        <v>12458106.387699999</v>
      </c>
      <c r="J7" s="3">
        <v>238688</v>
      </c>
      <c r="K7" s="3">
        <v>937.45</v>
      </c>
      <c r="L7" s="3">
        <v>185317.5</v>
      </c>
      <c r="M7" s="4">
        <v>59.20000000000001</v>
      </c>
      <c r="N7" s="4">
        <v>32.6</v>
      </c>
      <c r="O7">
        <v>22</v>
      </c>
      <c r="P7">
        <v>30</v>
      </c>
      <c r="Q7" s="30">
        <v>6429.4</v>
      </c>
      <c r="R7" s="30">
        <v>77.400000000000006</v>
      </c>
      <c r="S7">
        <v>6</v>
      </c>
      <c r="T7" s="4">
        <v>22947</v>
      </c>
      <c r="U7" s="4">
        <v>3268</v>
      </c>
      <c r="V7" s="4">
        <f t="shared" si="1"/>
        <v>345</v>
      </c>
      <c r="W7" s="4">
        <v>0</v>
      </c>
      <c r="X7">
        <v>345</v>
      </c>
      <c r="Y7" s="4">
        <v>0</v>
      </c>
      <c r="Z7">
        <v>3</v>
      </c>
      <c r="AA7" s="4">
        <v>5116</v>
      </c>
      <c r="AB7" s="4">
        <v>162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1</v>
      </c>
      <c r="AJ7" s="4">
        <v>0</v>
      </c>
      <c r="AK7" s="4">
        <v>0</v>
      </c>
    </row>
    <row r="8" spans="1:37" x14ac:dyDescent="0.25">
      <c r="A8" s="1">
        <v>39995</v>
      </c>
      <c r="B8" s="6">
        <f t="shared" si="2"/>
        <v>2009</v>
      </c>
      <c r="C8" s="3">
        <v>57043131.938000001</v>
      </c>
      <c r="D8" s="3">
        <v>12423690.194100002</v>
      </c>
      <c r="E8" s="3">
        <v>7547793.2116999989</v>
      </c>
      <c r="F8" s="3">
        <v>7322883.2422000002</v>
      </c>
      <c r="G8" s="3">
        <v>14176645.979599999</v>
      </c>
      <c r="H8" s="3">
        <f t="shared" si="0"/>
        <v>21499529.221799999</v>
      </c>
      <c r="I8" s="3">
        <v>13695389.126600001</v>
      </c>
      <c r="J8" s="3">
        <v>256302</v>
      </c>
      <c r="K8" s="3">
        <v>937.45</v>
      </c>
      <c r="L8" s="3">
        <v>190499.65</v>
      </c>
      <c r="M8" s="4">
        <v>11.799999999999999</v>
      </c>
      <c r="N8" s="4">
        <v>35.6</v>
      </c>
      <c r="O8">
        <v>22</v>
      </c>
      <c r="P8">
        <v>31</v>
      </c>
      <c r="Q8" s="30">
        <v>6467</v>
      </c>
      <c r="R8" s="30">
        <v>78.400000000000006</v>
      </c>
      <c r="S8">
        <v>7</v>
      </c>
      <c r="T8" s="4">
        <v>22995</v>
      </c>
      <c r="U8" s="4">
        <v>3268</v>
      </c>
      <c r="V8" s="4">
        <f t="shared" si="1"/>
        <v>344</v>
      </c>
      <c r="W8" s="4">
        <v>0</v>
      </c>
      <c r="X8">
        <v>344</v>
      </c>
      <c r="Y8" s="4">
        <v>0</v>
      </c>
      <c r="Z8">
        <v>3</v>
      </c>
      <c r="AA8" s="4">
        <v>5116</v>
      </c>
      <c r="AB8" s="4">
        <v>162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1</v>
      </c>
      <c r="AJ8" s="4">
        <v>0</v>
      </c>
      <c r="AK8" s="4">
        <v>0</v>
      </c>
    </row>
    <row r="9" spans="1:37" x14ac:dyDescent="0.25">
      <c r="A9" s="1">
        <v>40026</v>
      </c>
      <c r="B9" s="6">
        <f t="shared" si="2"/>
        <v>2009</v>
      </c>
      <c r="C9" s="3">
        <v>60742363.776199996</v>
      </c>
      <c r="D9" s="3">
        <v>13070512.381900001</v>
      </c>
      <c r="E9" s="3">
        <v>7818900.3452000003</v>
      </c>
      <c r="F9" s="3">
        <v>7456540.977500001</v>
      </c>
      <c r="G9" s="3">
        <v>14818711.278999999</v>
      </c>
      <c r="H9" s="3">
        <f t="shared" si="0"/>
        <v>22275252.256499998</v>
      </c>
      <c r="I9" s="3">
        <v>14408989.219000001</v>
      </c>
      <c r="J9" s="3">
        <v>290139</v>
      </c>
      <c r="K9" s="3">
        <v>937.45</v>
      </c>
      <c r="L9" s="3">
        <v>190499.65</v>
      </c>
      <c r="M9" s="4">
        <v>20.6</v>
      </c>
      <c r="N9" s="4">
        <v>85.199999999999989</v>
      </c>
      <c r="O9">
        <v>20</v>
      </c>
      <c r="P9">
        <v>31</v>
      </c>
      <c r="Q9" s="30">
        <v>6487.6</v>
      </c>
      <c r="R9" s="30">
        <v>79.3</v>
      </c>
      <c r="S9">
        <v>8</v>
      </c>
      <c r="T9" s="4">
        <v>22990</v>
      </c>
      <c r="U9" s="4">
        <v>3261</v>
      </c>
      <c r="V9" s="4">
        <f t="shared" si="1"/>
        <v>343</v>
      </c>
      <c r="W9" s="4">
        <v>0</v>
      </c>
      <c r="X9">
        <v>343</v>
      </c>
      <c r="Y9" s="4">
        <v>0</v>
      </c>
      <c r="Z9">
        <v>3</v>
      </c>
      <c r="AA9" s="4">
        <v>5116</v>
      </c>
      <c r="AB9" s="4">
        <v>162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1</v>
      </c>
      <c r="AJ9" s="4">
        <v>0</v>
      </c>
      <c r="AK9" s="4">
        <v>0</v>
      </c>
    </row>
    <row r="10" spans="1:37" x14ac:dyDescent="0.25">
      <c r="A10" s="1">
        <v>40057</v>
      </c>
      <c r="B10" s="6">
        <f t="shared" si="2"/>
        <v>2009</v>
      </c>
      <c r="C10" s="3">
        <v>54447224.579199992</v>
      </c>
      <c r="D10" s="3">
        <v>13202217.812000001</v>
      </c>
      <c r="E10" s="3">
        <v>7086905.3305000011</v>
      </c>
      <c r="F10" s="3">
        <v>6634197.0669999998</v>
      </c>
      <c r="G10" s="3">
        <v>13965609.285500001</v>
      </c>
      <c r="H10" s="3">
        <f t="shared" si="0"/>
        <v>20599806.352499999</v>
      </c>
      <c r="I10" s="3">
        <v>12983020.697999999</v>
      </c>
      <c r="J10" s="3">
        <v>322623</v>
      </c>
      <c r="K10" s="3">
        <v>937.45</v>
      </c>
      <c r="L10" s="3">
        <v>185349.5</v>
      </c>
      <c r="M10" s="4">
        <v>100.9</v>
      </c>
      <c r="N10" s="4">
        <v>4.5999999999999996</v>
      </c>
      <c r="O10">
        <v>21</v>
      </c>
      <c r="P10">
        <v>30</v>
      </c>
      <c r="Q10" s="30">
        <v>6470.2</v>
      </c>
      <c r="R10" s="30">
        <v>80</v>
      </c>
      <c r="S10">
        <v>9</v>
      </c>
      <c r="T10" s="4">
        <v>23114</v>
      </c>
      <c r="U10" s="4">
        <v>3260</v>
      </c>
      <c r="V10" s="4">
        <f t="shared" si="1"/>
        <v>345</v>
      </c>
      <c r="W10" s="4">
        <v>0</v>
      </c>
      <c r="X10">
        <v>345</v>
      </c>
      <c r="Y10" s="4">
        <v>0</v>
      </c>
      <c r="Z10">
        <v>3</v>
      </c>
      <c r="AA10" s="4">
        <v>5116</v>
      </c>
      <c r="AB10" s="4">
        <v>159</v>
      </c>
      <c r="AC10" s="4">
        <v>1</v>
      </c>
      <c r="AD10" s="4">
        <v>0</v>
      </c>
      <c r="AE10" s="4">
        <v>1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</row>
    <row r="11" spans="1:37" x14ac:dyDescent="0.25">
      <c r="A11" s="1">
        <v>40087</v>
      </c>
      <c r="B11" s="6">
        <f t="shared" si="2"/>
        <v>2009</v>
      </c>
      <c r="C11" s="3">
        <v>58258830.390099995</v>
      </c>
      <c r="D11" s="3">
        <v>14811561.364799999</v>
      </c>
      <c r="E11" s="3">
        <v>7315482.7944999998</v>
      </c>
      <c r="F11" s="3">
        <v>6931927.7296000002</v>
      </c>
      <c r="G11" s="3">
        <v>14942335.330699999</v>
      </c>
      <c r="H11" s="3">
        <f t="shared" si="0"/>
        <v>21874263.0603</v>
      </c>
      <c r="I11" s="3">
        <v>12029943</v>
      </c>
      <c r="J11" s="3">
        <v>378253</v>
      </c>
      <c r="K11" s="3">
        <v>937.45</v>
      </c>
      <c r="L11" s="3">
        <v>191646.65</v>
      </c>
      <c r="M11" s="4">
        <v>330.19999999999993</v>
      </c>
      <c r="N11" s="4">
        <v>0</v>
      </c>
      <c r="O11">
        <v>21</v>
      </c>
      <c r="P11">
        <v>31</v>
      </c>
      <c r="Q11" s="30">
        <v>6472.1</v>
      </c>
      <c r="R11" s="30">
        <v>80.900000000000006</v>
      </c>
      <c r="S11">
        <v>10</v>
      </c>
      <c r="T11" s="4">
        <v>23172</v>
      </c>
      <c r="U11" s="4">
        <v>3248</v>
      </c>
      <c r="V11" s="4">
        <f t="shared" si="1"/>
        <v>350</v>
      </c>
      <c r="W11" s="4">
        <v>0</v>
      </c>
      <c r="X11">
        <v>350</v>
      </c>
      <c r="Y11" s="4">
        <v>0</v>
      </c>
      <c r="Z11">
        <v>3</v>
      </c>
      <c r="AA11" s="4">
        <v>5116</v>
      </c>
      <c r="AB11" s="4">
        <v>159</v>
      </c>
      <c r="AC11" s="4">
        <v>1</v>
      </c>
      <c r="AD11" s="4">
        <v>0</v>
      </c>
      <c r="AE11" s="4">
        <v>1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</row>
    <row r="12" spans="1:37" x14ac:dyDescent="0.25">
      <c r="A12" s="1">
        <v>40118</v>
      </c>
      <c r="B12" s="6">
        <f t="shared" si="2"/>
        <v>2009</v>
      </c>
      <c r="C12" s="3">
        <v>58858168.195700005</v>
      </c>
      <c r="D12" s="3">
        <v>16459360.333399998</v>
      </c>
      <c r="E12" s="3">
        <v>7548115.7056999998</v>
      </c>
      <c r="F12" s="3">
        <v>7031098.8247000007</v>
      </c>
      <c r="G12" s="3">
        <v>15160662.972599998</v>
      </c>
      <c r="H12" s="3">
        <f t="shared" si="0"/>
        <v>22191761.7973</v>
      </c>
      <c r="I12" s="3">
        <v>11523934</v>
      </c>
      <c r="J12" s="3">
        <v>388261</v>
      </c>
      <c r="K12" s="3">
        <v>937.45</v>
      </c>
      <c r="L12" s="3">
        <v>185464.5</v>
      </c>
      <c r="M12" s="4">
        <v>384.49999999999989</v>
      </c>
      <c r="N12" s="4">
        <v>0</v>
      </c>
      <c r="O12">
        <v>21</v>
      </c>
      <c r="P12">
        <v>30</v>
      </c>
      <c r="Q12" s="30">
        <v>6465.6</v>
      </c>
      <c r="R12" s="30">
        <v>81.2</v>
      </c>
      <c r="S12">
        <v>11</v>
      </c>
      <c r="T12" s="4">
        <v>23202</v>
      </c>
      <c r="U12" s="4">
        <v>3247</v>
      </c>
      <c r="V12" s="4">
        <f t="shared" si="1"/>
        <v>351</v>
      </c>
      <c r="W12" s="4">
        <v>0</v>
      </c>
      <c r="X12">
        <v>351</v>
      </c>
      <c r="Y12" s="4">
        <v>0</v>
      </c>
      <c r="Z12">
        <v>3</v>
      </c>
      <c r="AA12" s="4">
        <v>5116</v>
      </c>
      <c r="AB12" s="4">
        <v>159</v>
      </c>
      <c r="AC12" s="4">
        <v>1</v>
      </c>
      <c r="AD12" s="4">
        <v>0</v>
      </c>
      <c r="AE12" s="4">
        <v>1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</row>
    <row r="13" spans="1:37" x14ac:dyDescent="0.25">
      <c r="A13" s="1">
        <v>40148</v>
      </c>
      <c r="B13" s="6">
        <f t="shared" si="2"/>
        <v>2009</v>
      </c>
      <c r="C13" s="3">
        <v>69917491.56750001</v>
      </c>
      <c r="D13" s="3">
        <v>19859508.091600001</v>
      </c>
      <c r="E13" s="3">
        <v>8620869.761500001</v>
      </c>
      <c r="F13" s="3">
        <v>8074994.0290999999</v>
      </c>
      <c r="G13" s="3">
        <v>16077001.8972</v>
      </c>
      <c r="H13" s="3">
        <f t="shared" si="0"/>
        <v>24151995.9263</v>
      </c>
      <c r="I13" s="3">
        <v>11610601</v>
      </c>
      <c r="J13" s="3">
        <v>421505.54216867464</v>
      </c>
      <c r="K13" s="3">
        <v>937.45</v>
      </c>
      <c r="L13" s="3">
        <v>191646.65</v>
      </c>
      <c r="M13" s="4">
        <v>696.79999999999984</v>
      </c>
      <c r="N13" s="4">
        <v>0</v>
      </c>
      <c r="O13">
        <v>21</v>
      </c>
      <c r="P13">
        <v>31</v>
      </c>
      <c r="Q13" s="30">
        <v>6467.5</v>
      </c>
      <c r="R13" s="30">
        <v>81.2</v>
      </c>
      <c r="S13">
        <v>12</v>
      </c>
      <c r="T13" s="4">
        <v>23223</v>
      </c>
      <c r="U13" s="4">
        <v>3255</v>
      </c>
      <c r="V13" s="4">
        <f t="shared" si="1"/>
        <v>351</v>
      </c>
      <c r="W13" s="4">
        <v>0</v>
      </c>
      <c r="X13">
        <v>351</v>
      </c>
      <c r="Y13" s="4">
        <v>0</v>
      </c>
      <c r="Z13">
        <v>3</v>
      </c>
      <c r="AA13" s="4">
        <v>5116</v>
      </c>
      <c r="AB13" s="4">
        <v>159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1</v>
      </c>
      <c r="AI13" s="4">
        <v>0</v>
      </c>
      <c r="AJ13" s="4">
        <v>0</v>
      </c>
      <c r="AK13" s="4">
        <v>0</v>
      </c>
    </row>
    <row r="14" spans="1:37" x14ac:dyDescent="0.25">
      <c r="A14" s="1">
        <v>40179</v>
      </c>
      <c r="B14" s="6">
        <f t="shared" si="2"/>
        <v>2010</v>
      </c>
      <c r="C14" s="3">
        <v>73399760.891204804</v>
      </c>
      <c r="D14" s="3">
        <v>23606855.725399997</v>
      </c>
      <c r="E14" s="3">
        <v>9325181.3517000005</v>
      </c>
      <c r="F14" s="3">
        <v>9087152.9148999993</v>
      </c>
      <c r="G14" s="3">
        <v>17990863.344799999</v>
      </c>
      <c r="H14" s="3">
        <f t="shared" si="0"/>
        <v>27078016.2597</v>
      </c>
      <c r="I14" s="3">
        <v>11955217.004000001</v>
      </c>
      <c r="J14" s="3">
        <v>428329</v>
      </c>
      <c r="K14" s="3">
        <v>937.45</v>
      </c>
      <c r="L14" s="3">
        <v>187330.21000000002</v>
      </c>
      <c r="M14" s="4">
        <v>750.59999999999991</v>
      </c>
      <c r="N14" s="4">
        <v>0</v>
      </c>
      <c r="O14">
        <v>20</v>
      </c>
      <c r="P14">
        <v>31</v>
      </c>
      <c r="Q14" s="30">
        <v>6434.5</v>
      </c>
      <c r="R14" s="30">
        <v>80</v>
      </c>
      <c r="S14">
        <v>13</v>
      </c>
      <c r="T14" s="4">
        <v>23244</v>
      </c>
      <c r="U14" s="4">
        <v>3254</v>
      </c>
      <c r="V14" s="4">
        <v>227</v>
      </c>
      <c r="W14" s="4">
        <v>128</v>
      </c>
      <c r="X14" s="4">
        <f>V14+W14</f>
        <v>355</v>
      </c>
      <c r="Y14" s="4">
        <v>0</v>
      </c>
      <c r="Z14">
        <v>3</v>
      </c>
      <c r="AA14" s="4">
        <v>5116</v>
      </c>
      <c r="AB14" s="4">
        <v>159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f>AI2</f>
        <v>0</v>
      </c>
      <c r="AJ14" s="4">
        <v>1</v>
      </c>
      <c r="AK14" s="4">
        <v>0</v>
      </c>
    </row>
    <row r="15" spans="1:37" x14ac:dyDescent="0.25">
      <c r="A15" s="1">
        <v>40210</v>
      </c>
      <c r="B15" s="6">
        <f t="shared" si="2"/>
        <v>2010</v>
      </c>
      <c r="C15" s="3">
        <v>64846296.512289159</v>
      </c>
      <c r="D15" s="3">
        <v>21091517.422400001</v>
      </c>
      <c r="E15" s="3">
        <v>8591993.1293000001</v>
      </c>
      <c r="F15" s="3">
        <v>7587383.9426000006</v>
      </c>
      <c r="G15" s="3">
        <v>15875667.9157</v>
      </c>
      <c r="H15" s="3">
        <f t="shared" si="0"/>
        <v>23463051.8583</v>
      </c>
      <c r="I15" s="3">
        <v>10874740.4221</v>
      </c>
      <c r="J15" s="3">
        <v>363977</v>
      </c>
      <c r="K15" s="3">
        <v>937.45</v>
      </c>
      <c r="L15" s="3">
        <v>169201.47999999998</v>
      </c>
      <c r="M15" s="4">
        <v>620.40000000000009</v>
      </c>
      <c r="N15" s="4">
        <v>0</v>
      </c>
      <c r="O15">
        <v>19</v>
      </c>
      <c r="P15">
        <v>28</v>
      </c>
      <c r="Q15" s="30">
        <v>6404.1</v>
      </c>
      <c r="R15" s="30">
        <v>77.7</v>
      </c>
      <c r="S15">
        <v>14</v>
      </c>
      <c r="T15" s="4">
        <v>23206</v>
      </c>
      <c r="U15" s="4">
        <v>3250</v>
      </c>
      <c r="V15" s="4">
        <v>227</v>
      </c>
      <c r="W15" s="4">
        <v>127</v>
      </c>
      <c r="X15" s="4">
        <f t="shared" ref="X15:X73" si="3">V15+W15</f>
        <v>354</v>
      </c>
      <c r="Y15" s="4">
        <v>0</v>
      </c>
      <c r="Z15">
        <v>3</v>
      </c>
      <c r="AA15" s="4">
        <v>5116</v>
      </c>
      <c r="AB15" s="4">
        <v>159</v>
      </c>
      <c r="AC15" s="4">
        <v>0</v>
      </c>
      <c r="AD15" s="4">
        <v>0</v>
      </c>
      <c r="AE15" s="4">
        <v>0</v>
      </c>
      <c r="AF15" s="4">
        <v>1</v>
      </c>
      <c r="AG15" s="4">
        <v>0</v>
      </c>
      <c r="AH15" s="4">
        <v>0</v>
      </c>
      <c r="AI15" s="4">
        <f t="shared" ref="AI15:AI73" si="4">AI3</f>
        <v>0</v>
      </c>
      <c r="AJ15" s="4">
        <v>0</v>
      </c>
      <c r="AK15" s="4">
        <v>0</v>
      </c>
    </row>
    <row r="16" spans="1:37" x14ac:dyDescent="0.25">
      <c r="A16" s="1">
        <v>40238</v>
      </c>
      <c r="B16" s="6">
        <f t="shared" si="2"/>
        <v>2010</v>
      </c>
      <c r="C16" s="3">
        <v>63763855.911325291</v>
      </c>
      <c r="D16" s="3">
        <v>19291304.618700001</v>
      </c>
      <c r="E16" s="3">
        <v>8207095.9015999986</v>
      </c>
      <c r="F16" s="3">
        <v>7379983.5450999988</v>
      </c>
      <c r="G16" s="3">
        <v>15932347.798899999</v>
      </c>
      <c r="H16" s="3">
        <f t="shared" si="0"/>
        <v>23312331.343999997</v>
      </c>
      <c r="I16" s="3">
        <v>11920294.521500001</v>
      </c>
      <c r="J16" s="3">
        <v>306930</v>
      </c>
      <c r="K16" s="3">
        <v>937.58</v>
      </c>
      <c r="L16" s="3">
        <v>187330.21000000002</v>
      </c>
      <c r="M16" s="4">
        <v>451.89999999999992</v>
      </c>
      <c r="N16" s="4">
        <v>0</v>
      </c>
      <c r="O16">
        <v>23</v>
      </c>
      <c r="P16">
        <v>31</v>
      </c>
      <c r="Q16" s="30">
        <v>6377.2</v>
      </c>
      <c r="R16" s="30">
        <v>76.400000000000006</v>
      </c>
      <c r="S16">
        <v>15</v>
      </c>
      <c r="T16" s="4">
        <v>23227</v>
      </c>
      <c r="U16" s="4">
        <v>3249</v>
      </c>
      <c r="V16" s="4">
        <v>225</v>
      </c>
      <c r="W16" s="4">
        <v>127</v>
      </c>
      <c r="X16" s="4">
        <f t="shared" si="3"/>
        <v>352</v>
      </c>
      <c r="Y16" s="4">
        <v>0</v>
      </c>
      <c r="Z16">
        <v>3</v>
      </c>
      <c r="AA16" s="4">
        <v>5117</v>
      </c>
      <c r="AB16" s="4">
        <v>159</v>
      </c>
      <c r="AC16" s="4">
        <v>1</v>
      </c>
      <c r="AD16" s="4">
        <v>1</v>
      </c>
      <c r="AE16" s="4">
        <v>0</v>
      </c>
      <c r="AF16" s="4">
        <v>0</v>
      </c>
      <c r="AG16" s="4">
        <v>0</v>
      </c>
      <c r="AH16" s="4">
        <v>0</v>
      </c>
      <c r="AI16" s="4">
        <f t="shared" si="4"/>
        <v>0</v>
      </c>
      <c r="AJ16" s="4">
        <v>0</v>
      </c>
      <c r="AK16" s="4">
        <v>1</v>
      </c>
    </row>
    <row r="17" spans="1:37" x14ac:dyDescent="0.25">
      <c r="A17" s="1">
        <v>40269</v>
      </c>
      <c r="B17" s="6">
        <f t="shared" si="2"/>
        <v>2010</v>
      </c>
      <c r="C17" s="3">
        <v>53617814.283493981</v>
      </c>
      <c r="D17" s="3">
        <v>14289179.892700002</v>
      </c>
      <c r="E17" s="3">
        <v>6918818.8890000004</v>
      </c>
      <c r="F17" s="3">
        <v>6484352.4947999995</v>
      </c>
      <c r="G17" s="3">
        <v>14201569.701399997</v>
      </c>
      <c r="H17" s="3">
        <f t="shared" si="0"/>
        <v>20685922.196199998</v>
      </c>
      <c r="I17" s="3">
        <v>11299278.237500001</v>
      </c>
      <c r="J17" s="3">
        <v>295834</v>
      </c>
      <c r="K17" s="3">
        <v>937.58</v>
      </c>
      <c r="L17" s="3">
        <v>181278.3</v>
      </c>
      <c r="M17" s="4">
        <v>243.49999999999989</v>
      </c>
      <c r="N17" s="4">
        <v>1.3</v>
      </c>
      <c r="O17">
        <v>20</v>
      </c>
      <c r="P17">
        <v>30</v>
      </c>
      <c r="Q17" s="30">
        <v>6401.7</v>
      </c>
      <c r="R17" s="30">
        <v>76.400000000000006</v>
      </c>
      <c r="S17">
        <v>16</v>
      </c>
      <c r="T17" s="4">
        <v>23169</v>
      </c>
      <c r="U17" s="4">
        <v>3250</v>
      </c>
      <c r="V17" s="4">
        <v>223</v>
      </c>
      <c r="W17" s="4">
        <v>130</v>
      </c>
      <c r="X17" s="4">
        <f t="shared" si="3"/>
        <v>353</v>
      </c>
      <c r="Y17" s="4">
        <v>0</v>
      </c>
      <c r="Z17">
        <v>3</v>
      </c>
      <c r="AA17" s="4">
        <v>5117</v>
      </c>
      <c r="AB17" s="4">
        <v>158</v>
      </c>
      <c r="AC17" s="4">
        <v>1</v>
      </c>
      <c r="AD17" s="4">
        <v>1</v>
      </c>
      <c r="AE17" s="4">
        <v>0</v>
      </c>
      <c r="AF17" s="4">
        <v>0</v>
      </c>
      <c r="AG17" s="4">
        <v>1</v>
      </c>
      <c r="AH17" s="4">
        <v>0</v>
      </c>
      <c r="AI17" s="4">
        <f t="shared" si="4"/>
        <v>0</v>
      </c>
      <c r="AJ17" s="4">
        <v>0</v>
      </c>
      <c r="AK17" s="4">
        <v>0</v>
      </c>
    </row>
    <row r="18" spans="1:37" x14ac:dyDescent="0.25">
      <c r="A18" s="1">
        <v>40299</v>
      </c>
      <c r="B18" s="6">
        <f t="shared" si="2"/>
        <v>2010</v>
      </c>
      <c r="C18" s="3">
        <v>54126625.276024096</v>
      </c>
      <c r="D18" s="3">
        <v>12526333.185799999</v>
      </c>
      <c r="E18" s="3">
        <v>6986125.7528999997</v>
      </c>
      <c r="F18" s="3">
        <v>6858406.1645999998</v>
      </c>
      <c r="G18" s="3">
        <v>14216615.762199998</v>
      </c>
      <c r="H18" s="3">
        <f t="shared" si="0"/>
        <v>21075021.926799998</v>
      </c>
      <c r="I18" s="3">
        <v>12141816.925799999</v>
      </c>
      <c r="J18" s="3">
        <v>280852</v>
      </c>
      <c r="K18" s="3">
        <v>937.58</v>
      </c>
      <c r="L18" s="3">
        <v>187299.21000000002</v>
      </c>
      <c r="M18" s="4">
        <v>110.2</v>
      </c>
      <c r="N18" s="4">
        <v>26.100000000000005</v>
      </c>
      <c r="O18">
        <v>20</v>
      </c>
      <c r="P18">
        <v>31</v>
      </c>
      <c r="Q18" s="30">
        <v>6468.9</v>
      </c>
      <c r="R18" s="30">
        <v>77.599999999999994</v>
      </c>
      <c r="S18">
        <v>17</v>
      </c>
      <c r="T18" s="4">
        <v>22966</v>
      </c>
      <c r="U18" s="4">
        <v>3237</v>
      </c>
      <c r="V18" s="4">
        <v>221</v>
      </c>
      <c r="W18" s="4">
        <v>129</v>
      </c>
      <c r="X18" s="4">
        <f t="shared" si="3"/>
        <v>350</v>
      </c>
      <c r="Y18" s="4">
        <v>0</v>
      </c>
      <c r="Z18">
        <v>3</v>
      </c>
      <c r="AA18" s="4">
        <v>5117</v>
      </c>
      <c r="AB18" s="4">
        <v>158</v>
      </c>
      <c r="AC18" s="4">
        <v>1</v>
      </c>
      <c r="AD18" s="4">
        <v>1</v>
      </c>
      <c r="AE18" s="4">
        <v>0</v>
      </c>
      <c r="AF18" s="4">
        <v>0</v>
      </c>
      <c r="AG18" s="4">
        <v>0</v>
      </c>
      <c r="AH18" s="4">
        <v>0</v>
      </c>
      <c r="AI18" s="4">
        <f t="shared" si="4"/>
        <v>1</v>
      </c>
      <c r="AJ18" s="4">
        <v>0</v>
      </c>
      <c r="AK18" s="4">
        <v>0</v>
      </c>
    </row>
    <row r="19" spans="1:37" x14ac:dyDescent="0.25">
      <c r="A19" s="1">
        <v>40330</v>
      </c>
      <c r="B19" s="6">
        <f t="shared" si="2"/>
        <v>2010</v>
      </c>
      <c r="C19" s="3">
        <v>54670951.406867467</v>
      </c>
      <c r="D19" s="3">
        <v>12654046.736899998</v>
      </c>
      <c r="E19" s="3">
        <v>7185164.8809000012</v>
      </c>
      <c r="F19" s="3">
        <v>6964512.6540999999</v>
      </c>
      <c r="G19" s="3">
        <v>14245915.733099999</v>
      </c>
      <c r="H19" s="3">
        <f t="shared" si="0"/>
        <v>21210428.387199998</v>
      </c>
      <c r="I19" s="3">
        <v>12649401.524900001</v>
      </c>
      <c r="J19" s="3">
        <v>247760</v>
      </c>
      <c r="K19" s="3">
        <v>937.58</v>
      </c>
      <c r="L19" s="3">
        <v>181257.3</v>
      </c>
      <c r="M19" s="4">
        <v>38.300000000000004</v>
      </c>
      <c r="N19" s="4">
        <v>33.700000000000003</v>
      </c>
      <c r="O19">
        <v>22</v>
      </c>
      <c r="P19">
        <v>30</v>
      </c>
      <c r="Q19" s="30">
        <v>6578.9</v>
      </c>
      <c r="R19" s="30">
        <v>77.7</v>
      </c>
      <c r="S19">
        <v>18</v>
      </c>
      <c r="T19" s="4">
        <v>23006</v>
      </c>
      <c r="U19" s="4">
        <v>3237</v>
      </c>
      <c r="V19" s="4">
        <v>220</v>
      </c>
      <c r="W19" s="4">
        <v>130</v>
      </c>
      <c r="X19" s="4">
        <f t="shared" si="3"/>
        <v>350</v>
      </c>
      <c r="Y19" s="4">
        <v>0</v>
      </c>
      <c r="Z19">
        <v>3</v>
      </c>
      <c r="AA19" s="4">
        <v>5117</v>
      </c>
      <c r="AB19" s="4">
        <v>158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f t="shared" si="4"/>
        <v>1</v>
      </c>
      <c r="AJ19" s="4">
        <v>0</v>
      </c>
      <c r="AK19" s="4">
        <v>0</v>
      </c>
    </row>
    <row r="20" spans="1:37" x14ac:dyDescent="0.25">
      <c r="A20" s="1">
        <v>40360</v>
      </c>
      <c r="B20" s="6">
        <f t="shared" si="2"/>
        <v>2010</v>
      </c>
      <c r="C20" s="3">
        <v>63606113.927951805</v>
      </c>
      <c r="D20" s="3">
        <v>14622071.658500001</v>
      </c>
      <c r="E20" s="3">
        <v>8291002.0009999992</v>
      </c>
      <c r="F20" s="3">
        <v>7910089.5114000011</v>
      </c>
      <c r="G20" s="3">
        <v>16260395.946899999</v>
      </c>
      <c r="H20" s="3">
        <f t="shared" si="0"/>
        <v>24170485.458300002</v>
      </c>
      <c r="I20" s="3">
        <v>14680604.799199998</v>
      </c>
      <c r="J20" s="3">
        <v>257789</v>
      </c>
      <c r="K20" s="3">
        <v>937.58</v>
      </c>
      <c r="L20" s="3">
        <v>187299.21000000002</v>
      </c>
      <c r="M20" s="4">
        <v>3.4000000000000004</v>
      </c>
      <c r="N20" s="4">
        <v>139.79999999999995</v>
      </c>
      <c r="O20">
        <v>21</v>
      </c>
      <c r="P20">
        <v>31</v>
      </c>
      <c r="Q20" s="30">
        <v>6640.9</v>
      </c>
      <c r="R20" s="30">
        <v>78.5</v>
      </c>
      <c r="S20">
        <v>19</v>
      </c>
      <c r="T20" s="4">
        <v>23113</v>
      </c>
      <c r="U20" s="4">
        <v>3227</v>
      </c>
      <c r="V20" s="4">
        <v>220</v>
      </c>
      <c r="W20" s="4">
        <v>131</v>
      </c>
      <c r="X20" s="4">
        <f t="shared" si="3"/>
        <v>351</v>
      </c>
      <c r="Y20" s="4">
        <v>0</v>
      </c>
      <c r="Z20">
        <v>3</v>
      </c>
      <c r="AA20" s="4">
        <v>5117</v>
      </c>
      <c r="AB20" s="4">
        <v>158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f t="shared" si="4"/>
        <v>1</v>
      </c>
      <c r="AJ20" s="4">
        <v>0</v>
      </c>
      <c r="AK20" s="4">
        <v>0</v>
      </c>
    </row>
    <row r="21" spans="1:37" x14ac:dyDescent="0.25">
      <c r="A21" s="1">
        <v>40391</v>
      </c>
      <c r="B21" s="6">
        <f t="shared" si="2"/>
        <v>2010</v>
      </c>
      <c r="C21" s="3">
        <v>61367637.602289155</v>
      </c>
      <c r="D21" s="3">
        <v>13964183.280500002</v>
      </c>
      <c r="E21" s="3">
        <v>8091227.442999999</v>
      </c>
      <c r="F21" s="3">
        <v>7351681.6341000013</v>
      </c>
      <c r="G21" s="3">
        <v>15989390.5515</v>
      </c>
      <c r="H21" s="3">
        <f t="shared" si="0"/>
        <v>23341072.185600001</v>
      </c>
      <c r="I21" s="3">
        <v>14598500.270999998</v>
      </c>
      <c r="J21" s="3">
        <v>292093</v>
      </c>
      <c r="K21" s="3">
        <v>937.66700000000003</v>
      </c>
      <c r="L21" s="3">
        <v>187299.21000000002</v>
      </c>
      <c r="M21" s="4">
        <v>10.100000000000001</v>
      </c>
      <c r="N21" s="4">
        <v>90.299999999999969</v>
      </c>
      <c r="O21">
        <v>21</v>
      </c>
      <c r="P21">
        <v>31</v>
      </c>
      <c r="Q21" s="30">
        <v>6662.6</v>
      </c>
      <c r="R21" s="30">
        <v>78.099999999999994</v>
      </c>
      <c r="S21">
        <v>20</v>
      </c>
      <c r="T21" s="4">
        <v>23035</v>
      </c>
      <c r="U21" s="4">
        <v>3244</v>
      </c>
      <c r="V21" s="4">
        <v>210</v>
      </c>
      <c r="W21" s="4">
        <v>126</v>
      </c>
      <c r="X21" s="4">
        <f t="shared" si="3"/>
        <v>336</v>
      </c>
      <c r="Y21" s="4">
        <v>0</v>
      </c>
      <c r="Z21">
        <v>3</v>
      </c>
      <c r="AA21" s="4">
        <v>5118</v>
      </c>
      <c r="AB21" s="4">
        <v>158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f t="shared" si="4"/>
        <v>1</v>
      </c>
      <c r="AJ21" s="4">
        <v>0</v>
      </c>
      <c r="AK21" s="4">
        <v>0</v>
      </c>
    </row>
    <row r="22" spans="1:37" x14ac:dyDescent="0.25">
      <c r="A22" s="1">
        <v>40422</v>
      </c>
      <c r="B22" s="6">
        <f t="shared" si="2"/>
        <v>2010</v>
      </c>
      <c r="C22" s="3">
        <v>55295706.378915668</v>
      </c>
      <c r="D22" s="3">
        <v>13079707.3025</v>
      </c>
      <c r="E22" s="3">
        <v>7107037.0582999997</v>
      </c>
      <c r="F22" s="3">
        <v>6380834.2884</v>
      </c>
      <c r="G22" s="3">
        <v>14239030.124399999</v>
      </c>
      <c r="H22" s="3">
        <f t="shared" si="0"/>
        <v>20619864.412799999</v>
      </c>
      <c r="I22" s="3">
        <v>13203697.476100001</v>
      </c>
      <c r="J22" s="3">
        <v>334884</v>
      </c>
      <c r="K22" s="3">
        <v>937.66700000000003</v>
      </c>
      <c r="L22" s="3">
        <v>181257.3</v>
      </c>
      <c r="M22" s="4">
        <v>99.40000000000002</v>
      </c>
      <c r="N22" s="4">
        <v>29.400000000000002</v>
      </c>
      <c r="O22">
        <v>21</v>
      </c>
      <c r="P22">
        <v>30</v>
      </c>
      <c r="Q22" s="30">
        <v>6611.2</v>
      </c>
      <c r="R22" s="30">
        <v>77.2</v>
      </c>
      <c r="S22">
        <v>21</v>
      </c>
      <c r="T22" s="4">
        <v>23146</v>
      </c>
      <c r="U22" s="4">
        <v>3242</v>
      </c>
      <c r="V22" s="4">
        <v>207</v>
      </c>
      <c r="W22" s="4">
        <v>132</v>
      </c>
      <c r="X22" s="4">
        <f t="shared" si="3"/>
        <v>339</v>
      </c>
      <c r="Y22" s="4">
        <v>0</v>
      </c>
      <c r="Z22">
        <v>3</v>
      </c>
      <c r="AA22" s="4">
        <v>5118</v>
      </c>
      <c r="AB22" s="4">
        <v>158</v>
      </c>
      <c r="AC22" s="4">
        <v>1</v>
      </c>
      <c r="AD22" s="4">
        <v>0</v>
      </c>
      <c r="AE22" s="4">
        <v>1</v>
      </c>
      <c r="AF22" s="4">
        <v>0</v>
      </c>
      <c r="AG22" s="4">
        <v>0</v>
      </c>
      <c r="AH22" s="4">
        <v>0</v>
      </c>
      <c r="AI22" s="4">
        <f t="shared" si="4"/>
        <v>0</v>
      </c>
      <c r="AJ22" s="4">
        <v>0</v>
      </c>
      <c r="AK22" s="4">
        <v>0</v>
      </c>
    </row>
    <row r="23" spans="1:37" x14ac:dyDescent="0.25">
      <c r="A23" s="1">
        <v>40452</v>
      </c>
      <c r="B23" s="6">
        <f t="shared" si="2"/>
        <v>2010</v>
      </c>
      <c r="C23" s="3">
        <v>55883354.997590363</v>
      </c>
      <c r="D23" s="3">
        <v>14420343.764199998</v>
      </c>
      <c r="E23" s="3">
        <v>7112672.8845999986</v>
      </c>
      <c r="F23" s="3">
        <v>6188270.4846999999</v>
      </c>
      <c r="G23" s="3">
        <v>14974002.147799999</v>
      </c>
      <c r="H23" s="3">
        <f t="shared" si="0"/>
        <v>21162272.6325</v>
      </c>
      <c r="I23" s="3">
        <v>12168635.138100002</v>
      </c>
      <c r="J23" s="3">
        <v>392625</v>
      </c>
      <c r="K23" s="3">
        <v>937.66700000000003</v>
      </c>
      <c r="L23" s="3">
        <v>207535.53</v>
      </c>
      <c r="M23" s="4">
        <v>284.69999999999993</v>
      </c>
      <c r="N23" s="4">
        <v>0</v>
      </c>
      <c r="O23">
        <v>20</v>
      </c>
      <c r="P23">
        <v>31</v>
      </c>
      <c r="Q23" s="30">
        <v>6587.1</v>
      </c>
      <c r="R23" s="30">
        <v>75.099999999999994</v>
      </c>
      <c r="S23">
        <v>22</v>
      </c>
      <c r="T23" s="4">
        <v>23213</v>
      </c>
      <c r="U23" s="4">
        <v>3247</v>
      </c>
      <c r="V23" s="4">
        <v>208</v>
      </c>
      <c r="W23" s="4">
        <v>132</v>
      </c>
      <c r="X23" s="4">
        <f t="shared" si="3"/>
        <v>340</v>
      </c>
      <c r="Y23" s="4">
        <v>0</v>
      </c>
      <c r="Z23">
        <v>3</v>
      </c>
      <c r="AA23" s="4">
        <v>5118</v>
      </c>
      <c r="AB23" s="4">
        <v>158</v>
      </c>
      <c r="AC23" s="4">
        <v>1</v>
      </c>
      <c r="AD23" s="4">
        <v>0</v>
      </c>
      <c r="AE23" s="4">
        <v>1</v>
      </c>
      <c r="AF23" s="4">
        <v>0</v>
      </c>
      <c r="AG23" s="4">
        <v>0</v>
      </c>
      <c r="AH23" s="4">
        <v>0</v>
      </c>
      <c r="AI23" s="4">
        <f t="shared" si="4"/>
        <v>0</v>
      </c>
      <c r="AJ23" s="4">
        <v>0</v>
      </c>
      <c r="AK23" s="4">
        <v>0</v>
      </c>
    </row>
    <row r="24" spans="1:37" x14ac:dyDescent="0.25">
      <c r="A24" s="1">
        <v>40483</v>
      </c>
      <c r="B24" s="6">
        <f t="shared" si="2"/>
        <v>2010</v>
      </c>
      <c r="C24" s="3">
        <v>60810558.492530122</v>
      </c>
      <c r="D24" s="3">
        <v>16915365.330200002</v>
      </c>
      <c r="E24" s="3">
        <v>7591437.2906999998</v>
      </c>
      <c r="F24" s="3">
        <v>6717315.1308000004</v>
      </c>
      <c r="G24" s="3">
        <v>15767633.752500001</v>
      </c>
      <c r="H24" s="3">
        <f t="shared" si="0"/>
        <v>22484948.883300003</v>
      </c>
      <c r="I24" s="3">
        <v>11726856.469900001</v>
      </c>
      <c r="J24" s="3">
        <v>419923</v>
      </c>
      <c r="K24" s="3">
        <v>937.66700000000003</v>
      </c>
      <c r="L24" s="3">
        <v>207881.46999999997</v>
      </c>
      <c r="M24" s="4">
        <v>451.4</v>
      </c>
      <c r="N24" s="4">
        <v>0</v>
      </c>
      <c r="O24">
        <v>22</v>
      </c>
      <c r="P24">
        <v>30</v>
      </c>
      <c r="Q24" s="30">
        <v>6566.6</v>
      </c>
      <c r="R24" s="30">
        <v>74.5</v>
      </c>
      <c r="S24">
        <v>23</v>
      </c>
      <c r="T24" s="4">
        <v>23299</v>
      </c>
      <c r="U24" s="4">
        <v>3263</v>
      </c>
      <c r="V24" s="4">
        <v>212</v>
      </c>
      <c r="W24" s="4">
        <v>129</v>
      </c>
      <c r="X24" s="4">
        <f t="shared" si="3"/>
        <v>341</v>
      </c>
      <c r="Y24" s="4">
        <v>0</v>
      </c>
      <c r="Z24">
        <v>3</v>
      </c>
      <c r="AA24" s="4">
        <v>5118</v>
      </c>
      <c r="AB24" s="4">
        <v>158</v>
      </c>
      <c r="AC24" s="4">
        <v>1</v>
      </c>
      <c r="AD24" s="4">
        <v>0</v>
      </c>
      <c r="AE24" s="4">
        <v>1</v>
      </c>
      <c r="AF24" s="4">
        <v>0</v>
      </c>
      <c r="AG24" s="4">
        <v>0</v>
      </c>
      <c r="AH24" s="4">
        <v>0</v>
      </c>
      <c r="AI24" s="4">
        <f t="shared" si="4"/>
        <v>0</v>
      </c>
      <c r="AJ24" s="4">
        <v>0</v>
      </c>
      <c r="AK24" s="4">
        <v>0</v>
      </c>
    </row>
    <row r="25" spans="1:37" x14ac:dyDescent="0.25">
      <c r="A25" s="1">
        <v>40513</v>
      </c>
      <c r="B25" s="6">
        <f t="shared" si="2"/>
        <v>2010</v>
      </c>
      <c r="C25" s="3">
        <v>70200560.516746983</v>
      </c>
      <c r="D25" s="3">
        <v>20949855.477400001</v>
      </c>
      <c r="E25" s="3">
        <v>8718326.5439999998</v>
      </c>
      <c r="F25" s="3">
        <v>7765334.9057000009</v>
      </c>
      <c r="G25" s="3">
        <v>17437347.504500002</v>
      </c>
      <c r="H25" s="3">
        <f t="shared" si="0"/>
        <v>25202682.410200004</v>
      </c>
      <c r="I25" s="3">
        <v>11839747.178100001</v>
      </c>
      <c r="J25" s="3">
        <v>455828</v>
      </c>
      <c r="K25" s="3">
        <v>937.66700000000003</v>
      </c>
      <c r="L25" s="3">
        <v>164042.60999999999</v>
      </c>
      <c r="M25" s="4">
        <v>713.49999999999989</v>
      </c>
      <c r="N25" s="4">
        <v>0</v>
      </c>
      <c r="O25">
        <v>21</v>
      </c>
      <c r="P25">
        <v>31</v>
      </c>
      <c r="Q25" s="30">
        <v>6584.1</v>
      </c>
      <c r="R25" s="30">
        <v>75.5</v>
      </c>
      <c r="S25">
        <v>24</v>
      </c>
      <c r="T25" s="4">
        <v>23337</v>
      </c>
      <c r="U25" s="4">
        <v>3264</v>
      </c>
      <c r="V25" s="4">
        <v>212</v>
      </c>
      <c r="W25" s="4">
        <v>129</v>
      </c>
      <c r="X25" s="4">
        <f t="shared" si="3"/>
        <v>341</v>
      </c>
      <c r="Y25" s="4">
        <v>0</v>
      </c>
      <c r="Z25">
        <v>3</v>
      </c>
      <c r="AA25" s="4">
        <v>5118</v>
      </c>
      <c r="AB25" s="4">
        <v>158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1</v>
      </c>
      <c r="AI25" s="4">
        <f t="shared" si="4"/>
        <v>0</v>
      </c>
      <c r="AJ25" s="4">
        <v>0</v>
      </c>
      <c r="AK25" s="4">
        <v>0</v>
      </c>
    </row>
    <row r="26" spans="1:37" x14ac:dyDescent="0.25">
      <c r="A26" s="1">
        <v>40544</v>
      </c>
      <c r="B26" s="6">
        <f t="shared" si="2"/>
        <v>2011</v>
      </c>
      <c r="C26" s="3">
        <v>74817443.472409651</v>
      </c>
      <c r="D26" s="3">
        <v>22949860.934299998</v>
      </c>
      <c r="E26" s="3">
        <v>9393676.9426000006</v>
      </c>
      <c r="F26" s="3">
        <v>8155987.8699999992</v>
      </c>
      <c r="G26" s="3">
        <v>18563434.959099997</v>
      </c>
      <c r="H26" s="3">
        <f t="shared" si="0"/>
        <v>26719422.829099998</v>
      </c>
      <c r="I26" s="3">
        <v>12401325.915100001</v>
      </c>
      <c r="J26" s="3">
        <v>444393</v>
      </c>
      <c r="K26" s="3">
        <v>937.66700000000003</v>
      </c>
      <c r="L26" s="3">
        <v>132836.85999999999</v>
      </c>
      <c r="M26" s="4">
        <v>853.19999999999982</v>
      </c>
      <c r="N26" s="4">
        <v>0</v>
      </c>
      <c r="O26">
        <v>20</v>
      </c>
      <c r="P26">
        <v>31</v>
      </c>
      <c r="Q26" s="30">
        <v>6571.2</v>
      </c>
      <c r="R26" s="30">
        <v>76.2</v>
      </c>
      <c r="S26">
        <v>25</v>
      </c>
      <c r="T26" s="4">
        <v>23342</v>
      </c>
      <c r="U26" s="4">
        <v>3262</v>
      </c>
      <c r="V26" s="4">
        <v>212</v>
      </c>
      <c r="W26" s="4">
        <v>129</v>
      </c>
      <c r="X26" s="4">
        <f t="shared" si="3"/>
        <v>341</v>
      </c>
      <c r="Y26" s="4">
        <v>0</v>
      </c>
      <c r="Z26">
        <v>3</v>
      </c>
      <c r="AA26" s="4">
        <v>5118</v>
      </c>
      <c r="AB26" s="4">
        <v>158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f t="shared" si="4"/>
        <v>0</v>
      </c>
      <c r="AJ26" s="4">
        <v>1</v>
      </c>
      <c r="AK26" s="4">
        <v>0</v>
      </c>
    </row>
    <row r="27" spans="1:37" x14ac:dyDescent="0.25">
      <c r="A27" s="1">
        <v>40575</v>
      </c>
      <c r="B27" s="6">
        <f t="shared" si="2"/>
        <v>2011</v>
      </c>
      <c r="C27" s="3">
        <v>66878967.871445782</v>
      </c>
      <c r="D27" s="3">
        <v>20130373.043899998</v>
      </c>
      <c r="E27" s="3">
        <v>8452752.0697000008</v>
      </c>
      <c r="F27" s="3">
        <v>7442987.6205000002</v>
      </c>
      <c r="G27" s="3">
        <v>16691578.0167</v>
      </c>
      <c r="H27" s="3">
        <f t="shared" si="0"/>
        <v>24134565.637199998</v>
      </c>
      <c r="I27" s="3">
        <v>11361644.729800001</v>
      </c>
      <c r="J27" s="3">
        <v>369262</v>
      </c>
      <c r="K27" s="3">
        <v>937.66700000000003</v>
      </c>
      <c r="L27" s="3">
        <v>119381.92</v>
      </c>
      <c r="M27" s="4">
        <v>700.39999999999986</v>
      </c>
      <c r="N27" s="4">
        <v>0</v>
      </c>
      <c r="O27">
        <v>19</v>
      </c>
      <c r="P27">
        <v>28</v>
      </c>
      <c r="Q27" s="30">
        <v>6548.1</v>
      </c>
      <c r="R27" s="30">
        <v>76.2</v>
      </c>
      <c r="S27">
        <v>26</v>
      </c>
      <c r="T27" s="4">
        <v>23363</v>
      </c>
      <c r="U27" s="4">
        <v>3264</v>
      </c>
      <c r="V27" s="4">
        <v>212</v>
      </c>
      <c r="W27" s="4">
        <v>129</v>
      </c>
      <c r="X27" s="4">
        <f t="shared" si="3"/>
        <v>341</v>
      </c>
      <c r="Y27" s="4">
        <v>0</v>
      </c>
      <c r="Z27">
        <v>3</v>
      </c>
      <c r="AA27" s="4">
        <v>5118</v>
      </c>
      <c r="AB27" s="4">
        <v>158</v>
      </c>
      <c r="AC27" s="4">
        <v>0</v>
      </c>
      <c r="AD27" s="4">
        <v>0</v>
      </c>
      <c r="AE27" s="4">
        <v>0</v>
      </c>
      <c r="AF27" s="4">
        <v>1</v>
      </c>
      <c r="AG27" s="4">
        <v>0</v>
      </c>
      <c r="AH27" s="4">
        <v>0</v>
      </c>
      <c r="AI27" s="4">
        <f t="shared" si="4"/>
        <v>0</v>
      </c>
      <c r="AJ27" s="4">
        <v>0</v>
      </c>
      <c r="AK27" s="4">
        <v>0</v>
      </c>
    </row>
    <row r="28" spans="1:37" x14ac:dyDescent="0.25">
      <c r="A28" s="1">
        <v>40603</v>
      </c>
      <c r="B28" s="6">
        <f t="shared" si="2"/>
        <v>2011</v>
      </c>
      <c r="C28" s="3">
        <v>67707390.619397581</v>
      </c>
      <c r="D28" s="3">
        <v>19264282.676100001</v>
      </c>
      <c r="E28" s="3">
        <v>8568325.1115000006</v>
      </c>
      <c r="F28" s="3">
        <v>7467918.3195000002</v>
      </c>
      <c r="G28" s="3">
        <v>17300089.369700003</v>
      </c>
      <c r="H28" s="3">
        <f t="shared" si="0"/>
        <v>24768007.689200003</v>
      </c>
      <c r="I28" s="3">
        <v>12401622.3706</v>
      </c>
      <c r="J28" s="3">
        <v>326640</v>
      </c>
      <c r="K28" s="3">
        <v>937.66700000000003</v>
      </c>
      <c r="L28" s="3">
        <v>132172.84</v>
      </c>
      <c r="M28" s="4">
        <v>595.70000000000016</v>
      </c>
      <c r="N28" s="4">
        <v>0</v>
      </c>
      <c r="O28">
        <v>23</v>
      </c>
      <c r="P28">
        <v>31</v>
      </c>
      <c r="Q28" s="30">
        <v>6523.7</v>
      </c>
      <c r="R28" s="30">
        <v>75.900000000000006</v>
      </c>
      <c r="S28">
        <v>27</v>
      </c>
      <c r="T28" s="4">
        <v>23358</v>
      </c>
      <c r="U28" s="4">
        <v>3261</v>
      </c>
      <c r="V28" s="4">
        <v>213</v>
      </c>
      <c r="W28" s="4">
        <v>129</v>
      </c>
      <c r="X28" s="4">
        <f t="shared" si="3"/>
        <v>342</v>
      </c>
      <c r="Y28" s="4">
        <v>0</v>
      </c>
      <c r="Z28">
        <v>3</v>
      </c>
      <c r="AA28" s="4">
        <v>5118</v>
      </c>
      <c r="AB28" s="4">
        <v>158</v>
      </c>
      <c r="AC28" s="4">
        <v>1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f t="shared" si="4"/>
        <v>0</v>
      </c>
      <c r="AJ28" s="4">
        <v>0</v>
      </c>
      <c r="AK28" s="4">
        <v>1</v>
      </c>
    </row>
    <row r="29" spans="1:37" x14ac:dyDescent="0.25">
      <c r="A29" s="1">
        <v>40634</v>
      </c>
      <c r="B29" s="6">
        <f t="shared" si="2"/>
        <v>2011</v>
      </c>
      <c r="C29" s="3">
        <v>57529315.16084338</v>
      </c>
      <c r="D29" s="3">
        <v>15275002.8061</v>
      </c>
      <c r="E29" s="3">
        <v>7346493.2652000012</v>
      </c>
      <c r="F29" s="3">
        <v>6510677.1981999995</v>
      </c>
      <c r="G29" s="3">
        <v>14918321.143400002</v>
      </c>
      <c r="H29" s="3">
        <f t="shared" si="0"/>
        <v>21428998.341600001</v>
      </c>
      <c r="I29" s="3">
        <v>11657885.962400001</v>
      </c>
      <c r="J29" s="3">
        <v>306887</v>
      </c>
      <c r="K29" s="3">
        <v>937.66700000000003</v>
      </c>
      <c r="L29" s="3">
        <v>127909.2</v>
      </c>
      <c r="M29" s="4">
        <v>350.99999999999989</v>
      </c>
      <c r="N29" s="4">
        <v>0</v>
      </c>
      <c r="O29">
        <v>19</v>
      </c>
      <c r="P29">
        <v>30</v>
      </c>
      <c r="Q29" s="30">
        <v>6550</v>
      </c>
      <c r="R29" s="30">
        <v>77.7</v>
      </c>
      <c r="S29">
        <v>28</v>
      </c>
      <c r="T29" s="4">
        <v>23357</v>
      </c>
      <c r="U29" s="4">
        <v>3260</v>
      </c>
      <c r="V29" s="4">
        <v>214</v>
      </c>
      <c r="W29" s="4">
        <v>129</v>
      </c>
      <c r="X29" s="4">
        <f t="shared" si="3"/>
        <v>343</v>
      </c>
      <c r="Y29" s="4">
        <v>0</v>
      </c>
      <c r="Z29">
        <v>3</v>
      </c>
      <c r="AA29" s="4">
        <v>5118</v>
      </c>
      <c r="AB29" s="4">
        <v>158</v>
      </c>
      <c r="AC29" s="4">
        <v>1</v>
      </c>
      <c r="AD29" s="4">
        <v>1</v>
      </c>
      <c r="AE29" s="4">
        <v>0</v>
      </c>
      <c r="AF29" s="4">
        <v>0</v>
      </c>
      <c r="AG29" s="4">
        <v>1</v>
      </c>
      <c r="AH29" s="4">
        <v>0</v>
      </c>
      <c r="AI29" s="4">
        <f t="shared" si="4"/>
        <v>0</v>
      </c>
      <c r="AJ29" s="4">
        <v>0</v>
      </c>
      <c r="AK29" s="4">
        <v>0</v>
      </c>
    </row>
    <row r="30" spans="1:37" x14ac:dyDescent="0.25">
      <c r="A30" s="1">
        <v>40664</v>
      </c>
      <c r="B30" s="6">
        <f t="shared" si="2"/>
        <v>2011</v>
      </c>
      <c r="C30" s="3">
        <v>53752482.291325293</v>
      </c>
      <c r="D30" s="3">
        <v>12988644.4836</v>
      </c>
      <c r="E30" s="3">
        <v>7368309.8563999999</v>
      </c>
      <c r="F30" s="3">
        <v>6400199.0625</v>
      </c>
      <c r="G30" s="3">
        <v>14575523.992699999</v>
      </c>
      <c r="H30" s="3">
        <f t="shared" si="0"/>
        <v>20975723.055199999</v>
      </c>
      <c r="I30" s="3">
        <v>12129470.6171</v>
      </c>
      <c r="J30" s="3">
        <v>276844</v>
      </c>
      <c r="K30" s="3">
        <v>937.66700000000003</v>
      </c>
      <c r="L30" s="3">
        <v>132172.84</v>
      </c>
      <c r="M30" s="4">
        <v>150</v>
      </c>
      <c r="N30" s="4">
        <v>1.2999999999999998</v>
      </c>
      <c r="O30">
        <v>21</v>
      </c>
      <c r="P30">
        <v>31</v>
      </c>
      <c r="Q30" s="30">
        <v>6612</v>
      </c>
      <c r="R30" s="30">
        <v>78.8</v>
      </c>
      <c r="S30">
        <v>29</v>
      </c>
      <c r="T30" s="4">
        <v>23144</v>
      </c>
      <c r="U30" s="4">
        <v>3250</v>
      </c>
      <c r="V30" s="4">
        <v>210</v>
      </c>
      <c r="W30" s="4">
        <v>129</v>
      </c>
      <c r="X30" s="4">
        <f t="shared" si="3"/>
        <v>339</v>
      </c>
      <c r="Y30" s="4">
        <v>0</v>
      </c>
      <c r="Z30">
        <v>3</v>
      </c>
      <c r="AA30" s="4">
        <v>5118</v>
      </c>
      <c r="AB30" s="4">
        <v>158</v>
      </c>
      <c r="AC30" s="4">
        <v>1</v>
      </c>
      <c r="AD30" s="4">
        <v>1</v>
      </c>
      <c r="AE30" s="4">
        <v>0</v>
      </c>
      <c r="AF30" s="4">
        <v>0</v>
      </c>
      <c r="AG30" s="4">
        <v>0</v>
      </c>
      <c r="AH30" s="4">
        <v>0</v>
      </c>
      <c r="AI30" s="4">
        <f t="shared" si="4"/>
        <v>1</v>
      </c>
      <c r="AJ30" s="4">
        <v>0</v>
      </c>
      <c r="AK30" s="4">
        <v>0</v>
      </c>
    </row>
    <row r="31" spans="1:37" x14ac:dyDescent="0.25">
      <c r="A31" s="1">
        <v>40695</v>
      </c>
      <c r="B31" s="6">
        <f t="shared" si="2"/>
        <v>2011</v>
      </c>
      <c r="C31" s="3">
        <v>55061503.610843383</v>
      </c>
      <c r="D31" s="3">
        <v>12227658.222899999</v>
      </c>
      <c r="E31" s="3">
        <v>7131096.6754999999</v>
      </c>
      <c r="F31" s="3">
        <v>6436061.5691999998</v>
      </c>
      <c r="G31" s="3">
        <v>14645636.9081</v>
      </c>
      <c r="H31" s="3">
        <f t="shared" si="0"/>
        <v>21081698.477299999</v>
      </c>
      <c r="I31" s="3">
        <v>13315461.3706</v>
      </c>
      <c r="J31" s="3">
        <v>247760</v>
      </c>
      <c r="K31" s="3">
        <v>937.92700000000002</v>
      </c>
      <c r="L31" s="3">
        <v>125252.6</v>
      </c>
      <c r="M31" s="4">
        <v>25.199999999999996</v>
      </c>
      <c r="N31" s="4">
        <v>24.900000000000002</v>
      </c>
      <c r="O31">
        <v>22</v>
      </c>
      <c r="P31">
        <v>30</v>
      </c>
      <c r="Q31" s="30">
        <v>6706.8</v>
      </c>
      <c r="R31" s="30">
        <v>81</v>
      </c>
      <c r="S31">
        <v>30</v>
      </c>
      <c r="T31" s="4">
        <v>23078</v>
      </c>
      <c r="U31" s="4">
        <v>3250</v>
      </c>
      <c r="V31" s="4">
        <v>207</v>
      </c>
      <c r="W31" s="4">
        <v>131</v>
      </c>
      <c r="X31" s="4">
        <f t="shared" si="3"/>
        <v>338</v>
      </c>
      <c r="Y31" s="4">
        <v>0</v>
      </c>
      <c r="Z31">
        <v>3</v>
      </c>
      <c r="AA31" s="4">
        <v>5120</v>
      </c>
      <c r="AB31" s="4">
        <v>158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f t="shared" si="4"/>
        <v>1</v>
      </c>
      <c r="AJ31" s="4">
        <v>0</v>
      </c>
      <c r="AK31" s="4">
        <v>0</v>
      </c>
    </row>
    <row r="32" spans="1:37" x14ac:dyDescent="0.25">
      <c r="A32" s="1">
        <v>40725</v>
      </c>
      <c r="B32" s="6">
        <f t="shared" si="2"/>
        <v>2011</v>
      </c>
      <c r="C32" s="3">
        <v>63454852.060843371</v>
      </c>
      <c r="D32" s="3">
        <v>14186476.795499999</v>
      </c>
      <c r="E32" s="3">
        <v>8127943.4221000001</v>
      </c>
      <c r="F32" s="3">
        <v>6951498.0145000005</v>
      </c>
      <c r="G32" s="3">
        <v>16502618.055099998</v>
      </c>
      <c r="H32" s="3">
        <f t="shared" si="0"/>
        <v>23454116.069599997</v>
      </c>
      <c r="I32" s="3">
        <v>15254632.6943</v>
      </c>
      <c r="J32" s="3">
        <v>266041</v>
      </c>
      <c r="K32" s="3">
        <v>937.92700000000002</v>
      </c>
      <c r="L32" s="3">
        <v>123890.66</v>
      </c>
      <c r="M32" s="4">
        <v>0</v>
      </c>
      <c r="N32" s="4">
        <v>118.30000000000003</v>
      </c>
      <c r="O32">
        <v>20</v>
      </c>
      <c r="P32">
        <v>31</v>
      </c>
      <c r="Q32" s="30">
        <v>6755.3</v>
      </c>
      <c r="R32" s="30">
        <v>81.2</v>
      </c>
      <c r="S32">
        <v>31</v>
      </c>
      <c r="T32" s="4">
        <v>23049</v>
      </c>
      <c r="U32" s="4">
        <v>3245</v>
      </c>
      <c r="V32" s="4">
        <v>208</v>
      </c>
      <c r="W32" s="4">
        <v>131</v>
      </c>
      <c r="X32" s="4">
        <f t="shared" si="3"/>
        <v>339</v>
      </c>
      <c r="Y32" s="4">
        <v>0</v>
      </c>
      <c r="Z32">
        <v>3</v>
      </c>
      <c r="AA32" s="4">
        <v>5120</v>
      </c>
      <c r="AB32" s="4">
        <v>154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f t="shared" si="4"/>
        <v>1</v>
      </c>
      <c r="AJ32" s="4">
        <v>0</v>
      </c>
      <c r="AK32" s="4">
        <v>0</v>
      </c>
    </row>
    <row r="33" spans="1:37" x14ac:dyDescent="0.25">
      <c r="A33" s="1">
        <v>40756</v>
      </c>
      <c r="B33" s="6">
        <f t="shared" si="2"/>
        <v>2011</v>
      </c>
      <c r="C33" s="3">
        <v>61597112.417108439</v>
      </c>
      <c r="D33" s="3">
        <v>13646879.092999998</v>
      </c>
      <c r="E33" s="3">
        <v>7808808.1944000004</v>
      </c>
      <c r="F33" s="3">
        <v>6782880.2512999997</v>
      </c>
      <c r="G33" s="3">
        <v>15994262.2195</v>
      </c>
      <c r="H33" s="3">
        <f t="shared" si="0"/>
        <v>22777142.470799997</v>
      </c>
      <c r="I33" s="3">
        <v>14946593.828</v>
      </c>
      <c r="J33" s="3">
        <v>301168</v>
      </c>
      <c r="K33" s="3">
        <v>937.99900000000002</v>
      </c>
      <c r="L33" s="3">
        <v>123831.98</v>
      </c>
      <c r="M33" s="4">
        <v>7</v>
      </c>
      <c r="N33" s="4">
        <v>68.2</v>
      </c>
      <c r="O33">
        <v>22</v>
      </c>
      <c r="P33">
        <v>31</v>
      </c>
      <c r="Q33" s="30">
        <v>6778</v>
      </c>
      <c r="R33" s="30">
        <v>82</v>
      </c>
      <c r="S33">
        <v>32</v>
      </c>
      <c r="T33" s="4">
        <v>23068</v>
      </c>
      <c r="U33" s="4">
        <v>3235</v>
      </c>
      <c r="V33" s="4">
        <v>209</v>
      </c>
      <c r="W33" s="4">
        <v>132</v>
      </c>
      <c r="X33" s="4">
        <f t="shared" si="3"/>
        <v>341</v>
      </c>
      <c r="Y33" s="4">
        <v>0</v>
      </c>
      <c r="Z33">
        <v>3</v>
      </c>
      <c r="AA33" s="4">
        <v>5121</v>
      </c>
      <c r="AB33" s="4">
        <v>153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f t="shared" si="4"/>
        <v>1</v>
      </c>
      <c r="AJ33" s="4">
        <v>0</v>
      </c>
      <c r="AK33" s="4">
        <v>0</v>
      </c>
    </row>
    <row r="34" spans="1:37" x14ac:dyDescent="0.25">
      <c r="A34" s="1">
        <v>40787</v>
      </c>
      <c r="B34" s="6">
        <f t="shared" si="2"/>
        <v>2011</v>
      </c>
      <c r="C34" s="3">
        <v>57151638.737228915</v>
      </c>
      <c r="D34" s="3">
        <v>12374381.956699999</v>
      </c>
      <c r="E34" s="3">
        <v>6954625.1506999992</v>
      </c>
      <c r="F34" s="3">
        <v>6332825.8656000001</v>
      </c>
      <c r="G34" s="3">
        <v>14771093.356800001</v>
      </c>
      <c r="H34" s="3">
        <f t="shared" si="0"/>
        <v>21103919.222400002</v>
      </c>
      <c r="I34" s="3">
        <v>14191674.646299999</v>
      </c>
      <c r="J34" s="3">
        <v>334881</v>
      </c>
      <c r="K34" s="3">
        <v>937.99900000000002</v>
      </c>
      <c r="L34" s="3">
        <v>119837.4</v>
      </c>
      <c r="M34" s="4">
        <v>72.5</v>
      </c>
      <c r="N34" s="4">
        <v>24.500000000000004</v>
      </c>
      <c r="O34">
        <v>21</v>
      </c>
      <c r="P34">
        <v>30</v>
      </c>
      <c r="Q34" s="30">
        <v>6734.6</v>
      </c>
      <c r="R34" s="30">
        <v>80.5</v>
      </c>
      <c r="S34">
        <v>33</v>
      </c>
      <c r="T34" s="4">
        <v>23151</v>
      </c>
      <c r="U34" s="4">
        <v>3235</v>
      </c>
      <c r="V34" s="4">
        <v>215</v>
      </c>
      <c r="W34" s="4">
        <v>132</v>
      </c>
      <c r="X34" s="4">
        <f t="shared" si="3"/>
        <v>347</v>
      </c>
      <c r="Y34" s="4">
        <v>0</v>
      </c>
      <c r="Z34">
        <v>3</v>
      </c>
      <c r="AA34" s="4">
        <v>5121</v>
      </c>
      <c r="AB34" s="4">
        <v>153</v>
      </c>
      <c r="AC34" s="4">
        <v>1</v>
      </c>
      <c r="AD34" s="4">
        <v>0</v>
      </c>
      <c r="AE34" s="4">
        <v>1</v>
      </c>
      <c r="AF34" s="4">
        <v>0</v>
      </c>
      <c r="AG34" s="4">
        <v>0</v>
      </c>
      <c r="AH34" s="4">
        <v>0</v>
      </c>
      <c r="AI34" s="4">
        <f t="shared" si="4"/>
        <v>0</v>
      </c>
      <c r="AJ34" s="4">
        <v>0</v>
      </c>
      <c r="AK34" s="4">
        <v>0</v>
      </c>
    </row>
    <row r="35" spans="1:37" x14ac:dyDescent="0.25">
      <c r="A35" s="1">
        <v>40817</v>
      </c>
      <c r="B35" s="6">
        <f t="shared" si="2"/>
        <v>2011</v>
      </c>
      <c r="C35" s="3">
        <v>56646902.545301214</v>
      </c>
      <c r="D35" s="3">
        <v>13664672.127900001</v>
      </c>
      <c r="E35" s="3">
        <v>6817049.963200001</v>
      </c>
      <c r="F35" s="3">
        <v>6596995.5294000003</v>
      </c>
      <c r="G35" s="3">
        <v>14916177.104200002</v>
      </c>
      <c r="H35" s="3">
        <f t="shared" si="0"/>
        <v>21513172.633600004</v>
      </c>
      <c r="I35" s="3">
        <v>12844301.167599998</v>
      </c>
      <c r="J35" s="3">
        <v>392623</v>
      </c>
      <c r="K35" s="3">
        <v>937.99900000000002</v>
      </c>
      <c r="L35" s="3">
        <v>123831.98</v>
      </c>
      <c r="M35" s="4">
        <v>266.49999999999994</v>
      </c>
      <c r="N35" s="4">
        <v>0.5</v>
      </c>
      <c r="O35">
        <v>20</v>
      </c>
      <c r="P35">
        <v>31</v>
      </c>
      <c r="Q35" s="30">
        <v>6702.2</v>
      </c>
      <c r="R35" s="30">
        <v>79.7</v>
      </c>
      <c r="S35">
        <v>34</v>
      </c>
      <c r="T35" s="4">
        <v>23189</v>
      </c>
      <c r="U35" s="4">
        <v>3226</v>
      </c>
      <c r="V35" s="4">
        <v>217</v>
      </c>
      <c r="W35" s="4">
        <v>131</v>
      </c>
      <c r="X35" s="4">
        <f t="shared" si="3"/>
        <v>348</v>
      </c>
      <c r="Y35" s="4">
        <v>0</v>
      </c>
      <c r="Z35">
        <v>3</v>
      </c>
      <c r="AA35" s="4">
        <v>5121</v>
      </c>
      <c r="AB35" s="4">
        <v>153</v>
      </c>
      <c r="AC35" s="4">
        <v>1</v>
      </c>
      <c r="AD35" s="4">
        <v>0</v>
      </c>
      <c r="AE35" s="4">
        <v>1</v>
      </c>
      <c r="AF35" s="4">
        <v>0</v>
      </c>
      <c r="AG35" s="4">
        <v>0</v>
      </c>
      <c r="AH35" s="4">
        <v>0</v>
      </c>
      <c r="AI35" s="4">
        <f t="shared" si="4"/>
        <v>0</v>
      </c>
      <c r="AJ35" s="4">
        <v>0</v>
      </c>
      <c r="AK35" s="4">
        <v>0</v>
      </c>
    </row>
    <row r="36" spans="1:37" x14ac:dyDescent="0.25">
      <c r="A36" s="1">
        <v>40848</v>
      </c>
      <c r="B36" s="6">
        <f t="shared" si="2"/>
        <v>2011</v>
      </c>
      <c r="C36" s="3">
        <v>58228039.515662655</v>
      </c>
      <c r="D36" s="3">
        <v>15512028.3873</v>
      </c>
      <c r="E36" s="3">
        <v>7100784.7841999996</v>
      </c>
      <c r="F36" s="3">
        <v>6630682.2798000006</v>
      </c>
      <c r="G36" s="3">
        <v>15220254.156100001</v>
      </c>
      <c r="H36" s="3">
        <f t="shared" si="0"/>
        <v>21850936.435900003</v>
      </c>
      <c r="I36" s="3">
        <v>11999298.3411</v>
      </c>
      <c r="J36" s="3">
        <v>419915</v>
      </c>
      <c r="K36" s="3">
        <v>937.99900000000002</v>
      </c>
      <c r="L36" s="3">
        <v>119837.4</v>
      </c>
      <c r="M36" s="4">
        <v>394.7</v>
      </c>
      <c r="N36" s="4">
        <v>0</v>
      </c>
      <c r="O36">
        <v>22</v>
      </c>
      <c r="P36">
        <v>30</v>
      </c>
      <c r="Q36" s="30">
        <v>6669.4</v>
      </c>
      <c r="R36" s="30">
        <v>78.7</v>
      </c>
      <c r="S36">
        <v>35</v>
      </c>
      <c r="T36" s="4">
        <v>23212</v>
      </c>
      <c r="U36" s="4">
        <v>3224</v>
      </c>
      <c r="V36" s="4">
        <v>222</v>
      </c>
      <c r="W36" s="4">
        <v>131</v>
      </c>
      <c r="X36" s="4">
        <f t="shared" si="3"/>
        <v>353</v>
      </c>
      <c r="Y36" s="4">
        <v>0</v>
      </c>
      <c r="Z36">
        <v>3</v>
      </c>
      <c r="AA36" s="4">
        <v>5121</v>
      </c>
      <c r="AB36" s="4">
        <v>153</v>
      </c>
      <c r="AC36" s="4">
        <v>1</v>
      </c>
      <c r="AD36" s="4">
        <v>0</v>
      </c>
      <c r="AE36" s="4">
        <v>1</v>
      </c>
      <c r="AF36" s="4">
        <v>0</v>
      </c>
      <c r="AG36" s="4">
        <v>0</v>
      </c>
      <c r="AH36" s="4">
        <v>0</v>
      </c>
      <c r="AI36" s="4">
        <f t="shared" si="4"/>
        <v>0</v>
      </c>
      <c r="AJ36" s="4">
        <v>0</v>
      </c>
      <c r="AK36" s="4">
        <v>0</v>
      </c>
    </row>
    <row r="37" spans="1:37" x14ac:dyDescent="0.25">
      <c r="A37" s="1">
        <v>40878</v>
      </c>
      <c r="B37" s="6">
        <f t="shared" si="2"/>
        <v>2011</v>
      </c>
      <c r="C37" s="3">
        <v>66082806.975783132</v>
      </c>
      <c r="D37" s="3">
        <v>18884077.882800002</v>
      </c>
      <c r="E37" s="3">
        <v>7938769.4755000006</v>
      </c>
      <c r="F37" s="3">
        <v>7106759.3358000005</v>
      </c>
      <c r="G37" s="3">
        <v>16798121.953400001</v>
      </c>
      <c r="H37" s="3">
        <f t="shared" si="0"/>
        <v>23904881.2892</v>
      </c>
      <c r="I37" s="3">
        <v>11987806.8026</v>
      </c>
      <c r="J37" s="3">
        <v>455824</v>
      </c>
      <c r="K37" s="3">
        <v>920.53</v>
      </c>
      <c r="L37" s="3">
        <v>136699.38</v>
      </c>
      <c r="M37" s="4">
        <v>623.09999999999991</v>
      </c>
      <c r="N37" s="4">
        <v>0</v>
      </c>
      <c r="O37">
        <v>20</v>
      </c>
      <c r="P37">
        <v>31</v>
      </c>
      <c r="Q37" s="30">
        <v>6668.3</v>
      </c>
      <c r="R37" s="30">
        <v>79.599999999999994</v>
      </c>
      <c r="S37">
        <v>36</v>
      </c>
      <c r="T37" s="4">
        <v>23234</v>
      </c>
      <c r="U37" s="4">
        <v>3225</v>
      </c>
      <c r="V37" s="4">
        <v>225</v>
      </c>
      <c r="W37" s="4">
        <v>132</v>
      </c>
      <c r="X37" s="4">
        <f t="shared" si="3"/>
        <v>357</v>
      </c>
      <c r="Y37" s="4">
        <v>0</v>
      </c>
      <c r="Z37">
        <v>3</v>
      </c>
      <c r="AA37" s="4">
        <v>5121</v>
      </c>
      <c r="AB37" s="4">
        <v>152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1</v>
      </c>
      <c r="AI37" s="4">
        <f t="shared" si="4"/>
        <v>0</v>
      </c>
      <c r="AJ37" s="4">
        <v>0</v>
      </c>
      <c r="AK37" s="4">
        <v>0</v>
      </c>
    </row>
    <row r="38" spans="1:37" x14ac:dyDescent="0.25">
      <c r="A38" s="1">
        <v>40909</v>
      </c>
      <c r="B38" s="6">
        <f t="shared" si="2"/>
        <v>2012</v>
      </c>
      <c r="C38" s="3">
        <v>71180859.22795181</v>
      </c>
      <c r="D38" s="3">
        <v>20794679.283499997</v>
      </c>
      <c r="E38" s="3">
        <v>8455236.2163999993</v>
      </c>
      <c r="F38" s="3">
        <v>7761726.2859000005</v>
      </c>
      <c r="G38" s="3">
        <v>17915050.073100001</v>
      </c>
      <c r="H38" s="3">
        <f t="shared" si="0"/>
        <v>25676776.359000001</v>
      </c>
      <c r="I38" s="3">
        <v>12582843.8882</v>
      </c>
      <c r="J38" s="3">
        <v>464991</v>
      </c>
      <c r="K38" s="3">
        <v>920.53</v>
      </c>
      <c r="L38" s="3">
        <v>141662.18</v>
      </c>
      <c r="M38" s="4">
        <v>712.69999999999993</v>
      </c>
      <c r="N38" s="4">
        <v>0</v>
      </c>
      <c r="O38" s="4">
        <v>21</v>
      </c>
      <c r="P38">
        <v>31</v>
      </c>
      <c r="Q38" s="30">
        <v>6635.9</v>
      </c>
      <c r="R38" s="30">
        <v>80.2</v>
      </c>
      <c r="S38">
        <v>37</v>
      </c>
      <c r="T38" s="4">
        <v>23226</v>
      </c>
      <c r="U38" s="4">
        <v>3226</v>
      </c>
      <c r="V38" s="4">
        <v>226</v>
      </c>
      <c r="W38" s="4">
        <v>132</v>
      </c>
      <c r="X38" s="4">
        <f t="shared" si="3"/>
        <v>358</v>
      </c>
      <c r="Y38" s="4">
        <v>0</v>
      </c>
      <c r="Z38">
        <v>3</v>
      </c>
      <c r="AA38" s="4">
        <v>5121</v>
      </c>
      <c r="AB38" s="4">
        <v>152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f t="shared" si="4"/>
        <v>0</v>
      </c>
      <c r="AJ38" s="4">
        <v>1</v>
      </c>
      <c r="AK38" s="4">
        <v>0</v>
      </c>
    </row>
    <row r="39" spans="1:37" x14ac:dyDescent="0.25">
      <c r="A39" s="1">
        <v>40940</v>
      </c>
      <c r="B39" s="6">
        <f t="shared" si="2"/>
        <v>2012</v>
      </c>
      <c r="C39" s="3">
        <v>64672863.417349406</v>
      </c>
      <c r="D39" s="3">
        <v>18571936.430599999</v>
      </c>
      <c r="E39" s="3">
        <v>7820724.9231000002</v>
      </c>
      <c r="F39" s="3">
        <v>7111042.4106000001</v>
      </c>
      <c r="G39" s="3">
        <v>16508109.020499999</v>
      </c>
      <c r="H39" s="3">
        <f t="shared" si="0"/>
        <v>23619151.4311</v>
      </c>
      <c r="I39" s="3">
        <v>11873899.731000001</v>
      </c>
      <c r="J39" s="3">
        <v>410238</v>
      </c>
      <c r="K39" s="3">
        <v>920.53</v>
      </c>
      <c r="L39" s="3">
        <v>115762.78</v>
      </c>
      <c r="M39" s="4">
        <v>604.40000000000009</v>
      </c>
      <c r="N39" s="4">
        <v>0</v>
      </c>
      <c r="O39" s="4">
        <v>20</v>
      </c>
      <c r="P39">
        <v>29</v>
      </c>
      <c r="Q39" s="30">
        <v>6598</v>
      </c>
      <c r="R39" s="30">
        <v>81</v>
      </c>
      <c r="S39">
        <v>38</v>
      </c>
      <c r="T39" s="4">
        <v>23235</v>
      </c>
      <c r="U39" s="4">
        <v>3225</v>
      </c>
      <c r="V39" s="4">
        <v>225</v>
      </c>
      <c r="W39" s="4">
        <v>132</v>
      </c>
      <c r="X39" s="4">
        <f t="shared" si="3"/>
        <v>357</v>
      </c>
      <c r="Y39" s="4">
        <v>0</v>
      </c>
      <c r="Z39">
        <v>3</v>
      </c>
      <c r="AA39" s="4">
        <v>5121</v>
      </c>
      <c r="AB39" s="4">
        <v>152</v>
      </c>
      <c r="AC39" s="4">
        <v>0</v>
      </c>
      <c r="AD39" s="4">
        <v>0</v>
      </c>
      <c r="AE39" s="4">
        <v>0</v>
      </c>
      <c r="AF39" s="4">
        <v>1</v>
      </c>
      <c r="AG39" s="4">
        <v>0</v>
      </c>
      <c r="AH39" s="4">
        <v>0</v>
      </c>
      <c r="AI39" s="4">
        <f t="shared" si="4"/>
        <v>0</v>
      </c>
      <c r="AJ39" s="4">
        <v>0</v>
      </c>
      <c r="AK39" s="4">
        <v>0</v>
      </c>
    </row>
    <row r="40" spans="1:37" x14ac:dyDescent="0.25">
      <c r="A40" s="1">
        <v>40969</v>
      </c>
      <c r="B40" s="6">
        <f t="shared" si="2"/>
        <v>2012</v>
      </c>
      <c r="C40" s="3">
        <v>62277834.241566263</v>
      </c>
      <c r="D40" s="3">
        <v>16671968.3027</v>
      </c>
      <c r="E40" s="3">
        <v>7522796.9426999995</v>
      </c>
      <c r="F40" s="3">
        <v>6855315.2105</v>
      </c>
      <c r="G40" s="3">
        <v>16236014.327199997</v>
      </c>
      <c r="H40" s="3">
        <f t="shared" si="0"/>
        <v>23091329.537699997</v>
      </c>
      <c r="I40" s="3">
        <v>12252096.686999999</v>
      </c>
      <c r="J40" s="3">
        <v>394370</v>
      </c>
      <c r="K40" s="3">
        <v>914.18299999999999</v>
      </c>
      <c r="L40" s="3">
        <v>126110.99</v>
      </c>
      <c r="M40" s="4">
        <v>412.19999999999993</v>
      </c>
      <c r="N40" s="4">
        <v>0</v>
      </c>
      <c r="O40" s="4">
        <v>22</v>
      </c>
      <c r="P40">
        <v>31</v>
      </c>
      <c r="Q40" s="30">
        <v>6569.8</v>
      </c>
      <c r="R40" s="30">
        <v>80.7</v>
      </c>
      <c r="S40">
        <v>39</v>
      </c>
      <c r="T40" s="4">
        <v>23259</v>
      </c>
      <c r="U40" s="4">
        <v>3222</v>
      </c>
      <c r="V40" s="4">
        <v>225</v>
      </c>
      <c r="W40" s="4">
        <v>133</v>
      </c>
      <c r="X40" s="4">
        <f t="shared" si="3"/>
        <v>358</v>
      </c>
      <c r="Y40" s="4">
        <v>0</v>
      </c>
      <c r="Z40">
        <v>3</v>
      </c>
      <c r="AA40" s="4">
        <v>5125</v>
      </c>
      <c r="AB40" s="4">
        <v>152</v>
      </c>
      <c r="AC40" s="4">
        <v>1</v>
      </c>
      <c r="AD40" s="4">
        <v>1</v>
      </c>
      <c r="AE40" s="4">
        <v>0</v>
      </c>
      <c r="AF40" s="4">
        <v>0</v>
      </c>
      <c r="AG40" s="4">
        <v>0</v>
      </c>
      <c r="AH40" s="4">
        <v>0</v>
      </c>
      <c r="AI40" s="4">
        <f t="shared" si="4"/>
        <v>0</v>
      </c>
      <c r="AJ40" s="4">
        <v>0</v>
      </c>
      <c r="AK40" s="4">
        <v>1</v>
      </c>
    </row>
    <row r="41" spans="1:37" x14ac:dyDescent="0.25">
      <c r="A41" s="1">
        <v>41000</v>
      </c>
      <c r="B41" s="6">
        <f t="shared" si="2"/>
        <v>2012</v>
      </c>
      <c r="C41" s="3">
        <v>55321760.335301213</v>
      </c>
      <c r="D41" s="3">
        <v>14395404.4703</v>
      </c>
      <c r="E41" s="3">
        <v>6733723.8155000005</v>
      </c>
      <c r="F41" s="3">
        <v>6108385.8839999987</v>
      </c>
      <c r="G41" s="3">
        <v>14667691.3802</v>
      </c>
      <c r="H41" s="3">
        <f t="shared" si="0"/>
        <v>20776077.264199998</v>
      </c>
      <c r="I41" s="3">
        <v>11690706.498199999</v>
      </c>
      <c r="J41" s="3">
        <v>336242</v>
      </c>
      <c r="K41" s="3">
        <v>914.18299999999999</v>
      </c>
      <c r="L41" s="3">
        <v>123028.62</v>
      </c>
      <c r="M41" s="4">
        <v>358.9</v>
      </c>
      <c r="N41" s="4">
        <v>0.8</v>
      </c>
      <c r="O41" s="4">
        <v>19</v>
      </c>
      <c r="P41">
        <v>30</v>
      </c>
      <c r="Q41" s="30">
        <v>6603.3</v>
      </c>
      <c r="R41" s="30">
        <v>81</v>
      </c>
      <c r="S41">
        <v>40</v>
      </c>
      <c r="T41" s="4">
        <v>23160</v>
      </c>
      <c r="U41" s="4">
        <v>3213</v>
      </c>
      <c r="V41" s="4">
        <v>227</v>
      </c>
      <c r="W41" s="4">
        <v>133</v>
      </c>
      <c r="X41" s="4">
        <f t="shared" si="3"/>
        <v>360</v>
      </c>
      <c r="Y41" s="4">
        <v>0</v>
      </c>
      <c r="Z41">
        <v>3</v>
      </c>
      <c r="AA41" s="4">
        <v>5125</v>
      </c>
      <c r="AB41" s="4">
        <v>152</v>
      </c>
      <c r="AC41" s="4">
        <v>1</v>
      </c>
      <c r="AD41" s="4">
        <v>1</v>
      </c>
      <c r="AE41" s="4">
        <v>0</v>
      </c>
      <c r="AF41" s="4">
        <v>0</v>
      </c>
      <c r="AG41" s="4">
        <v>1</v>
      </c>
      <c r="AH41" s="4">
        <v>0</v>
      </c>
      <c r="AI41" s="4">
        <f t="shared" si="4"/>
        <v>0</v>
      </c>
      <c r="AJ41" s="4">
        <v>0</v>
      </c>
      <c r="AK41" s="4">
        <v>0</v>
      </c>
    </row>
    <row r="42" spans="1:37" x14ac:dyDescent="0.25">
      <c r="A42" s="1">
        <v>41030</v>
      </c>
      <c r="B42" s="6">
        <f t="shared" si="2"/>
        <v>2012</v>
      </c>
      <c r="C42" s="3">
        <v>53896365.073253013</v>
      </c>
      <c r="D42" s="3">
        <v>11731052.347100001</v>
      </c>
      <c r="E42" s="3">
        <v>6797543.6818000004</v>
      </c>
      <c r="F42" s="3">
        <v>6372785.2359000007</v>
      </c>
      <c r="G42" s="3">
        <v>14464737.882400002</v>
      </c>
      <c r="H42" s="3">
        <f t="shared" si="0"/>
        <v>20837523.118300002</v>
      </c>
      <c r="I42" s="3">
        <v>12480043.750300001</v>
      </c>
      <c r="J42" s="3">
        <v>307202</v>
      </c>
      <c r="K42" s="3">
        <v>914.18299999999999</v>
      </c>
      <c r="L42" s="3">
        <v>123746.42</v>
      </c>
      <c r="M42" s="4">
        <v>94.000000000000014</v>
      </c>
      <c r="N42" s="4">
        <v>20.100000000000001</v>
      </c>
      <c r="O42" s="4">
        <v>22</v>
      </c>
      <c r="P42">
        <v>31</v>
      </c>
      <c r="Q42" s="30">
        <v>6658.1</v>
      </c>
      <c r="R42" s="30">
        <v>81.900000000000006</v>
      </c>
      <c r="S42">
        <v>41</v>
      </c>
      <c r="T42" s="4">
        <v>22994</v>
      </c>
      <c r="U42" s="4">
        <v>3198</v>
      </c>
      <c r="V42" s="4">
        <v>228</v>
      </c>
      <c r="W42" s="4">
        <v>132</v>
      </c>
      <c r="X42" s="4">
        <f t="shared" si="3"/>
        <v>360</v>
      </c>
      <c r="Y42" s="4">
        <v>0</v>
      </c>
      <c r="Z42">
        <v>3</v>
      </c>
      <c r="AA42" s="4">
        <v>5125</v>
      </c>
      <c r="AB42" s="4">
        <v>152</v>
      </c>
      <c r="AC42" s="4">
        <v>1</v>
      </c>
      <c r="AD42" s="4">
        <v>1</v>
      </c>
      <c r="AE42" s="4">
        <v>0</v>
      </c>
      <c r="AF42" s="4">
        <v>0</v>
      </c>
      <c r="AG42" s="4">
        <v>0</v>
      </c>
      <c r="AH42" s="4">
        <v>0</v>
      </c>
      <c r="AI42" s="4">
        <f t="shared" si="4"/>
        <v>1</v>
      </c>
      <c r="AJ42" s="4">
        <v>0</v>
      </c>
      <c r="AK42" s="4">
        <v>0</v>
      </c>
    </row>
    <row r="43" spans="1:37" x14ac:dyDescent="0.25">
      <c r="A43" s="1">
        <v>41061</v>
      </c>
      <c r="B43" s="6">
        <f t="shared" si="2"/>
        <v>2012</v>
      </c>
      <c r="C43" s="3">
        <v>56091618.088915668</v>
      </c>
      <c r="D43" s="3">
        <v>12434620.296799999</v>
      </c>
      <c r="E43" s="3">
        <v>7173898.5476000002</v>
      </c>
      <c r="F43" s="3">
        <v>6617816.5736999996</v>
      </c>
      <c r="G43" s="3">
        <v>15089587.486</v>
      </c>
      <c r="H43" s="3">
        <f t="shared" si="0"/>
        <v>21707404.059699997</v>
      </c>
      <c r="I43" s="3">
        <v>13240556.216700001</v>
      </c>
      <c r="J43" s="3">
        <v>277124</v>
      </c>
      <c r="K43" s="3">
        <v>914.18299999999999</v>
      </c>
      <c r="L43" s="3">
        <v>119754.6</v>
      </c>
      <c r="M43" s="4">
        <v>41.300000000000004</v>
      </c>
      <c r="N43" s="4">
        <v>51.8</v>
      </c>
      <c r="O43" s="4">
        <v>21</v>
      </c>
      <c r="P43">
        <v>30</v>
      </c>
      <c r="Q43" s="30">
        <v>6737.2</v>
      </c>
      <c r="R43" s="30">
        <v>83.1</v>
      </c>
      <c r="S43">
        <v>42</v>
      </c>
      <c r="T43" s="4">
        <v>23023</v>
      </c>
      <c r="U43" s="4">
        <v>3201</v>
      </c>
      <c r="V43" s="4">
        <v>229</v>
      </c>
      <c r="W43" s="4">
        <v>132</v>
      </c>
      <c r="X43" s="4">
        <f t="shared" si="3"/>
        <v>361</v>
      </c>
      <c r="Y43" s="4">
        <v>0</v>
      </c>
      <c r="Z43">
        <v>3</v>
      </c>
      <c r="AA43" s="4">
        <v>5125</v>
      </c>
      <c r="AB43" s="4">
        <v>152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f t="shared" si="4"/>
        <v>1</v>
      </c>
      <c r="AJ43" s="4">
        <v>0</v>
      </c>
      <c r="AK43" s="4">
        <v>0</v>
      </c>
    </row>
    <row r="44" spans="1:37" x14ac:dyDescent="0.25">
      <c r="A44" s="1">
        <v>41091</v>
      </c>
      <c r="B44" s="6">
        <f t="shared" si="2"/>
        <v>2012</v>
      </c>
      <c r="C44" s="3">
        <v>64713497.194578312</v>
      </c>
      <c r="D44" s="3">
        <v>14445687.284299999</v>
      </c>
      <c r="E44" s="3">
        <v>7895965.2410000004</v>
      </c>
      <c r="F44" s="3">
        <v>7190504.4102999996</v>
      </c>
      <c r="G44" s="3">
        <v>16810583.030999999</v>
      </c>
      <c r="H44" s="3">
        <f t="shared" si="0"/>
        <v>24001087.441299997</v>
      </c>
      <c r="I44" s="3">
        <v>15413074.367999999</v>
      </c>
      <c r="J44" s="3">
        <v>296382</v>
      </c>
      <c r="K44" s="3">
        <v>914.18299999999999</v>
      </c>
      <c r="L44" s="3">
        <v>123746.42</v>
      </c>
      <c r="M44" s="4">
        <v>0.2</v>
      </c>
      <c r="N44" s="4">
        <v>120.69999999999996</v>
      </c>
      <c r="O44" s="4">
        <v>21</v>
      </c>
      <c r="P44">
        <v>31</v>
      </c>
      <c r="Q44" s="30">
        <v>6778.6</v>
      </c>
      <c r="R44" s="30">
        <v>82.6</v>
      </c>
      <c r="S44">
        <v>43</v>
      </c>
      <c r="T44" s="4">
        <v>23070</v>
      </c>
      <c r="U44" s="4">
        <v>3197</v>
      </c>
      <c r="V44" s="4">
        <v>228</v>
      </c>
      <c r="W44" s="4">
        <v>132</v>
      </c>
      <c r="X44" s="4">
        <f t="shared" si="3"/>
        <v>360</v>
      </c>
      <c r="Y44" s="4">
        <v>0</v>
      </c>
      <c r="Z44">
        <v>3</v>
      </c>
      <c r="AA44" s="4">
        <v>5125</v>
      </c>
      <c r="AB44" s="4">
        <v>152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f t="shared" si="4"/>
        <v>1</v>
      </c>
      <c r="AJ44" s="4">
        <v>0</v>
      </c>
      <c r="AK44" s="4">
        <v>0</v>
      </c>
    </row>
    <row r="45" spans="1:37" x14ac:dyDescent="0.25">
      <c r="A45" s="1">
        <v>41122</v>
      </c>
      <c r="B45" s="6">
        <f t="shared" si="2"/>
        <v>2012</v>
      </c>
      <c r="C45" s="3">
        <v>63030995.644216865</v>
      </c>
      <c r="D45" s="3">
        <v>13861522.800799999</v>
      </c>
      <c r="E45" s="3">
        <v>7673572.2456</v>
      </c>
      <c r="F45" s="3">
        <v>6931742.3060999997</v>
      </c>
      <c r="G45" s="3">
        <v>16636356.658400001</v>
      </c>
      <c r="H45" s="3">
        <f t="shared" si="0"/>
        <v>23568098.964500003</v>
      </c>
      <c r="I45" s="3">
        <v>15313195.499</v>
      </c>
      <c r="J45" s="3">
        <v>331533</v>
      </c>
      <c r="K45" s="3">
        <v>914.18299999999999</v>
      </c>
      <c r="L45" s="3">
        <v>123746.42</v>
      </c>
      <c r="M45" s="4">
        <v>7.3000000000000007</v>
      </c>
      <c r="N45" s="4">
        <v>87.199999999999974</v>
      </c>
      <c r="O45" s="4">
        <v>22</v>
      </c>
      <c r="P45">
        <v>31</v>
      </c>
      <c r="Q45" s="30">
        <v>6797.9</v>
      </c>
      <c r="R45" s="30">
        <v>80.900000000000006</v>
      </c>
      <c r="S45">
        <v>44</v>
      </c>
      <c r="T45" s="4">
        <v>23160</v>
      </c>
      <c r="U45" s="4">
        <v>3194</v>
      </c>
      <c r="V45" s="4">
        <v>227</v>
      </c>
      <c r="W45" s="4">
        <v>132</v>
      </c>
      <c r="X45" s="4">
        <f t="shared" si="3"/>
        <v>359</v>
      </c>
      <c r="Y45" s="4">
        <v>0</v>
      </c>
      <c r="Z45">
        <v>3</v>
      </c>
      <c r="AA45" s="4">
        <v>5125</v>
      </c>
      <c r="AB45" s="4">
        <v>152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f t="shared" si="4"/>
        <v>1</v>
      </c>
      <c r="AJ45" s="4">
        <v>0</v>
      </c>
      <c r="AK45" s="4">
        <v>0</v>
      </c>
    </row>
    <row r="46" spans="1:37" x14ac:dyDescent="0.25">
      <c r="A46" s="1">
        <v>41153</v>
      </c>
      <c r="B46" s="6">
        <f t="shared" si="2"/>
        <v>2012</v>
      </c>
      <c r="C46" s="3">
        <v>56230646.92939759</v>
      </c>
      <c r="D46" s="3">
        <v>12546095.385499999</v>
      </c>
      <c r="E46" s="3">
        <v>6803174.4414999997</v>
      </c>
      <c r="F46" s="3">
        <v>6173279.3179000001</v>
      </c>
      <c r="G46" s="3">
        <v>15153583.241099998</v>
      </c>
      <c r="H46" s="3">
        <f t="shared" si="0"/>
        <v>21326862.559</v>
      </c>
      <c r="I46" s="3">
        <v>13786568.186000001</v>
      </c>
      <c r="J46" s="3">
        <v>364297</v>
      </c>
      <c r="K46" s="3">
        <v>914.40899999999999</v>
      </c>
      <c r="L46" s="3">
        <v>119754.6</v>
      </c>
      <c r="M46" s="4">
        <v>106.30000000000003</v>
      </c>
      <c r="N46" s="4">
        <v>20.200000000000003</v>
      </c>
      <c r="O46" s="4">
        <v>19</v>
      </c>
      <c r="P46">
        <v>30</v>
      </c>
      <c r="Q46" s="30">
        <v>6763.1</v>
      </c>
      <c r="R46" s="30">
        <v>79.099999999999994</v>
      </c>
      <c r="S46">
        <v>45</v>
      </c>
      <c r="T46" s="4">
        <v>23229</v>
      </c>
      <c r="U46" s="4">
        <v>3166</v>
      </c>
      <c r="V46" s="4">
        <v>229</v>
      </c>
      <c r="W46" s="4">
        <v>131</v>
      </c>
      <c r="X46" s="4">
        <f t="shared" si="3"/>
        <v>360</v>
      </c>
      <c r="Y46" s="4">
        <v>0</v>
      </c>
      <c r="Z46">
        <v>3</v>
      </c>
      <c r="AA46" s="4">
        <v>5130</v>
      </c>
      <c r="AB46" s="4">
        <v>152</v>
      </c>
      <c r="AC46" s="4">
        <v>1</v>
      </c>
      <c r="AD46" s="4">
        <v>0</v>
      </c>
      <c r="AE46" s="4">
        <v>1</v>
      </c>
      <c r="AF46" s="4">
        <v>0</v>
      </c>
      <c r="AG46" s="4">
        <v>0</v>
      </c>
      <c r="AH46" s="4">
        <v>0</v>
      </c>
      <c r="AI46" s="4">
        <f t="shared" si="4"/>
        <v>0</v>
      </c>
      <c r="AJ46" s="4">
        <v>0</v>
      </c>
      <c r="AK46" s="4">
        <v>0</v>
      </c>
    </row>
    <row r="47" spans="1:37" x14ac:dyDescent="0.25">
      <c r="A47" s="1">
        <v>41183</v>
      </c>
      <c r="B47" s="6">
        <f t="shared" si="2"/>
        <v>2012</v>
      </c>
      <c r="C47" s="3">
        <v>56115035.330481932</v>
      </c>
      <c r="D47" s="3">
        <v>13105249.1916</v>
      </c>
      <c r="E47" s="3">
        <v>6614485.8804000001</v>
      </c>
      <c r="F47" s="3">
        <v>6144253.1341000013</v>
      </c>
      <c r="G47" s="3">
        <v>15346071.399100002</v>
      </c>
      <c r="H47" s="3">
        <f t="shared" si="0"/>
        <v>21490324.533200003</v>
      </c>
      <c r="I47" s="3">
        <v>12860549.23</v>
      </c>
      <c r="J47" s="3">
        <v>423029</v>
      </c>
      <c r="K47" s="3">
        <v>914.40899999999999</v>
      </c>
      <c r="L47" s="3">
        <v>123746.42</v>
      </c>
      <c r="M47" s="4">
        <v>259.09999999999991</v>
      </c>
      <c r="N47" s="4">
        <v>0</v>
      </c>
      <c r="O47" s="4">
        <v>22</v>
      </c>
      <c r="P47">
        <v>31</v>
      </c>
      <c r="Q47" s="30">
        <v>6740.9</v>
      </c>
      <c r="R47" s="30">
        <v>78.099999999999994</v>
      </c>
      <c r="S47">
        <v>46</v>
      </c>
      <c r="T47" s="4">
        <v>23301</v>
      </c>
      <c r="U47" s="4">
        <v>3163</v>
      </c>
      <c r="V47" s="4">
        <v>229</v>
      </c>
      <c r="W47" s="4">
        <v>132</v>
      </c>
      <c r="X47" s="4">
        <f t="shared" si="3"/>
        <v>361</v>
      </c>
      <c r="Y47" s="4">
        <v>0</v>
      </c>
      <c r="Z47">
        <v>3</v>
      </c>
      <c r="AA47" s="4">
        <v>5130</v>
      </c>
      <c r="AB47" s="4">
        <v>152</v>
      </c>
      <c r="AC47" s="4">
        <v>1</v>
      </c>
      <c r="AD47" s="4">
        <v>0</v>
      </c>
      <c r="AE47" s="4">
        <v>1</v>
      </c>
      <c r="AF47" s="4">
        <v>0</v>
      </c>
      <c r="AG47" s="4">
        <v>0</v>
      </c>
      <c r="AH47" s="4">
        <v>0</v>
      </c>
      <c r="AI47" s="4">
        <f t="shared" si="4"/>
        <v>0</v>
      </c>
      <c r="AJ47" s="4">
        <v>0</v>
      </c>
      <c r="AK47" s="4">
        <v>0</v>
      </c>
    </row>
    <row r="48" spans="1:37" x14ac:dyDescent="0.25">
      <c r="A48" s="1">
        <v>41214</v>
      </c>
      <c r="B48" s="6">
        <f t="shared" si="2"/>
        <v>2012</v>
      </c>
      <c r="C48" s="3">
        <v>61092145.56108433</v>
      </c>
      <c r="D48" s="3">
        <v>16847106.408300001</v>
      </c>
      <c r="E48" s="3">
        <v>7233949.3405999998</v>
      </c>
      <c r="F48" s="3">
        <v>7468025.5546999993</v>
      </c>
      <c r="G48" s="3">
        <v>16016722.053699998</v>
      </c>
      <c r="H48" s="3">
        <f t="shared" si="0"/>
        <v>23484747.608399998</v>
      </c>
      <c r="I48" s="3">
        <v>12100791.463000001</v>
      </c>
      <c r="J48" s="3">
        <v>463717</v>
      </c>
      <c r="K48" s="3">
        <v>914.40899999999999</v>
      </c>
      <c r="L48" s="3">
        <v>119754.6</v>
      </c>
      <c r="M48" s="4">
        <v>498.9</v>
      </c>
      <c r="N48" s="4">
        <v>0</v>
      </c>
      <c r="O48" s="4">
        <v>22</v>
      </c>
      <c r="P48">
        <v>30</v>
      </c>
      <c r="Q48" s="30">
        <v>6727.4</v>
      </c>
      <c r="R48" s="30">
        <v>78.7</v>
      </c>
      <c r="S48">
        <v>47</v>
      </c>
      <c r="T48" s="4">
        <v>23329</v>
      </c>
      <c r="U48" s="4">
        <v>3177</v>
      </c>
      <c r="V48" s="4">
        <v>227</v>
      </c>
      <c r="W48" s="4">
        <v>133</v>
      </c>
      <c r="X48" s="4">
        <f t="shared" si="3"/>
        <v>360</v>
      </c>
      <c r="Y48" s="4">
        <v>0</v>
      </c>
      <c r="Z48">
        <v>3</v>
      </c>
      <c r="AA48" s="4">
        <v>5130</v>
      </c>
      <c r="AB48" s="4">
        <v>152</v>
      </c>
      <c r="AC48" s="4">
        <v>1</v>
      </c>
      <c r="AD48" s="4">
        <v>0</v>
      </c>
      <c r="AE48" s="4">
        <v>1</v>
      </c>
      <c r="AF48" s="4">
        <v>0</v>
      </c>
      <c r="AG48" s="4">
        <v>0</v>
      </c>
      <c r="AH48" s="4">
        <v>0</v>
      </c>
      <c r="AI48" s="4">
        <f t="shared" si="4"/>
        <v>0</v>
      </c>
      <c r="AJ48" s="4">
        <v>0</v>
      </c>
      <c r="AK48" s="4">
        <v>0</v>
      </c>
    </row>
    <row r="49" spans="1:37" x14ac:dyDescent="0.25">
      <c r="A49" s="1">
        <v>41244</v>
      </c>
      <c r="B49" s="6">
        <f t="shared" si="2"/>
        <v>2012</v>
      </c>
      <c r="C49" s="3">
        <v>66728803.512915663</v>
      </c>
      <c r="D49" s="3">
        <v>19547886.409699999</v>
      </c>
      <c r="E49" s="3">
        <v>7883569.6208999995</v>
      </c>
      <c r="F49" s="3">
        <v>7446097.3150000004</v>
      </c>
      <c r="G49" s="3">
        <v>17448187.755399998</v>
      </c>
      <c r="H49" s="3">
        <f t="shared" si="0"/>
        <v>24894285.0704</v>
      </c>
      <c r="I49" s="3">
        <v>11854109.139</v>
      </c>
      <c r="J49" s="3">
        <v>486246</v>
      </c>
      <c r="K49" s="3">
        <v>914.40899999999999</v>
      </c>
      <c r="L49" s="3">
        <v>123746.42</v>
      </c>
      <c r="M49" s="4">
        <v>648.19999999999993</v>
      </c>
      <c r="N49" s="4">
        <v>0</v>
      </c>
      <c r="O49" s="4">
        <v>19</v>
      </c>
      <c r="P49">
        <v>31</v>
      </c>
      <c r="Q49" s="30">
        <v>6740.2</v>
      </c>
      <c r="R49" s="30">
        <v>79.400000000000006</v>
      </c>
      <c r="S49">
        <v>48</v>
      </c>
      <c r="T49" s="4">
        <v>23324</v>
      </c>
      <c r="U49" s="4">
        <v>3180</v>
      </c>
      <c r="V49" s="4">
        <v>228</v>
      </c>
      <c r="W49" s="4">
        <v>133</v>
      </c>
      <c r="X49" s="4">
        <f t="shared" si="3"/>
        <v>361</v>
      </c>
      <c r="Y49" s="4">
        <v>0</v>
      </c>
      <c r="Z49">
        <v>3</v>
      </c>
      <c r="AA49" s="4">
        <v>5130</v>
      </c>
      <c r="AB49" s="4">
        <v>152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1</v>
      </c>
      <c r="AI49" s="4">
        <f t="shared" si="4"/>
        <v>0</v>
      </c>
      <c r="AJ49" s="4">
        <v>0</v>
      </c>
      <c r="AK49" s="4">
        <v>0</v>
      </c>
    </row>
    <row r="50" spans="1:37" x14ac:dyDescent="0.25">
      <c r="A50" s="1">
        <v>41275</v>
      </c>
      <c r="B50" s="6">
        <f t="shared" si="2"/>
        <v>2013</v>
      </c>
      <c r="C50" s="3">
        <v>73267684.161686748</v>
      </c>
      <c r="D50" s="3">
        <v>21901118.335200001</v>
      </c>
      <c r="E50" s="3">
        <v>8494433.2956000008</v>
      </c>
      <c r="F50" s="3">
        <v>7953089.8709000004</v>
      </c>
      <c r="G50" s="3">
        <v>18857561.563700002</v>
      </c>
      <c r="H50" s="3">
        <f t="shared" si="0"/>
        <v>26810651.434600003</v>
      </c>
      <c r="I50" s="3">
        <v>12788339.523400001</v>
      </c>
      <c r="J50" s="3">
        <v>462080</v>
      </c>
      <c r="K50" s="3">
        <v>914.40899999999999</v>
      </c>
      <c r="L50" s="3">
        <v>123746.42</v>
      </c>
      <c r="M50" s="4">
        <v>743.9</v>
      </c>
      <c r="N50" s="4">
        <v>0</v>
      </c>
      <c r="O50" s="4">
        <v>22</v>
      </c>
      <c r="P50">
        <v>31</v>
      </c>
      <c r="Q50" s="30">
        <v>6721.7</v>
      </c>
      <c r="R50" s="30">
        <v>80.7</v>
      </c>
      <c r="S50">
        <v>49</v>
      </c>
      <c r="T50" s="4">
        <v>23359</v>
      </c>
      <c r="U50" s="4">
        <v>3175</v>
      </c>
      <c r="V50" s="4">
        <v>232</v>
      </c>
      <c r="W50" s="4">
        <v>133</v>
      </c>
      <c r="X50" s="4">
        <f t="shared" si="3"/>
        <v>365</v>
      </c>
      <c r="Y50" s="4">
        <v>0</v>
      </c>
      <c r="Z50">
        <v>3</v>
      </c>
      <c r="AA50" s="4">
        <v>5130</v>
      </c>
      <c r="AB50" s="4">
        <v>152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f t="shared" si="4"/>
        <v>0</v>
      </c>
      <c r="AJ50" s="4">
        <v>1</v>
      </c>
      <c r="AK50" s="4">
        <v>0</v>
      </c>
    </row>
    <row r="51" spans="1:37" x14ac:dyDescent="0.25">
      <c r="A51" s="1">
        <v>41306</v>
      </c>
      <c r="B51" s="6">
        <f t="shared" si="2"/>
        <v>2013</v>
      </c>
      <c r="C51" s="3">
        <v>66267229.543855414</v>
      </c>
      <c r="D51" s="3">
        <v>19629047.322099999</v>
      </c>
      <c r="E51" s="3">
        <v>7732556.6048999997</v>
      </c>
      <c r="F51" s="3">
        <v>7155119.2606000006</v>
      </c>
      <c r="G51" s="3">
        <v>17058396.577199999</v>
      </c>
      <c r="H51" s="3">
        <f t="shared" si="0"/>
        <v>24213515.8378</v>
      </c>
      <c r="I51" s="3">
        <v>11751175.538600001</v>
      </c>
      <c r="J51" s="3">
        <v>385579</v>
      </c>
      <c r="K51" s="3">
        <v>914.40899999999999</v>
      </c>
      <c r="L51" s="3">
        <v>111770.96</v>
      </c>
      <c r="M51" s="4">
        <v>693.5</v>
      </c>
      <c r="N51" s="4">
        <v>0</v>
      </c>
      <c r="O51" s="4">
        <v>19</v>
      </c>
      <c r="P51">
        <v>28</v>
      </c>
      <c r="Q51" s="30">
        <v>6702</v>
      </c>
      <c r="R51" s="30">
        <v>80.7</v>
      </c>
      <c r="S51">
        <v>50</v>
      </c>
      <c r="T51" s="4">
        <v>23474</v>
      </c>
      <c r="U51" s="4">
        <v>3183</v>
      </c>
      <c r="V51" s="4">
        <v>232</v>
      </c>
      <c r="W51" s="4">
        <v>133</v>
      </c>
      <c r="X51" s="4">
        <f t="shared" si="3"/>
        <v>365</v>
      </c>
      <c r="Y51" s="4">
        <v>0</v>
      </c>
      <c r="Z51">
        <v>3</v>
      </c>
      <c r="AA51" s="4">
        <v>5130</v>
      </c>
      <c r="AB51" s="4">
        <v>152</v>
      </c>
      <c r="AC51" s="4">
        <v>0</v>
      </c>
      <c r="AD51" s="4">
        <v>0</v>
      </c>
      <c r="AE51" s="4">
        <v>0</v>
      </c>
      <c r="AF51" s="4">
        <v>1</v>
      </c>
      <c r="AG51" s="4">
        <v>0</v>
      </c>
      <c r="AH51" s="4">
        <v>0</v>
      </c>
      <c r="AI51" s="4">
        <f t="shared" si="4"/>
        <v>0</v>
      </c>
      <c r="AJ51" s="4">
        <v>0</v>
      </c>
      <c r="AK51" s="4">
        <v>0</v>
      </c>
    </row>
    <row r="52" spans="1:37" x14ac:dyDescent="0.25">
      <c r="A52" s="1">
        <v>41334</v>
      </c>
      <c r="B52" s="6">
        <f t="shared" si="2"/>
        <v>2013</v>
      </c>
      <c r="C52" s="3">
        <v>66490148.604698792</v>
      </c>
      <c r="D52" s="3">
        <v>18854792.866099998</v>
      </c>
      <c r="E52" s="3">
        <v>7818446.9395999992</v>
      </c>
      <c r="F52" s="3">
        <v>6943511.8960999995</v>
      </c>
      <c r="G52" s="3">
        <v>17753400.953600001</v>
      </c>
      <c r="H52" s="3">
        <f t="shared" si="0"/>
        <v>24696912.8497</v>
      </c>
      <c r="I52" s="3">
        <v>12610126.845000001</v>
      </c>
      <c r="J52" s="3">
        <v>383304</v>
      </c>
      <c r="K52" s="3">
        <v>914.40899999999999</v>
      </c>
      <c r="L52" s="3">
        <v>123746.42</v>
      </c>
      <c r="M52" s="4">
        <v>588.30000000000018</v>
      </c>
      <c r="N52" s="4">
        <v>0</v>
      </c>
      <c r="O52" s="4">
        <v>19</v>
      </c>
      <c r="P52">
        <v>31</v>
      </c>
      <c r="Q52" s="30">
        <v>6675.8</v>
      </c>
      <c r="R52" s="30">
        <v>80.599999999999994</v>
      </c>
      <c r="S52">
        <v>51</v>
      </c>
      <c r="T52" s="4">
        <v>23489</v>
      </c>
      <c r="U52" s="4">
        <v>3179</v>
      </c>
      <c r="V52" s="4">
        <v>234</v>
      </c>
      <c r="W52" s="4">
        <v>135</v>
      </c>
      <c r="X52" s="4">
        <f t="shared" si="3"/>
        <v>369</v>
      </c>
      <c r="Y52" s="4">
        <v>0</v>
      </c>
      <c r="Z52">
        <v>3</v>
      </c>
      <c r="AA52" s="4">
        <v>5130</v>
      </c>
      <c r="AB52" s="4">
        <v>152</v>
      </c>
      <c r="AC52" s="4">
        <v>1</v>
      </c>
      <c r="AD52" s="4">
        <v>1</v>
      </c>
      <c r="AE52" s="4">
        <v>0</v>
      </c>
      <c r="AF52" s="4">
        <v>0</v>
      </c>
      <c r="AG52" s="4">
        <v>0</v>
      </c>
      <c r="AH52" s="4">
        <v>0</v>
      </c>
      <c r="AI52" s="4">
        <f t="shared" si="4"/>
        <v>0</v>
      </c>
      <c r="AJ52" s="4">
        <v>0</v>
      </c>
      <c r="AK52" s="4">
        <v>1</v>
      </c>
    </row>
    <row r="53" spans="1:37" x14ac:dyDescent="0.25">
      <c r="A53" s="1">
        <v>41365</v>
      </c>
      <c r="B53" s="6">
        <f t="shared" si="2"/>
        <v>2013</v>
      </c>
      <c r="C53" s="3">
        <v>58197208.785638548</v>
      </c>
      <c r="D53" s="3">
        <v>15311977.522799999</v>
      </c>
      <c r="E53" s="3">
        <v>6860921.9294999996</v>
      </c>
      <c r="F53" s="3">
        <v>6111115.4854000006</v>
      </c>
      <c r="G53" s="3">
        <v>15897194.558599999</v>
      </c>
      <c r="H53" s="3">
        <f t="shared" si="0"/>
        <v>22008310.044</v>
      </c>
      <c r="I53" s="3">
        <v>11972197.742000001</v>
      </c>
      <c r="J53" s="3">
        <v>326806</v>
      </c>
      <c r="K53" s="3">
        <v>871.471</v>
      </c>
      <c r="L53" s="3">
        <v>119754.6</v>
      </c>
      <c r="M53" s="4">
        <v>386.99999999999989</v>
      </c>
      <c r="N53" s="4">
        <v>0</v>
      </c>
      <c r="O53" s="4">
        <v>22</v>
      </c>
      <c r="P53">
        <v>30</v>
      </c>
      <c r="Q53" s="30">
        <v>6703.7</v>
      </c>
      <c r="R53" s="30">
        <v>80.2</v>
      </c>
      <c r="S53">
        <v>52</v>
      </c>
      <c r="T53" s="4">
        <v>23431</v>
      </c>
      <c r="U53" s="4">
        <v>3182</v>
      </c>
      <c r="V53" s="4">
        <v>234</v>
      </c>
      <c r="W53" s="4">
        <v>137</v>
      </c>
      <c r="X53" s="4">
        <f t="shared" si="3"/>
        <v>371</v>
      </c>
      <c r="Y53" s="4">
        <v>0</v>
      </c>
      <c r="Z53">
        <v>3</v>
      </c>
      <c r="AA53" s="4">
        <v>5288</v>
      </c>
      <c r="AB53" s="4">
        <v>152</v>
      </c>
      <c r="AC53" s="4">
        <v>1</v>
      </c>
      <c r="AD53" s="4">
        <v>1</v>
      </c>
      <c r="AE53" s="4">
        <v>0</v>
      </c>
      <c r="AF53" s="4">
        <v>0</v>
      </c>
      <c r="AG53" s="4">
        <v>1</v>
      </c>
      <c r="AH53" s="4">
        <v>0</v>
      </c>
      <c r="AI53" s="4">
        <f t="shared" si="4"/>
        <v>0</v>
      </c>
      <c r="AJ53" s="4">
        <v>0</v>
      </c>
      <c r="AK53" s="4">
        <v>0</v>
      </c>
    </row>
    <row r="54" spans="1:37" x14ac:dyDescent="0.25">
      <c r="A54" s="1">
        <v>41395</v>
      </c>
      <c r="B54" s="6">
        <f t="shared" si="2"/>
        <v>2013</v>
      </c>
      <c r="C54" s="3">
        <v>52430271.107831322</v>
      </c>
      <c r="D54" s="3">
        <v>11256892.577400001</v>
      </c>
      <c r="E54" s="3">
        <v>6349928.6646999987</v>
      </c>
      <c r="F54" s="3">
        <v>5794782.9677999988</v>
      </c>
      <c r="G54" s="3">
        <v>14823176.489299998</v>
      </c>
      <c r="H54" s="3">
        <f t="shared" si="0"/>
        <v>20617959.457099997</v>
      </c>
      <c r="I54" s="3">
        <v>12329554.254999999</v>
      </c>
      <c r="J54" s="3">
        <v>255487</v>
      </c>
      <c r="K54" s="3">
        <v>774.68700000000001</v>
      </c>
      <c r="L54" s="3">
        <v>123728.42</v>
      </c>
      <c r="M54" s="4">
        <v>139.70000000000002</v>
      </c>
      <c r="N54" s="4">
        <v>6.3</v>
      </c>
      <c r="O54" s="4">
        <v>22</v>
      </c>
      <c r="P54">
        <v>31</v>
      </c>
      <c r="Q54" s="30">
        <v>6770.3</v>
      </c>
      <c r="R54" s="30">
        <v>80.599999999999994</v>
      </c>
      <c r="S54">
        <v>53</v>
      </c>
      <c r="T54" s="4">
        <v>23336</v>
      </c>
      <c r="U54" s="4">
        <v>3169</v>
      </c>
      <c r="V54" s="4">
        <v>234</v>
      </c>
      <c r="W54" s="4">
        <v>137</v>
      </c>
      <c r="X54" s="4">
        <f t="shared" si="3"/>
        <v>371</v>
      </c>
      <c r="Y54" s="4">
        <v>0</v>
      </c>
      <c r="Z54">
        <v>3</v>
      </c>
      <c r="AA54" s="4">
        <v>5433</v>
      </c>
      <c r="AB54" s="4">
        <v>151</v>
      </c>
      <c r="AC54" s="4">
        <v>1</v>
      </c>
      <c r="AD54" s="4">
        <v>1</v>
      </c>
      <c r="AE54" s="4">
        <v>0</v>
      </c>
      <c r="AF54" s="4">
        <v>0</v>
      </c>
      <c r="AG54" s="4">
        <v>0</v>
      </c>
      <c r="AH54" s="4">
        <v>0</v>
      </c>
      <c r="AI54" s="4">
        <f t="shared" si="4"/>
        <v>1</v>
      </c>
      <c r="AJ54" s="4">
        <v>0</v>
      </c>
      <c r="AK54" s="4">
        <v>0</v>
      </c>
    </row>
    <row r="55" spans="1:37" x14ac:dyDescent="0.25">
      <c r="A55" s="1">
        <v>41426</v>
      </c>
      <c r="B55" s="6">
        <f t="shared" si="2"/>
        <v>2013</v>
      </c>
      <c r="C55" s="3">
        <v>53274835.555783138</v>
      </c>
      <c r="D55" s="3">
        <v>11837120.3138</v>
      </c>
      <c r="E55" s="3">
        <v>6492686.1686000004</v>
      </c>
      <c r="F55" s="3">
        <v>5939856.4061999992</v>
      </c>
      <c r="G55" s="3">
        <v>15152289.5284</v>
      </c>
      <c r="H55" s="3">
        <f t="shared" si="0"/>
        <v>21092145.934599999</v>
      </c>
      <c r="I55" s="3">
        <v>12519194.473000001</v>
      </c>
      <c r="J55" s="3">
        <v>197339</v>
      </c>
      <c r="K55" s="3">
        <v>719.24400000000003</v>
      </c>
      <c r="L55" s="3">
        <v>119724.6</v>
      </c>
      <c r="M55" s="4">
        <v>72.200000000000017</v>
      </c>
      <c r="N55" s="4">
        <v>30.800000000000004</v>
      </c>
      <c r="O55" s="4">
        <v>20</v>
      </c>
      <c r="P55">
        <v>30</v>
      </c>
      <c r="Q55" s="30">
        <v>6861.8</v>
      </c>
      <c r="R55" s="30">
        <v>81.7</v>
      </c>
      <c r="S55">
        <v>54</v>
      </c>
      <c r="T55" s="4">
        <v>23395</v>
      </c>
      <c r="U55" s="4">
        <v>3174</v>
      </c>
      <c r="V55" s="4">
        <v>233</v>
      </c>
      <c r="W55" s="4">
        <v>137</v>
      </c>
      <c r="X55" s="4">
        <f t="shared" si="3"/>
        <v>370</v>
      </c>
      <c r="Y55" s="4">
        <v>0</v>
      </c>
      <c r="Z55">
        <v>3</v>
      </c>
      <c r="AA55" s="4">
        <v>5477</v>
      </c>
      <c r="AB55" s="4">
        <v>151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f t="shared" si="4"/>
        <v>1</v>
      </c>
      <c r="AJ55" s="4">
        <v>0</v>
      </c>
      <c r="AK55" s="4">
        <v>0</v>
      </c>
    </row>
    <row r="56" spans="1:37" x14ac:dyDescent="0.25">
      <c r="A56" s="1">
        <v>41456</v>
      </c>
      <c r="B56" s="6">
        <f t="shared" si="2"/>
        <v>2013</v>
      </c>
      <c r="C56" s="3">
        <v>63752204.808433734</v>
      </c>
      <c r="D56" s="3">
        <v>13724938.6174</v>
      </c>
      <c r="E56" s="3">
        <v>7411287.6236999994</v>
      </c>
      <c r="F56" s="3">
        <v>6818969.4397999998</v>
      </c>
      <c r="G56" s="3">
        <v>17058342.884100001</v>
      </c>
      <c r="H56" s="3">
        <f t="shared" si="0"/>
        <v>23877312.323899999</v>
      </c>
      <c r="I56" s="3">
        <v>15242330.061000001</v>
      </c>
      <c r="J56" s="3">
        <v>197210</v>
      </c>
      <c r="K56" s="3">
        <v>702.04600000000005</v>
      </c>
      <c r="L56" s="3">
        <v>123575.42</v>
      </c>
      <c r="M56" s="4">
        <v>4.8</v>
      </c>
      <c r="N56" s="4">
        <v>97.09999999999998</v>
      </c>
      <c r="O56" s="4">
        <v>22</v>
      </c>
      <c r="P56">
        <v>31</v>
      </c>
      <c r="Q56" s="30">
        <v>6917.1</v>
      </c>
      <c r="R56" s="30">
        <v>82.5</v>
      </c>
      <c r="S56">
        <v>55</v>
      </c>
      <c r="T56" s="4">
        <v>23379</v>
      </c>
      <c r="U56" s="4">
        <v>3174</v>
      </c>
      <c r="V56" s="4">
        <v>234</v>
      </c>
      <c r="W56" s="4">
        <v>137</v>
      </c>
      <c r="X56" s="4">
        <f t="shared" si="3"/>
        <v>371</v>
      </c>
      <c r="Y56" s="4">
        <v>0</v>
      </c>
      <c r="Z56">
        <v>3</v>
      </c>
      <c r="AA56" s="4">
        <v>5727</v>
      </c>
      <c r="AB56" s="4">
        <v>150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f t="shared" si="4"/>
        <v>1</v>
      </c>
      <c r="AJ56" s="4">
        <v>0</v>
      </c>
      <c r="AK56" s="4">
        <v>0</v>
      </c>
    </row>
    <row r="57" spans="1:37" s="30" customFormat="1" x14ac:dyDescent="0.25">
      <c r="A57" s="1">
        <v>41487</v>
      </c>
      <c r="B57" s="6">
        <f t="shared" si="2"/>
        <v>2013</v>
      </c>
      <c r="C57" s="3">
        <v>59398896.684819274</v>
      </c>
      <c r="D57" s="3">
        <v>12808476.5385</v>
      </c>
      <c r="E57" s="3">
        <v>7080591.3404999999</v>
      </c>
      <c r="F57" s="3">
        <v>6541731.4468999999</v>
      </c>
      <c r="G57" s="3">
        <v>16638185.920499999</v>
      </c>
      <c r="H57" s="3">
        <f t="shared" si="0"/>
        <v>23179917.367399998</v>
      </c>
      <c r="I57" s="3">
        <v>14587365.41</v>
      </c>
      <c r="J57" s="3">
        <v>222711</v>
      </c>
      <c r="K57" s="3">
        <v>592.71299999999997</v>
      </c>
      <c r="L57" s="3">
        <v>123498.42</v>
      </c>
      <c r="M57" s="4">
        <v>7.7</v>
      </c>
      <c r="N57" s="4">
        <v>59.999999999999993</v>
      </c>
      <c r="O57" s="4">
        <v>21</v>
      </c>
      <c r="P57" s="30">
        <v>31</v>
      </c>
      <c r="Q57" s="30">
        <v>6934.7</v>
      </c>
      <c r="R57" s="30">
        <v>83.4</v>
      </c>
      <c r="S57" s="30">
        <v>56</v>
      </c>
      <c r="T57" s="4">
        <v>23423</v>
      </c>
      <c r="U57" s="4">
        <v>3170</v>
      </c>
      <c r="V57" s="4">
        <v>236</v>
      </c>
      <c r="W57" s="4">
        <v>137</v>
      </c>
      <c r="X57" s="4">
        <f t="shared" si="3"/>
        <v>373</v>
      </c>
      <c r="Y57" s="4">
        <v>0</v>
      </c>
      <c r="Z57" s="30">
        <v>3</v>
      </c>
      <c r="AA57" s="4">
        <v>5758</v>
      </c>
      <c r="AB57" s="4">
        <v>150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f t="shared" si="4"/>
        <v>1</v>
      </c>
      <c r="AJ57" s="4">
        <v>0</v>
      </c>
      <c r="AK57" s="4">
        <v>0</v>
      </c>
    </row>
    <row r="58" spans="1:37" s="30" customFormat="1" x14ac:dyDescent="0.25">
      <c r="A58" s="1">
        <v>41518</v>
      </c>
      <c r="B58" s="6">
        <f t="shared" si="2"/>
        <v>2013</v>
      </c>
      <c r="C58" s="3">
        <v>54729002.721204817</v>
      </c>
      <c r="D58" s="3">
        <v>12245851.7632</v>
      </c>
      <c r="E58" s="3">
        <v>6427748.052699999</v>
      </c>
      <c r="F58" s="3">
        <v>5894824.7414999995</v>
      </c>
      <c r="G58" s="3">
        <v>15400677.077500002</v>
      </c>
      <c r="H58" s="3">
        <f t="shared" si="0"/>
        <v>21295501.819000002</v>
      </c>
      <c r="I58" s="3">
        <v>13272017.319</v>
      </c>
      <c r="J58" s="3">
        <v>207098</v>
      </c>
      <c r="K58" s="3">
        <v>477.161</v>
      </c>
      <c r="L58" s="3">
        <v>138071.07</v>
      </c>
      <c r="M58" s="4">
        <v>118.4</v>
      </c>
      <c r="N58" s="4">
        <v>16.5</v>
      </c>
      <c r="O58" s="4">
        <v>20</v>
      </c>
      <c r="P58" s="30">
        <v>30</v>
      </c>
      <c r="Q58" s="30">
        <v>6906.9</v>
      </c>
      <c r="R58" s="30">
        <v>84.1</v>
      </c>
      <c r="S58" s="30">
        <v>57</v>
      </c>
      <c r="T58" s="4">
        <v>23499</v>
      </c>
      <c r="U58" s="4">
        <v>3166</v>
      </c>
      <c r="V58" s="4">
        <v>236</v>
      </c>
      <c r="W58" s="4">
        <v>137</v>
      </c>
      <c r="X58" s="4">
        <f t="shared" si="3"/>
        <v>373</v>
      </c>
      <c r="Y58" s="4">
        <v>0</v>
      </c>
      <c r="Z58" s="30">
        <v>3</v>
      </c>
      <c r="AA58" s="4">
        <v>5381</v>
      </c>
      <c r="AB58" s="4">
        <v>150</v>
      </c>
      <c r="AC58" s="4">
        <v>1</v>
      </c>
      <c r="AD58" s="4">
        <v>0</v>
      </c>
      <c r="AE58" s="4">
        <v>1</v>
      </c>
      <c r="AF58" s="4">
        <v>0</v>
      </c>
      <c r="AG58" s="4">
        <v>0</v>
      </c>
      <c r="AH58" s="4">
        <v>0</v>
      </c>
      <c r="AI58" s="4">
        <f t="shared" si="4"/>
        <v>0</v>
      </c>
      <c r="AJ58" s="4">
        <v>0</v>
      </c>
      <c r="AK58" s="4">
        <v>0</v>
      </c>
    </row>
    <row r="59" spans="1:37" s="30" customFormat="1" x14ac:dyDescent="0.25">
      <c r="A59" s="1">
        <v>41548</v>
      </c>
      <c r="B59" s="6">
        <f t="shared" si="2"/>
        <v>2013</v>
      </c>
      <c r="C59" s="3">
        <v>56001055.432048194</v>
      </c>
      <c r="D59" s="3">
        <v>13101524.618600002</v>
      </c>
      <c r="E59" s="3">
        <v>6420522.6624999996</v>
      </c>
      <c r="F59" s="3">
        <v>5940536.7679000013</v>
      </c>
      <c r="G59" s="3">
        <v>15627462.717600001</v>
      </c>
      <c r="H59" s="3">
        <f>F59+G59</f>
        <v>21567999.4855</v>
      </c>
      <c r="I59" s="3">
        <v>12991616.025000002</v>
      </c>
      <c r="J59" s="3">
        <v>239266</v>
      </c>
      <c r="K59" s="3">
        <v>477.161</v>
      </c>
      <c r="L59" s="3">
        <v>149190.45000000001</v>
      </c>
      <c r="M59" s="4">
        <v>235.69999999999996</v>
      </c>
      <c r="N59" s="4">
        <v>1.5</v>
      </c>
      <c r="O59" s="4">
        <v>22</v>
      </c>
      <c r="P59" s="30">
        <v>31</v>
      </c>
      <c r="Q59" s="30">
        <v>6889</v>
      </c>
      <c r="R59" s="30">
        <v>85.1</v>
      </c>
      <c r="S59" s="30">
        <v>58</v>
      </c>
      <c r="T59" s="4">
        <v>23572</v>
      </c>
      <c r="U59" s="4">
        <v>3142</v>
      </c>
      <c r="V59" s="4">
        <v>237</v>
      </c>
      <c r="W59" s="4">
        <v>137</v>
      </c>
      <c r="X59" s="4">
        <f t="shared" si="3"/>
        <v>374</v>
      </c>
      <c r="Y59" s="4">
        <v>0</v>
      </c>
      <c r="Z59" s="30">
        <v>3</v>
      </c>
      <c r="AA59" s="4">
        <v>5381</v>
      </c>
      <c r="AB59" s="4">
        <v>150</v>
      </c>
      <c r="AC59" s="4">
        <v>1</v>
      </c>
      <c r="AD59" s="4">
        <v>0</v>
      </c>
      <c r="AE59" s="4">
        <v>1</v>
      </c>
      <c r="AF59" s="4">
        <v>0</v>
      </c>
      <c r="AG59" s="4">
        <v>0</v>
      </c>
      <c r="AH59" s="4">
        <v>0</v>
      </c>
      <c r="AI59" s="4">
        <f t="shared" si="4"/>
        <v>0</v>
      </c>
      <c r="AJ59" s="4">
        <v>0</v>
      </c>
      <c r="AK59" s="4">
        <v>0</v>
      </c>
    </row>
    <row r="60" spans="1:37" s="30" customFormat="1" x14ac:dyDescent="0.25">
      <c r="A60" s="1">
        <v>41579</v>
      </c>
      <c r="B60" s="6">
        <f t="shared" si="2"/>
        <v>2013</v>
      </c>
      <c r="C60" s="3">
        <v>56290952.54192771</v>
      </c>
      <c r="D60" s="3">
        <v>17400393.981199998</v>
      </c>
      <c r="E60" s="3">
        <v>7196501.2766999993</v>
      </c>
      <c r="F60" s="3">
        <v>6507032.9238999998</v>
      </c>
      <c r="G60" s="3">
        <v>17023388.467499997</v>
      </c>
      <c r="H60" s="3">
        <f>F60+G60</f>
        <v>23530421.391399998</v>
      </c>
      <c r="I60" s="3">
        <v>12006063.484999999</v>
      </c>
      <c r="J60" s="3">
        <v>238243</v>
      </c>
      <c r="K60" s="3">
        <v>473.06799999999998</v>
      </c>
      <c r="L60" s="3">
        <v>119514.6</v>
      </c>
      <c r="M60" s="4">
        <v>501.50000000000006</v>
      </c>
      <c r="N60" s="4">
        <v>0</v>
      </c>
      <c r="O60" s="4">
        <v>21</v>
      </c>
      <c r="P60" s="30">
        <v>30</v>
      </c>
      <c r="Q60" s="30">
        <v>6863.8</v>
      </c>
      <c r="R60" s="30">
        <v>85.1</v>
      </c>
      <c r="S60" s="30">
        <v>59</v>
      </c>
      <c r="T60" s="4">
        <v>23628</v>
      </c>
      <c r="U60" s="4">
        <v>3104</v>
      </c>
      <c r="V60" s="4">
        <v>237</v>
      </c>
      <c r="W60" s="4">
        <v>136</v>
      </c>
      <c r="X60" s="4">
        <f t="shared" si="3"/>
        <v>373</v>
      </c>
      <c r="Y60" s="4">
        <v>0</v>
      </c>
      <c r="Z60" s="30">
        <v>3</v>
      </c>
      <c r="AA60" s="4">
        <v>5392</v>
      </c>
      <c r="AB60" s="4">
        <v>150</v>
      </c>
      <c r="AC60" s="4">
        <v>1</v>
      </c>
      <c r="AD60" s="4">
        <v>0</v>
      </c>
      <c r="AE60" s="4">
        <v>1</v>
      </c>
      <c r="AF60" s="4">
        <v>0</v>
      </c>
      <c r="AG60" s="4">
        <v>0</v>
      </c>
      <c r="AH60" s="4">
        <v>0</v>
      </c>
      <c r="AI60" s="4">
        <f t="shared" si="4"/>
        <v>0</v>
      </c>
      <c r="AJ60" s="4">
        <v>0</v>
      </c>
      <c r="AK60" s="4">
        <v>0</v>
      </c>
    </row>
    <row r="61" spans="1:37" s="30" customFormat="1" x14ac:dyDescent="0.25">
      <c r="A61" s="1">
        <v>41609</v>
      </c>
      <c r="B61" s="6">
        <f t="shared" si="2"/>
        <v>2013</v>
      </c>
      <c r="C61" s="3">
        <v>70564077.786506027</v>
      </c>
      <c r="D61" s="3">
        <v>21276561.418000001</v>
      </c>
      <c r="E61" s="3">
        <v>8089952.5006000008</v>
      </c>
      <c r="F61" s="3">
        <v>7635156.5388999991</v>
      </c>
      <c r="G61" s="3">
        <v>18932195.9943</v>
      </c>
      <c r="H61" s="3">
        <f>F61+G61</f>
        <v>26567352.533199999</v>
      </c>
      <c r="I61" s="3">
        <v>11873765.093</v>
      </c>
      <c r="J61" s="3">
        <v>221712</v>
      </c>
      <c r="K61" s="3">
        <v>473.06799999999998</v>
      </c>
      <c r="L61" s="3">
        <v>123498.42</v>
      </c>
      <c r="M61" s="4">
        <v>756.99999999999977</v>
      </c>
      <c r="N61" s="4">
        <v>0</v>
      </c>
      <c r="O61" s="4">
        <v>20</v>
      </c>
      <c r="P61" s="30">
        <v>31</v>
      </c>
      <c r="Q61" s="30">
        <v>6849.3</v>
      </c>
      <c r="R61" s="30">
        <v>84.1</v>
      </c>
      <c r="S61" s="30">
        <v>60</v>
      </c>
      <c r="T61" s="4">
        <v>23625</v>
      </c>
      <c r="U61" s="4">
        <v>3099</v>
      </c>
      <c r="V61" s="4">
        <v>237</v>
      </c>
      <c r="W61" s="4">
        <v>137</v>
      </c>
      <c r="X61" s="4">
        <f t="shared" si="3"/>
        <v>374</v>
      </c>
      <c r="Y61" s="4">
        <v>0</v>
      </c>
      <c r="Z61" s="30">
        <v>3</v>
      </c>
      <c r="AA61" s="4">
        <v>5392</v>
      </c>
      <c r="AB61" s="4">
        <v>150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1</v>
      </c>
      <c r="AI61" s="4">
        <f t="shared" si="4"/>
        <v>0</v>
      </c>
      <c r="AJ61" s="4">
        <v>0</v>
      </c>
      <c r="AK61" s="4">
        <v>0</v>
      </c>
    </row>
    <row r="62" spans="1:37" s="30" customFormat="1" x14ac:dyDescent="0.25">
      <c r="A62" s="1">
        <v>41640</v>
      </c>
      <c r="B62" s="6">
        <f t="shared" ref="B62:B73" si="5">YEAR(A62)</f>
        <v>2014</v>
      </c>
      <c r="C62" s="3">
        <v>78167503.643012047</v>
      </c>
      <c r="D62" s="3">
        <v>24045022.723000001</v>
      </c>
      <c r="E62" s="3">
        <v>9744747.6810999997</v>
      </c>
      <c r="F62" s="3">
        <v>7297787.5548999999</v>
      </c>
      <c r="G62" s="3">
        <v>20090481.0724</v>
      </c>
      <c r="H62" s="3">
        <f t="shared" ref="H62:H73" si="6">F62+G62</f>
        <v>27388268.627300002</v>
      </c>
      <c r="I62" s="3">
        <v>12772928.206999999</v>
      </c>
      <c r="J62" s="3">
        <v>208956.88321732407</v>
      </c>
      <c r="K62" s="3">
        <v>473.06799999999998</v>
      </c>
      <c r="L62" s="3">
        <v>123715.42</v>
      </c>
      <c r="M62" s="4">
        <v>844.5</v>
      </c>
      <c r="N62" s="4">
        <v>0</v>
      </c>
      <c r="O62" s="4">
        <v>22</v>
      </c>
      <c r="P62" s="30">
        <v>31</v>
      </c>
      <c r="Q62" s="30">
        <v>6806.1</v>
      </c>
      <c r="R62" s="30">
        <v>82.5</v>
      </c>
      <c r="S62" s="30">
        <v>61</v>
      </c>
      <c r="T62" s="4">
        <v>23649</v>
      </c>
      <c r="U62" s="4">
        <v>3122</v>
      </c>
      <c r="V62" s="4">
        <v>185</v>
      </c>
      <c r="W62" s="4">
        <v>137</v>
      </c>
      <c r="X62" s="4">
        <f t="shared" si="3"/>
        <v>322</v>
      </c>
      <c r="Y62" s="4">
        <v>1</v>
      </c>
      <c r="Z62" s="30">
        <v>3</v>
      </c>
      <c r="AA62" s="4">
        <v>5392</v>
      </c>
      <c r="AB62" s="4">
        <v>150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f t="shared" si="4"/>
        <v>0</v>
      </c>
      <c r="AJ62" s="4">
        <v>1</v>
      </c>
      <c r="AK62" s="4">
        <v>0</v>
      </c>
    </row>
    <row r="63" spans="1:37" s="30" customFormat="1" x14ac:dyDescent="0.25">
      <c r="A63" s="1">
        <v>41671</v>
      </c>
      <c r="B63" s="6">
        <f t="shared" si="5"/>
        <v>2014</v>
      </c>
      <c r="C63" s="3">
        <v>67403067.843373507</v>
      </c>
      <c r="D63" s="3">
        <v>20749302.4553</v>
      </c>
      <c r="E63" s="3">
        <v>8690919.2281999998</v>
      </c>
      <c r="F63" s="3">
        <v>6591065.1289999997</v>
      </c>
      <c r="G63" s="3">
        <v>18018764.039799999</v>
      </c>
      <c r="H63" s="3">
        <f t="shared" si="6"/>
        <v>24609829.1688</v>
      </c>
      <c r="I63" s="3">
        <v>11586289.765999999</v>
      </c>
      <c r="J63" s="3">
        <v>173634.95746326374</v>
      </c>
      <c r="K63" s="3">
        <v>442.24400000000003</v>
      </c>
      <c r="L63" s="3">
        <v>111531.712</v>
      </c>
      <c r="M63" s="4">
        <v>740.90000000000009</v>
      </c>
      <c r="N63" s="4">
        <v>0</v>
      </c>
      <c r="O63" s="4">
        <v>19</v>
      </c>
      <c r="P63" s="30">
        <v>28</v>
      </c>
      <c r="Q63" s="30">
        <v>6772.3</v>
      </c>
      <c r="R63" s="30">
        <v>82.1</v>
      </c>
      <c r="S63" s="30">
        <v>62</v>
      </c>
      <c r="T63" s="4">
        <v>23652</v>
      </c>
      <c r="U63" s="4">
        <v>3121</v>
      </c>
      <c r="V63" s="4">
        <v>185</v>
      </c>
      <c r="W63" s="4">
        <v>137</v>
      </c>
      <c r="X63" s="4">
        <f t="shared" si="3"/>
        <v>322</v>
      </c>
      <c r="Y63" s="4">
        <v>1</v>
      </c>
      <c r="Z63" s="30">
        <v>3</v>
      </c>
      <c r="AA63" s="4">
        <v>5211</v>
      </c>
      <c r="AB63" s="4">
        <v>150</v>
      </c>
      <c r="AC63" s="4">
        <v>0</v>
      </c>
      <c r="AD63" s="4">
        <v>0</v>
      </c>
      <c r="AE63" s="4">
        <v>0</v>
      </c>
      <c r="AF63" s="4">
        <v>1</v>
      </c>
      <c r="AG63" s="4">
        <v>0</v>
      </c>
      <c r="AH63" s="4">
        <v>0</v>
      </c>
      <c r="AI63" s="4">
        <f t="shared" si="4"/>
        <v>0</v>
      </c>
      <c r="AJ63" s="4">
        <v>0</v>
      </c>
      <c r="AK63" s="4">
        <v>0</v>
      </c>
    </row>
    <row r="64" spans="1:37" s="30" customFormat="1" x14ac:dyDescent="0.25">
      <c r="A64" s="1">
        <v>41699</v>
      </c>
      <c r="B64" s="6">
        <f t="shared" si="5"/>
        <v>2014</v>
      </c>
      <c r="C64" s="3">
        <v>71142156.171084344</v>
      </c>
      <c r="D64" s="3">
        <v>20476865.275200002</v>
      </c>
      <c r="E64" s="3">
        <v>8839537.966</v>
      </c>
      <c r="F64" s="3">
        <v>6930113.1627999991</v>
      </c>
      <c r="G64" s="3">
        <v>18940380.861499999</v>
      </c>
      <c r="H64" s="3">
        <f t="shared" si="6"/>
        <v>25870494.024299998</v>
      </c>
      <c r="I64" s="3">
        <v>12718168.484999999</v>
      </c>
      <c r="J64" s="3">
        <v>171148.49187935036</v>
      </c>
      <c r="K64" s="3">
        <v>431.09500000000003</v>
      </c>
      <c r="L64" s="3">
        <v>122747.954</v>
      </c>
      <c r="M64" s="4">
        <v>720.19999999999993</v>
      </c>
      <c r="N64" s="4">
        <v>0</v>
      </c>
      <c r="O64" s="4">
        <v>21</v>
      </c>
      <c r="P64" s="30">
        <v>31</v>
      </c>
      <c r="Q64" s="30">
        <v>6751.3</v>
      </c>
      <c r="R64" s="30">
        <v>81.8</v>
      </c>
      <c r="S64" s="30">
        <v>63</v>
      </c>
      <c r="T64" s="4">
        <v>23692</v>
      </c>
      <c r="U64" s="4">
        <v>3085</v>
      </c>
      <c r="V64" s="4">
        <v>188</v>
      </c>
      <c r="W64" s="4">
        <v>137</v>
      </c>
      <c r="X64" s="4">
        <f t="shared" si="3"/>
        <v>325</v>
      </c>
      <c r="Y64" s="4">
        <v>1</v>
      </c>
      <c r="Z64" s="30">
        <v>3</v>
      </c>
      <c r="AA64" s="4">
        <v>5178</v>
      </c>
      <c r="AB64" s="4">
        <v>149</v>
      </c>
      <c r="AC64" s="4">
        <v>1</v>
      </c>
      <c r="AD64" s="4">
        <v>1</v>
      </c>
      <c r="AE64" s="4">
        <v>0</v>
      </c>
      <c r="AF64" s="4">
        <v>0</v>
      </c>
      <c r="AG64" s="4">
        <v>0</v>
      </c>
      <c r="AH64" s="4">
        <v>0</v>
      </c>
      <c r="AI64" s="4">
        <f t="shared" si="4"/>
        <v>0</v>
      </c>
      <c r="AJ64" s="4">
        <v>0</v>
      </c>
      <c r="AK64" s="4">
        <v>1</v>
      </c>
    </row>
    <row r="65" spans="1:37" s="30" customFormat="1" x14ac:dyDescent="0.25">
      <c r="A65" s="1">
        <v>41730</v>
      </c>
      <c r="B65" s="6">
        <f t="shared" si="5"/>
        <v>2014</v>
      </c>
      <c r="C65" s="3">
        <v>56889677.615301207</v>
      </c>
      <c r="D65" s="3">
        <v>15606789.041399999</v>
      </c>
      <c r="E65" s="3">
        <v>7227399.0751</v>
      </c>
      <c r="F65" s="3">
        <v>5656916.7777999993</v>
      </c>
      <c r="G65" s="3">
        <v>16142679.944200002</v>
      </c>
      <c r="H65" s="3">
        <f t="shared" si="6"/>
        <v>21799596.722000003</v>
      </c>
      <c r="I65" s="3">
        <v>11494836.318</v>
      </c>
      <c r="J65" s="3">
        <v>141658.93271461717</v>
      </c>
      <c r="K65" s="3">
        <v>448.66600000000005</v>
      </c>
      <c r="L65" s="3">
        <v>96196.53</v>
      </c>
      <c r="M65" s="4">
        <v>352.09999999999991</v>
      </c>
      <c r="N65" s="4">
        <v>0</v>
      </c>
      <c r="O65" s="4">
        <v>20</v>
      </c>
      <c r="P65" s="30">
        <v>30</v>
      </c>
      <c r="Q65" s="30">
        <v>6785</v>
      </c>
      <c r="R65" s="30">
        <v>82</v>
      </c>
      <c r="S65" s="30">
        <v>64</v>
      </c>
      <c r="T65" s="4">
        <v>23826</v>
      </c>
      <c r="U65" s="4">
        <v>3087</v>
      </c>
      <c r="V65" s="4">
        <v>185</v>
      </c>
      <c r="W65" s="4">
        <v>138</v>
      </c>
      <c r="X65" s="4">
        <f t="shared" si="3"/>
        <v>323</v>
      </c>
      <c r="Y65" s="4">
        <v>1</v>
      </c>
      <c r="Z65" s="30">
        <v>3</v>
      </c>
      <c r="AA65" s="4">
        <v>5156</v>
      </c>
      <c r="AB65" s="4">
        <v>148</v>
      </c>
      <c r="AC65" s="4">
        <v>1</v>
      </c>
      <c r="AD65" s="4">
        <v>1</v>
      </c>
      <c r="AE65" s="4">
        <v>0</v>
      </c>
      <c r="AF65" s="4">
        <v>0</v>
      </c>
      <c r="AG65" s="4">
        <v>1</v>
      </c>
      <c r="AH65" s="4">
        <v>0</v>
      </c>
      <c r="AI65" s="4">
        <f t="shared" si="4"/>
        <v>0</v>
      </c>
      <c r="AJ65" s="4">
        <v>0</v>
      </c>
      <c r="AK65" s="4">
        <v>0</v>
      </c>
    </row>
    <row r="66" spans="1:37" s="30" customFormat="1" x14ac:dyDescent="0.25">
      <c r="A66" s="1">
        <v>41760</v>
      </c>
      <c r="B66" s="6">
        <f t="shared" si="5"/>
        <v>2014</v>
      </c>
      <c r="C66" s="3">
        <v>51722002.598915666</v>
      </c>
      <c r="D66" s="3">
        <v>11442915.201100001</v>
      </c>
      <c r="E66" s="3">
        <v>6595622.3787000002</v>
      </c>
      <c r="F66" s="3">
        <v>5262951.7011000002</v>
      </c>
      <c r="G66" s="3">
        <v>14949270.745700002</v>
      </c>
      <c r="H66" s="3">
        <f t="shared" si="6"/>
        <v>20212222.446800001</v>
      </c>
      <c r="I66" s="3">
        <v>11858207.989999998</v>
      </c>
      <c r="J66" s="3">
        <v>120208.04166666667</v>
      </c>
      <c r="K66" s="3">
        <v>422.32100000000003</v>
      </c>
      <c r="L66" s="3">
        <v>99403.081000000006</v>
      </c>
      <c r="M66" s="4">
        <v>127.70000000000003</v>
      </c>
      <c r="N66" s="4">
        <v>12.399999999999999</v>
      </c>
      <c r="O66" s="4">
        <v>22</v>
      </c>
      <c r="P66" s="30">
        <v>31</v>
      </c>
      <c r="Q66" s="30">
        <v>6842.6</v>
      </c>
      <c r="R66" s="30">
        <v>82.8</v>
      </c>
      <c r="S66" s="30">
        <v>65</v>
      </c>
      <c r="T66" s="4">
        <v>23751</v>
      </c>
      <c r="U66" s="4">
        <v>3075</v>
      </c>
      <c r="V66" s="4">
        <v>186</v>
      </c>
      <c r="W66" s="4">
        <v>138</v>
      </c>
      <c r="X66" s="4">
        <f t="shared" si="3"/>
        <v>324</v>
      </c>
      <c r="Y66" s="4">
        <v>1</v>
      </c>
      <c r="Z66" s="30">
        <v>3</v>
      </c>
      <c r="AA66" s="4">
        <v>5156</v>
      </c>
      <c r="AB66" s="4">
        <v>148</v>
      </c>
      <c r="AC66" s="4">
        <v>1</v>
      </c>
      <c r="AD66" s="4">
        <v>1</v>
      </c>
      <c r="AE66" s="4">
        <v>0</v>
      </c>
      <c r="AF66" s="4">
        <v>0</v>
      </c>
      <c r="AG66" s="4">
        <v>0</v>
      </c>
      <c r="AH66" s="4">
        <v>0</v>
      </c>
      <c r="AI66" s="4">
        <f t="shared" si="4"/>
        <v>1</v>
      </c>
      <c r="AJ66" s="4">
        <v>0</v>
      </c>
      <c r="AK66" s="4">
        <v>0</v>
      </c>
    </row>
    <row r="67" spans="1:37" s="30" customFormat="1" x14ac:dyDescent="0.25">
      <c r="A67" s="1">
        <v>41791</v>
      </c>
      <c r="B67" s="6">
        <f t="shared" si="5"/>
        <v>2014</v>
      </c>
      <c r="C67" s="3">
        <v>53875004.047108434</v>
      </c>
      <c r="D67" s="3">
        <v>11450449.290999999</v>
      </c>
      <c r="E67" s="3">
        <v>6748420.8118000003</v>
      </c>
      <c r="F67" s="3">
        <v>5437661.7108000005</v>
      </c>
      <c r="G67" s="3">
        <v>15250874.950900001</v>
      </c>
      <c r="H67" s="3">
        <f t="shared" si="6"/>
        <v>20688536.661700003</v>
      </c>
      <c r="I67" s="3">
        <v>12819088.591</v>
      </c>
      <c r="J67" s="3">
        <v>107612.23124516629</v>
      </c>
      <c r="K67" s="3">
        <v>422.44500000000005</v>
      </c>
      <c r="L67" s="3">
        <v>96544.53</v>
      </c>
      <c r="M67" s="4">
        <v>25.699999999999996</v>
      </c>
      <c r="N67" s="4">
        <v>47.4</v>
      </c>
      <c r="O67" s="4">
        <v>21</v>
      </c>
      <c r="P67" s="30">
        <v>30</v>
      </c>
      <c r="Q67" s="30">
        <v>6912.9</v>
      </c>
      <c r="R67" s="30">
        <v>83.4</v>
      </c>
      <c r="S67" s="30">
        <v>66</v>
      </c>
      <c r="T67" s="4">
        <v>23799</v>
      </c>
      <c r="U67" s="4">
        <v>3067</v>
      </c>
      <c r="V67" s="4">
        <v>187</v>
      </c>
      <c r="W67" s="4">
        <v>138</v>
      </c>
      <c r="X67" s="4">
        <f t="shared" si="3"/>
        <v>325</v>
      </c>
      <c r="Y67" s="4">
        <v>1</v>
      </c>
      <c r="Z67" s="30">
        <v>3</v>
      </c>
      <c r="AA67" s="4">
        <v>5163</v>
      </c>
      <c r="AB67" s="4">
        <v>148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f t="shared" si="4"/>
        <v>1</v>
      </c>
      <c r="AJ67" s="4">
        <v>0</v>
      </c>
      <c r="AK67" s="4">
        <v>0</v>
      </c>
    </row>
    <row r="68" spans="1:37" s="30" customFormat="1" x14ac:dyDescent="0.25">
      <c r="A68" s="1">
        <v>41821</v>
      </c>
      <c r="B68" s="6">
        <f t="shared" si="5"/>
        <v>2014</v>
      </c>
      <c r="C68" s="3">
        <v>58142316.039879523</v>
      </c>
      <c r="D68" s="3">
        <v>12659349.261</v>
      </c>
      <c r="E68" s="3">
        <v>7210633.4199000001</v>
      </c>
      <c r="F68" s="3">
        <v>5829631.7425999995</v>
      </c>
      <c r="G68" s="3">
        <v>16163844.549199998</v>
      </c>
      <c r="H68" s="3">
        <f t="shared" si="6"/>
        <v>21993476.2918</v>
      </c>
      <c r="I68" s="3">
        <v>14008809.457</v>
      </c>
      <c r="J68" s="3">
        <v>108165.34174400619</v>
      </c>
      <c r="K68" s="3">
        <v>395.33600000000001</v>
      </c>
      <c r="L68" s="3">
        <v>100649.73299999999</v>
      </c>
      <c r="M68" s="4">
        <v>10.600000000000001</v>
      </c>
      <c r="N68" s="4">
        <v>55.899999999999984</v>
      </c>
      <c r="O68" s="4">
        <v>22</v>
      </c>
      <c r="P68" s="30">
        <v>31</v>
      </c>
      <c r="Q68" s="30">
        <v>6957.8</v>
      </c>
      <c r="R68" s="30">
        <v>83.4</v>
      </c>
      <c r="S68" s="30">
        <v>67</v>
      </c>
      <c r="T68" s="4">
        <v>23834</v>
      </c>
      <c r="U68" s="4">
        <v>3066</v>
      </c>
      <c r="V68" s="4">
        <v>187</v>
      </c>
      <c r="W68" s="4">
        <v>138</v>
      </c>
      <c r="X68" s="4">
        <f t="shared" si="3"/>
        <v>325</v>
      </c>
      <c r="Y68" s="4">
        <v>1</v>
      </c>
      <c r="Z68" s="30">
        <v>3</v>
      </c>
      <c r="AA68" s="4">
        <v>5139</v>
      </c>
      <c r="AB68" s="4">
        <v>147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f t="shared" si="4"/>
        <v>1</v>
      </c>
      <c r="AJ68" s="4">
        <v>0</v>
      </c>
      <c r="AK68" s="4">
        <v>0</v>
      </c>
    </row>
    <row r="69" spans="1:37" s="30" customFormat="1" x14ac:dyDescent="0.25">
      <c r="A69" s="1">
        <v>41852</v>
      </c>
      <c r="B69" s="6">
        <f t="shared" si="5"/>
        <v>2014</v>
      </c>
      <c r="C69" s="3">
        <v>57751654.821686745</v>
      </c>
      <c r="D69" s="3">
        <v>12690651.3156</v>
      </c>
      <c r="E69" s="3">
        <v>7172486.9500000002</v>
      </c>
      <c r="F69" s="3">
        <v>5689623.5511000007</v>
      </c>
      <c r="G69" s="3">
        <v>16115241.480999999</v>
      </c>
      <c r="H69" s="3">
        <f t="shared" si="6"/>
        <v>21804865.032099999</v>
      </c>
      <c r="I69" s="3">
        <v>14091447.23</v>
      </c>
      <c r="J69" s="3">
        <v>124973.92846094354</v>
      </c>
      <c r="K69" s="3">
        <v>403.601</v>
      </c>
      <c r="L69" s="3">
        <v>100546.82</v>
      </c>
      <c r="M69" s="4">
        <v>18.999999999999996</v>
      </c>
      <c r="N69" s="4">
        <v>51.999999999999993</v>
      </c>
      <c r="O69" s="4">
        <v>20</v>
      </c>
      <c r="P69" s="30">
        <v>31</v>
      </c>
      <c r="Q69" s="30">
        <v>6969.7</v>
      </c>
      <c r="R69" s="30">
        <v>82.2</v>
      </c>
      <c r="S69" s="30">
        <v>68</v>
      </c>
      <c r="T69" s="4">
        <v>23862</v>
      </c>
      <c r="U69" s="4">
        <v>3062</v>
      </c>
      <c r="V69" s="4">
        <v>188</v>
      </c>
      <c r="W69" s="4">
        <v>138</v>
      </c>
      <c r="X69" s="4">
        <f t="shared" si="3"/>
        <v>326</v>
      </c>
      <c r="Y69" s="4">
        <v>1</v>
      </c>
      <c r="Z69" s="30">
        <v>3</v>
      </c>
      <c r="AA69" s="4">
        <v>5209</v>
      </c>
      <c r="AB69" s="4">
        <v>144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f t="shared" si="4"/>
        <v>1</v>
      </c>
      <c r="AJ69" s="4">
        <v>0</v>
      </c>
      <c r="AK69" s="4">
        <v>0</v>
      </c>
    </row>
    <row r="70" spans="1:37" s="30" customFormat="1" x14ac:dyDescent="0.25">
      <c r="A70" s="1">
        <v>41883</v>
      </c>
      <c r="B70" s="6">
        <f t="shared" si="5"/>
        <v>2014</v>
      </c>
      <c r="C70" s="3">
        <v>55055070.785060234</v>
      </c>
      <c r="D70" s="3">
        <v>12397214.755899999</v>
      </c>
      <c r="E70" s="3">
        <v>6683803.4541999996</v>
      </c>
      <c r="F70" s="3">
        <v>5271156.1382999998</v>
      </c>
      <c r="G70" s="3">
        <v>15161579.8627</v>
      </c>
      <c r="H70" s="3">
        <f t="shared" si="6"/>
        <v>20432736.001000002</v>
      </c>
      <c r="I70" s="3">
        <v>13562155.984999999</v>
      </c>
      <c r="J70" s="3">
        <v>139459.97032095899</v>
      </c>
      <c r="K70" s="3">
        <v>405.03599999999994</v>
      </c>
      <c r="L70" s="3">
        <v>97303.5</v>
      </c>
      <c r="M70" s="4">
        <v>90.500000000000014</v>
      </c>
      <c r="N70" s="4">
        <v>25.400000000000006</v>
      </c>
      <c r="O70" s="4">
        <v>21</v>
      </c>
      <c r="P70" s="30">
        <v>30</v>
      </c>
      <c r="Q70" s="30">
        <v>6944.1</v>
      </c>
      <c r="R70" s="30">
        <v>81.3</v>
      </c>
      <c r="S70" s="30">
        <v>69</v>
      </c>
      <c r="T70" s="4">
        <v>24020</v>
      </c>
      <c r="U70" s="4">
        <v>2981</v>
      </c>
      <c r="V70" s="4">
        <v>186</v>
      </c>
      <c r="W70" s="4">
        <v>138</v>
      </c>
      <c r="X70" s="4">
        <f t="shared" si="3"/>
        <v>324</v>
      </c>
      <c r="Y70" s="4">
        <v>1</v>
      </c>
      <c r="Z70" s="30">
        <v>3</v>
      </c>
      <c r="AA70" s="4">
        <v>5316</v>
      </c>
      <c r="AB70" s="4">
        <v>144</v>
      </c>
      <c r="AC70" s="4">
        <v>1</v>
      </c>
      <c r="AD70" s="4">
        <v>0</v>
      </c>
      <c r="AE70" s="4">
        <v>1</v>
      </c>
      <c r="AF70" s="4">
        <v>0</v>
      </c>
      <c r="AG70" s="4">
        <v>0</v>
      </c>
      <c r="AH70" s="4">
        <v>0</v>
      </c>
      <c r="AI70" s="4">
        <f t="shared" si="4"/>
        <v>0</v>
      </c>
      <c r="AJ70" s="4">
        <v>0</v>
      </c>
      <c r="AK70" s="4">
        <v>0</v>
      </c>
    </row>
    <row r="71" spans="1:37" s="30" customFormat="1" x14ac:dyDescent="0.25">
      <c r="A71" s="1">
        <v>41913</v>
      </c>
      <c r="B71" s="6">
        <f t="shared" si="5"/>
        <v>2014</v>
      </c>
      <c r="C71" s="3">
        <v>55391118.475783132</v>
      </c>
      <c r="D71" s="3">
        <v>13065374.972399998</v>
      </c>
      <c r="E71" s="3">
        <v>6719023.064100001</v>
      </c>
      <c r="F71" s="3">
        <v>5354797.2243000008</v>
      </c>
      <c r="G71" s="3">
        <v>15335050.289500002</v>
      </c>
      <c r="H71" s="3">
        <f t="shared" si="6"/>
        <v>20689847.513800003</v>
      </c>
      <c r="I71" s="3">
        <v>12773242.293000001</v>
      </c>
      <c r="J71" s="3">
        <v>161712.52803557616</v>
      </c>
      <c r="K71" s="3">
        <v>400.59199999999998</v>
      </c>
      <c r="L71" s="3">
        <v>100546.82</v>
      </c>
      <c r="M71" s="4">
        <v>225.59999999999994</v>
      </c>
      <c r="N71" s="4">
        <v>1.8</v>
      </c>
      <c r="O71" s="4">
        <v>22</v>
      </c>
      <c r="P71" s="30">
        <v>31</v>
      </c>
      <c r="Q71" s="30">
        <v>6936.6</v>
      </c>
      <c r="R71" s="30">
        <v>80.099999999999994</v>
      </c>
      <c r="S71" s="30">
        <v>70</v>
      </c>
      <c r="T71" s="4">
        <v>24052</v>
      </c>
      <c r="U71" s="4">
        <v>2984</v>
      </c>
      <c r="V71" s="4">
        <v>186</v>
      </c>
      <c r="W71" s="4">
        <v>138</v>
      </c>
      <c r="X71" s="4">
        <f t="shared" si="3"/>
        <v>324</v>
      </c>
      <c r="Y71" s="4">
        <v>1</v>
      </c>
      <c r="Z71" s="30">
        <v>3</v>
      </c>
      <c r="AA71" s="4">
        <v>5272</v>
      </c>
      <c r="AB71" s="4">
        <v>144</v>
      </c>
      <c r="AC71" s="4">
        <v>1</v>
      </c>
      <c r="AD71" s="4">
        <v>0</v>
      </c>
      <c r="AE71" s="4">
        <v>1</v>
      </c>
      <c r="AF71" s="4">
        <v>0</v>
      </c>
      <c r="AG71" s="4">
        <v>0</v>
      </c>
      <c r="AH71" s="4">
        <v>0</v>
      </c>
      <c r="AI71" s="4">
        <f t="shared" si="4"/>
        <v>0</v>
      </c>
      <c r="AJ71" s="4">
        <v>0</v>
      </c>
      <c r="AK71" s="4">
        <v>0</v>
      </c>
    </row>
    <row r="72" spans="1:37" s="30" customFormat="1" x14ac:dyDescent="0.25">
      <c r="A72" s="1">
        <v>41944</v>
      </c>
      <c r="B72" s="6">
        <f t="shared" si="5"/>
        <v>2014</v>
      </c>
      <c r="C72" s="3">
        <v>61256622.912168674</v>
      </c>
      <c r="D72" s="3">
        <v>17254782.230599999</v>
      </c>
      <c r="E72" s="3">
        <v>7525140.5691000018</v>
      </c>
      <c r="F72" s="3">
        <v>5889499.6722000008</v>
      </c>
      <c r="G72" s="3">
        <v>16599076.4438</v>
      </c>
      <c r="H72" s="3">
        <f t="shared" si="6"/>
        <v>22488576.116</v>
      </c>
      <c r="I72" s="3">
        <v>11904214.238</v>
      </c>
      <c r="J72" s="3">
        <v>172825.66676334108</v>
      </c>
      <c r="K72" s="3">
        <v>400.59199999999998</v>
      </c>
      <c r="L72" s="3">
        <v>97303.5</v>
      </c>
      <c r="M72" s="4">
        <v>491.6</v>
      </c>
      <c r="N72" s="4">
        <v>0</v>
      </c>
      <c r="O72" s="4">
        <v>20</v>
      </c>
      <c r="P72" s="30">
        <v>30</v>
      </c>
      <c r="Q72" s="30">
        <v>6914.3</v>
      </c>
      <c r="R72" s="30">
        <v>79.099999999999994</v>
      </c>
      <c r="S72" s="30">
        <v>71</v>
      </c>
      <c r="T72" s="4">
        <v>24048</v>
      </c>
      <c r="U72" s="4">
        <v>2985</v>
      </c>
      <c r="V72" s="4">
        <v>189</v>
      </c>
      <c r="W72" s="4">
        <v>138</v>
      </c>
      <c r="X72" s="4">
        <f t="shared" si="3"/>
        <v>327</v>
      </c>
      <c r="Y72" s="4">
        <v>1</v>
      </c>
      <c r="Z72" s="30">
        <v>3</v>
      </c>
      <c r="AA72" s="4">
        <v>5272</v>
      </c>
      <c r="AB72" s="4">
        <v>143</v>
      </c>
      <c r="AC72" s="4">
        <v>1</v>
      </c>
      <c r="AD72" s="4">
        <v>0</v>
      </c>
      <c r="AE72" s="4">
        <v>1</v>
      </c>
      <c r="AF72" s="4">
        <v>0</v>
      </c>
      <c r="AG72" s="4">
        <v>0</v>
      </c>
      <c r="AH72" s="4">
        <v>0</v>
      </c>
      <c r="AI72" s="4">
        <f t="shared" si="4"/>
        <v>0</v>
      </c>
      <c r="AJ72" s="4">
        <v>0</v>
      </c>
      <c r="AK72" s="4">
        <v>0</v>
      </c>
    </row>
    <row r="73" spans="1:37" s="30" customFormat="1" x14ac:dyDescent="0.25">
      <c r="A73" s="1">
        <v>41974</v>
      </c>
      <c r="B73" s="6">
        <f t="shared" si="5"/>
        <v>2014</v>
      </c>
      <c r="C73" s="3">
        <v>66218611.445421688</v>
      </c>
      <c r="D73" s="3">
        <v>20222691.8213</v>
      </c>
      <c r="E73" s="3">
        <v>8312820.2866000012</v>
      </c>
      <c r="F73" s="3">
        <v>6595642.288999998</v>
      </c>
      <c r="G73" s="3">
        <v>17924036.272100002</v>
      </c>
      <c r="H73" s="3">
        <f t="shared" si="6"/>
        <v>24519678.561099999</v>
      </c>
      <c r="I73" s="3">
        <v>11928804.916999999</v>
      </c>
      <c r="J73" s="3">
        <v>187559.82018561487</v>
      </c>
      <c r="K73" s="3">
        <v>400.19899999999996</v>
      </c>
      <c r="L73" s="3">
        <v>100546.82</v>
      </c>
      <c r="M73" s="4">
        <v>619.89999999999986</v>
      </c>
      <c r="N73" s="4">
        <v>0</v>
      </c>
      <c r="O73" s="4">
        <v>21</v>
      </c>
      <c r="P73" s="30">
        <v>31</v>
      </c>
      <c r="Q73" s="30">
        <v>6903.2</v>
      </c>
      <c r="R73" s="30">
        <v>79</v>
      </c>
      <c r="S73" s="30">
        <v>72</v>
      </c>
      <c r="T73" s="4">
        <v>24046</v>
      </c>
      <c r="U73" s="4">
        <v>2981</v>
      </c>
      <c r="V73" s="4">
        <v>189</v>
      </c>
      <c r="W73" s="4">
        <v>138</v>
      </c>
      <c r="X73" s="4">
        <f t="shared" si="3"/>
        <v>327</v>
      </c>
      <c r="Y73" s="4">
        <v>1</v>
      </c>
      <c r="Z73" s="30">
        <v>3</v>
      </c>
      <c r="AA73" s="4">
        <v>5273</v>
      </c>
      <c r="AB73" s="4">
        <v>143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1</v>
      </c>
      <c r="AI73" s="4">
        <f t="shared" si="4"/>
        <v>0</v>
      </c>
      <c r="AJ73" s="4">
        <v>0</v>
      </c>
      <c r="AK73" s="4">
        <v>0</v>
      </c>
    </row>
    <row r="74" spans="1:37" x14ac:dyDescent="0.25">
      <c r="C74" s="3"/>
      <c r="D74" s="3"/>
      <c r="E74" s="3"/>
      <c r="F74" s="3"/>
      <c r="G74" s="3"/>
      <c r="H74" s="3"/>
      <c r="I74" s="3"/>
      <c r="J74" s="3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74" sqref="B74"/>
    </sheetView>
  </sheetViews>
  <sheetFormatPr defaultRowHeight="13.2" x14ac:dyDescent="0.25"/>
  <cols>
    <col min="1" max="1" width="18.88671875" customWidth="1"/>
    <col min="2" max="2" width="14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175</v>
      </c>
    </row>
    <row r="2" spans="1:5" x14ac:dyDescent="0.25">
      <c r="A2" t="s">
        <v>79</v>
      </c>
    </row>
    <row r="4" spans="1:5" x14ac:dyDescent="0.25">
      <c r="B4" t="s">
        <v>47</v>
      </c>
      <c r="C4" t="s">
        <v>44</v>
      </c>
      <c r="D4" t="s">
        <v>48</v>
      </c>
      <c r="E4" t="s">
        <v>14</v>
      </c>
    </row>
    <row r="5" spans="1:5" x14ac:dyDescent="0.25">
      <c r="A5" t="s">
        <v>13</v>
      </c>
      <c r="B5" s="101">
        <v>-36743884.5954879</v>
      </c>
      <c r="C5">
        <v>6422458.3062214302</v>
      </c>
      <c r="D5">
        <v>-5.7211558010262298</v>
      </c>
      <c r="E5" s="5">
        <v>3.2772679872744901E-7</v>
      </c>
    </row>
    <row r="6" spans="1:5" x14ac:dyDescent="0.25">
      <c r="A6" t="s">
        <v>9</v>
      </c>
      <c r="B6" s="101">
        <v>-1950.0318351799399</v>
      </c>
      <c r="C6">
        <v>394.42817084778898</v>
      </c>
      <c r="D6">
        <v>-4.9439466531726701</v>
      </c>
      <c r="E6" s="5">
        <v>6.1383453973993197E-6</v>
      </c>
    </row>
    <row r="7" spans="1:5" x14ac:dyDescent="0.25">
      <c r="A7" t="s">
        <v>10</v>
      </c>
      <c r="B7" s="101">
        <v>18999.179801471499</v>
      </c>
      <c r="C7">
        <v>2150.05919256072</v>
      </c>
      <c r="D7">
        <v>8.8365845308860997</v>
      </c>
      <c r="E7" s="5">
        <v>1.41791209679278E-12</v>
      </c>
    </row>
    <row r="8" spans="1:5" x14ac:dyDescent="0.25">
      <c r="A8" t="s">
        <v>12</v>
      </c>
      <c r="B8" s="101">
        <v>344018.56861871103</v>
      </c>
      <c r="C8">
        <v>50069.334724292901</v>
      </c>
      <c r="D8">
        <v>6.8708436114250704</v>
      </c>
      <c r="E8" s="5">
        <v>3.5958084802996599E-9</v>
      </c>
    </row>
    <row r="9" spans="1:5" x14ac:dyDescent="0.25">
      <c r="A9" t="s">
        <v>159</v>
      </c>
      <c r="B9" s="101">
        <v>6242.9879924732804</v>
      </c>
      <c r="C9">
        <v>983.10820961616105</v>
      </c>
      <c r="D9">
        <v>6.3502551717178202</v>
      </c>
      <c r="E9" s="5">
        <v>2.8243434213382601E-8</v>
      </c>
    </row>
    <row r="10" spans="1:5" x14ac:dyDescent="0.25">
      <c r="A10" t="s">
        <v>81</v>
      </c>
      <c r="B10" s="101">
        <v>-38271.6121063233</v>
      </c>
      <c r="C10">
        <v>7428.5907246079996</v>
      </c>
      <c r="D10">
        <v>-5.1519344011703998</v>
      </c>
      <c r="E10" s="5">
        <v>2.84052134645726E-6</v>
      </c>
    </row>
    <row r="11" spans="1:5" x14ac:dyDescent="0.25">
      <c r="A11" t="s">
        <v>158</v>
      </c>
      <c r="B11" s="101">
        <v>-1051550.2365486601</v>
      </c>
      <c r="C11">
        <v>211801.85271319299</v>
      </c>
      <c r="D11">
        <v>-4.9647829944745299</v>
      </c>
      <c r="E11" s="5">
        <v>5.6852283781338198E-6</v>
      </c>
    </row>
    <row r="12" spans="1:5" x14ac:dyDescent="0.25">
      <c r="A12" t="s">
        <v>31</v>
      </c>
      <c r="B12" s="101">
        <v>-1041288.65545601</v>
      </c>
      <c r="C12">
        <v>201025.90622931399</v>
      </c>
      <c r="D12">
        <v>-5.1798729576087101</v>
      </c>
      <c r="E12" s="5">
        <v>2.5590746220627798E-6</v>
      </c>
    </row>
    <row r="13" spans="1:5" x14ac:dyDescent="0.25">
      <c r="A13" t="s">
        <v>32</v>
      </c>
      <c r="B13" s="101">
        <v>-986240.09211876604</v>
      </c>
      <c r="C13">
        <v>167957.82288883001</v>
      </c>
      <c r="D13">
        <v>-5.8719509169367603</v>
      </c>
      <c r="E13" s="5">
        <v>1.83052159754123E-7</v>
      </c>
    </row>
    <row r="14" spans="1:5" x14ac:dyDescent="0.25">
      <c r="A14" t="s">
        <v>45</v>
      </c>
      <c r="B14" s="101">
        <v>-1707342.3140862701</v>
      </c>
      <c r="C14">
        <v>262433.670303491</v>
      </c>
      <c r="D14">
        <v>-6.5058051130093997</v>
      </c>
      <c r="E14" s="5">
        <v>1.5292633128404099E-8</v>
      </c>
    </row>
    <row r="15" spans="1:5" x14ac:dyDescent="0.25">
      <c r="B15" s="101"/>
    </row>
    <row r="16" spans="1:5" x14ac:dyDescent="0.25">
      <c r="A16" t="s">
        <v>49</v>
      </c>
      <c r="B16" s="101">
        <v>12673107.6552375</v>
      </c>
      <c r="C16" t="s">
        <v>50</v>
      </c>
      <c r="D16" s="5">
        <v>1113800.7304923299</v>
      </c>
    </row>
    <row r="17" spans="1:4" x14ac:dyDescent="0.25">
      <c r="A17" t="s">
        <v>51</v>
      </c>
      <c r="B17">
        <v>6416402565282.8203</v>
      </c>
      <c r="C17" t="s">
        <v>52</v>
      </c>
      <c r="D17">
        <v>321699.18239898398</v>
      </c>
    </row>
    <row r="18" spans="1:4" x14ac:dyDescent="0.25">
      <c r="A18" t="s">
        <v>15</v>
      </c>
      <c r="B18">
        <v>0.92715189510962004</v>
      </c>
      <c r="C18" t="s">
        <v>16</v>
      </c>
      <c r="D18">
        <v>0.91657717020617802</v>
      </c>
    </row>
    <row r="19" spans="1:4" x14ac:dyDescent="0.25">
      <c r="A19" t="s">
        <v>174</v>
      </c>
      <c r="B19">
        <v>87.676218868617795</v>
      </c>
      <c r="C19" t="s">
        <v>17</v>
      </c>
      <c r="D19" s="5">
        <v>7.6509282101415001E-32</v>
      </c>
    </row>
    <row r="20" spans="1:4" x14ac:dyDescent="0.25">
      <c r="A20" t="s">
        <v>53</v>
      </c>
      <c r="B20">
        <v>-1009.8392283318</v>
      </c>
      <c r="C20" t="s">
        <v>54</v>
      </c>
      <c r="D20">
        <v>2039.6784566635899</v>
      </c>
    </row>
    <row r="21" spans="1:4" x14ac:dyDescent="0.25">
      <c r="A21" t="s">
        <v>55</v>
      </c>
      <c r="B21">
        <v>2062.4451178537602</v>
      </c>
      <c r="C21" t="s">
        <v>56</v>
      </c>
      <c r="D21">
        <v>2048.7419319016699</v>
      </c>
    </row>
    <row r="22" spans="1:4" x14ac:dyDescent="0.25">
      <c r="A22" t="s">
        <v>57</v>
      </c>
      <c r="B22">
        <v>0.41771110896764402</v>
      </c>
      <c r="C22" t="s">
        <v>18</v>
      </c>
      <c r="D22">
        <v>1.16093388761995</v>
      </c>
    </row>
    <row r="23" spans="1:4" x14ac:dyDescent="0.25">
      <c r="A23" t="s">
        <v>165</v>
      </c>
      <c r="B23">
        <v>0.306668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0.109375" bestFit="1" customWidth="1"/>
    <col min="4" max="5" width="6" bestFit="1" customWidth="1"/>
    <col min="6" max="6" width="10.44140625" bestFit="1" customWidth="1"/>
    <col min="7" max="7" width="7.44140625" bestFit="1" customWidth="1"/>
    <col min="8" max="8" width="5.5546875" bestFit="1" customWidth="1"/>
    <col min="9" max="9" width="6.33203125" bestFit="1" customWidth="1"/>
    <col min="10" max="11" width="6.109375" bestFit="1" customWidth="1"/>
    <col min="12" max="12" width="14.5546875" bestFit="1" customWidth="1"/>
    <col min="14" max="14" width="11.33203125" style="23" bestFit="1" customWidth="1"/>
    <col min="15" max="16" width="10.33203125" style="23" bestFit="1" customWidth="1"/>
    <col min="17" max="17" width="11.5546875" style="23" bestFit="1" customWidth="1"/>
    <col min="18" max="18" width="11.33203125" style="23" bestFit="1" customWidth="1"/>
    <col min="19" max="21" width="10.33203125" style="23" bestFit="1" customWidth="1"/>
    <col min="22" max="22" width="8.6640625" style="23" bestFit="1" customWidth="1"/>
    <col min="23" max="23" width="15.6640625" style="23" bestFit="1" customWidth="1"/>
    <col min="24" max="24" width="15.44140625" style="23" bestFit="1" customWidth="1"/>
    <col min="25" max="25" width="15.33203125" bestFit="1" customWidth="1"/>
  </cols>
  <sheetData>
    <row r="1" spans="1:25" x14ac:dyDescent="0.25">
      <c r="A1" s="11" t="str">
        <f>'Monthly Data'!A1</f>
        <v>Date</v>
      </c>
      <c r="B1" s="15" t="s">
        <v>33</v>
      </c>
      <c r="C1" s="4" t="str">
        <f>'Monthly Data'!I1</f>
        <v>LUkWh</v>
      </c>
      <c r="D1" s="30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Data'!Q1</f>
        <v>OntFTE</v>
      </c>
      <c r="H1" s="30" t="str">
        <f>'Monthly Data'!S1</f>
        <v>Trend</v>
      </c>
      <c r="I1" s="30" t="str">
        <f>'Monthly Data'!AE1</f>
        <v>Fall</v>
      </c>
      <c r="J1" s="30" t="str">
        <f>'Monthly Data'!AG1</f>
        <v>DAPR</v>
      </c>
      <c r="K1" s="4" t="str">
        <f>'Monthly Data'!AH1</f>
        <v>DDEC</v>
      </c>
      <c r="L1" s="4" t="str">
        <f>'Monthly Data'!AI1</f>
        <v>QueensSummer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QueensSummer</v>
      </c>
      <c r="X1" s="23" t="s">
        <v>58</v>
      </c>
      <c r="Y1" s="12" t="s">
        <v>59</v>
      </c>
    </row>
    <row r="2" spans="1:25" x14ac:dyDescent="0.25">
      <c r="A2" s="11">
        <f>'Monthly Data'!A2</f>
        <v>39814</v>
      </c>
      <c r="B2" s="6">
        <f>YEAR(A2)</f>
        <v>2009</v>
      </c>
      <c r="C2" s="4">
        <f>'Monthly Data'!I2</f>
        <v>12630235.100299999</v>
      </c>
      <c r="D2" s="30">
        <f>'Monthly Data'!M2</f>
        <v>887.09999999999991</v>
      </c>
      <c r="E2" s="30">
        <f>'Monthly Data'!N2</f>
        <v>0</v>
      </c>
      <c r="F2" s="30">
        <f>'Monthly Data'!P2</f>
        <v>31</v>
      </c>
      <c r="G2" s="30">
        <f>'Monthly Data'!Q2</f>
        <v>6506.5</v>
      </c>
      <c r="H2" s="30">
        <f>'Monthly Data'!S2</f>
        <v>1</v>
      </c>
      <c r="I2" s="30">
        <f>'Monthly Data'!AE2</f>
        <v>0</v>
      </c>
      <c r="J2" s="30">
        <f>'Monthly Data'!AG2</f>
        <v>0</v>
      </c>
      <c r="K2" s="4">
        <f>'Monthly Data'!AH2</f>
        <v>0</v>
      </c>
      <c r="L2" s="4">
        <f>'Monthly Data'!AI2</f>
        <v>0</v>
      </c>
      <c r="N2" s="23">
        <f>'LU OLS Model'!$B$5</f>
        <v>-36743884.5954879</v>
      </c>
      <c r="O2" s="23">
        <f>'LU OLS Model'!$B$6*D2</f>
        <v>-1729873.2409881244</v>
      </c>
      <c r="P2" s="23">
        <f>'LU OLS Model'!$B$7*E2</f>
        <v>0</v>
      </c>
      <c r="Q2" s="23">
        <f>'LU OLS Model'!$B$8*F2</f>
        <v>10664575.627180042</v>
      </c>
      <c r="R2" s="23">
        <f>'LU OLS Model'!$B$9*G2</f>
        <v>40620001.373027399</v>
      </c>
      <c r="S2" s="23">
        <f>'LU OLS Model'!$B$10*H2</f>
        <v>-38271.6121063233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>SUM(N2:W2)</f>
        <v>12772547.551625088</v>
      </c>
      <c r="Y2" s="13">
        <f>ABS(X2-C2)/C2</f>
        <v>1.1267601132912282E-2</v>
      </c>
    </row>
    <row r="3" spans="1:25" x14ac:dyDescent="0.25">
      <c r="A3" s="11">
        <f>'Monthly Data'!A3</f>
        <v>39845</v>
      </c>
      <c r="B3" s="6">
        <f t="shared" ref="B3:B61" si="0">YEAR(A3)</f>
        <v>2009</v>
      </c>
      <c r="C3" s="4">
        <f>'Monthly Data'!I3</f>
        <v>11333821.4934</v>
      </c>
      <c r="D3" s="30">
        <f>'Monthly Data'!M3</f>
        <v>653.80000000000007</v>
      </c>
      <c r="E3" s="30">
        <f>'Monthly Data'!N3</f>
        <v>0</v>
      </c>
      <c r="F3" s="30">
        <f>'Monthly Data'!P3</f>
        <v>28</v>
      </c>
      <c r="G3" s="30">
        <f>'Monthly Data'!Q3</f>
        <v>6436.2</v>
      </c>
      <c r="H3" s="30">
        <f>'Monthly Data'!S3</f>
        <v>2</v>
      </c>
      <c r="I3" s="30">
        <f>'Monthly Data'!AE3</f>
        <v>0</v>
      </c>
      <c r="J3" s="30">
        <f>'Monthly Data'!AG3</f>
        <v>0</v>
      </c>
      <c r="K3" s="4">
        <f>'Monthly Data'!AH3</f>
        <v>0</v>
      </c>
      <c r="L3" s="4">
        <f>'Monthly Data'!AI3</f>
        <v>0</v>
      </c>
      <c r="N3" s="23">
        <f>'LU OLS Model'!$B$5</f>
        <v>-36743884.5954879</v>
      </c>
      <c r="O3" s="23">
        <f>'LU OLS Model'!$B$6*D3</f>
        <v>-1274930.8138406449</v>
      </c>
      <c r="P3" s="23">
        <f>'LU OLS Model'!$B$7*E3</f>
        <v>0</v>
      </c>
      <c r="Q3" s="23">
        <f>'LU OLS Model'!$B$8*F3</f>
        <v>9632519.9213239085</v>
      </c>
      <c r="R3" s="23">
        <f>'LU OLS Model'!$B$9*G3</f>
        <v>40181119.317156523</v>
      </c>
      <c r="S3" s="23">
        <f>'LU OLS Model'!$B$10*H3</f>
        <v>-76543.224212646601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1" si="1">SUM(N3:W3)</f>
        <v>11718280.604939245</v>
      </c>
      <c r="Y3" s="13">
        <f t="shared" ref="Y3:Y61" si="2">ABS(X3-C3)/C3</f>
        <v>3.3921401688135455E-2</v>
      </c>
    </row>
    <row r="4" spans="1:25" x14ac:dyDescent="0.25">
      <c r="A4" s="11">
        <f>'Monthly Data'!A4</f>
        <v>39873</v>
      </c>
      <c r="B4" s="6">
        <f t="shared" si="0"/>
        <v>2009</v>
      </c>
      <c r="C4" s="4">
        <f>'Monthly Data'!I4</f>
        <v>12370923.8947</v>
      </c>
      <c r="D4" s="30">
        <f>'Monthly Data'!M4</f>
        <v>555.60000000000014</v>
      </c>
      <c r="E4" s="30">
        <f>'Monthly Data'!N4</f>
        <v>0</v>
      </c>
      <c r="F4" s="30">
        <f>'Monthly Data'!P4</f>
        <v>31</v>
      </c>
      <c r="G4" s="30">
        <f>'Monthly Data'!Q4</f>
        <v>6363.8</v>
      </c>
      <c r="H4" s="30">
        <f>'Monthly Data'!S4</f>
        <v>3</v>
      </c>
      <c r="I4" s="30">
        <f>'Monthly Data'!AE4</f>
        <v>0</v>
      </c>
      <c r="J4" s="30">
        <f>'Monthly Data'!AG4</f>
        <v>0</v>
      </c>
      <c r="K4" s="4">
        <f>'Monthly Data'!AH4</f>
        <v>0</v>
      </c>
      <c r="L4" s="4">
        <f>'Monthly Data'!AI4</f>
        <v>0</v>
      </c>
      <c r="N4" s="23">
        <f>'LU OLS Model'!$B$5</f>
        <v>-36743884.5954879</v>
      </c>
      <c r="O4" s="23">
        <f>'LU OLS Model'!$B$6*D4</f>
        <v>-1083437.6876259749</v>
      </c>
      <c r="P4" s="23">
        <f>'LU OLS Model'!$B$7*E4</f>
        <v>0</v>
      </c>
      <c r="Q4" s="23">
        <f>'LU OLS Model'!$B$8*F4</f>
        <v>10664575.627180042</v>
      </c>
      <c r="R4" s="23">
        <f>'LU OLS Model'!$B$9*G4</f>
        <v>39729126.986501463</v>
      </c>
      <c r="S4" s="23">
        <f>'LU OLS Model'!$B$10*H4</f>
        <v>-114814.8363189699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si="1"/>
        <v>12451565.494248658</v>
      </c>
      <c r="Y4" s="13">
        <f t="shared" si="2"/>
        <v>6.5186400171136083E-3</v>
      </c>
    </row>
    <row r="5" spans="1:25" x14ac:dyDescent="0.25">
      <c r="A5" s="11">
        <f>'Monthly Data'!A5</f>
        <v>39904</v>
      </c>
      <c r="B5" s="6">
        <f t="shared" si="0"/>
        <v>2009</v>
      </c>
      <c r="C5" s="4">
        <f>'Monthly Data'!I5</f>
        <v>11402691.3343</v>
      </c>
      <c r="D5" s="30">
        <f>'Monthly Data'!M5</f>
        <v>326.29999999999995</v>
      </c>
      <c r="E5" s="30">
        <f>'Monthly Data'!N5</f>
        <v>0.8</v>
      </c>
      <c r="F5" s="30">
        <f>'Monthly Data'!P5</f>
        <v>30</v>
      </c>
      <c r="G5" s="30">
        <f>'Monthly Data'!Q5</f>
        <v>6359.6</v>
      </c>
      <c r="H5" s="30">
        <f>'Monthly Data'!S5</f>
        <v>4</v>
      </c>
      <c r="I5" s="30">
        <f>'Monthly Data'!AE5</f>
        <v>0</v>
      </c>
      <c r="J5" s="30">
        <f>'Monthly Data'!AG5</f>
        <v>1</v>
      </c>
      <c r="K5" s="4">
        <f>'Monthly Data'!AH5</f>
        <v>0</v>
      </c>
      <c r="L5" s="4">
        <f>'Monthly Data'!AI5</f>
        <v>0</v>
      </c>
      <c r="N5" s="23">
        <f>'LU OLS Model'!$B$5</f>
        <v>-36743884.5954879</v>
      </c>
      <c r="O5" s="23">
        <f>'LU OLS Model'!$B$6*D5</f>
        <v>-636295.38781921426</v>
      </c>
      <c r="P5" s="23">
        <f>'LU OLS Model'!$B$7*E5</f>
        <v>15199.3438411772</v>
      </c>
      <c r="Q5" s="23">
        <f>'LU OLS Model'!$B$8*F5</f>
        <v>10320557.058561331</v>
      </c>
      <c r="R5" s="23">
        <f>'LU OLS Model'!$B$9*G5</f>
        <v>39702906.436933078</v>
      </c>
      <c r="S5" s="23">
        <f>'LU OLS Model'!$B$10*H5</f>
        <v>-153086.4484252932</v>
      </c>
      <c r="T5" s="23">
        <f>'LU OLS Model'!$B$11*I5</f>
        <v>0</v>
      </c>
      <c r="U5" s="23">
        <f>'LU OLS Model'!$B$12*J5</f>
        <v>-1041288.65545601</v>
      </c>
      <c r="V5" s="23">
        <f>'LU OLS Model'!$B$13*K5</f>
        <v>0</v>
      </c>
      <c r="W5" s="23">
        <f>'LU OLS Model'!$B$14*L5</f>
        <v>0</v>
      </c>
      <c r="X5" s="23">
        <f t="shared" si="1"/>
        <v>11464107.752147172</v>
      </c>
      <c r="Y5" s="13">
        <f t="shared" si="2"/>
        <v>5.3861335053792996E-3</v>
      </c>
    </row>
    <row r="6" spans="1:25" x14ac:dyDescent="0.25">
      <c r="A6" s="11">
        <f>'Monthly Data'!A6</f>
        <v>39934</v>
      </c>
      <c r="B6" s="6">
        <f t="shared" si="0"/>
        <v>2009</v>
      </c>
      <c r="C6" s="4">
        <f>'Monthly Data'!I6</f>
        <v>11555213.605999999</v>
      </c>
      <c r="D6" s="30">
        <f>'Monthly Data'!M6</f>
        <v>165.29999999999995</v>
      </c>
      <c r="E6" s="30">
        <f>'Monthly Data'!N6</f>
        <v>0</v>
      </c>
      <c r="F6" s="30">
        <f>'Monthly Data'!P6</f>
        <v>31</v>
      </c>
      <c r="G6" s="30">
        <f>'Monthly Data'!Q6</f>
        <v>6382.1</v>
      </c>
      <c r="H6" s="30">
        <f>'Monthly Data'!S6</f>
        <v>5</v>
      </c>
      <c r="I6" s="30">
        <f>'Monthly Data'!AE6</f>
        <v>0</v>
      </c>
      <c r="J6" s="30">
        <f>'Monthly Data'!AG6</f>
        <v>0</v>
      </c>
      <c r="K6" s="4">
        <f>'Monthly Data'!AH6</f>
        <v>0</v>
      </c>
      <c r="L6" s="4">
        <f>'Monthly Data'!AI6</f>
        <v>1</v>
      </c>
      <c r="N6" s="23">
        <f>'LU OLS Model'!$B$5</f>
        <v>-36743884.5954879</v>
      </c>
      <c r="O6" s="23">
        <f>'LU OLS Model'!$B$6*D6</f>
        <v>-322340.26235524396</v>
      </c>
      <c r="P6" s="23">
        <f>'LU OLS Model'!$B$7*E6</f>
        <v>0</v>
      </c>
      <c r="Q6" s="23">
        <f>'LU OLS Model'!$B$8*F6</f>
        <v>10664575.627180042</v>
      </c>
      <c r="R6" s="23">
        <f>'LU OLS Model'!$B$9*G6</f>
        <v>39843373.666763723</v>
      </c>
      <c r="S6" s="23">
        <f>'LU OLS Model'!$B$10*H6</f>
        <v>-191358.0605316165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-1707342.3140862701</v>
      </c>
      <c r="X6" s="23">
        <f t="shared" si="1"/>
        <v>11543024.061482731</v>
      </c>
      <c r="Y6" s="13">
        <f t="shared" si="2"/>
        <v>1.0548956456277125E-3</v>
      </c>
    </row>
    <row r="7" spans="1:25" x14ac:dyDescent="0.25">
      <c r="A7" s="11">
        <f>'Monthly Data'!A7</f>
        <v>39965</v>
      </c>
      <c r="B7" s="6">
        <f t="shared" si="0"/>
        <v>2009</v>
      </c>
      <c r="C7" s="4">
        <f>'Monthly Data'!I7</f>
        <v>12458106.387699999</v>
      </c>
      <c r="D7" s="30">
        <f>'Monthly Data'!M7</f>
        <v>59.20000000000001</v>
      </c>
      <c r="E7" s="30">
        <f>'Monthly Data'!N7</f>
        <v>32.6</v>
      </c>
      <c r="F7" s="30">
        <f>'Monthly Data'!P7</f>
        <v>30</v>
      </c>
      <c r="G7" s="30">
        <f>'Monthly Data'!Q7</f>
        <v>6429.4</v>
      </c>
      <c r="H7" s="30">
        <f>'Monthly Data'!S7</f>
        <v>6</v>
      </c>
      <c r="I7" s="30">
        <f>'Monthly Data'!AE7</f>
        <v>0</v>
      </c>
      <c r="J7" s="30">
        <f>'Monthly Data'!AG7</f>
        <v>0</v>
      </c>
      <c r="K7" s="4">
        <f>'Monthly Data'!AH7</f>
        <v>0</v>
      </c>
      <c r="L7" s="4">
        <f>'Monthly Data'!AI7</f>
        <v>1</v>
      </c>
      <c r="N7" s="23">
        <f>'LU OLS Model'!$B$5</f>
        <v>-36743884.5954879</v>
      </c>
      <c r="O7" s="23">
        <f>'LU OLS Model'!$B$6*D7</f>
        <v>-115441.88464265245</v>
      </c>
      <c r="P7" s="23">
        <f>'LU OLS Model'!$B$7*E7</f>
        <v>619373.2615279709</v>
      </c>
      <c r="Q7" s="23">
        <f>'LU OLS Model'!$B$8*F7</f>
        <v>10320557.058561331</v>
      </c>
      <c r="R7" s="23">
        <f>'LU OLS Model'!$B$9*G7</f>
        <v>40138666.998807706</v>
      </c>
      <c r="S7" s="23">
        <f>'LU OLS Model'!$B$10*H7</f>
        <v>-229629.6726379398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-1707342.3140862701</v>
      </c>
      <c r="X7" s="23">
        <f t="shared" si="1"/>
        <v>12282298.852042247</v>
      </c>
      <c r="Y7" s="13">
        <f t="shared" si="2"/>
        <v>1.4111898725742837E-2</v>
      </c>
    </row>
    <row r="8" spans="1:25" x14ac:dyDescent="0.25">
      <c r="A8" s="11">
        <f>'Monthly Data'!A8</f>
        <v>39995</v>
      </c>
      <c r="B8" s="6">
        <f t="shared" si="0"/>
        <v>2009</v>
      </c>
      <c r="C8" s="4">
        <f>'Monthly Data'!I8</f>
        <v>13695389.126600001</v>
      </c>
      <c r="D8" s="30">
        <f>'Monthly Data'!M8</f>
        <v>11.799999999999999</v>
      </c>
      <c r="E8" s="30">
        <f>'Monthly Data'!N8</f>
        <v>35.6</v>
      </c>
      <c r="F8" s="30">
        <f>'Monthly Data'!P8</f>
        <v>31</v>
      </c>
      <c r="G8" s="30">
        <f>'Monthly Data'!Q8</f>
        <v>6467</v>
      </c>
      <c r="H8" s="30">
        <f>'Monthly Data'!S8</f>
        <v>7</v>
      </c>
      <c r="I8" s="30">
        <f>'Monthly Data'!AE8</f>
        <v>0</v>
      </c>
      <c r="J8" s="30">
        <f>'Monthly Data'!AG8</f>
        <v>0</v>
      </c>
      <c r="K8" s="4">
        <f>'Monthly Data'!AH8</f>
        <v>0</v>
      </c>
      <c r="L8" s="4">
        <f>'Monthly Data'!AI8</f>
        <v>1</v>
      </c>
      <c r="N8" s="23">
        <f>'LU OLS Model'!$B$5</f>
        <v>-36743884.5954879</v>
      </c>
      <c r="O8" s="23">
        <f>'LU OLS Model'!$B$6*D8</f>
        <v>-23010.375655123287</v>
      </c>
      <c r="P8" s="23">
        <f>'LU OLS Model'!$B$7*E8</f>
        <v>676370.80093238538</v>
      </c>
      <c r="Q8" s="23">
        <f>'LU OLS Model'!$B$8*F8</f>
        <v>10664575.627180042</v>
      </c>
      <c r="R8" s="23">
        <f>'LU OLS Model'!$B$9*G8</f>
        <v>40373403.347324707</v>
      </c>
      <c r="S8" s="23">
        <f>'LU OLS Model'!$B$10*H8</f>
        <v>-267901.2847442631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-1707342.3140862701</v>
      </c>
      <c r="X8" s="23">
        <f t="shared" si="1"/>
        <v>12972211.205463577</v>
      </c>
      <c r="Y8" s="13">
        <f t="shared" si="2"/>
        <v>5.2804481453675868E-2</v>
      </c>
    </row>
    <row r="9" spans="1:25" x14ac:dyDescent="0.25">
      <c r="A9" s="11">
        <f>'Monthly Data'!A9</f>
        <v>40026</v>
      </c>
      <c r="B9" s="6">
        <f t="shared" si="0"/>
        <v>2009</v>
      </c>
      <c r="C9" s="4">
        <f>'Monthly Data'!I9</f>
        <v>14408989.219000001</v>
      </c>
      <c r="D9" s="30">
        <f>'Monthly Data'!M9</f>
        <v>20.6</v>
      </c>
      <c r="E9" s="30">
        <f>'Monthly Data'!N9</f>
        <v>85.199999999999989</v>
      </c>
      <c r="F9" s="30">
        <f>'Monthly Data'!P9</f>
        <v>31</v>
      </c>
      <c r="G9" s="30">
        <f>'Monthly Data'!Q9</f>
        <v>6487.6</v>
      </c>
      <c r="H9" s="30">
        <f>'Monthly Data'!S9</f>
        <v>8</v>
      </c>
      <c r="I9" s="30">
        <f>'Monthly Data'!AE9</f>
        <v>0</v>
      </c>
      <c r="J9" s="30">
        <f>'Monthly Data'!AG9</f>
        <v>0</v>
      </c>
      <c r="K9" s="4">
        <f>'Monthly Data'!AH9</f>
        <v>0</v>
      </c>
      <c r="L9" s="4">
        <f>'Monthly Data'!AI9</f>
        <v>1</v>
      </c>
      <c r="N9" s="23">
        <f>'LU OLS Model'!$B$5</f>
        <v>-36743884.5954879</v>
      </c>
      <c r="O9" s="23">
        <f>'LU OLS Model'!$B$6*D9</f>
        <v>-40170.655804706767</v>
      </c>
      <c r="P9" s="23">
        <f>'LU OLS Model'!$B$7*E9</f>
        <v>1618730.1190853715</v>
      </c>
      <c r="Q9" s="23">
        <f>'LU OLS Model'!$B$8*F9</f>
        <v>10664575.627180042</v>
      </c>
      <c r="R9" s="23">
        <f>'LU OLS Model'!$B$9*G9</f>
        <v>40502008.89996966</v>
      </c>
      <c r="S9" s="23">
        <f>'LU OLS Model'!$B$10*H9</f>
        <v>-306172.8968505864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-1707342.3140862701</v>
      </c>
      <c r="X9" s="23">
        <f t="shared" si="1"/>
        <v>13987744.184005607</v>
      </c>
      <c r="Y9" s="13">
        <f t="shared" si="2"/>
        <v>2.9234877519301001E-2</v>
      </c>
    </row>
    <row r="10" spans="1:25" x14ac:dyDescent="0.25">
      <c r="A10" s="11">
        <f>'Monthly Data'!A10</f>
        <v>40057</v>
      </c>
      <c r="B10" s="6">
        <f t="shared" si="0"/>
        <v>2009</v>
      </c>
      <c r="C10" s="4">
        <f>'Monthly Data'!I10</f>
        <v>12983020.697999999</v>
      </c>
      <c r="D10" s="30">
        <f>'Monthly Data'!M10</f>
        <v>100.9</v>
      </c>
      <c r="E10" s="30">
        <f>'Monthly Data'!N10</f>
        <v>4.5999999999999996</v>
      </c>
      <c r="F10" s="30">
        <f>'Monthly Data'!P10</f>
        <v>30</v>
      </c>
      <c r="G10" s="30">
        <f>'Monthly Data'!Q10</f>
        <v>6470.2</v>
      </c>
      <c r="H10" s="30">
        <f>'Monthly Data'!S10</f>
        <v>9</v>
      </c>
      <c r="I10" s="30">
        <f>'Monthly Data'!AE10</f>
        <v>1</v>
      </c>
      <c r="J10" s="30">
        <f>'Monthly Data'!AG10</f>
        <v>0</v>
      </c>
      <c r="K10" s="4">
        <f>'Monthly Data'!AH10</f>
        <v>0</v>
      </c>
      <c r="L10" s="4">
        <f>'Monthly Data'!AI10</f>
        <v>0</v>
      </c>
      <c r="N10" s="23">
        <f>'LU OLS Model'!$B$5</f>
        <v>-36743884.5954879</v>
      </c>
      <c r="O10" s="23">
        <f>'LU OLS Model'!$B$6*D10</f>
        <v>-196758.21216965595</v>
      </c>
      <c r="P10" s="23">
        <f>'LU OLS Model'!$B$7*E10</f>
        <v>87396.227086768893</v>
      </c>
      <c r="Q10" s="23">
        <f>'LU OLS Model'!$B$8*F10</f>
        <v>10320557.058561331</v>
      </c>
      <c r="R10" s="23">
        <f>'LU OLS Model'!$B$9*G10</f>
        <v>40393380.908900619</v>
      </c>
      <c r="S10" s="23">
        <f>'LU OLS Model'!$B$10*H10</f>
        <v>-344444.5089569097</v>
      </c>
      <c r="T10" s="23">
        <f>'LU OLS Model'!$B$11*I10</f>
        <v>-1051550.2365486601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si="1"/>
        <v>12464696.641385594</v>
      </c>
      <c r="Y10" s="13">
        <f t="shared" si="2"/>
        <v>3.9923225008356572E-2</v>
      </c>
    </row>
    <row r="11" spans="1:25" x14ac:dyDescent="0.25">
      <c r="A11" s="11">
        <f>'Monthly Data'!A11</f>
        <v>40087</v>
      </c>
      <c r="B11" s="6">
        <f t="shared" si="0"/>
        <v>2009</v>
      </c>
      <c r="C11" s="4">
        <f>'Monthly Data'!I11</f>
        <v>12029943</v>
      </c>
      <c r="D11" s="30">
        <f>'Monthly Data'!M11</f>
        <v>330.19999999999993</v>
      </c>
      <c r="E11" s="30">
        <f>'Monthly Data'!N11</f>
        <v>0</v>
      </c>
      <c r="F11" s="30">
        <f>'Monthly Data'!P11</f>
        <v>31</v>
      </c>
      <c r="G11" s="30">
        <f>'Monthly Data'!Q11</f>
        <v>6472.1</v>
      </c>
      <c r="H11" s="30">
        <f>'Monthly Data'!S11</f>
        <v>10</v>
      </c>
      <c r="I11" s="30">
        <f>'Monthly Data'!AE11</f>
        <v>1</v>
      </c>
      <c r="J11" s="30">
        <f>'Monthly Data'!AG11</f>
        <v>0</v>
      </c>
      <c r="K11" s="4">
        <f>'Monthly Data'!AH11</f>
        <v>0</v>
      </c>
      <c r="L11" s="4">
        <f>'Monthly Data'!AI11</f>
        <v>0</v>
      </c>
      <c r="N11" s="23">
        <f>'LU OLS Model'!$B$5</f>
        <v>-36743884.5954879</v>
      </c>
      <c r="O11" s="23">
        <f>'LU OLS Model'!$B$6*D11</f>
        <v>-643900.51197641599</v>
      </c>
      <c r="P11" s="23">
        <f>'LU OLS Model'!$B$7*E11</f>
        <v>0</v>
      </c>
      <c r="Q11" s="23">
        <f>'LU OLS Model'!$B$8*F11</f>
        <v>10664575.627180042</v>
      </c>
      <c r="R11" s="23">
        <f>'LU OLS Model'!$B$9*G11</f>
        <v>40405242.586086318</v>
      </c>
      <c r="S11" s="23">
        <f>'LU OLS Model'!$B$10*H11</f>
        <v>-382716.121063233</v>
      </c>
      <c r="T11" s="23">
        <f>'LU OLS Model'!$B$11*I11</f>
        <v>-1051550.2365486601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si="1"/>
        <v>12247766.748190152</v>
      </c>
      <c r="Y11" s="13">
        <f t="shared" si="2"/>
        <v>1.8106798028066428E-2</v>
      </c>
    </row>
    <row r="12" spans="1:25" x14ac:dyDescent="0.25">
      <c r="A12" s="11">
        <f>'Monthly Data'!A12</f>
        <v>40118</v>
      </c>
      <c r="B12" s="6">
        <f t="shared" si="0"/>
        <v>2009</v>
      </c>
      <c r="C12" s="4">
        <f>'Monthly Data'!I12</f>
        <v>11523934</v>
      </c>
      <c r="D12" s="30">
        <f>'Monthly Data'!M12</f>
        <v>384.49999999999989</v>
      </c>
      <c r="E12" s="30">
        <f>'Monthly Data'!N12</f>
        <v>0</v>
      </c>
      <c r="F12" s="30">
        <f>'Monthly Data'!P12</f>
        <v>30</v>
      </c>
      <c r="G12" s="30">
        <f>'Monthly Data'!Q12</f>
        <v>6465.6</v>
      </c>
      <c r="H12" s="30">
        <f>'Monthly Data'!S12</f>
        <v>11</v>
      </c>
      <c r="I12" s="30">
        <f>'Monthly Data'!AE12</f>
        <v>1</v>
      </c>
      <c r="J12" s="30">
        <f>'Monthly Data'!AG12</f>
        <v>0</v>
      </c>
      <c r="K12" s="4">
        <f>'Monthly Data'!AH12</f>
        <v>0</v>
      </c>
      <c r="L12" s="4">
        <f>'Monthly Data'!AI12</f>
        <v>0</v>
      </c>
      <c r="N12" s="23">
        <f>'LU OLS Model'!$B$5</f>
        <v>-36743884.5954879</v>
      </c>
      <c r="O12" s="23">
        <f>'LU OLS Model'!$B$6*D12</f>
        <v>-749787.24062668672</v>
      </c>
      <c r="P12" s="23">
        <f>'LU OLS Model'!$B$7*E12</f>
        <v>0</v>
      </c>
      <c r="Q12" s="23">
        <f>'LU OLS Model'!$B$8*F12</f>
        <v>10320557.058561331</v>
      </c>
      <c r="R12" s="23">
        <f>'LU OLS Model'!$B$9*G12</f>
        <v>40364663.164135247</v>
      </c>
      <c r="S12" s="23">
        <f>'LU OLS Model'!$B$10*H12</f>
        <v>-420987.7331695563</v>
      </c>
      <c r="T12" s="23">
        <f>'LU OLS Model'!$B$11*I12</f>
        <v>-1051550.2365486601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si="1"/>
        <v>11719010.416863779</v>
      </c>
      <c r="Y12" s="13">
        <f t="shared" si="2"/>
        <v>1.6927935969069122E-2</v>
      </c>
    </row>
    <row r="13" spans="1:25" x14ac:dyDescent="0.25">
      <c r="A13" s="11">
        <f>'Monthly Data'!A13</f>
        <v>40148</v>
      </c>
      <c r="B13" s="6">
        <f t="shared" si="0"/>
        <v>2009</v>
      </c>
      <c r="C13" s="4">
        <f>'Monthly Data'!I13</f>
        <v>11610601</v>
      </c>
      <c r="D13" s="30">
        <f>'Monthly Data'!M13</f>
        <v>696.79999999999984</v>
      </c>
      <c r="E13" s="30">
        <f>'Monthly Data'!N13</f>
        <v>0</v>
      </c>
      <c r="F13" s="30">
        <f>'Monthly Data'!P13</f>
        <v>31</v>
      </c>
      <c r="G13" s="30">
        <f>'Monthly Data'!Q13</f>
        <v>6467.5</v>
      </c>
      <c r="H13" s="30">
        <f>'Monthly Data'!S13</f>
        <v>12</v>
      </c>
      <c r="I13" s="30">
        <f>'Monthly Data'!AE13</f>
        <v>0</v>
      </c>
      <c r="J13" s="30">
        <f>'Monthly Data'!AG13</f>
        <v>0</v>
      </c>
      <c r="K13" s="4">
        <f>'Monthly Data'!AH13</f>
        <v>1</v>
      </c>
      <c r="L13" s="4">
        <f>'Monthly Data'!AI13</f>
        <v>0</v>
      </c>
      <c r="N13" s="23">
        <f>'LU OLS Model'!$B$5</f>
        <v>-36743884.5954879</v>
      </c>
      <c r="O13" s="23">
        <f>'LU OLS Model'!$B$6*D13</f>
        <v>-1358782.1827533818</v>
      </c>
      <c r="P13" s="23">
        <f>'LU OLS Model'!$B$7*E13</f>
        <v>0</v>
      </c>
      <c r="Q13" s="23">
        <f>'LU OLS Model'!$B$8*F13</f>
        <v>10664575.627180042</v>
      </c>
      <c r="R13" s="23">
        <f>'LU OLS Model'!$B$9*G13</f>
        <v>40376524.841320939</v>
      </c>
      <c r="S13" s="23">
        <f>'LU OLS Model'!$B$10*H13</f>
        <v>-459259.3452758796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-986240.09211876604</v>
      </c>
      <c r="W13" s="23">
        <f>'LU OLS Model'!$B$14*L13</f>
        <v>0</v>
      </c>
      <c r="X13" s="23">
        <f t="shared" si="1"/>
        <v>11492934.25286505</v>
      </c>
      <c r="Y13" s="13">
        <f t="shared" si="2"/>
        <v>1.0134423457920053E-2</v>
      </c>
    </row>
    <row r="14" spans="1:25" x14ac:dyDescent="0.25">
      <c r="A14" s="11">
        <f>'Monthly Data'!A14</f>
        <v>40179</v>
      </c>
      <c r="B14" s="6">
        <f t="shared" si="0"/>
        <v>2010</v>
      </c>
      <c r="C14" s="4">
        <f>'Monthly Data'!I14</f>
        <v>11955217.004000001</v>
      </c>
      <c r="D14" s="30">
        <f>'Monthly Data'!M14</f>
        <v>750.59999999999991</v>
      </c>
      <c r="E14" s="30">
        <f>'Monthly Data'!N14</f>
        <v>0</v>
      </c>
      <c r="F14" s="30">
        <f>'Monthly Data'!P14</f>
        <v>31</v>
      </c>
      <c r="G14" s="30">
        <f>'Monthly Data'!Q14</f>
        <v>6434.5</v>
      </c>
      <c r="H14" s="30">
        <f>'Monthly Data'!S14</f>
        <v>13</v>
      </c>
      <c r="I14" s="30">
        <f>'Monthly Data'!AE14</f>
        <v>0</v>
      </c>
      <c r="J14" s="30">
        <f>'Monthly Data'!AG14</f>
        <v>0</v>
      </c>
      <c r="K14" s="4">
        <f>'Monthly Data'!AH14</f>
        <v>0</v>
      </c>
      <c r="L14" s="4">
        <f>'Monthly Data'!AI14</f>
        <v>0</v>
      </c>
      <c r="N14" s="23">
        <f>'LU OLS Model'!$B$5</f>
        <v>-36743884.5954879</v>
      </c>
      <c r="O14" s="23">
        <f>'LU OLS Model'!$B$6*D14</f>
        <v>-1463693.8954860626</v>
      </c>
      <c r="P14" s="23">
        <f>'LU OLS Model'!$B$7*E14</f>
        <v>0</v>
      </c>
      <c r="Q14" s="23">
        <f>'LU OLS Model'!$B$8*F14</f>
        <v>10664575.627180042</v>
      </c>
      <c r="R14" s="23">
        <f>'LU OLS Model'!$B$9*G14</f>
        <v>40170506.237569325</v>
      </c>
      <c r="S14" s="23">
        <f>'LU OLS Model'!$B$10*H14</f>
        <v>-497530.95738220291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si="1"/>
        <v>12129972.416393198</v>
      </c>
      <c r="Y14" s="13">
        <f t="shared" si="2"/>
        <v>1.4617502328458563E-2</v>
      </c>
    </row>
    <row r="15" spans="1:25" x14ac:dyDescent="0.25">
      <c r="A15" s="11">
        <f>'Monthly Data'!A15</f>
        <v>40210</v>
      </c>
      <c r="B15" s="6">
        <f t="shared" si="0"/>
        <v>2010</v>
      </c>
      <c r="C15" s="4">
        <f>'Monthly Data'!I15</f>
        <v>10874740.4221</v>
      </c>
      <c r="D15" s="30">
        <f>'Monthly Data'!M15</f>
        <v>620.40000000000009</v>
      </c>
      <c r="E15" s="30">
        <f>'Monthly Data'!N15</f>
        <v>0</v>
      </c>
      <c r="F15" s="30">
        <f>'Monthly Data'!P15</f>
        <v>28</v>
      </c>
      <c r="G15" s="30">
        <f>'Monthly Data'!Q15</f>
        <v>6404.1</v>
      </c>
      <c r="H15" s="30">
        <f>'Monthly Data'!S15</f>
        <v>14</v>
      </c>
      <c r="I15" s="30">
        <f>'Monthly Data'!AE15</f>
        <v>0</v>
      </c>
      <c r="J15" s="30">
        <f>'Monthly Data'!AG15</f>
        <v>0</v>
      </c>
      <c r="K15" s="4">
        <f>'Monthly Data'!AH15</f>
        <v>0</v>
      </c>
      <c r="L15" s="4">
        <f>'Monthly Data'!AI15</f>
        <v>0</v>
      </c>
      <c r="N15" s="23">
        <f>'LU OLS Model'!$B$5</f>
        <v>-36743884.5954879</v>
      </c>
      <c r="O15" s="23">
        <f>'LU OLS Model'!$B$6*D15</f>
        <v>-1209799.7505456349</v>
      </c>
      <c r="P15" s="23">
        <f>'LU OLS Model'!$B$7*E15</f>
        <v>0</v>
      </c>
      <c r="Q15" s="23">
        <f>'LU OLS Model'!$B$8*F15</f>
        <v>9632519.9213239085</v>
      </c>
      <c r="R15" s="23">
        <f>'LU OLS Model'!$B$9*G15</f>
        <v>39980719.402598135</v>
      </c>
      <c r="S15" s="23">
        <f>'LU OLS Model'!$B$10*H15</f>
        <v>-535802.56948852621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si="1"/>
        <v>11123752.408399984</v>
      </c>
      <c r="Y15" s="13">
        <f t="shared" si="2"/>
        <v>2.2898200475105955E-2</v>
      </c>
    </row>
    <row r="16" spans="1:25" x14ac:dyDescent="0.25">
      <c r="A16" s="11">
        <f>'Monthly Data'!A16</f>
        <v>40238</v>
      </c>
      <c r="B16" s="6">
        <f t="shared" si="0"/>
        <v>2010</v>
      </c>
      <c r="C16" s="4">
        <f>'Monthly Data'!I16</f>
        <v>11920294.521500001</v>
      </c>
      <c r="D16" s="30">
        <f>'Monthly Data'!M16</f>
        <v>451.89999999999992</v>
      </c>
      <c r="E16" s="30">
        <f>'Monthly Data'!N16</f>
        <v>0</v>
      </c>
      <c r="F16" s="30">
        <f>'Monthly Data'!P16</f>
        <v>31</v>
      </c>
      <c r="G16" s="30">
        <f>'Monthly Data'!Q16</f>
        <v>6377.2</v>
      </c>
      <c r="H16" s="30">
        <f>'Monthly Data'!S16</f>
        <v>15</v>
      </c>
      <c r="I16" s="30">
        <f>'Monthly Data'!AE16</f>
        <v>0</v>
      </c>
      <c r="J16" s="30">
        <f>'Monthly Data'!AG16</f>
        <v>0</v>
      </c>
      <c r="K16" s="4">
        <f>'Monthly Data'!AH16</f>
        <v>0</v>
      </c>
      <c r="L16" s="4">
        <f>'Monthly Data'!AI16</f>
        <v>0</v>
      </c>
      <c r="N16" s="23">
        <f>'LU OLS Model'!$B$5</f>
        <v>-36743884.5954879</v>
      </c>
      <c r="O16" s="23">
        <f>'LU OLS Model'!$B$6*D16</f>
        <v>-881219.3863178147</v>
      </c>
      <c r="P16" s="23">
        <f>'LU OLS Model'!$B$7*E16</f>
        <v>0</v>
      </c>
      <c r="Q16" s="23">
        <f>'LU OLS Model'!$B$8*F16</f>
        <v>10664575.627180042</v>
      </c>
      <c r="R16" s="23">
        <f>'LU OLS Model'!$B$9*G16</f>
        <v>39812783.025600605</v>
      </c>
      <c r="S16" s="23">
        <f>'LU OLS Model'!$B$10*H16</f>
        <v>-574074.18159484956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si="1"/>
        <v>12278180.489380084</v>
      </c>
      <c r="Y16" s="13">
        <f t="shared" si="2"/>
        <v>3.0023248774145923E-2</v>
      </c>
    </row>
    <row r="17" spans="1:25" x14ac:dyDescent="0.25">
      <c r="A17" s="11">
        <f>'Monthly Data'!A17</f>
        <v>40269</v>
      </c>
      <c r="B17" s="6">
        <f t="shared" si="0"/>
        <v>2010</v>
      </c>
      <c r="C17" s="4">
        <f>'Monthly Data'!I17</f>
        <v>11299278.237500001</v>
      </c>
      <c r="D17" s="30">
        <f>'Monthly Data'!M17</f>
        <v>243.49999999999989</v>
      </c>
      <c r="E17" s="30">
        <f>'Monthly Data'!N17</f>
        <v>1.3</v>
      </c>
      <c r="F17" s="30">
        <f>'Monthly Data'!P17</f>
        <v>30</v>
      </c>
      <c r="G17" s="30">
        <f>'Monthly Data'!Q17</f>
        <v>6401.7</v>
      </c>
      <c r="H17" s="30">
        <f>'Monthly Data'!S17</f>
        <v>16</v>
      </c>
      <c r="I17" s="30">
        <f>'Monthly Data'!AE17</f>
        <v>0</v>
      </c>
      <c r="J17" s="30">
        <f>'Monthly Data'!AG17</f>
        <v>1</v>
      </c>
      <c r="K17" s="4">
        <f>'Monthly Data'!AH17</f>
        <v>0</v>
      </c>
      <c r="L17" s="4">
        <f>'Monthly Data'!AI17</f>
        <v>0</v>
      </c>
      <c r="N17" s="23">
        <f>'LU OLS Model'!$B$5</f>
        <v>-36743884.5954879</v>
      </c>
      <c r="O17" s="23">
        <f>'LU OLS Model'!$B$6*D17</f>
        <v>-474832.75186631514</v>
      </c>
      <c r="P17" s="23">
        <f>'LU OLS Model'!$B$7*E17</f>
        <v>24698.933741912948</v>
      </c>
      <c r="Q17" s="23">
        <f>'LU OLS Model'!$B$8*F17</f>
        <v>10320557.058561331</v>
      </c>
      <c r="R17" s="23">
        <f>'LU OLS Model'!$B$9*G17</f>
        <v>39965736.231416196</v>
      </c>
      <c r="S17" s="23">
        <f>'LU OLS Model'!$B$10*H17</f>
        <v>-612345.79370117281</v>
      </c>
      <c r="T17" s="23">
        <f>'LU OLS Model'!$B$11*I17</f>
        <v>0</v>
      </c>
      <c r="U17" s="23">
        <f>'LU OLS Model'!$B$12*J17</f>
        <v>-1041288.65545601</v>
      </c>
      <c r="V17" s="23">
        <f>'LU OLS Model'!$B$13*K17</f>
        <v>0</v>
      </c>
      <c r="W17" s="23">
        <f>'LU OLS Model'!$B$14*L17</f>
        <v>0</v>
      </c>
      <c r="X17" s="23">
        <f t="shared" si="1"/>
        <v>11438640.42720804</v>
      </c>
      <c r="Y17" s="13">
        <f t="shared" si="2"/>
        <v>1.2333724931697361E-2</v>
      </c>
    </row>
    <row r="18" spans="1:25" x14ac:dyDescent="0.25">
      <c r="A18" s="11">
        <f>'Monthly Data'!A18</f>
        <v>40299</v>
      </c>
      <c r="B18" s="6">
        <f t="shared" si="0"/>
        <v>2010</v>
      </c>
      <c r="C18" s="4">
        <f>'Monthly Data'!I18</f>
        <v>12141816.925799999</v>
      </c>
      <c r="D18" s="30">
        <f>'Monthly Data'!M18</f>
        <v>110.2</v>
      </c>
      <c r="E18" s="30">
        <f>'Monthly Data'!N18</f>
        <v>26.100000000000005</v>
      </c>
      <c r="F18" s="30">
        <f>'Monthly Data'!P18</f>
        <v>31</v>
      </c>
      <c r="G18" s="30">
        <f>'Monthly Data'!Q18</f>
        <v>6468.9</v>
      </c>
      <c r="H18" s="30">
        <f>'Monthly Data'!S18</f>
        <v>17</v>
      </c>
      <c r="I18" s="30">
        <f>'Monthly Data'!AE18</f>
        <v>0</v>
      </c>
      <c r="J18" s="30">
        <f>'Monthly Data'!AG18</f>
        <v>0</v>
      </c>
      <c r="K18" s="4">
        <f>'Monthly Data'!AH18</f>
        <v>0</v>
      </c>
      <c r="L18" s="4">
        <f>'Monthly Data'!AI18</f>
        <v>1</v>
      </c>
      <c r="N18" s="23">
        <f>'LU OLS Model'!$B$5</f>
        <v>-36743884.5954879</v>
      </c>
      <c r="O18" s="23">
        <f>'LU OLS Model'!$B$6*D18</f>
        <v>-214893.5082368294</v>
      </c>
      <c r="P18" s="23">
        <f>'LU OLS Model'!$B$7*E18</f>
        <v>495878.59281840624</v>
      </c>
      <c r="Q18" s="23">
        <f>'LU OLS Model'!$B$8*F18</f>
        <v>10664575.627180042</v>
      </c>
      <c r="R18" s="23">
        <f>'LU OLS Model'!$B$9*G18</f>
        <v>40385265.024510399</v>
      </c>
      <c r="S18" s="23">
        <f>'LU OLS Model'!$B$10*H18</f>
        <v>-650617.40580749605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-1707342.3140862701</v>
      </c>
      <c r="X18" s="23">
        <f t="shared" si="1"/>
        <v>12228981.42089035</v>
      </c>
      <c r="Y18" s="13">
        <f t="shared" si="2"/>
        <v>7.1788675140650269E-3</v>
      </c>
    </row>
    <row r="19" spans="1:25" x14ac:dyDescent="0.25">
      <c r="A19" s="11">
        <f>'Monthly Data'!A19</f>
        <v>40330</v>
      </c>
      <c r="B19" s="6">
        <f t="shared" si="0"/>
        <v>2010</v>
      </c>
      <c r="C19" s="4">
        <f>'Monthly Data'!I19</f>
        <v>12649401.524900001</v>
      </c>
      <c r="D19" s="30">
        <f>'Monthly Data'!M19</f>
        <v>38.300000000000004</v>
      </c>
      <c r="E19" s="30">
        <f>'Monthly Data'!N19</f>
        <v>33.700000000000003</v>
      </c>
      <c r="F19" s="30">
        <f>'Monthly Data'!P19</f>
        <v>30</v>
      </c>
      <c r="G19" s="30">
        <f>'Monthly Data'!Q19</f>
        <v>6578.9</v>
      </c>
      <c r="H19" s="30">
        <f>'Monthly Data'!S19</f>
        <v>18</v>
      </c>
      <c r="I19" s="30">
        <f>'Monthly Data'!AE19</f>
        <v>0</v>
      </c>
      <c r="J19" s="30">
        <f>'Monthly Data'!AG19</f>
        <v>0</v>
      </c>
      <c r="K19" s="4">
        <f>'Monthly Data'!AH19</f>
        <v>0</v>
      </c>
      <c r="L19" s="4">
        <f>'Monthly Data'!AI19</f>
        <v>1</v>
      </c>
      <c r="N19" s="23">
        <f>'LU OLS Model'!$B$5</f>
        <v>-36743884.5954879</v>
      </c>
      <c r="O19" s="23">
        <f>'LU OLS Model'!$B$6*D19</f>
        <v>-74686.219287391708</v>
      </c>
      <c r="P19" s="23">
        <f>'LU OLS Model'!$B$7*E19</f>
        <v>640272.35930958961</v>
      </c>
      <c r="Q19" s="23">
        <f>'LU OLS Model'!$B$8*F19</f>
        <v>10320557.058561331</v>
      </c>
      <c r="R19" s="23">
        <f>'LU OLS Model'!$B$9*G19</f>
        <v>41071993.70368246</v>
      </c>
      <c r="S19" s="23">
        <f>'LU OLS Model'!$B$10*H19</f>
        <v>-688889.01791381941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-1707342.3140862701</v>
      </c>
      <c r="X19" s="23">
        <f t="shared" si="1"/>
        <v>12818020.974778006</v>
      </c>
      <c r="Y19" s="13">
        <f t="shared" si="2"/>
        <v>1.3330231437912897E-2</v>
      </c>
    </row>
    <row r="20" spans="1:25" x14ac:dyDescent="0.25">
      <c r="A20" s="11">
        <f>'Monthly Data'!A20</f>
        <v>40360</v>
      </c>
      <c r="B20" s="6">
        <f t="shared" si="0"/>
        <v>2010</v>
      </c>
      <c r="C20" s="4">
        <f>'Monthly Data'!I20</f>
        <v>14680604.799199998</v>
      </c>
      <c r="D20" s="30">
        <f>'Monthly Data'!M20</f>
        <v>3.4000000000000004</v>
      </c>
      <c r="E20" s="30">
        <f>'Monthly Data'!N20</f>
        <v>139.79999999999995</v>
      </c>
      <c r="F20" s="30">
        <f>'Monthly Data'!P20</f>
        <v>31</v>
      </c>
      <c r="G20" s="30">
        <f>'Monthly Data'!Q20</f>
        <v>6640.9</v>
      </c>
      <c r="H20" s="30">
        <f>'Monthly Data'!S20</f>
        <v>19</v>
      </c>
      <c r="I20" s="30">
        <f>'Monthly Data'!AE20</f>
        <v>0</v>
      </c>
      <c r="J20" s="30">
        <f>'Monthly Data'!AG20</f>
        <v>0</v>
      </c>
      <c r="K20" s="4">
        <f>'Monthly Data'!AH20</f>
        <v>0</v>
      </c>
      <c r="L20" s="4">
        <f>'Monthly Data'!AI20</f>
        <v>1</v>
      </c>
      <c r="N20" s="23">
        <f>'LU OLS Model'!$B$5</f>
        <v>-36743884.5954879</v>
      </c>
      <c r="O20" s="23">
        <f>'LU OLS Model'!$B$6*D20</f>
        <v>-6630.1082396117963</v>
      </c>
      <c r="P20" s="23">
        <f>'LU OLS Model'!$B$7*E20</f>
        <v>2656085.3362457147</v>
      </c>
      <c r="Q20" s="23">
        <f>'LU OLS Model'!$B$8*F20</f>
        <v>10664575.627180042</v>
      </c>
      <c r="R20" s="23">
        <f>'LU OLS Model'!$B$9*G20</f>
        <v>41459058.959215805</v>
      </c>
      <c r="S20" s="23">
        <f>'LU OLS Model'!$B$10*H20</f>
        <v>-727160.63002014277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-1707342.3140862701</v>
      </c>
      <c r="X20" s="23">
        <f t="shared" si="1"/>
        <v>15594702.274807636</v>
      </c>
      <c r="Y20" s="13">
        <f t="shared" si="2"/>
        <v>6.2265655135505721E-2</v>
      </c>
    </row>
    <row r="21" spans="1:25" x14ac:dyDescent="0.25">
      <c r="A21" s="11">
        <f>'Monthly Data'!A21</f>
        <v>40391</v>
      </c>
      <c r="B21" s="6">
        <f t="shared" si="0"/>
        <v>2010</v>
      </c>
      <c r="C21" s="4">
        <f>'Monthly Data'!I21</f>
        <v>14598500.270999998</v>
      </c>
      <c r="D21" s="30">
        <f>'Monthly Data'!M21</f>
        <v>10.100000000000001</v>
      </c>
      <c r="E21" s="30">
        <f>'Monthly Data'!N21</f>
        <v>90.299999999999969</v>
      </c>
      <c r="F21" s="30">
        <f>'Monthly Data'!P21</f>
        <v>31</v>
      </c>
      <c r="G21" s="30">
        <f>'Monthly Data'!Q21</f>
        <v>6662.6</v>
      </c>
      <c r="H21" s="30">
        <f>'Monthly Data'!S21</f>
        <v>20</v>
      </c>
      <c r="I21" s="30">
        <f>'Monthly Data'!AE21</f>
        <v>0</v>
      </c>
      <c r="J21" s="30">
        <f>'Monthly Data'!AG21</f>
        <v>0</v>
      </c>
      <c r="K21" s="4">
        <f>'Monthly Data'!AH21</f>
        <v>0</v>
      </c>
      <c r="L21" s="4">
        <f>'Monthly Data'!AI21</f>
        <v>1</v>
      </c>
      <c r="N21" s="23">
        <f>'LU OLS Model'!$B$5</f>
        <v>-36743884.5954879</v>
      </c>
      <c r="O21" s="23">
        <f>'LU OLS Model'!$B$6*D21</f>
        <v>-19695.321535317395</v>
      </c>
      <c r="P21" s="23">
        <f>'LU OLS Model'!$B$7*E21</f>
        <v>1715625.9360728757</v>
      </c>
      <c r="Q21" s="23">
        <f>'LU OLS Model'!$B$8*F21</f>
        <v>10664575.627180042</v>
      </c>
      <c r="R21" s="23">
        <f>'LU OLS Model'!$B$9*G21</f>
        <v>41594531.798652478</v>
      </c>
      <c r="S21" s="23">
        <f>'LU OLS Model'!$B$10*H21</f>
        <v>-765432.24212646601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-1707342.3140862701</v>
      </c>
      <c r="X21" s="23">
        <f t="shared" si="1"/>
        <v>14738378.888669441</v>
      </c>
      <c r="Y21" s="13">
        <f t="shared" si="2"/>
        <v>9.5817114821932989E-3</v>
      </c>
    </row>
    <row r="22" spans="1:25" x14ac:dyDescent="0.25">
      <c r="A22" s="11">
        <f>'Monthly Data'!A22</f>
        <v>40422</v>
      </c>
      <c r="B22" s="6">
        <f t="shared" si="0"/>
        <v>2010</v>
      </c>
      <c r="C22" s="4">
        <f>'Monthly Data'!I22</f>
        <v>13203697.476100001</v>
      </c>
      <c r="D22" s="30">
        <f>'Monthly Data'!M22</f>
        <v>99.40000000000002</v>
      </c>
      <c r="E22" s="30">
        <f>'Monthly Data'!N22</f>
        <v>29.400000000000002</v>
      </c>
      <c r="F22" s="30">
        <f>'Monthly Data'!P22</f>
        <v>30</v>
      </c>
      <c r="G22" s="30">
        <f>'Monthly Data'!Q22</f>
        <v>6611.2</v>
      </c>
      <c r="H22" s="30">
        <f>'Monthly Data'!S22</f>
        <v>21</v>
      </c>
      <c r="I22" s="30">
        <f>'Monthly Data'!AE22</f>
        <v>1</v>
      </c>
      <c r="J22" s="30">
        <f>'Monthly Data'!AG22</f>
        <v>0</v>
      </c>
      <c r="K22" s="4">
        <f>'Monthly Data'!AH22</f>
        <v>0</v>
      </c>
      <c r="L22" s="4">
        <f>'Monthly Data'!AI22</f>
        <v>0</v>
      </c>
      <c r="N22" s="23">
        <f>'LU OLS Model'!$B$5</f>
        <v>-36743884.5954879</v>
      </c>
      <c r="O22" s="23">
        <f>'LU OLS Model'!$B$6*D22</f>
        <v>-193833.16441688605</v>
      </c>
      <c r="P22" s="23">
        <f>'LU OLS Model'!$B$7*E22</f>
        <v>558575.88616326207</v>
      </c>
      <c r="Q22" s="23">
        <f>'LU OLS Model'!$B$8*F22</f>
        <v>10320557.058561331</v>
      </c>
      <c r="R22" s="23">
        <f>'LU OLS Model'!$B$9*G22</f>
        <v>41273642.215839349</v>
      </c>
      <c r="S22" s="23">
        <f>'LU OLS Model'!$B$10*H22</f>
        <v>-803703.85423278925</v>
      </c>
      <c r="T22" s="23">
        <f>'LU OLS Model'!$B$11*I22</f>
        <v>-1051550.2365486601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si="1"/>
        <v>13359803.309877709</v>
      </c>
      <c r="Y22" s="13">
        <f t="shared" si="2"/>
        <v>1.1822887797927365E-2</v>
      </c>
    </row>
    <row r="23" spans="1:25" x14ac:dyDescent="0.25">
      <c r="A23" s="11">
        <f>'Monthly Data'!A23</f>
        <v>40452</v>
      </c>
      <c r="B23" s="6">
        <f t="shared" si="0"/>
        <v>2010</v>
      </c>
      <c r="C23" s="4">
        <f>'Monthly Data'!I23</f>
        <v>12168635.138100002</v>
      </c>
      <c r="D23" s="30">
        <f>'Monthly Data'!M23</f>
        <v>284.69999999999993</v>
      </c>
      <c r="E23" s="30">
        <f>'Monthly Data'!N23</f>
        <v>0</v>
      </c>
      <c r="F23" s="30">
        <f>'Monthly Data'!P23</f>
        <v>31</v>
      </c>
      <c r="G23" s="30">
        <f>'Monthly Data'!Q23</f>
        <v>6587.1</v>
      </c>
      <c r="H23" s="30">
        <f>'Monthly Data'!S23</f>
        <v>22</v>
      </c>
      <c r="I23" s="30">
        <f>'Monthly Data'!AE23</f>
        <v>1</v>
      </c>
      <c r="J23" s="30">
        <f>'Monthly Data'!AG23</f>
        <v>0</v>
      </c>
      <c r="K23" s="4">
        <f>'Monthly Data'!AH23</f>
        <v>0</v>
      </c>
      <c r="L23" s="4">
        <f>'Monthly Data'!AI23</f>
        <v>0</v>
      </c>
      <c r="N23" s="23">
        <f>'LU OLS Model'!$B$5</f>
        <v>-36743884.5954879</v>
      </c>
      <c r="O23" s="23">
        <f>'LU OLS Model'!$B$6*D23</f>
        <v>-555174.06347572873</v>
      </c>
      <c r="P23" s="23">
        <f>'LU OLS Model'!$B$7*E23</f>
        <v>0</v>
      </c>
      <c r="Q23" s="23">
        <f>'LU OLS Model'!$B$8*F23</f>
        <v>10664575.627180042</v>
      </c>
      <c r="R23" s="23">
        <f>'LU OLS Model'!$B$9*G23</f>
        <v>41123186.205220751</v>
      </c>
      <c r="S23" s="23">
        <f>'LU OLS Model'!$B$10*H23</f>
        <v>-841975.46633911261</v>
      </c>
      <c r="T23" s="23">
        <f>'LU OLS Model'!$B$11*I23</f>
        <v>-1051550.2365486601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si="1"/>
        <v>12595177.47054939</v>
      </c>
      <c r="Y23" s="13">
        <f t="shared" si="2"/>
        <v>3.5052602663209413E-2</v>
      </c>
    </row>
    <row r="24" spans="1:25" x14ac:dyDescent="0.25">
      <c r="A24" s="11">
        <f>'Monthly Data'!A24</f>
        <v>40483</v>
      </c>
      <c r="B24" s="6">
        <f t="shared" si="0"/>
        <v>2010</v>
      </c>
      <c r="C24" s="4">
        <f>'Monthly Data'!I24</f>
        <v>11726856.469900001</v>
      </c>
      <c r="D24" s="30">
        <f>'Monthly Data'!M24</f>
        <v>451.4</v>
      </c>
      <c r="E24" s="30">
        <f>'Monthly Data'!N24</f>
        <v>0</v>
      </c>
      <c r="F24" s="30">
        <f>'Monthly Data'!P24</f>
        <v>30</v>
      </c>
      <c r="G24" s="30">
        <f>'Monthly Data'!Q24</f>
        <v>6566.6</v>
      </c>
      <c r="H24" s="30">
        <f>'Monthly Data'!S24</f>
        <v>23</v>
      </c>
      <c r="I24" s="30">
        <f>'Monthly Data'!AE24</f>
        <v>1</v>
      </c>
      <c r="J24" s="30">
        <f>'Monthly Data'!AG24</f>
        <v>0</v>
      </c>
      <c r="K24" s="4">
        <f>'Monthly Data'!AH24</f>
        <v>0</v>
      </c>
      <c r="L24" s="4">
        <f>'Monthly Data'!AI24</f>
        <v>0</v>
      </c>
      <c r="N24" s="23">
        <f>'LU OLS Model'!$B$5</f>
        <v>-36743884.5954879</v>
      </c>
      <c r="O24" s="23">
        <f>'LU OLS Model'!$B$6*D24</f>
        <v>-880244.37040022481</v>
      </c>
      <c r="P24" s="23">
        <f>'LU OLS Model'!$B$7*E24</f>
        <v>0</v>
      </c>
      <c r="Q24" s="23">
        <f>'LU OLS Model'!$B$8*F24</f>
        <v>10320557.058561331</v>
      </c>
      <c r="R24" s="23">
        <f>'LU OLS Model'!$B$9*G24</f>
        <v>40995204.951375045</v>
      </c>
      <c r="S24" s="23">
        <f>'LU OLS Model'!$B$10*H24</f>
        <v>-880247.07844543597</v>
      </c>
      <c r="T24" s="23">
        <f>'LU OLS Model'!$B$11*I24</f>
        <v>-1051550.2365486601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si="1"/>
        <v>11759835.729054153</v>
      </c>
      <c r="Y24" s="13">
        <f t="shared" si="2"/>
        <v>2.8122847106385154E-3</v>
      </c>
    </row>
    <row r="25" spans="1:25" x14ac:dyDescent="0.25">
      <c r="A25" s="11">
        <f>'Monthly Data'!A25</f>
        <v>40513</v>
      </c>
      <c r="B25" s="6">
        <f t="shared" si="0"/>
        <v>2010</v>
      </c>
      <c r="C25" s="4">
        <f>'Monthly Data'!I25</f>
        <v>11839747.178100001</v>
      </c>
      <c r="D25" s="30">
        <f>'Monthly Data'!M25</f>
        <v>713.49999999999989</v>
      </c>
      <c r="E25" s="30">
        <f>'Monthly Data'!N25</f>
        <v>0</v>
      </c>
      <c r="F25" s="30">
        <f>'Monthly Data'!P25</f>
        <v>31</v>
      </c>
      <c r="G25" s="30">
        <f>'Monthly Data'!Q25</f>
        <v>6584.1</v>
      </c>
      <c r="H25" s="30">
        <f>'Monthly Data'!S25</f>
        <v>24</v>
      </c>
      <c r="I25" s="30">
        <f>'Monthly Data'!AE25</f>
        <v>0</v>
      </c>
      <c r="J25" s="30">
        <f>'Monthly Data'!AG25</f>
        <v>0</v>
      </c>
      <c r="K25" s="4">
        <f>'Monthly Data'!AH25</f>
        <v>1</v>
      </c>
      <c r="L25" s="4">
        <f>'Monthly Data'!AI25</f>
        <v>0</v>
      </c>
      <c r="N25" s="23">
        <f>'LU OLS Model'!$B$5</f>
        <v>-36743884.5954879</v>
      </c>
      <c r="O25" s="23">
        <f>'LU OLS Model'!$B$6*D25</f>
        <v>-1391347.7144008868</v>
      </c>
      <c r="P25" s="23">
        <f>'LU OLS Model'!$B$7*E25</f>
        <v>0</v>
      </c>
      <c r="Q25" s="23">
        <f>'LU OLS Model'!$B$8*F25</f>
        <v>10664575.627180042</v>
      </c>
      <c r="R25" s="23">
        <f>'LU OLS Model'!$B$9*G25</f>
        <v>41104457.241243325</v>
      </c>
      <c r="S25" s="23">
        <f>'LU OLS Model'!$B$10*H25</f>
        <v>-918518.69055175921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-986240.09211876604</v>
      </c>
      <c r="W25" s="23">
        <f>'LU OLS Model'!$B$14*L25</f>
        <v>0</v>
      </c>
      <c r="X25" s="23">
        <f t="shared" si="1"/>
        <v>11729041.775864052</v>
      </c>
      <c r="Y25" s="13">
        <f t="shared" si="2"/>
        <v>9.3503180913120654E-3</v>
      </c>
    </row>
    <row r="26" spans="1:25" x14ac:dyDescent="0.25">
      <c r="A26" s="11">
        <f>'Monthly Data'!A26</f>
        <v>40544</v>
      </c>
      <c r="B26" s="6">
        <f t="shared" si="0"/>
        <v>2011</v>
      </c>
      <c r="C26" s="4">
        <f>'Monthly Data'!I26</f>
        <v>12401325.915100001</v>
      </c>
      <c r="D26" s="30">
        <f>'Monthly Data'!M26</f>
        <v>853.19999999999982</v>
      </c>
      <c r="E26" s="30">
        <f>'Monthly Data'!N26</f>
        <v>0</v>
      </c>
      <c r="F26" s="30">
        <f>'Monthly Data'!P26</f>
        <v>31</v>
      </c>
      <c r="G26" s="30">
        <f>'Monthly Data'!Q26</f>
        <v>6571.2</v>
      </c>
      <c r="H26" s="30">
        <f>'Monthly Data'!S26</f>
        <v>25</v>
      </c>
      <c r="I26" s="30">
        <f>'Monthly Data'!AE26</f>
        <v>0</v>
      </c>
      <c r="J26" s="30">
        <f>'Monthly Data'!AG26</f>
        <v>0</v>
      </c>
      <c r="K26" s="4">
        <f>'Monthly Data'!AH26</f>
        <v>0</v>
      </c>
      <c r="L26" s="4">
        <f>'Monthly Data'!AI26</f>
        <v>0</v>
      </c>
      <c r="N26" s="23">
        <f>'LU OLS Model'!$B$5</f>
        <v>-36743884.5954879</v>
      </c>
      <c r="O26" s="23">
        <f>'LU OLS Model'!$B$6*D26</f>
        <v>-1663767.1617755243</v>
      </c>
      <c r="P26" s="23">
        <f>'LU OLS Model'!$B$7*E26</f>
        <v>0</v>
      </c>
      <c r="Q26" s="23">
        <f>'LU OLS Model'!$B$8*F26</f>
        <v>10664575.627180042</v>
      </c>
      <c r="R26" s="23">
        <f>'LU OLS Model'!$B$9*G26</f>
        <v>41023922.696140416</v>
      </c>
      <c r="S26" s="23">
        <f>'LU OLS Model'!$B$10*H26</f>
        <v>-956790.30265808245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si="1"/>
        <v>12324056.263398951</v>
      </c>
      <c r="Y26" s="13">
        <f t="shared" si="2"/>
        <v>6.2307572778944097E-3</v>
      </c>
    </row>
    <row r="27" spans="1:25" x14ac:dyDescent="0.25">
      <c r="A27" s="11">
        <f>'Monthly Data'!A27</f>
        <v>40575</v>
      </c>
      <c r="B27" s="6">
        <f t="shared" si="0"/>
        <v>2011</v>
      </c>
      <c r="C27" s="4">
        <f>'Monthly Data'!I27</f>
        <v>11361644.729800001</v>
      </c>
      <c r="D27" s="30">
        <f>'Monthly Data'!M27</f>
        <v>700.39999999999986</v>
      </c>
      <c r="E27" s="30">
        <f>'Monthly Data'!N27</f>
        <v>0</v>
      </c>
      <c r="F27" s="30">
        <f>'Monthly Data'!P27</f>
        <v>28</v>
      </c>
      <c r="G27" s="30">
        <f>'Monthly Data'!Q27</f>
        <v>6548.1</v>
      </c>
      <c r="H27" s="30">
        <f>'Monthly Data'!S27</f>
        <v>26</v>
      </c>
      <c r="I27" s="30">
        <f>'Monthly Data'!AE27</f>
        <v>0</v>
      </c>
      <c r="J27" s="30">
        <f>'Monthly Data'!AG27</f>
        <v>0</v>
      </c>
      <c r="K27" s="4">
        <f>'Monthly Data'!AH27</f>
        <v>0</v>
      </c>
      <c r="L27" s="4">
        <f>'Monthly Data'!AI27</f>
        <v>0</v>
      </c>
      <c r="N27" s="23">
        <f>'LU OLS Model'!$B$5</f>
        <v>-36743884.5954879</v>
      </c>
      <c r="O27" s="23">
        <f>'LU OLS Model'!$B$6*D27</f>
        <v>-1365802.2973600295</v>
      </c>
      <c r="P27" s="23">
        <f>'LU OLS Model'!$B$7*E27</f>
        <v>0</v>
      </c>
      <c r="Q27" s="23">
        <f>'LU OLS Model'!$B$8*F27</f>
        <v>9632519.9213239085</v>
      </c>
      <c r="R27" s="23">
        <f>'LU OLS Model'!$B$9*G27</f>
        <v>40879709.673514292</v>
      </c>
      <c r="S27" s="23">
        <f>'LU OLS Model'!$B$10*H27</f>
        <v>-995061.91476440581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si="1"/>
        <v>11407480.787225863</v>
      </c>
      <c r="Y27" s="13">
        <f t="shared" si="2"/>
        <v>4.034280116649012E-3</v>
      </c>
    </row>
    <row r="28" spans="1:25" x14ac:dyDescent="0.25">
      <c r="A28" s="11">
        <f>'Monthly Data'!A28</f>
        <v>40603</v>
      </c>
      <c r="B28" s="6">
        <f t="shared" si="0"/>
        <v>2011</v>
      </c>
      <c r="C28" s="4">
        <f>'Monthly Data'!I28</f>
        <v>12401622.3706</v>
      </c>
      <c r="D28" s="30">
        <f>'Monthly Data'!M28</f>
        <v>595.70000000000016</v>
      </c>
      <c r="E28" s="30">
        <f>'Monthly Data'!N28</f>
        <v>0</v>
      </c>
      <c r="F28" s="30">
        <f>'Monthly Data'!P28</f>
        <v>31</v>
      </c>
      <c r="G28" s="30">
        <f>'Monthly Data'!Q28</f>
        <v>6523.7</v>
      </c>
      <c r="H28" s="30">
        <f>'Monthly Data'!S28</f>
        <v>27</v>
      </c>
      <c r="I28" s="30">
        <f>'Monthly Data'!AE28</f>
        <v>0</v>
      </c>
      <c r="J28" s="30">
        <f>'Monthly Data'!AG28</f>
        <v>0</v>
      </c>
      <c r="K28" s="4">
        <f>'Monthly Data'!AH28</f>
        <v>0</v>
      </c>
      <c r="L28" s="4">
        <f>'Monthly Data'!AI28</f>
        <v>0</v>
      </c>
      <c r="N28" s="23">
        <f>'LU OLS Model'!$B$5</f>
        <v>-36743884.5954879</v>
      </c>
      <c r="O28" s="23">
        <f>'LU OLS Model'!$B$6*D28</f>
        <v>-1161633.9642166905</v>
      </c>
      <c r="P28" s="23">
        <f>'LU OLS Model'!$B$7*E28</f>
        <v>0</v>
      </c>
      <c r="Q28" s="23">
        <f>'LU OLS Model'!$B$8*F28</f>
        <v>10664575.627180042</v>
      </c>
      <c r="R28" s="23">
        <f>'LU OLS Model'!$B$9*G28</f>
        <v>40727380.76649794</v>
      </c>
      <c r="S28" s="23">
        <f>'LU OLS Model'!$B$10*H28</f>
        <v>-1033333.5268707292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si="1"/>
        <v>12453104.307102663</v>
      </c>
      <c r="Y28" s="13">
        <f t="shared" si="2"/>
        <v>4.1512259415920827E-3</v>
      </c>
    </row>
    <row r="29" spans="1:25" x14ac:dyDescent="0.25">
      <c r="A29" s="11">
        <f>'Monthly Data'!A29</f>
        <v>40634</v>
      </c>
      <c r="B29" s="6">
        <f t="shared" si="0"/>
        <v>2011</v>
      </c>
      <c r="C29" s="4">
        <f>'Monthly Data'!I29</f>
        <v>11657885.962400001</v>
      </c>
      <c r="D29" s="30">
        <f>'Monthly Data'!M29</f>
        <v>350.99999999999989</v>
      </c>
      <c r="E29" s="30">
        <f>'Monthly Data'!N29</f>
        <v>0</v>
      </c>
      <c r="F29" s="30">
        <f>'Monthly Data'!P29</f>
        <v>30</v>
      </c>
      <c r="G29" s="30">
        <f>'Monthly Data'!Q29</f>
        <v>6550</v>
      </c>
      <c r="H29" s="30">
        <f>'Monthly Data'!S29</f>
        <v>28</v>
      </c>
      <c r="I29" s="30">
        <f>'Monthly Data'!AE29</f>
        <v>0</v>
      </c>
      <c r="J29" s="30">
        <f>'Monthly Data'!AG29</f>
        <v>1</v>
      </c>
      <c r="K29" s="4">
        <f>'Monthly Data'!AH29</f>
        <v>0</v>
      </c>
      <c r="L29" s="4">
        <f>'Monthly Data'!AI29</f>
        <v>0</v>
      </c>
      <c r="N29" s="23">
        <f>'LU OLS Model'!$B$5</f>
        <v>-36743884.5954879</v>
      </c>
      <c r="O29" s="23">
        <f>'LU OLS Model'!$B$6*D29</f>
        <v>-684461.17414815864</v>
      </c>
      <c r="P29" s="23">
        <f>'LU OLS Model'!$B$7*E29</f>
        <v>0</v>
      </c>
      <c r="Q29" s="23">
        <f>'LU OLS Model'!$B$8*F29</f>
        <v>10320557.058561331</v>
      </c>
      <c r="R29" s="23">
        <f>'LU OLS Model'!$B$9*G29</f>
        <v>40891571.350699984</v>
      </c>
      <c r="S29" s="23">
        <f>'LU OLS Model'!$B$10*H29</f>
        <v>-1071605.1389770524</v>
      </c>
      <c r="T29" s="23">
        <f>'LU OLS Model'!$B$11*I29</f>
        <v>0</v>
      </c>
      <c r="U29" s="23">
        <f>'LU OLS Model'!$B$12*J29</f>
        <v>-1041288.65545601</v>
      </c>
      <c r="V29" s="23">
        <f>'LU OLS Model'!$B$13*K29</f>
        <v>0</v>
      </c>
      <c r="W29" s="23">
        <f>'LU OLS Model'!$B$14*L29</f>
        <v>0</v>
      </c>
      <c r="X29" s="23">
        <f t="shared" si="1"/>
        <v>11670888.845192196</v>
      </c>
      <c r="Y29" s="13">
        <f t="shared" si="2"/>
        <v>1.1153722753965258E-3</v>
      </c>
    </row>
    <row r="30" spans="1:25" x14ac:dyDescent="0.25">
      <c r="A30" s="11">
        <f>'Monthly Data'!A30</f>
        <v>40664</v>
      </c>
      <c r="B30" s="6">
        <f t="shared" si="0"/>
        <v>2011</v>
      </c>
      <c r="C30" s="4">
        <f>'Monthly Data'!I30</f>
        <v>12129470.6171</v>
      </c>
      <c r="D30" s="30">
        <f>'Monthly Data'!M30</f>
        <v>150</v>
      </c>
      <c r="E30" s="30">
        <f>'Monthly Data'!N30</f>
        <v>1.2999999999999998</v>
      </c>
      <c r="F30" s="30">
        <f>'Monthly Data'!P30</f>
        <v>31</v>
      </c>
      <c r="G30" s="30">
        <f>'Monthly Data'!Q30</f>
        <v>6612</v>
      </c>
      <c r="H30" s="30">
        <f>'Monthly Data'!S30</f>
        <v>29</v>
      </c>
      <c r="I30" s="30">
        <f>'Monthly Data'!AE30</f>
        <v>0</v>
      </c>
      <c r="J30" s="30">
        <f>'Monthly Data'!AG30</f>
        <v>0</v>
      </c>
      <c r="K30" s="4">
        <f>'Monthly Data'!AH30</f>
        <v>0</v>
      </c>
      <c r="L30" s="4">
        <f>'Monthly Data'!AI30</f>
        <v>1</v>
      </c>
      <c r="N30" s="23">
        <f>'LU OLS Model'!$B$5</f>
        <v>-36743884.5954879</v>
      </c>
      <c r="O30" s="23">
        <f>'LU OLS Model'!$B$6*D30</f>
        <v>-292504.77527699096</v>
      </c>
      <c r="P30" s="23">
        <f>'LU OLS Model'!$B$7*E30</f>
        <v>24698.933741912944</v>
      </c>
      <c r="Q30" s="23">
        <f>'LU OLS Model'!$B$8*F30</f>
        <v>10664575.627180042</v>
      </c>
      <c r="R30" s="23">
        <f>'LU OLS Model'!$B$9*G30</f>
        <v>41278636.606233329</v>
      </c>
      <c r="S30" s="23">
        <f>'LU OLS Model'!$B$10*H30</f>
        <v>-1109876.7510833757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-1707342.3140862701</v>
      </c>
      <c r="X30" s="23">
        <f t="shared" si="1"/>
        <v>12114302.731220746</v>
      </c>
      <c r="Y30" s="13">
        <f t="shared" si="2"/>
        <v>1.2504985879491263E-3</v>
      </c>
    </row>
    <row r="31" spans="1:25" x14ac:dyDescent="0.25">
      <c r="A31" s="11">
        <f>'Monthly Data'!A31</f>
        <v>40695</v>
      </c>
      <c r="B31" s="6">
        <f t="shared" si="0"/>
        <v>2011</v>
      </c>
      <c r="C31" s="4">
        <f>'Monthly Data'!I31</f>
        <v>13315461.3706</v>
      </c>
      <c r="D31" s="30">
        <f>'Monthly Data'!M31</f>
        <v>25.199999999999996</v>
      </c>
      <c r="E31" s="30">
        <f>'Monthly Data'!N31</f>
        <v>24.900000000000002</v>
      </c>
      <c r="F31" s="30">
        <f>'Monthly Data'!P31</f>
        <v>30</v>
      </c>
      <c r="G31" s="30">
        <f>'Monthly Data'!Q31</f>
        <v>6706.8</v>
      </c>
      <c r="H31" s="30">
        <f>'Monthly Data'!S31</f>
        <v>30</v>
      </c>
      <c r="I31" s="30">
        <f>'Monthly Data'!AE31</f>
        <v>0</v>
      </c>
      <c r="J31" s="30">
        <f>'Monthly Data'!AG31</f>
        <v>0</v>
      </c>
      <c r="K31" s="4">
        <f>'Monthly Data'!AH31</f>
        <v>0</v>
      </c>
      <c r="L31" s="4">
        <f>'Monthly Data'!AI31</f>
        <v>1</v>
      </c>
      <c r="N31" s="23">
        <f>'LU OLS Model'!$B$5</f>
        <v>-36743884.5954879</v>
      </c>
      <c r="O31" s="23">
        <f>'LU OLS Model'!$B$6*D31</f>
        <v>-49140.802246534477</v>
      </c>
      <c r="P31" s="23">
        <f>'LU OLS Model'!$B$7*E31</f>
        <v>473079.57705664035</v>
      </c>
      <c r="Q31" s="23">
        <f>'LU OLS Model'!$B$8*F31</f>
        <v>10320557.058561331</v>
      </c>
      <c r="R31" s="23">
        <f>'LU OLS Model'!$B$9*G31</f>
        <v>41870471.867919795</v>
      </c>
      <c r="S31" s="23">
        <f>'LU OLS Model'!$B$10*H31</f>
        <v>-1148148.3631896991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-1707342.3140862701</v>
      </c>
      <c r="X31" s="23">
        <f t="shared" si="1"/>
        <v>13015592.428527365</v>
      </c>
      <c r="Y31" s="13">
        <f t="shared" si="2"/>
        <v>2.2520356878863695E-2</v>
      </c>
    </row>
    <row r="32" spans="1:25" x14ac:dyDescent="0.25">
      <c r="A32" s="11">
        <f>'Monthly Data'!A32</f>
        <v>40725</v>
      </c>
      <c r="B32" s="6">
        <f t="shared" si="0"/>
        <v>2011</v>
      </c>
      <c r="C32" s="4">
        <f>'Monthly Data'!I32</f>
        <v>15254632.6943</v>
      </c>
      <c r="D32" s="30">
        <f>'Monthly Data'!M32</f>
        <v>0</v>
      </c>
      <c r="E32" s="30">
        <f>'Monthly Data'!N32</f>
        <v>118.30000000000003</v>
      </c>
      <c r="F32" s="30">
        <f>'Monthly Data'!P32</f>
        <v>31</v>
      </c>
      <c r="G32" s="30">
        <f>'Monthly Data'!Q32</f>
        <v>6755.3</v>
      </c>
      <c r="H32" s="30">
        <f>'Monthly Data'!S32</f>
        <v>31</v>
      </c>
      <c r="I32" s="30">
        <f>'Monthly Data'!AE32</f>
        <v>0</v>
      </c>
      <c r="J32" s="30">
        <f>'Monthly Data'!AG32</f>
        <v>0</v>
      </c>
      <c r="K32" s="4">
        <f>'Monthly Data'!AH32</f>
        <v>0</v>
      </c>
      <c r="L32" s="4">
        <f>'Monthly Data'!AI32</f>
        <v>1</v>
      </c>
      <c r="N32" s="23">
        <f>'LU OLS Model'!$B$5</f>
        <v>-36743884.5954879</v>
      </c>
      <c r="O32" s="23">
        <f>'LU OLS Model'!$B$6*D32</f>
        <v>0</v>
      </c>
      <c r="P32" s="23">
        <f>'LU OLS Model'!$B$7*E32</f>
        <v>2247602.9705140786</v>
      </c>
      <c r="Q32" s="23">
        <f>'LU OLS Model'!$B$8*F32</f>
        <v>10664575.627180042</v>
      </c>
      <c r="R32" s="23">
        <f>'LU OLS Model'!$B$9*G32</f>
        <v>42173256.785554752</v>
      </c>
      <c r="S32" s="23">
        <f>'LU OLS Model'!$B$10*H32</f>
        <v>-1186419.9752960224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-1707342.3140862701</v>
      </c>
      <c r="X32" s="23">
        <f t="shared" si="1"/>
        <v>15447788.498378683</v>
      </c>
      <c r="Y32" s="13">
        <f t="shared" si="2"/>
        <v>1.2662107829764874E-2</v>
      </c>
    </row>
    <row r="33" spans="1:25" x14ac:dyDescent="0.25">
      <c r="A33" s="11">
        <f>'Monthly Data'!A33</f>
        <v>40756</v>
      </c>
      <c r="B33" s="6">
        <f t="shared" si="0"/>
        <v>2011</v>
      </c>
      <c r="C33" s="4">
        <f>'Monthly Data'!I33</f>
        <v>14946593.828</v>
      </c>
      <c r="D33" s="30">
        <f>'Monthly Data'!M33</f>
        <v>7</v>
      </c>
      <c r="E33" s="30">
        <f>'Monthly Data'!N33</f>
        <v>68.2</v>
      </c>
      <c r="F33" s="30">
        <f>'Monthly Data'!P33</f>
        <v>31</v>
      </c>
      <c r="G33" s="30">
        <f>'Monthly Data'!Q33</f>
        <v>6778</v>
      </c>
      <c r="H33" s="30">
        <f>'Monthly Data'!S33</f>
        <v>32</v>
      </c>
      <c r="I33" s="30">
        <f>'Monthly Data'!AE33</f>
        <v>0</v>
      </c>
      <c r="J33" s="30">
        <f>'Monthly Data'!AG33</f>
        <v>0</v>
      </c>
      <c r="K33" s="4">
        <f>'Monthly Data'!AH33</f>
        <v>0</v>
      </c>
      <c r="L33" s="4">
        <f>'Monthly Data'!AI33</f>
        <v>1</v>
      </c>
      <c r="N33" s="23">
        <f>'LU OLS Model'!$B$5</f>
        <v>-36743884.5954879</v>
      </c>
      <c r="O33" s="23">
        <f>'LU OLS Model'!$B$6*D33</f>
        <v>-13650.222846259579</v>
      </c>
      <c r="P33" s="23">
        <f>'LU OLS Model'!$B$7*E33</f>
        <v>1295744.0624603562</v>
      </c>
      <c r="Q33" s="23">
        <f>'LU OLS Model'!$B$8*F33</f>
        <v>10664575.627180042</v>
      </c>
      <c r="R33" s="23">
        <f>'LU OLS Model'!$B$9*G33</f>
        <v>42314972.612983897</v>
      </c>
      <c r="S33" s="23">
        <f>'LU OLS Model'!$B$10*H33</f>
        <v>-1224691.5874023456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-1707342.3140862701</v>
      </c>
      <c r="X33" s="23">
        <f t="shared" si="1"/>
        <v>14585723.582801515</v>
      </c>
      <c r="Y33" s="13">
        <f t="shared" si="2"/>
        <v>2.4143978845698816E-2</v>
      </c>
    </row>
    <row r="34" spans="1:25" x14ac:dyDescent="0.25">
      <c r="A34" s="11">
        <f>'Monthly Data'!A34</f>
        <v>40787</v>
      </c>
      <c r="B34" s="6">
        <f t="shared" si="0"/>
        <v>2011</v>
      </c>
      <c r="C34" s="4">
        <f>'Monthly Data'!I34</f>
        <v>14191674.646299999</v>
      </c>
      <c r="D34" s="30">
        <f>'Monthly Data'!M34</f>
        <v>72.5</v>
      </c>
      <c r="E34" s="30">
        <f>'Monthly Data'!N34</f>
        <v>24.500000000000004</v>
      </c>
      <c r="F34" s="30">
        <f>'Monthly Data'!P34</f>
        <v>30</v>
      </c>
      <c r="G34" s="30">
        <f>'Monthly Data'!Q34</f>
        <v>6734.6</v>
      </c>
      <c r="H34" s="30">
        <f>'Monthly Data'!S34</f>
        <v>33</v>
      </c>
      <c r="I34" s="30">
        <f>'Monthly Data'!AE34</f>
        <v>1</v>
      </c>
      <c r="J34" s="30">
        <f>'Monthly Data'!AG34</f>
        <v>0</v>
      </c>
      <c r="K34" s="4">
        <f>'Monthly Data'!AH34</f>
        <v>0</v>
      </c>
      <c r="L34" s="4">
        <f>'Monthly Data'!AI34</f>
        <v>0</v>
      </c>
      <c r="N34" s="23">
        <f>'LU OLS Model'!$B$5</f>
        <v>-36743884.5954879</v>
      </c>
      <c r="O34" s="23">
        <f>'LU OLS Model'!$B$6*D34</f>
        <v>-141377.30805054563</v>
      </c>
      <c r="P34" s="23">
        <f>'LU OLS Model'!$B$7*E34</f>
        <v>465479.90513605176</v>
      </c>
      <c r="Q34" s="23">
        <f>'LU OLS Model'!$B$8*F34</f>
        <v>10320557.058561331</v>
      </c>
      <c r="R34" s="23">
        <f>'LU OLS Model'!$B$9*G34</f>
        <v>42044026.93411056</v>
      </c>
      <c r="S34" s="23">
        <f>'LU OLS Model'!$B$10*H34</f>
        <v>-1262963.1995086689</v>
      </c>
      <c r="T34" s="23">
        <f>'LU OLS Model'!$B$11*I34</f>
        <v>-1051550.2365486601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si="1"/>
        <v>13630288.558212169</v>
      </c>
      <c r="Y34" s="13">
        <f t="shared" si="2"/>
        <v>3.9557423776917913E-2</v>
      </c>
    </row>
    <row r="35" spans="1:25" x14ac:dyDescent="0.25">
      <c r="A35" s="11">
        <f>'Monthly Data'!A35</f>
        <v>40817</v>
      </c>
      <c r="B35" s="6">
        <f t="shared" si="0"/>
        <v>2011</v>
      </c>
      <c r="C35" s="4">
        <f>'Monthly Data'!I35</f>
        <v>12844301.167599998</v>
      </c>
      <c r="D35" s="30">
        <f>'Monthly Data'!M35</f>
        <v>266.49999999999994</v>
      </c>
      <c r="E35" s="30">
        <f>'Monthly Data'!N35</f>
        <v>0.5</v>
      </c>
      <c r="F35" s="30">
        <f>'Monthly Data'!P35</f>
        <v>31</v>
      </c>
      <c r="G35" s="30">
        <f>'Monthly Data'!Q35</f>
        <v>6702.2</v>
      </c>
      <c r="H35" s="30">
        <f>'Monthly Data'!S35</f>
        <v>34</v>
      </c>
      <c r="I35" s="30">
        <f>'Monthly Data'!AE35</f>
        <v>1</v>
      </c>
      <c r="J35" s="30">
        <f>'Monthly Data'!AG35</f>
        <v>0</v>
      </c>
      <c r="K35" s="4">
        <f>'Monthly Data'!AH35</f>
        <v>0</v>
      </c>
      <c r="L35" s="4">
        <f>'Monthly Data'!AI35</f>
        <v>0</v>
      </c>
      <c r="N35" s="23">
        <f>'LU OLS Model'!$B$5</f>
        <v>-36743884.5954879</v>
      </c>
      <c r="O35" s="23">
        <f>'LU OLS Model'!$B$6*D35</f>
        <v>-519683.48407545389</v>
      </c>
      <c r="P35" s="23">
        <f>'LU OLS Model'!$B$7*E35</f>
        <v>9499.5899007357493</v>
      </c>
      <c r="Q35" s="23">
        <f>'LU OLS Model'!$B$8*F35</f>
        <v>10664575.627180042</v>
      </c>
      <c r="R35" s="23">
        <f>'LU OLS Model'!$B$9*G35</f>
        <v>41841754.123154417</v>
      </c>
      <c r="S35" s="23">
        <f>'LU OLS Model'!$B$10*H35</f>
        <v>-1301234.8116149921</v>
      </c>
      <c r="T35" s="23">
        <f>'LU OLS Model'!$B$11*I35</f>
        <v>-1051550.2365486601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si="1"/>
        <v>12899476.212508179</v>
      </c>
      <c r="Y35" s="13">
        <f t="shared" si="2"/>
        <v>4.2956829015626764E-3</v>
      </c>
    </row>
    <row r="36" spans="1:25" x14ac:dyDescent="0.25">
      <c r="A36" s="11">
        <f>'Monthly Data'!A36</f>
        <v>40848</v>
      </c>
      <c r="B36" s="6">
        <f t="shared" si="0"/>
        <v>2011</v>
      </c>
      <c r="C36" s="4">
        <f>'Monthly Data'!I36</f>
        <v>11999298.3411</v>
      </c>
      <c r="D36" s="30">
        <f>'Monthly Data'!M36</f>
        <v>394.7</v>
      </c>
      <c r="E36" s="30">
        <f>'Monthly Data'!N36</f>
        <v>0</v>
      </c>
      <c r="F36" s="30">
        <f>'Monthly Data'!P36</f>
        <v>30</v>
      </c>
      <c r="G36" s="30">
        <f>'Monthly Data'!Q36</f>
        <v>6669.4</v>
      </c>
      <c r="H36" s="30">
        <f>'Monthly Data'!S36</f>
        <v>35</v>
      </c>
      <c r="I36" s="30">
        <f>'Monthly Data'!AE36</f>
        <v>1</v>
      </c>
      <c r="J36" s="30">
        <f>'Monthly Data'!AG36</f>
        <v>0</v>
      </c>
      <c r="K36" s="4">
        <f>'Monthly Data'!AH36</f>
        <v>0</v>
      </c>
      <c r="L36" s="4">
        <f>'Monthly Data'!AI36</f>
        <v>0</v>
      </c>
      <c r="N36" s="23">
        <f>'LU OLS Model'!$B$5</f>
        <v>-36743884.5954879</v>
      </c>
      <c r="O36" s="23">
        <f>'LU OLS Model'!$B$6*D36</f>
        <v>-769677.56534552225</v>
      </c>
      <c r="P36" s="23">
        <f>'LU OLS Model'!$B$7*E36</f>
        <v>0</v>
      </c>
      <c r="Q36" s="23">
        <f>'LU OLS Model'!$B$8*F36</f>
        <v>10320557.058561331</v>
      </c>
      <c r="R36" s="23">
        <f>'LU OLS Model'!$B$9*G36</f>
        <v>41636984.117001295</v>
      </c>
      <c r="S36" s="23">
        <f>'LU OLS Model'!$B$10*H36</f>
        <v>-1339506.4237213156</v>
      </c>
      <c r="T36" s="23">
        <f>'LU OLS Model'!$B$11*I36</f>
        <v>-1051550.2365486601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si="1"/>
        <v>12052922.354459226</v>
      </c>
      <c r="Y36" s="13">
        <f t="shared" si="2"/>
        <v>4.4689290852577019E-3</v>
      </c>
    </row>
    <row r="37" spans="1:25" x14ac:dyDescent="0.25">
      <c r="A37" s="11">
        <f>'Monthly Data'!A37</f>
        <v>40878</v>
      </c>
      <c r="B37" s="6">
        <f t="shared" si="0"/>
        <v>2011</v>
      </c>
      <c r="C37" s="4">
        <f>'Monthly Data'!I37</f>
        <v>11987806.8026</v>
      </c>
      <c r="D37" s="30">
        <f>'Monthly Data'!M37</f>
        <v>623.09999999999991</v>
      </c>
      <c r="E37" s="30">
        <f>'Monthly Data'!N37</f>
        <v>0</v>
      </c>
      <c r="F37" s="30">
        <f>'Monthly Data'!P37</f>
        <v>31</v>
      </c>
      <c r="G37" s="30">
        <f>'Monthly Data'!Q37</f>
        <v>6668.3</v>
      </c>
      <c r="H37" s="30">
        <f>'Monthly Data'!S37</f>
        <v>36</v>
      </c>
      <c r="I37" s="30">
        <f>'Monthly Data'!AE37</f>
        <v>0</v>
      </c>
      <c r="J37" s="30">
        <f>'Monthly Data'!AG37</f>
        <v>0</v>
      </c>
      <c r="K37" s="4">
        <f>'Monthly Data'!AH37</f>
        <v>1</v>
      </c>
      <c r="L37" s="4">
        <f>'Monthly Data'!AI37</f>
        <v>0</v>
      </c>
      <c r="N37" s="23">
        <f>'LU OLS Model'!$B$5</f>
        <v>-36743884.5954879</v>
      </c>
      <c r="O37" s="23">
        <f>'LU OLS Model'!$B$6*D37</f>
        <v>-1215064.8365006205</v>
      </c>
      <c r="P37" s="23">
        <f>'LU OLS Model'!$B$7*E37</f>
        <v>0</v>
      </c>
      <c r="Q37" s="23">
        <f>'LU OLS Model'!$B$8*F37</f>
        <v>10664575.627180042</v>
      </c>
      <c r="R37" s="23">
        <f>'LU OLS Model'!$B$9*G37</f>
        <v>41630116.830209576</v>
      </c>
      <c r="S37" s="23">
        <f>'LU OLS Model'!$B$10*H37</f>
        <v>-1377778.0358276388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-986240.09211876604</v>
      </c>
      <c r="W37" s="23">
        <f>'LU OLS Model'!$B$14*L37</f>
        <v>0</v>
      </c>
      <c r="X37" s="23">
        <f t="shared" si="1"/>
        <v>11971724.897454688</v>
      </c>
      <c r="Y37" s="13">
        <f t="shared" si="2"/>
        <v>1.3415218822031543E-3</v>
      </c>
    </row>
    <row r="38" spans="1:25" x14ac:dyDescent="0.25">
      <c r="A38" s="11">
        <f>'Monthly Data'!A38</f>
        <v>40909</v>
      </c>
      <c r="B38" s="6">
        <f t="shared" si="0"/>
        <v>2012</v>
      </c>
      <c r="C38" s="4">
        <f>'Monthly Data'!I38</f>
        <v>12582843.8882</v>
      </c>
      <c r="D38" s="30">
        <f>'Monthly Data'!M38</f>
        <v>712.69999999999993</v>
      </c>
      <c r="E38" s="30">
        <f>'Monthly Data'!N38</f>
        <v>0</v>
      </c>
      <c r="F38" s="30">
        <f>'Monthly Data'!P38</f>
        <v>31</v>
      </c>
      <c r="G38" s="30">
        <f>'Monthly Data'!Q38</f>
        <v>6635.9</v>
      </c>
      <c r="H38" s="30">
        <f>'Monthly Data'!S38</f>
        <v>37</v>
      </c>
      <c r="I38" s="30">
        <f>'Monthly Data'!AE38</f>
        <v>0</v>
      </c>
      <c r="J38" s="30">
        <f>'Monthly Data'!AG38</f>
        <v>0</v>
      </c>
      <c r="K38" s="4">
        <f>'Monthly Data'!AH38</f>
        <v>0</v>
      </c>
      <c r="L38" s="4">
        <f>'Monthly Data'!AI38</f>
        <v>0</v>
      </c>
      <c r="N38" s="23">
        <f>'LU OLS Model'!$B$5</f>
        <v>-36743884.5954879</v>
      </c>
      <c r="O38" s="23">
        <f>'LU OLS Model'!$B$6*D38</f>
        <v>-1389787.6889327429</v>
      </c>
      <c r="P38" s="23">
        <f>'LU OLS Model'!$B$7*E38</f>
        <v>0</v>
      </c>
      <c r="Q38" s="23">
        <f>'LU OLS Model'!$B$8*F38</f>
        <v>10664575.627180042</v>
      </c>
      <c r="R38" s="23">
        <f>'LU OLS Model'!$B$9*G38</f>
        <v>41427844.01925344</v>
      </c>
      <c r="S38" s="23">
        <f>'LU OLS Model'!$B$10*H38</f>
        <v>-1416049.6479339621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si="1"/>
        <v>12542697.714078879</v>
      </c>
      <c r="Y38" s="13">
        <f t="shared" si="2"/>
        <v>3.1905485340058474E-3</v>
      </c>
    </row>
    <row r="39" spans="1:25" x14ac:dyDescent="0.25">
      <c r="A39" s="11">
        <f>'Monthly Data'!A39</f>
        <v>40940</v>
      </c>
      <c r="B39" s="6">
        <f t="shared" si="0"/>
        <v>2012</v>
      </c>
      <c r="C39" s="4">
        <f>'Monthly Data'!I39</f>
        <v>11873899.731000001</v>
      </c>
      <c r="D39" s="30">
        <f>'Monthly Data'!M39</f>
        <v>604.40000000000009</v>
      </c>
      <c r="E39" s="30">
        <f>'Monthly Data'!N39</f>
        <v>0</v>
      </c>
      <c r="F39" s="30">
        <f>'Monthly Data'!P39</f>
        <v>29</v>
      </c>
      <c r="G39" s="30">
        <f>'Monthly Data'!Q39</f>
        <v>6598</v>
      </c>
      <c r="H39" s="30">
        <f>'Monthly Data'!S39</f>
        <v>38</v>
      </c>
      <c r="I39" s="30">
        <f>'Monthly Data'!AE39</f>
        <v>0</v>
      </c>
      <c r="J39" s="30">
        <f>'Monthly Data'!AG39</f>
        <v>0</v>
      </c>
      <c r="K39" s="4">
        <f>'Monthly Data'!AH39</f>
        <v>0</v>
      </c>
      <c r="L39" s="4">
        <f>'Monthly Data'!AI39</f>
        <v>0</v>
      </c>
      <c r="N39" s="23">
        <f>'LU OLS Model'!$B$5</f>
        <v>-36743884.5954879</v>
      </c>
      <c r="O39" s="23">
        <f>'LU OLS Model'!$B$6*D39</f>
        <v>-1178599.2411827559</v>
      </c>
      <c r="P39" s="23">
        <f>'LU OLS Model'!$B$7*E39</f>
        <v>0</v>
      </c>
      <c r="Q39" s="23">
        <f>'LU OLS Model'!$B$8*F39</f>
        <v>9976538.4899426196</v>
      </c>
      <c r="R39" s="23">
        <f>'LU OLS Model'!$B$9*G39</f>
        <v>41191234.774338707</v>
      </c>
      <c r="S39" s="23">
        <f>'LU OLS Model'!$B$10*H39</f>
        <v>-1454321.2600402855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si="1"/>
        <v>11790968.16757038</v>
      </c>
      <c r="Y39" s="13">
        <f t="shared" si="2"/>
        <v>6.9843577348985882E-3</v>
      </c>
    </row>
    <row r="40" spans="1:25" x14ac:dyDescent="0.25">
      <c r="A40" s="11">
        <f>'Monthly Data'!A40</f>
        <v>40969</v>
      </c>
      <c r="B40" s="6">
        <f t="shared" si="0"/>
        <v>2012</v>
      </c>
      <c r="C40" s="4">
        <f>'Monthly Data'!I40</f>
        <v>12252096.686999999</v>
      </c>
      <c r="D40" s="30">
        <f>'Monthly Data'!M40</f>
        <v>412.19999999999993</v>
      </c>
      <c r="E40" s="30">
        <f>'Monthly Data'!N40</f>
        <v>0</v>
      </c>
      <c r="F40" s="30">
        <f>'Monthly Data'!P40</f>
        <v>31</v>
      </c>
      <c r="G40" s="30">
        <f>'Monthly Data'!Q40</f>
        <v>6569.8</v>
      </c>
      <c r="H40" s="30">
        <f>'Monthly Data'!S40</f>
        <v>39</v>
      </c>
      <c r="I40" s="30">
        <f>'Monthly Data'!AE40</f>
        <v>0</v>
      </c>
      <c r="J40" s="30">
        <f>'Monthly Data'!AG40</f>
        <v>0</v>
      </c>
      <c r="K40" s="4">
        <f>'Monthly Data'!AH40</f>
        <v>0</v>
      </c>
      <c r="L40" s="4">
        <f>'Monthly Data'!AI40</f>
        <v>0</v>
      </c>
      <c r="N40" s="23">
        <f>'LU OLS Model'!$B$5</f>
        <v>-36743884.5954879</v>
      </c>
      <c r="O40" s="23">
        <f>'LU OLS Model'!$B$6*D40</f>
        <v>-803803.12246117112</v>
      </c>
      <c r="P40" s="23">
        <f>'LU OLS Model'!$B$7*E40</f>
        <v>0</v>
      </c>
      <c r="Q40" s="23">
        <f>'LU OLS Model'!$B$8*F40</f>
        <v>10664575.627180042</v>
      </c>
      <c r="R40" s="23">
        <f>'LU OLS Model'!$B$9*G40</f>
        <v>41015182.512950957</v>
      </c>
      <c r="S40" s="23">
        <f>'LU OLS Model'!$B$10*H40</f>
        <v>-1492592.8721466088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si="1"/>
        <v>12639477.550035318</v>
      </c>
      <c r="Y40" s="13">
        <f t="shared" si="2"/>
        <v>3.1617516000044886E-2</v>
      </c>
    </row>
    <row r="41" spans="1:25" x14ac:dyDescent="0.25">
      <c r="A41" s="11">
        <f>'Monthly Data'!A41</f>
        <v>41000</v>
      </c>
      <c r="B41" s="6">
        <f t="shared" si="0"/>
        <v>2012</v>
      </c>
      <c r="C41" s="4">
        <f>'Monthly Data'!I41</f>
        <v>11690706.498199999</v>
      </c>
      <c r="D41" s="30">
        <f>'Monthly Data'!M41</f>
        <v>358.9</v>
      </c>
      <c r="E41" s="30">
        <f>'Monthly Data'!N41</f>
        <v>0.8</v>
      </c>
      <c r="F41" s="30">
        <f>'Monthly Data'!P41</f>
        <v>30</v>
      </c>
      <c r="G41" s="30">
        <f>'Monthly Data'!Q41</f>
        <v>6603.3</v>
      </c>
      <c r="H41" s="30">
        <f>'Monthly Data'!S41</f>
        <v>40</v>
      </c>
      <c r="I41" s="30">
        <f>'Monthly Data'!AE41</f>
        <v>0</v>
      </c>
      <c r="J41" s="30">
        <f>'Monthly Data'!AG41</f>
        <v>1</v>
      </c>
      <c r="K41" s="4">
        <f>'Monthly Data'!AH41</f>
        <v>0</v>
      </c>
      <c r="L41" s="4">
        <f>'Monthly Data'!AI41</f>
        <v>0</v>
      </c>
      <c r="N41" s="23">
        <f>'LU OLS Model'!$B$5</f>
        <v>-36743884.5954879</v>
      </c>
      <c r="O41" s="23">
        <f>'LU OLS Model'!$B$6*D41</f>
        <v>-699866.4256460804</v>
      </c>
      <c r="P41" s="23">
        <f>'LU OLS Model'!$B$7*E41</f>
        <v>15199.3438411772</v>
      </c>
      <c r="Q41" s="23">
        <f>'LU OLS Model'!$B$8*F41</f>
        <v>10320557.058561331</v>
      </c>
      <c r="R41" s="23">
        <f>'LU OLS Model'!$B$9*G41</f>
        <v>41224322.610698812</v>
      </c>
      <c r="S41" s="23">
        <f>'LU OLS Model'!$B$10*H41</f>
        <v>-1530864.484252932</v>
      </c>
      <c r="T41" s="23">
        <f>'LU OLS Model'!$B$11*I41</f>
        <v>0</v>
      </c>
      <c r="U41" s="23">
        <f>'LU OLS Model'!$B$12*J41</f>
        <v>-1041288.65545601</v>
      </c>
      <c r="V41" s="23">
        <f>'LU OLS Model'!$B$13*K41</f>
        <v>0</v>
      </c>
      <c r="W41" s="23">
        <f>'LU OLS Model'!$B$14*L41</f>
        <v>0</v>
      </c>
      <c r="X41" s="23">
        <f t="shared" si="1"/>
        <v>11544174.852258401</v>
      </c>
      <c r="Y41" s="13">
        <f t="shared" si="2"/>
        <v>1.2534028286841312E-2</v>
      </c>
    </row>
    <row r="42" spans="1:25" x14ac:dyDescent="0.25">
      <c r="A42" s="11">
        <f>'Monthly Data'!A42</f>
        <v>41030</v>
      </c>
      <c r="B42" s="6">
        <f t="shared" si="0"/>
        <v>2012</v>
      </c>
      <c r="C42" s="4">
        <f>'Monthly Data'!I42</f>
        <v>12480043.750300001</v>
      </c>
      <c r="D42" s="30">
        <f>'Monthly Data'!M42</f>
        <v>94.000000000000014</v>
      </c>
      <c r="E42" s="30">
        <f>'Monthly Data'!N42</f>
        <v>20.100000000000001</v>
      </c>
      <c r="F42" s="30">
        <f>'Monthly Data'!P42</f>
        <v>31</v>
      </c>
      <c r="G42" s="30">
        <f>'Monthly Data'!Q42</f>
        <v>6658.1</v>
      </c>
      <c r="H42" s="30">
        <f>'Monthly Data'!S42</f>
        <v>41</v>
      </c>
      <c r="I42" s="30">
        <f>'Monthly Data'!AE42</f>
        <v>0</v>
      </c>
      <c r="J42" s="30">
        <f>'Monthly Data'!AG42</f>
        <v>0</v>
      </c>
      <c r="K42" s="4">
        <f>'Monthly Data'!AH42</f>
        <v>0</v>
      </c>
      <c r="L42" s="4">
        <f>'Monthly Data'!AI42</f>
        <v>1</v>
      </c>
      <c r="N42" s="23">
        <f>'LU OLS Model'!$B$5</f>
        <v>-36743884.5954879</v>
      </c>
      <c r="O42" s="23">
        <f>'LU OLS Model'!$B$6*D42</f>
        <v>-183302.99250691436</v>
      </c>
      <c r="P42" s="23">
        <f>'LU OLS Model'!$B$7*E42</f>
        <v>381883.51400957716</v>
      </c>
      <c r="Q42" s="23">
        <f>'LU OLS Model'!$B$8*F42</f>
        <v>10664575.627180042</v>
      </c>
      <c r="R42" s="23">
        <f>'LU OLS Model'!$B$9*G42</f>
        <v>41566438.352686353</v>
      </c>
      <c r="S42" s="23">
        <f>'LU OLS Model'!$B$10*H42</f>
        <v>-1569136.0963592553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-1707342.3140862701</v>
      </c>
      <c r="X42" s="23">
        <f t="shared" si="1"/>
        <v>12409231.495435635</v>
      </c>
      <c r="Y42" s="13">
        <f t="shared" si="2"/>
        <v>5.6740389922643108E-3</v>
      </c>
    </row>
    <row r="43" spans="1:25" x14ac:dyDescent="0.25">
      <c r="A43" s="11">
        <f>'Monthly Data'!A43</f>
        <v>41061</v>
      </c>
      <c r="B43" s="6">
        <f t="shared" si="0"/>
        <v>2012</v>
      </c>
      <c r="C43" s="4">
        <f>'Monthly Data'!I43</f>
        <v>13240556.216700001</v>
      </c>
      <c r="D43" s="30">
        <f>'Monthly Data'!M43</f>
        <v>41.300000000000004</v>
      </c>
      <c r="E43" s="30">
        <f>'Monthly Data'!N43</f>
        <v>51.8</v>
      </c>
      <c r="F43" s="30">
        <f>'Monthly Data'!P43</f>
        <v>30</v>
      </c>
      <c r="G43" s="30">
        <f>'Monthly Data'!Q43</f>
        <v>6737.2</v>
      </c>
      <c r="H43" s="30">
        <f>'Monthly Data'!S43</f>
        <v>42</v>
      </c>
      <c r="I43" s="30">
        <f>'Monthly Data'!AE43</f>
        <v>0</v>
      </c>
      <c r="J43" s="30">
        <f>'Monthly Data'!AG43</f>
        <v>0</v>
      </c>
      <c r="K43" s="4">
        <f>'Monthly Data'!AH43</f>
        <v>0</v>
      </c>
      <c r="L43" s="4">
        <f>'Monthly Data'!AI43</f>
        <v>1</v>
      </c>
      <c r="N43" s="23">
        <f>'LU OLS Model'!$B$5</f>
        <v>-36743884.5954879</v>
      </c>
      <c r="O43" s="23">
        <f>'LU OLS Model'!$B$6*D43</f>
        <v>-80536.314792931531</v>
      </c>
      <c r="P43" s="23">
        <f>'LU OLS Model'!$B$7*E43</f>
        <v>984157.51371622353</v>
      </c>
      <c r="Q43" s="23">
        <f>'LU OLS Model'!$B$8*F43</f>
        <v>10320557.058561331</v>
      </c>
      <c r="R43" s="23">
        <f>'LU OLS Model'!$B$9*G43</f>
        <v>42060258.702890985</v>
      </c>
      <c r="S43" s="23">
        <f>'LU OLS Model'!$B$10*H43</f>
        <v>-1607407.7084655785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-1707342.3140862701</v>
      </c>
      <c r="X43" s="23">
        <f t="shared" si="1"/>
        <v>13225802.342335859</v>
      </c>
      <c r="Y43" s="13">
        <f t="shared" si="2"/>
        <v>1.1142941521997891E-3</v>
      </c>
    </row>
    <row r="44" spans="1:25" x14ac:dyDescent="0.25">
      <c r="A44" s="11">
        <f>'Monthly Data'!A44</f>
        <v>41091</v>
      </c>
      <c r="B44" s="6">
        <f t="shared" si="0"/>
        <v>2012</v>
      </c>
      <c r="C44" s="4">
        <f>'Monthly Data'!I44</f>
        <v>15413074.367999999</v>
      </c>
      <c r="D44" s="30">
        <f>'Monthly Data'!M44</f>
        <v>0.2</v>
      </c>
      <c r="E44" s="30">
        <f>'Monthly Data'!N44</f>
        <v>120.69999999999996</v>
      </c>
      <c r="F44" s="30">
        <f>'Monthly Data'!P44</f>
        <v>31</v>
      </c>
      <c r="G44" s="30">
        <f>'Monthly Data'!Q44</f>
        <v>6778.6</v>
      </c>
      <c r="H44" s="30">
        <f>'Monthly Data'!S44</f>
        <v>43</v>
      </c>
      <c r="I44" s="30">
        <f>'Monthly Data'!AE44</f>
        <v>0</v>
      </c>
      <c r="J44" s="30">
        <f>'Monthly Data'!AG44</f>
        <v>0</v>
      </c>
      <c r="K44" s="4">
        <f>'Monthly Data'!AH44</f>
        <v>0</v>
      </c>
      <c r="L44" s="4">
        <f>'Monthly Data'!AI44</f>
        <v>1</v>
      </c>
      <c r="N44" s="23">
        <f>'LU OLS Model'!$B$5</f>
        <v>-36743884.5954879</v>
      </c>
      <c r="O44" s="23">
        <f>'LU OLS Model'!$B$6*D44</f>
        <v>-390.00636703598798</v>
      </c>
      <c r="P44" s="23">
        <f>'LU OLS Model'!$B$7*E44</f>
        <v>2293201.002037609</v>
      </c>
      <c r="Q44" s="23">
        <f>'LU OLS Model'!$B$8*F44</f>
        <v>10664575.627180042</v>
      </c>
      <c r="R44" s="23">
        <f>'LU OLS Model'!$B$9*G44</f>
        <v>42318718.405779384</v>
      </c>
      <c r="S44" s="23">
        <f>'LU OLS Model'!$B$10*H44</f>
        <v>-1645679.320571902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-1707342.3140862701</v>
      </c>
      <c r="X44" s="23">
        <f t="shared" si="1"/>
        <v>15179198.798483923</v>
      </c>
      <c r="Y44" s="13">
        <f t="shared" si="2"/>
        <v>1.5173842929197745E-2</v>
      </c>
    </row>
    <row r="45" spans="1:25" x14ac:dyDescent="0.25">
      <c r="A45" s="11">
        <f>'Monthly Data'!A45</f>
        <v>41122</v>
      </c>
      <c r="B45" s="6">
        <f t="shared" si="0"/>
        <v>2012</v>
      </c>
      <c r="C45" s="4">
        <f>'Monthly Data'!I45</f>
        <v>15313195.499</v>
      </c>
      <c r="D45" s="30">
        <f>'Monthly Data'!M45</f>
        <v>7.3000000000000007</v>
      </c>
      <c r="E45" s="30">
        <f>'Monthly Data'!N45</f>
        <v>87.199999999999974</v>
      </c>
      <c r="F45" s="30">
        <f>'Monthly Data'!P45</f>
        <v>31</v>
      </c>
      <c r="G45" s="30">
        <f>'Monthly Data'!Q45</f>
        <v>6797.9</v>
      </c>
      <c r="H45" s="30">
        <f>'Monthly Data'!S45</f>
        <v>44</v>
      </c>
      <c r="I45" s="30">
        <f>'Monthly Data'!AE45</f>
        <v>0</v>
      </c>
      <c r="J45" s="30">
        <f>'Monthly Data'!AG45</f>
        <v>0</v>
      </c>
      <c r="K45" s="4">
        <f>'Monthly Data'!AH45</f>
        <v>0</v>
      </c>
      <c r="L45" s="4">
        <f>'Monthly Data'!AI45</f>
        <v>1</v>
      </c>
      <c r="N45" s="23">
        <f>'LU OLS Model'!$B$5</f>
        <v>-36743884.5954879</v>
      </c>
      <c r="O45" s="23">
        <f>'LU OLS Model'!$B$6*D45</f>
        <v>-14235.232396813562</v>
      </c>
      <c r="P45" s="23">
        <f>'LU OLS Model'!$B$7*E45</f>
        <v>1656728.4786883141</v>
      </c>
      <c r="Q45" s="23">
        <f>'LU OLS Model'!$B$8*F45</f>
        <v>10664575.627180042</v>
      </c>
      <c r="R45" s="23">
        <f>'LU OLS Model'!$B$9*G45</f>
        <v>42439208.07403411</v>
      </c>
      <c r="S45" s="23">
        <f>'LU OLS Model'!$B$10*H45</f>
        <v>-1683950.9326782252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-1707342.3140862701</v>
      </c>
      <c r="X45" s="23">
        <f t="shared" si="1"/>
        <v>14611099.105253259</v>
      </c>
      <c r="Y45" s="13">
        <f t="shared" si="2"/>
        <v>4.5849110578689484E-2</v>
      </c>
    </row>
    <row r="46" spans="1:25" x14ac:dyDescent="0.25">
      <c r="A46" s="11">
        <f>'Monthly Data'!A46</f>
        <v>41153</v>
      </c>
      <c r="B46" s="6">
        <f t="shared" si="0"/>
        <v>2012</v>
      </c>
      <c r="C46" s="4">
        <f>'Monthly Data'!I46</f>
        <v>13786568.186000001</v>
      </c>
      <c r="D46" s="30">
        <f>'Monthly Data'!M46</f>
        <v>106.30000000000003</v>
      </c>
      <c r="E46" s="30">
        <f>'Monthly Data'!N46</f>
        <v>20.200000000000003</v>
      </c>
      <c r="F46" s="30">
        <f>'Monthly Data'!P46</f>
        <v>30</v>
      </c>
      <c r="G46" s="30">
        <f>'Monthly Data'!Q46</f>
        <v>6763.1</v>
      </c>
      <c r="H46" s="30">
        <f>'Monthly Data'!S46</f>
        <v>45</v>
      </c>
      <c r="I46" s="30">
        <f>'Monthly Data'!AE46</f>
        <v>1</v>
      </c>
      <c r="J46" s="30">
        <f>'Monthly Data'!AG46</f>
        <v>0</v>
      </c>
      <c r="K46" s="4">
        <f>'Monthly Data'!AH46</f>
        <v>0</v>
      </c>
      <c r="L46" s="4">
        <f>'Monthly Data'!AI46</f>
        <v>0</v>
      </c>
      <c r="N46" s="23">
        <f>'LU OLS Model'!$B$5</f>
        <v>-36743884.5954879</v>
      </c>
      <c r="O46" s="23">
        <f>'LU OLS Model'!$B$6*D46</f>
        <v>-207288.38407962766</v>
      </c>
      <c r="P46" s="23">
        <f>'LU OLS Model'!$B$7*E46</f>
        <v>383783.43198972434</v>
      </c>
      <c r="Q46" s="23">
        <f>'LU OLS Model'!$B$8*F46</f>
        <v>10320557.058561331</v>
      </c>
      <c r="R46" s="23">
        <f>'LU OLS Model'!$B$9*G46</f>
        <v>42221952.091896042</v>
      </c>
      <c r="S46" s="23">
        <f>'LU OLS Model'!$B$10*H46</f>
        <v>-1722222.5447845485</v>
      </c>
      <c r="T46" s="23">
        <f>'LU OLS Model'!$B$11*I46</f>
        <v>-1051550.2365486601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si="1"/>
        <v>13201346.821546361</v>
      </c>
      <c r="Y46" s="13">
        <f t="shared" si="2"/>
        <v>4.2448661375201487E-2</v>
      </c>
    </row>
    <row r="47" spans="1:25" x14ac:dyDescent="0.25">
      <c r="A47" s="11">
        <f>'Monthly Data'!A47</f>
        <v>41183</v>
      </c>
      <c r="B47" s="6">
        <f t="shared" si="0"/>
        <v>2012</v>
      </c>
      <c r="C47" s="4">
        <f>'Monthly Data'!I47</f>
        <v>12860549.23</v>
      </c>
      <c r="D47" s="30">
        <f>'Monthly Data'!M47</f>
        <v>259.09999999999991</v>
      </c>
      <c r="E47" s="30">
        <f>'Monthly Data'!N47</f>
        <v>0</v>
      </c>
      <c r="F47" s="30">
        <f>'Monthly Data'!P47</f>
        <v>31</v>
      </c>
      <c r="G47" s="30">
        <f>'Monthly Data'!Q47</f>
        <v>6740.9</v>
      </c>
      <c r="H47" s="30">
        <f>'Monthly Data'!S47</f>
        <v>46</v>
      </c>
      <c r="I47" s="30">
        <f>'Monthly Data'!AE47</f>
        <v>1</v>
      </c>
      <c r="J47" s="30">
        <f>'Monthly Data'!AG47</f>
        <v>0</v>
      </c>
      <c r="K47" s="4">
        <f>'Monthly Data'!AH47</f>
        <v>0</v>
      </c>
      <c r="L47" s="4">
        <f>'Monthly Data'!AI47</f>
        <v>0</v>
      </c>
      <c r="N47" s="23">
        <f>'LU OLS Model'!$B$5</f>
        <v>-36743884.5954879</v>
      </c>
      <c r="O47" s="23">
        <f>'LU OLS Model'!$B$6*D47</f>
        <v>-505253.24849512224</v>
      </c>
      <c r="P47" s="23">
        <f>'LU OLS Model'!$B$7*E47</f>
        <v>0</v>
      </c>
      <c r="Q47" s="23">
        <f>'LU OLS Model'!$B$8*F47</f>
        <v>10664575.627180042</v>
      </c>
      <c r="R47" s="23">
        <f>'LU OLS Model'!$B$9*G47</f>
        <v>42083357.758463137</v>
      </c>
      <c r="S47" s="23">
        <f>'LU OLS Model'!$B$10*H47</f>
        <v>-1760494.1568908719</v>
      </c>
      <c r="T47" s="23">
        <f>'LU OLS Model'!$B$11*I47</f>
        <v>-1051550.2365486601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si="1"/>
        <v>12686751.148220619</v>
      </c>
      <c r="Y47" s="13">
        <f t="shared" si="2"/>
        <v>1.3514048169417198E-2</v>
      </c>
    </row>
    <row r="48" spans="1:25" x14ac:dyDescent="0.25">
      <c r="A48" s="11">
        <f>'Monthly Data'!A48</f>
        <v>41214</v>
      </c>
      <c r="B48" s="6">
        <f t="shared" si="0"/>
        <v>2012</v>
      </c>
      <c r="C48" s="4">
        <f>'Monthly Data'!I48</f>
        <v>12100791.463000001</v>
      </c>
      <c r="D48" s="30">
        <f>'Monthly Data'!M48</f>
        <v>498.9</v>
      </c>
      <c r="E48" s="30">
        <f>'Monthly Data'!N48</f>
        <v>0</v>
      </c>
      <c r="F48" s="30">
        <f>'Monthly Data'!P48</f>
        <v>30</v>
      </c>
      <c r="G48" s="30">
        <f>'Monthly Data'!Q48</f>
        <v>6727.4</v>
      </c>
      <c r="H48" s="30">
        <f>'Monthly Data'!S48</f>
        <v>47</v>
      </c>
      <c r="I48" s="30">
        <f>'Monthly Data'!AE48</f>
        <v>1</v>
      </c>
      <c r="J48" s="30">
        <f>'Monthly Data'!AG48</f>
        <v>0</v>
      </c>
      <c r="K48" s="4">
        <f>'Monthly Data'!AH48</f>
        <v>0</v>
      </c>
      <c r="L48" s="4">
        <f>'Monthly Data'!AI48</f>
        <v>0</v>
      </c>
      <c r="N48" s="23">
        <f>'LU OLS Model'!$B$5</f>
        <v>-36743884.5954879</v>
      </c>
      <c r="O48" s="23">
        <f>'LU OLS Model'!$B$6*D48</f>
        <v>-972870.88257127197</v>
      </c>
      <c r="P48" s="23">
        <f>'LU OLS Model'!$B$7*E48</f>
        <v>0</v>
      </c>
      <c r="Q48" s="23">
        <f>'LU OLS Model'!$B$8*F48</f>
        <v>10320557.058561331</v>
      </c>
      <c r="R48" s="23">
        <f>'LU OLS Model'!$B$9*G48</f>
        <v>41999077.420564741</v>
      </c>
      <c r="S48" s="23">
        <f>'LU OLS Model'!$B$10*H48</f>
        <v>-1798765.7689971952</v>
      </c>
      <c r="T48" s="23">
        <f>'LU OLS Model'!$B$11*I48</f>
        <v>-1051550.2365486601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si="1"/>
        <v>11752562.995521044</v>
      </c>
      <c r="Y48" s="13">
        <f t="shared" si="2"/>
        <v>2.877732985844093E-2</v>
      </c>
    </row>
    <row r="49" spans="1:25" x14ac:dyDescent="0.25">
      <c r="A49" s="11">
        <f>'Monthly Data'!A49</f>
        <v>41244</v>
      </c>
      <c r="B49" s="6">
        <f t="shared" si="0"/>
        <v>2012</v>
      </c>
      <c r="C49" s="4">
        <f>'Monthly Data'!I49</f>
        <v>11854109.139</v>
      </c>
      <c r="D49" s="30">
        <f>'Monthly Data'!M49</f>
        <v>648.19999999999993</v>
      </c>
      <c r="E49" s="30">
        <f>'Monthly Data'!N49</f>
        <v>0</v>
      </c>
      <c r="F49" s="30">
        <f>'Monthly Data'!P49</f>
        <v>31</v>
      </c>
      <c r="G49" s="30">
        <f>'Monthly Data'!Q49</f>
        <v>6740.2</v>
      </c>
      <c r="H49" s="30">
        <f>'Monthly Data'!S49</f>
        <v>48</v>
      </c>
      <c r="I49" s="30">
        <f>'Monthly Data'!AE49</f>
        <v>0</v>
      </c>
      <c r="J49" s="30">
        <f>'Monthly Data'!AG49</f>
        <v>0</v>
      </c>
      <c r="K49" s="4">
        <f>'Monthly Data'!AH49</f>
        <v>1</v>
      </c>
      <c r="L49" s="4">
        <f>'Monthly Data'!AI49</f>
        <v>0</v>
      </c>
      <c r="N49" s="23">
        <f>'LU OLS Model'!$B$5</f>
        <v>-36743884.5954879</v>
      </c>
      <c r="O49" s="23">
        <f>'LU OLS Model'!$B$6*D49</f>
        <v>-1264010.6355636369</v>
      </c>
      <c r="P49" s="23">
        <f>'LU OLS Model'!$B$7*E49</f>
        <v>0</v>
      </c>
      <c r="Q49" s="23">
        <f>'LU OLS Model'!$B$8*F49</f>
        <v>10664575.627180042</v>
      </c>
      <c r="R49" s="23">
        <f>'LU OLS Model'!$B$9*G49</f>
        <v>42078987.666868404</v>
      </c>
      <c r="S49" s="23">
        <f>'LU OLS Model'!$B$10*H49</f>
        <v>-1837037.3811035184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-986240.09211876604</v>
      </c>
      <c r="W49" s="23">
        <f>'LU OLS Model'!$B$14*L49</f>
        <v>0</v>
      </c>
      <c r="X49" s="23">
        <f t="shared" si="1"/>
        <v>11912390.589774624</v>
      </c>
      <c r="Y49" s="13">
        <f t="shared" si="2"/>
        <v>4.9165610077671045E-3</v>
      </c>
    </row>
    <row r="50" spans="1:25" x14ac:dyDescent="0.25">
      <c r="A50" s="11">
        <f>'Monthly Data'!A50</f>
        <v>41275</v>
      </c>
      <c r="B50" s="6">
        <f t="shared" si="0"/>
        <v>2013</v>
      </c>
      <c r="C50" s="4">
        <f>'Monthly Data'!I50</f>
        <v>12788339.523400001</v>
      </c>
      <c r="D50" s="30">
        <f>'Monthly Data'!M50</f>
        <v>743.9</v>
      </c>
      <c r="E50" s="30">
        <f>'Monthly Data'!N50</f>
        <v>0</v>
      </c>
      <c r="F50" s="30">
        <f>'Monthly Data'!P50</f>
        <v>31</v>
      </c>
      <c r="G50" s="30">
        <f>'Monthly Data'!Q50</f>
        <v>6721.7</v>
      </c>
      <c r="H50" s="30">
        <f>'Monthly Data'!S50</f>
        <v>49</v>
      </c>
      <c r="I50" s="30">
        <f>'Monthly Data'!AE50</f>
        <v>0</v>
      </c>
      <c r="J50" s="30">
        <f>'Monthly Data'!AG50</f>
        <v>0</v>
      </c>
      <c r="K50" s="4">
        <f>'Monthly Data'!AH50</f>
        <v>0</v>
      </c>
      <c r="L50" s="4">
        <f>'Monthly Data'!AI50</f>
        <v>0</v>
      </c>
      <c r="N50" s="23">
        <f>'LU OLS Model'!$B$5</f>
        <v>-36743884.5954879</v>
      </c>
      <c r="O50" s="23">
        <f>'LU OLS Model'!$B$6*D50</f>
        <v>-1450628.6821903572</v>
      </c>
      <c r="P50" s="23">
        <f>'LU OLS Model'!$B$7*E50</f>
        <v>0</v>
      </c>
      <c r="Q50" s="23">
        <f>'LU OLS Model'!$B$8*F50</f>
        <v>10664575.627180042</v>
      </c>
      <c r="R50" s="23">
        <f>'LU OLS Model'!$B$9*G50</f>
        <v>41963492.38900765</v>
      </c>
      <c r="S50" s="23">
        <f>'LU OLS Model'!$B$10*H50</f>
        <v>-1875308.9932098417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si="1"/>
        <v>12558245.745299589</v>
      </c>
      <c r="Y50" s="13">
        <f t="shared" si="2"/>
        <v>1.7992467097029178E-2</v>
      </c>
    </row>
    <row r="51" spans="1:25" x14ac:dyDescent="0.25">
      <c r="A51" s="11">
        <f>'Monthly Data'!A51</f>
        <v>41306</v>
      </c>
      <c r="B51" s="6">
        <f t="shared" si="0"/>
        <v>2013</v>
      </c>
      <c r="C51" s="4">
        <f>'Monthly Data'!I51</f>
        <v>11751175.538600001</v>
      </c>
      <c r="D51" s="30">
        <f>'Monthly Data'!M51</f>
        <v>693.5</v>
      </c>
      <c r="E51" s="30">
        <f>'Monthly Data'!N51</f>
        <v>0</v>
      </c>
      <c r="F51" s="30">
        <f>'Monthly Data'!P51</f>
        <v>28</v>
      </c>
      <c r="G51" s="30">
        <f>'Monthly Data'!Q51</f>
        <v>6702</v>
      </c>
      <c r="H51" s="30">
        <f>'Monthly Data'!S51</f>
        <v>50</v>
      </c>
      <c r="I51" s="30">
        <f>'Monthly Data'!AE51</f>
        <v>0</v>
      </c>
      <c r="J51" s="30">
        <f>'Monthly Data'!AG51</f>
        <v>0</v>
      </c>
      <c r="K51" s="4">
        <f>'Monthly Data'!AH51</f>
        <v>0</v>
      </c>
      <c r="L51" s="4">
        <f>'Monthly Data'!AI51</f>
        <v>0</v>
      </c>
      <c r="N51" s="23">
        <f>'LU OLS Model'!$B$5</f>
        <v>-36743884.5954879</v>
      </c>
      <c r="O51" s="23">
        <f>'LU OLS Model'!$B$6*D51</f>
        <v>-1352347.0776972882</v>
      </c>
      <c r="P51" s="23">
        <f>'LU OLS Model'!$B$7*E51</f>
        <v>0</v>
      </c>
      <c r="Q51" s="23">
        <f>'LU OLS Model'!$B$8*F51</f>
        <v>9632519.9213239085</v>
      </c>
      <c r="R51" s="23">
        <f>'LU OLS Model'!$B$9*G51</f>
        <v>41840505.525555924</v>
      </c>
      <c r="S51" s="23">
        <f>'LU OLS Model'!$B$10*H51</f>
        <v>-1913580.6053161649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si="1"/>
        <v>11463213.168378484</v>
      </c>
      <c r="Y51" s="13">
        <f t="shared" si="2"/>
        <v>2.4504984141852496E-2</v>
      </c>
    </row>
    <row r="52" spans="1:25" x14ac:dyDescent="0.25">
      <c r="A52" s="11">
        <f>'Monthly Data'!A52</f>
        <v>41334</v>
      </c>
      <c r="B52" s="6">
        <f t="shared" si="0"/>
        <v>2013</v>
      </c>
      <c r="C52" s="4">
        <f>'Monthly Data'!I52</f>
        <v>12610126.845000001</v>
      </c>
      <c r="D52" s="30">
        <f>'Monthly Data'!M52</f>
        <v>588.30000000000018</v>
      </c>
      <c r="E52" s="30">
        <f>'Monthly Data'!N52</f>
        <v>0</v>
      </c>
      <c r="F52" s="30">
        <f>'Monthly Data'!P52</f>
        <v>31</v>
      </c>
      <c r="G52" s="30">
        <f>'Monthly Data'!Q52</f>
        <v>6675.8</v>
      </c>
      <c r="H52" s="30">
        <f>'Monthly Data'!S52</f>
        <v>51</v>
      </c>
      <c r="I52" s="30">
        <f>'Monthly Data'!AE52</f>
        <v>0</v>
      </c>
      <c r="J52" s="30">
        <f>'Monthly Data'!AG52</f>
        <v>0</v>
      </c>
      <c r="K52" s="4">
        <f>'Monthly Data'!AH52</f>
        <v>0</v>
      </c>
      <c r="L52" s="4">
        <f>'Monthly Data'!AI52</f>
        <v>0</v>
      </c>
      <c r="N52" s="23">
        <f>'LU OLS Model'!$B$5</f>
        <v>-36743884.5954879</v>
      </c>
      <c r="O52" s="23">
        <f>'LU OLS Model'!$B$6*D52</f>
        <v>-1147203.7286363591</v>
      </c>
      <c r="P52" s="23">
        <f>'LU OLS Model'!$B$7*E52</f>
        <v>0</v>
      </c>
      <c r="Q52" s="23">
        <f>'LU OLS Model'!$B$8*F52</f>
        <v>10664575.627180042</v>
      </c>
      <c r="R52" s="23">
        <f>'LU OLS Model'!$B$9*G52</f>
        <v>41676939.240153126</v>
      </c>
      <c r="S52" s="23">
        <f>'LU OLS Model'!$B$10*H52</f>
        <v>-1951852.2174224884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si="1"/>
        <v>12498574.325786415</v>
      </c>
      <c r="Y52" s="13">
        <f t="shared" si="2"/>
        <v>8.8462646399006285E-3</v>
      </c>
    </row>
    <row r="53" spans="1:25" x14ac:dyDescent="0.25">
      <c r="A53" s="11">
        <f>'Monthly Data'!A53</f>
        <v>41365</v>
      </c>
      <c r="B53" s="6">
        <f t="shared" si="0"/>
        <v>2013</v>
      </c>
      <c r="C53" s="4">
        <f>'Monthly Data'!I53</f>
        <v>11972197.742000001</v>
      </c>
      <c r="D53" s="30">
        <f>'Monthly Data'!M53</f>
        <v>386.99999999999989</v>
      </c>
      <c r="E53" s="30">
        <f>'Monthly Data'!N53</f>
        <v>0</v>
      </c>
      <c r="F53" s="30">
        <f>'Monthly Data'!P53</f>
        <v>30</v>
      </c>
      <c r="G53" s="30">
        <f>'Monthly Data'!Q53</f>
        <v>6703.7</v>
      </c>
      <c r="H53" s="30">
        <f>'Monthly Data'!S53</f>
        <v>52</v>
      </c>
      <c r="I53" s="30">
        <f>'Monthly Data'!AE53</f>
        <v>0</v>
      </c>
      <c r="J53" s="30">
        <f>'Monthly Data'!AG53</f>
        <v>1</v>
      </c>
      <c r="K53" s="4">
        <f>'Monthly Data'!AH53</f>
        <v>0</v>
      </c>
      <c r="L53" s="4">
        <f>'Monthly Data'!AI53</f>
        <v>0</v>
      </c>
      <c r="N53" s="23">
        <f>'LU OLS Model'!$B$5</f>
        <v>-36743884.5954879</v>
      </c>
      <c r="O53" s="23">
        <f>'LU OLS Model'!$B$6*D53</f>
        <v>-754662.32021463651</v>
      </c>
      <c r="P53" s="23">
        <f>'LU OLS Model'!$B$7*E53</f>
        <v>0</v>
      </c>
      <c r="Q53" s="23">
        <f>'LU OLS Model'!$B$8*F53</f>
        <v>10320557.058561331</v>
      </c>
      <c r="R53" s="23">
        <f>'LU OLS Model'!$B$9*G53</f>
        <v>41851118.60514313</v>
      </c>
      <c r="S53" s="23">
        <f>'LU OLS Model'!$B$10*H53</f>
        <v>-1990123.8295288116</v>
      </c>
      <c r="T53" s="23">
        <f>'LU OLS Model'!$B$11*I53</f>
        <v>0</v>
      </c>
      <c r="U53" s="23">
        <f>'LU OLS Model'!$B$12*J53</f>
        <v>-1041288.65545601</v>
      </c>
      <c r="V53" s="23">
        <f>'LU OLS Model'!$B$13*K53</f>
        <v>0</v>
      </c>
      <c r="W53" s="23">
        <f>'LU OLS Model'!$B$14*L53</f>
        <v>0</v>
      </c>
      <c r="X53" s="23">
        <f t="shared" si="1"/>
        <v>11641716.263017103</v>
      </c>
      <c r="Y53" s="13">
        <f t="shared" si="2"/>
        <v>2.7604077889853605E-2</v>
      </c>
    </row>
    <row r="54" spans="1:25" x14ac:dyDescent="0.25">
      <c r="A54" s="11">
        <f>'Monthly Data'!A54</f>
        <v>41395</v>
      </c>
      <c r="B54" s="6">
        <f t="shared" si="0"/>
        <v>2013</v>
      </c>
      <c r="C54" s="4">
        <f>'Monthly Data'!I54</f>
        <v>12329554.254999999</v>
      </c>
      <c r="D54" s="30">
        <f>'Monthly Data'!M54</f>
        <v>139.70000000000002</v>
      </c>
      <c r="E54" s="30">
        <f>'Monthly Data'!N54</f>
        <v>6.3</v>
      </c>
      <c r="F54" s="30">
        <f>'Monthly Data'!P54</f>
        <v>31</v>
      </c>
      <c r="G54" s="30">
        <f>'Monthly Data'!Q54</f>
        <v>6770.3</v>
      </c>
      <c r="H54" s="30">
        <f>'Monthly Data'!S54</f>
        <v>53</v>
      </c>
      <c r="I54" s="30">
        <f>'Monthly Data'!AE54</f>
        <v>0</v>
      </c>
      <c r="J54" s="30">
        <f>'Monthly Data'!AG54</f>
        <v>0</v>
      </c>
      <c r="K54" s="4">
        <f>'Monthly Data'!AH54</f>
        <v>0</v>
      </c>
      <c r="L54" s="4">
        <f>'Monthly Data'!AI54</f>
        <v>1</v>
      </c>
      <c r="N54" s="23">
        <f>'LU OLS Model'!$B$5</f>
        <v>-36743884.5954879</v>
      </c>
      <c r="O54" s="23">
        <f>'LU OLS Model'!$B$6*D54</f>
        <v>-272419.44737463765</v>
      </c>
      <c r="P54" s="23">
        <f>'LU OLS Model'!$B$7*E54</f>
        <v>119694.83274927044</v>
      </c>
      <c r="Q54" s="23">
        <f>'LU OLS Model'!$B$8*F54</f>
        <v>10664575.627180042</v>
      </c>
      <c r="R54" s="23">
        <f>'LU OLS Model'!$B$9*G54</f>
        <v>42266901.605441853</v>
      </c>
      <c r="S54" s="23">
        <f>'LU OLS Model'!$B$10*H54</f>
        <v>-2028395.4416351349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-1707342.3140862701</v>
      </c>
      <c r="X54" s="23">
        <f t="shared" si="1"/>
        <v>12299130.266787224</v>
      </c>
      <c r="Y54" s="13">
        <f t="shared" si="2"/>
        <v>2.4675659463064214E-3</v>
      </c>
    </row>
    <row r="55" spans="1:25" x14ac:dyDescent="0.25">
      <c r="A55" s="11">
        <f>'Monthly Data'!A55</f>
        <v>41426</v>
      </c>
      <c r="B55" s="6">
        <f t="shared" si="0"/>
        <v>2013</v>
      </c>
      <c r="C55" s="4">
        <f>'Monthly Data'!I55</f>
        <v>12519194.473000001</v>
      </c>
      <c r="D55" s="30">
        <f>'Monthly Data'!M55</f>
        <v>72.200000000000017</v>
      </c>
      <c r="E55" s="30">
        <f>'Monthly Data'!N55</f>
        <v>30.800000000000004</v>
      </c>
      <c r="F55" s="30">
        <f>'Monthly Data'!P55</f>
        <v>30</v>
      </c>
      <c r="G55" s="30">
        <f>'Monthly Data'!Q55</f>
        <v>6861.8</v>
      </c>
      <c r="H55" s="30">
        <f>'Monthly Data'!S55</f>
        <v>54</v>
      </c>
      <c r="I55" s="30">
        <f>'Monthly Data'!AE55</f>
        <v>0</v>
      </c>
      <c r="J55" s="30">
        <f>'Monthly Data'!AG55</f>
        <v>0</v>
      </c>
      <c r="K55" s="4">
        <f>'Monthly Data'!AH55</f>
        <v>0</v>
      </c>
      <c r="L55" s="4">
        <f>'Monthly Data'!AI55</f>
        <v>1</v>
      </c>
      <c r="N55" s="23">
        <f>'LU OLS Model'!$B$5</f>
        <v>-36743884.5954879</v>
      </c>
      <c r="O55" s="23">
        <f>'LU OLS Model'!$B$6*D55</f>
        <v>-140792.29849999168</v>
      </c>
      <c r="P55" s="23">
        <f>'LU OLS Model'!$B$7*E55</f>
        <v>585174.73788532219</v>
      </c>
      <c r="Q55" s="23">
        <f>'LU OLS Model'!$B$8*F55</f>
        <v>10320557.058561331</v>
      </c>
      <c r="R55" s="23">
        <f>'LU OLS Model'!$B$9*G55</f>
        <v>42838135.006753154</v>
      </c>
      <c r="S55" s="23">
        <f>'LU OLS Model'!$B$10*H55</f>
        <v>-2066667.0537414583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-1707342.3140862701</v>
      </c>
      <c r="X55" s="23">
        <f t="shared" si="1"/>
        <v>13085180.541384183</v>
      </c>
      <c r="Y55" s="13">
        <f t="shared" si="2"/>
        <v>4.5209463724270531E-2</v>
      </c>
    </row>
    <row r="56" spans="1:25" x14ac:dyDescent="0.25">
      <c r="A56" s="11">
        <f>'Monthly Data'!A56</f>
        <v>41456</v>
      </c>
      <c r="B56" s="6">
        <f t="shared" si="0"/>
        <v>2013</v>
      </c>
      <c r="C56" s="4">
        <f>'Monthly Data'!I56</f>
        <v>15242330.061000001</v>
      </c>
      <c r="D56" s="30">
        <f>'Monthly Data'!M56</f>
        <v>4.8</v>
      </c>
      <c r="E56" s="30">
        <f>'Monthly Data'!N56</f>
        <v>97.09999999999998</v>
      </c>
      <c r="F56" s="30">
        <f>'Monthly Data'!P56</f>
        <v>31</v>
      </c>
      <c r="G56" s="30">
        <f>'Monthly Data'!Q56</f>
        <v>6917.1</v>
      </c>
      <c r="H56" s="30">
        <f>'Monthly Data'!S56</f>
        <v>55</v>
      </c>
      <c r="I56" s="30">
        <f>'Monthly Data'!AE56</f>
        <v>0</v>
      </c>
      <c r="J56" s="30">
        <f>'Monthly Data'!AG56</f>
        <v>0</v>
      </c>
      <c r="K56" s="4">
        <f>'Monthly Data'!AH56</f>
        <v>0</v>
      </c>
      <c r="L56" s="4">
        <f>'Monthly Data'!AI56</f>
        <v>1</v>
      </c>
      <c r="N56" s="23">
        <f>'LU OLS Model'!$B$5</f>
        <v>-36743884.5954879</v>
      </c>
      <c r="O56" s="23">
        <f>'LU OLS Model'!$B$6*D56</f>
        <v>-9360.1528088637115</v>
      </c>
      <c r="P56" s="23">
        <f>'LU OLS Model'!$B$7*E56</f>
        <v>1844820.3587228821</v>
      </c>
      <c r="Q56" s="23">
        <f>'LU OLS Model'!$B$8*F56</f>
        <v>10664575.627180042</v>
      </c>
      <c r="R56" s="23">
        <f>'LU OLS Model'!$B$9*G56</f>
        <v>43183372.242736928</v>
      </c>
      <c r="S56" s="23">
        <f>'LU OLS Model'!$B$10*H56</f>
        <v>-2104938.6658477816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-1707342.3140862701</v>
      </c>
      <c r="X56" s="23">
        <f t="shared" si="1"/>
        <v>15127242.500409029</v>
      </c>
      <c r="Y56" s="13">
        <f t="shared" si="2"/>
        <v>7.5505227960810037E-3</v>
      </c>
    </row>
    <row r="57" spans="1:25" x14ac:dyDescent="0.25">
      <c r="A57" s="11">
        <f>'Monthly Data'!A57</f>
        <v>41487</v>
      </c>
      <c r="B57" s="6">
        <f t="shared" si="0"/>
        <v>2013</v>
      </c>
      <c r="C57" s="4">
        <f>'Monthly Data'!I57</f>
        <v>14587365.41</v>
      </c>
      <c r="D57" s="30">
        <f>'Monthly Data'!M57</f>
        <v>7.7</v>
      </c>
      <c r="E57" s="30">
        <f>'Monthly Data'!N57</f>
        <v>59.999999999999993</v>
      </c>
      <c r="F57" s="30">
        <f>'Monthly Data'!P57</f>
        <v>31</v>
      </c>
      <c r="G57" s="30">
        <f>'Monthly Data'!Q57</f>
        <v>6934.7</v>
      </c>
      <c r="H57" s="30">
        <f>'Monthly Data'!S57</f>
        <v>56</v>
      </c>
      <c r="I57" s="30">
        <f>'Monthly Data'!AE57</f>
        <v>0</v>
      </c>
      <c r="J57" s="30">
        <f>'Monthly Data'!AG57</f>
        <v>0</v>
      </c>
      <c r="K57" s="4">
        <f>'Monthly Data'!AH57</f>
        <v>0</v>
      </c>
      <c r="L57" s="4">
        <f>'Monthly Data'!AI57</f>
        <v>1</v>
      </c>
      <c r="N57" s="23">
        <f>'LU OLS Model'!$B$5</f>
        <v>-36743884.5954879</v>
      </c>
      <c r="O57" s="23">
        <f>'LU OLS Model'!$B$6*D57</f>
        <v>-15015.245130885538</v>
      </c>
      <c r="P57" s="23">
        <f>'LU OLS Model'!$B$7*E57</f>
        <v>1139950.7880882898</v>
      </c>
      <c r="Q57" s="23">
        <f>'LU OLS Model'!$B$8*F57</f>
        <v>10664575.627180042</v>
      </c>
      <c r="R57" s="23">
        <f>'LU OLS Model'!$B$9*G57</f>
        <v>43293248.831404455</v>
      </c>
      <c r="S57" s="23">
        <f>'LU OLS Model'!$B$10*H57</f>
        <v>-2143210.2779541048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-1707342.3140862701</v>
      </c>
      <c r="X57" s="23">
        <f t="shared" si="1"/>
        <v>14488322.814013623</v>
      </c>
      <c r="Y57" s="13">
        <f t="shared" si="2"/>
        <v>6.7896150677408335E-3</v>
      </c>
    </row>
    <row r="58" spans="1:25" x14ac:dyDescent="0.25">
      <c r="A58" s="11">
        <f>'Monthly Data'!A58</f>
        <v>41518</v>
      </c>
      <c r="B58" s="6">
        <f t="shared" si="0"/>
        <v>2013</v>
      </c>
      <c r="C58" s="4">
        <f>'Monthly Data'!I58</f>
        <v>13272017.319</v>
      </c>
      <c r="D58" s="30">
        <f>'Monthly Data'!M58</f>
        <v>118.4</v>
      </c>
      <c r="E58" s="30">
        <f>'Monthly Data'!N58</f>
        <v>16.5</v>
      </c>
      <c r="F58" s="30">
        <f>'Monthly Data'!P58</f>
        <v>30</v>
      </c>
      <c r="G58" s="30">
        <f>'Monthly Data'!Q58</f>
        <v>6906.9</v>
      </c>
      <c r="H58" s="30">
        <f>'Monthly Data'!S58</f>
        <v>57</v>
      </c>
      <c r="I58" s="30">
        <f>'Monthly Data'!AE58</f>
        <v>1</v>
      </c>
      <c r="J58" s="30">
        <f>'Monthly Data'!AG58</f>
        <v>0</v>
      </c>
      <c r="K58" s="4">
        <f>'Monthly Data'!AH58</f>
        <v>0</v>
      </c>
      <c r="L58" s="4">
        <f>'Monthly Data'!AI58</f>
        <v>0</v>
      </c>
      <c r="N58" s="23">
        <f>'LU OLS Model'!$B$5</f>
        <v>-36743884.5954879</v>
      </c>
      <c r="O58" s="23">
        <f>'LU OLS Model'!$B$6*D58</f>
        <v>-230883.76928530491</v>
      </c>
      <c r="P58" s="23">
        <f>'LU OLS Model'!$B$7*E58</f>
        <v>313486.46672427974</v>
      </c>
      <c r="Q58" s="23">
        <f>'LU OLS Model'!$B$8*F58</f>
        <v>10320557.058561331</v>
      </c>
      <c r="R58" s="23">
        <f>'LU OLS Model'!$B$9*G58</f>
        <v>43119693.765213698</v>
      </c>
      <c r="S58" s="23">
        <f>'LU OLS Model'!$B$10*H58</f>
        <v>-2181481.8900604281</v>
      </c>
      <c r="T58" s="23">
        <f>'LU OLS Model'!$B$11*I58</f>
        <v>-1051550.2365486601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si="1"/>
        <v>13545936.799117012</v>
      </c>
      <c r="Y58" s="13">
        <f t="shared" si="2"/>
        <v>2.0638873016302746E-2</v>
      </c>
    </row>
    <row r="59" spans="1:25" x14ac:dyDescent="0.25">
      <c r="A59" s="11">
        <f>'Monthly Data'!A59</f>
        <v>41548</v>
      </c>
      <c r="B59" s="6">
        <f t="shared" si="0"/>
        <v>2013</v>
      </c>
      <c r="C59" s="4">
        <f>'Monthly Data'!I59</f>
        <v>12991616.025000002</v>
      </c>
      <c r="D59" s="30">
        <f>'Monthly Data'!M59</f>
        <v>235.69999999999996</v>
      </c>
      <c r="E59" s="30">
        <f>'Monthly Data'!N59</f>
        <v>1.5</v>
      </c>
      <c r="F59" s="30">
        <f>'Monthly Data'!P59</f>
        <v>31</v>
      </c>
      <c r="G59" s="30">
        <f>'Monthly Data'!Q59</f>
        <v>6889</v>
      </c>
      <c r="H59" s="30">
        <f>'Monthly Data'!S59</f>
        <v>58</v>
      </c>
      <c r="I59" s="30">
        <f>'Monthly Data'!AE59</f>
        <v>1</v>
      </c>
      <c r="J59" s="30">
        <f>'Monthly Data'!AG59</f>
        <v>0</v>
      </c>
      <c r="K59" s="4">
        <f>'Monthly Data'!AH59</f>
        <v>0</v>
      </c>
      <c r="L59" s="4">
        <f>'Monthly Data'!AI59</f>
        <v>0</v>
      </c>
      <c r="N59" s="23">
        <f>'LU OLS Model'!$B$5</f>
        <v>-36743884.5954879</v>
      </c>
      <c r="O59" s="23">
        <f>'LU OLS Model'!$B$6*D59</f>
        <v>-459622.50355191174</v>
      </c>
      <c r="P59" s="23">
        <f>'LU OLS Model'!$B$7*E59</f>
        <v>28498.769702207246</v>
      </c>
      <c r="Q59" s="23">
        <f>'LU OLS Model'!$B$8*F59</f>
        <v>10664575.627180042</v>
      </c>
      <c r="R59" s="23">
        <f>'LU OLS Model'!$B$9*G59</f>
        <v>43007944.280148432</v>
      </c>
      <c r="S59" s="23">
        <f>'LU OLS Model'!$B$10*H59</f>
        <v>-2219753.5021667513</v>
      </c>
      <c r="T59" s="23">
        <f>'LU OLS Model'!$B$11*I59</f>
        <v>-1051550.2365486601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si="1"/>
        <v>13226207.839275448</v>
      </c>
      <c r="Y59" s="13">
        <f t="shared" si="2"/>
        <v>1.8057169625704465E-2</v>
      </c>
    </row>
    <row r="60" spans="1:25" x14ac:dyDescent="0.25">
      <c r="A60" s="11">
        <f>'Monthly Data'!A60</f>
        <v>41579</v>
      </c>
      <c r="B60" s="6">
        <f t="shared" si="0"/>
        <v>2013</v>
      </c>
      <c r="C60" s="4">
        <f>'Monthly Data'!I60</f>
        <v>12006063.484999999</v>
      </c>
      <c r="D60" s="30">
        <f>'Monthly Data'!M60</f>
        <v>501.50000000000006</v>
      </c>
      <c r="E60" s="30">
        <f>'Monthly Data'!N60</f>
        <v>0</v>
      </c>
      <c r="F60" s="30">
        <f>'Monthly Data'!P60</f>
        <v>30</v>
      </c>
      <c r="G60" s="30">
        <f>'Monthly Data'!Q60</f>
        <v>6863.8</v>
      </c>
      <c r="H60" s="30">
        <f>'Monthly Data'!S60</f>
        <v>59</v>
      </c>
      <c r="I60" s="30">
        <f>'Monthly Data'!AE60</f>
        <v>1</v>
      </c>
      <c r="J60" s="30">
        <f>'Monthly Data'!AG60</f>
        <v>0</v>
      </c>
      <c r="K60" s="4">
        <f>'Monthly Data'!AH60</f>
        <v>0</v>
      </c>
      <c r="L60" s="4">
        <f>'Monthly Data'!AI60</f>
        <v>0</v>
      </c>
      <c r="N60" s="23">
        <f>'LU OLS Model'!$B$5</f>
        <v>-36743884.5954879</v>
      </c>
      <c r="O60" s="23">
        <f>'LU OLS Model'!$B$6*D60</f>
        <v>-977940.96534273995</v>
      </c>
      <c r="P60" s="23">
        <f>'LU OLS Model'!$B$7*E60</f>
        <v>0</v>
      </c>
      <c r="Q60" s="23">
        <f>'LU OLS Model'!$B$8*F60</f>
        <v>10320557.058561331</v>
      </c>
      <c r="R60" s="23">
        <f>'LU OLS Model'!$B$9*G60</f>
        <v>42850620.9827381</v>
      </c>
      <c r="S60" s="23">
        <f>'LU OLS Model'!$B$10*H60</f>
        <v>-2258025.1142730745</v>
      </c>
      <c r="T60" s="23">
        <f>'LU OLS Model'!$B$11*I60</f>
        <v>-1051550.2365486601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si="1"/>
        <v>12139777.129647059</v>
      </c>
      <c r="Y60" s="13">
        <f t="shared" si="2"/>
        <v>1.1137176212179589E-2</v>
      </c>
    </row>
    <row r="61" spans="1:25" x14ac:dyDescent="0.25">
      <c r="A61" s="11">
        <f>'Monthly Data'!A61</f>
        <v>41609</v>
      </c>
      <c r="B61" s="6">
        <f t="shared" si="0"/>
        <v>2013</v>
      </c>
      <c r="C61" s="4">
        <f>'Monthly Data'!I61</f>
        <v>11873765.093</v>
      </c>
      <c r="D61" s="30">
        <f>'Monthly Data'!M61</f>
        <v>756.99999999999977</v>
      </c>
      <c r="E61" s="30">
        <f>'Monthly Data'!N61</f>
        <v>0</v>
      </c>
      <c r="F61" s="30">
        <f>'Monthly Data'!P61</f>
        <v>31</v>
      </c>
      <c r="G61" s="30">
        <f>'Monthly Data'!Q61</f>
        <v>6849.3</v>
      </c>
      <c r="H61" s="30">
        <f>'Monthly Data'!S61</f>
        <v>60</v>
      </c>
      <c r="I61" s="30">
        <f>'Monthly Data'!AE61</f>
        <v>0</v>
      </c>
      <c r="J61" s="30">
        <f>'Monthly Data'!AG61</f>
        <v>0</v>
      </c>
      <c r="K61" s="4">
        <f>'Monthly Data'!AH61</f>
        <v>1</v>
      </c>
      <c r="L61" s="4">
        <f>'Monthly Data'!AI61</f>
        <v>0</v>
      </c>
      <c r="N61" s="23">
        <f>'LU OLS Model'!$B$5</f>
        <v>-36743884.5954879</v>
      </c>
      <c r="O61" s="23">
        <f>'LU OLS Model'!$B$6*D61</f>
        <v>-1476174.099231214</v>
      </c>
      <c r="P61" s="23">
        <f>'LU OLS Model'!$B$7*E61</f>
        <v>0</v>
      </c>
      <c r="Q61" s="23">
        <f>'LU OLS Model'!$B$8*F61</f>
        <v>10664575.627180042</v>
      </c>
      <c r="R61" s="23">
        <f>'LU OLS Model'!$B$9*G61</f>
        <v>42760097.656847239</v>
      </c>
      <c r="S61" s="23">
        <f>'LU OLS Model'!$B$10*H61</f>
        <v>-2296296.7263793983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-986240.09211876604</v>
      </c>
      <c r="W61" s="23">
        <f>'LU OLS Model'!$B$14*L61</f>
        <v>0</v>
      </c>
      <c r="X61" s="23">
        <f t="shared" si="1"/>
        <v>11922077.770810001</v>
      </c>
      <c r="Y61" s="13">
        <f t="shared" si="2"/>
        <v>4.0688591555918746E-3</v>
      </c>
    </row>
    <row r="62" spans="1:25" s="30" customFormat="1" x14ac:dyDescent="0.25">
      <c r="A62" s="11">
        <f>'Monthly Data'!A62</f>
        <v>41640</v>
      </c>
      <c r="B62" s="6">
        <f t="shared" ref="B62:B73" si="3">YEAR(A62)</f>
        <v>2014</v>
      </c>
      <c r="C62" s="4">
        <f>'Monthly Data'!I62</f>
        <v>12772928.206999999</v>
      </c>
      <c r="D62" s="30">
        <f>'Monthly Data'!M62</f>
        <v>844.5</v>
      </c>
      <c r="E62" s="30">
        <f>'Monthly Data'!N62</f>
        <v>0</v>
      </c>
      <c r="F62" s="30">
        <f>'Monthly Data'!P62</f>
        <v>31</v>
      </c>
      <c r="G62" s="30">
        <f>'Monthly Data'!Q62</f>
        <v>6806.1</v>
      </c>
      <c r="H62" s="30">
        <f>'Monthly Data'!S62</f>
        <v>61</v>
      </c>
      <c r="I62" s="30">
        <f>'Monthly Data'!AE62</f>
        <v>0</v>
      </c>
      <c r="J62" s="30">
        <f>'Monthly Data'!AG62</f>
        <v>0</v>
      </c>
      <c r="K62" s="4">
        <f>'Monthly Data'!AH62</f>
        <v>0</v>
      </c>
      <c r="L62" s="4">
        <f>'Monthly Data'!AI62</f>
        <v>0</v>
      </c>
      <c r="N62" s="23">
        <f>'LU OLS Model'!$B$5</f>
        <v>-36743884.5954879</v>
      </c>
      <c r="O62" s="23">
        <f>'LU OLS Model'!$B$6*D62</f>
        <v>-1646801.8848094593</v>
      </c>
      <c r="P62" s="23">
        <f>'LU OLS Model'!$B$7*E62</f>
        <v>0</v>
      </c>
      <c r="Q62" s="23">
        <f>'LU OLS Model'!$B$8*F62</f>
        <v>10664575.627180042</v>
      </c>
      <c r="R62" s="23">
        <f>'LU OLS Model'!$B$9*G62</f>
        <v>42490400.575572394</v>
      </c>
      <c r="S62" s="23">
        <f>'LU OLS Model'!$B$10*H62</f>
        <v>-2334568.3384857215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ref="X62:X73" si="4">SUM(N62:W62)</f>
        <v>12429721.383969355</v>
      </c>
      <c r="Y62" s="13">
        <f t="shared" ref="Y62:Y73" si="5">ABS(X62-C62)/C62</f>
        <v>2.6869862373653221E-2</v>
      </c>
    </row>
    <row r="63" spans="1:25" s="30" customFormat="1" x14ac:dyDescent="0.25">
      <c r="A63" s="11">
        <f>'Monthly Data'!A63</f>
        <v>41671</v>
      </c>
      <c r="B63" s="6">
        <f t="shared" si="3"/>
        <v>2014</v>
      </c>
      <c r="C63" s="4">
        <f>'Monthly Data'!I63</f>
        <v>11586289.765999999</v>
      </c>
      <c r="D63" s="30">
        <f>'Monthly Data'!M63</f>
        <v>740.90000000000009</v>
      </c>
      <c r="E63" s="30">
        <f>'Monthly Data'!N63</f>
        <v>0</v>
      </c>
      <c r="F63" s="30">
        <f>'Monthly Data'!P63</f>
        <v>28</v>
      </c>
      <c r="G63" s="30">
        <f>'Monthly Data'!Q63</f>
        <v>6772.3</v>
      </c>
      <c r="H63" s="30">
        <f>'Monthly Data'!S63</f>
        <v>62</v>
      </c>
      <c r="I63" s="30">
        <f>'Monthly Data'!AE63</f>
        <v>0</v>
      </c>
      <c r="J63" s="30">
        <f>'Monthly Data'!AG63</f>
        <v>0</v>
      </c>
      <c r="K63" s="4">
        <f>'Monthly Data'!AH63</f>
        <v>0</v>
      </c>
      <c r="L63" s="4">
        <f>'Monthly Data'!AI63</f>
        <v>0</v>
      </c>
      <c r="N63" s="23">
        <f>'LU OLS Model'!$B$5</f>
        <v>-36743884.5954879</v>
      </c>
      <c r="O63" s="23">
        <f>'LU OLS Model'!$B$6*D63</f>
        <v>-1444778.5866848177</v>
      </c>
      <c r="P63" s="23">
        <f>'LU OLS Model'!$B$7*E63</f>
        <v>0</v>
      </c>
      <c r="Q63" s="23">
        <f>'LU OLS Model'!$B$8*F63</f>
        <v>9632519.9213239085</v>
      </c>
      <c r="R63" s="23">
        <f>'LU OLS Model'!$B$9*G63</f>
        <v>42279387.581426799</v>
      </c>
      <c r="S63" s="23">
        <f>'LU OLS Model'!$B$10*H63</f>
        <v>-2372839.9505920447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si="4"/>
        <v>11350404.369985949</v>
      </c>
      <c r="Y63" s="13">
        <f t="shared" si="5"/>
        <v>2.0359010587345745E-2</v>
      </c>
    </row>
    <row r="64" spans="1:25" s="30" customFormat="1" x14ac:dyDescent="0.25">
      <c r="A64" s="11">
        <f>'Monthly Data'!A64</f>
        <v>41699</v>
      </c>
      <c r="B64" s="6">
        <f t="shared" si="3"/>
        <v>2014</v>
      </c>
      <c r="C64" s="4">
        <f>'Monthly Data'!I64</f>
        <v>12718168.484999999</v>
      </c>
      <c r="D64" s="30">
        <f>'Monthly Data'!M64</f>
        <v>720.19999999999993</v>
      </c>
      <c r="E64" s="30">
        <f>'Monthly Data'!N64</f>
        <v>0</v>
      </c>
      <c r="F64" s="30">
        <f>'Monthly Data'!P64</f>
        <v>31</v>
      </c>
      <c r="G64" s="30">
        <f>'Monthly Data'!Q64</f>
        <v>6751.3</v>
      </c>
      <c r="H64" s="30">
        <f>'Monthly Data'!S64</f>
        <v>63</v>
      </c>
      <c r="I64" s="30">
        <f>'Monthly Data'!AE64</f>
        <v>0</v>
      </c>
      <c r="J64" s="30">
        <f>'Monthly Data'!AG64</f>
        <v>0</v>
      </c>
      <c r="K64" s="4">
        <f>'Monthly Data'!AH64</f>
        <v>0</v>
      </c>
      <c r="L64" s="4">
        <f>'Monthly Data'!AI64</f>
        <v>0</v>
      </c>
      <c r="N64" s="23">
        <f>'LU OLS Model'!$B$5</f>
        <v>-36743884.5954879</v>
      </c>
      <c r="O64" s="23">
        <f>'LU OLS Model'!$B$6*D64</f>
        <v>-1404412.9276965926</v>
      </c>
      <c r="P64" s="23">
        <f>'LU OLS Model'!$B$7*E64</f>
        <v>0</v>
      </c>
      <c r="Q64" s="23">
        <f>'LU OLS Model'!$B$8*F64</f>
        <v>10664575.627180042</v>
      </c>
      <c r="R64" s="23">
        <f>'LU OLS Model'!$B$9*G64</f>
        <v>42148284.83358486</v>
      </c>
      <c r="S64" s="23">
        <f>'LU OLS Model'!$B$10*H64</f>
        <v>-2411111.562698368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si="4"/>
        <v>12253451.374882039</v>
      </c>
      <c r="Y64" s="13">
        <f t="shared" si="5"/>
        <v>3.653962523503719E-2</v>
      </c>
    </row>
    <row r="65" spans="1:25" s="30" customFormat="1" x14ac:dyDescent="0.25">
      <c r="A65" s="11">
        <f>'Monthly Data'!A65</f>
        <v>41730</v>
      </c>
      <c r="B65" s="6">
        <f t="shared" si="3"/>
        <v>2014</v>
      </c>
      <c r="C65" s="4">
        <f>'Monthly Data'!I65</f>
        <v>11494836.318</v>
      </c>
      <c r="D65" s="30">
        <f>'Monthly Data'!M65</f>
        <v>352.09999999999991</v>
      </c>
      <c r="E65" s="30">
        <f>'Monthly Data'!N65</f>
        <v>0</v>
      </c>
      <c r="F65" s="30">
        <f>'Monthly Data'!P65</f>
        <v>30</v>
      </c>
      <c r="G65" s="30">
        <f>'Monthly Data'!Q65</f>
        <v>6785</v>
      </c>
      <c r="H65" s="30">
        <f>'Monthly Data'!S65</f>
        <v>64</v>
      </c>
      <c r="I65" s="30">
        <f>'Monthly Data'!AE65</f>
        <v>0</v>
      </c>
      <c r="J65" s="30">
        <f>'Monthly Data'!AG65</f>
        <v>1</v>
      </c>
      <c r="K65" s="4">
        <f>'Monthly Data'!AH65</f>
        <v>0</v>
      </c>
      <c r="L65" s="4">
        <f>'Monthly Data'!AI65</f>
        <v>0</v>
      </c>
      <c r="N65" s="23">
        <f>'LU OLS Model'!$B$5</f>
        <v>-36743884.5954879</v>
      </c>
      <c r="O65" s="23">
        <f>'LU OLS Model'!$B$6*D65</f>
        <v>-686606.20916685672</v>
      </c>
      <c r="P65" s="23">
        <f>'LU OLS Model'!$B$7*E65</f>
        <v>0</v>
      </c>
      <c r="Q65" s="23">
        <f>'LU OLS Model'!$B$8*F65</f>
        <v>10320557.058561331</v>
      </c>
      <c r="R65" s="23">
        <f>'LU OLS Model'!$B$9*G65</f>
        <v>42358673.528931208</v>
      </c>
      <c r="S65" s="23">
        <f>'LU OLS Model'!$B$10*H65</f>
        <v>-2449383.1748046912</v>
      </c>
      <c r="T65" s="23">
        <f>'LU OLS Model'!$B$11*I65</f>
        <v>0</v>
      </c>
      <c r="U65" s="23">
        <f>'LU OLS Model'!$B$12*J65</f>
        <v>-1041288.65545601</v>
      </c>
      <c r="V65" s="23">
        <f>'LU OLS Model'!$B$13*K65</f>
        <v>0</v>
      </c>
      <c r="W65" s="23">
        <f>'LU OLS Model'!$B$14*L65</f>
        <v>0</v>
      </c>
      <c r="X65" s="23">
        <f t="shared" si="4"/>
        <v>11758067.952577084</v>
      </c>
      <c r="Y65" s="13">
        <f t="shared" si="5"/>
        <v>2.2899989812372058E-2</v>
      </c>
    </row>
    <row r="66" spans="1:25" s="30" customFormat="1" x14ac:dyDescent="0.25">
      <c r="A66" s="11">
        <f>'Monthly Data'!A66</f>
        <v>41760</v>
      </c>
      <c r="B66" s="6">
        <f t="shared" si="3"/>
        <v>2014</v>
      </c>
      <c r="C66" s="4">
        <f>'Monthly Data'!I66</f>
        <v>11858207.989999998</v>
      </c>
      <c r="D66" s="30">
        <f>'Monthly Data'!M66</f>
        <v>127.70000000000003</v>
      </c>
      <c r="E66" s="30">
        <f>'Monthly Data'!N66</f>
        <v>12.399999999999999</v>
      </c>
      <c r="F66" s="30">
        <f>'Monthly Data'!P66</f>
        <v>31</v>
      </c>
      <c r="G66" s="30">
        <f>'Monthly Data'!Q66</f>
        <v>6842.6</v>
      </c>
      <c r="H66" s="30">
        <f>'Monthly Data'!S66</f>
        <v>65</v>
      </c>
      <c r="I66" s="30">
        <f>'Monthly Data'!AE66</f>
        <v>0</v>
      </c>
      <c r="J66" s="30">
        <f>'Monthly Data'!AG66</f>
        <v>0</v>
      </c>
      <c r="K66" s="4">
        <f>'Monthly Data'!AH66</f>
        <v>0</v>
      </c>
      <c r="L66" s="4">
        <f>'Monthly Data'!AI66</f>
        <v>1</v>
      </c>
      <c r="N66" s="23">
        <f>'LU OLS Model'!$B$5</f>
        <v>-36743884.5954879</v>
      </c>
      <c r="O66" s="23">
        <f>'LU OLS Model'!$B$6*D66</f>
        <v>-249019.06535247838</v>
      </c>
      <c r="P66" s="23">
        <f>'LU OLS Model'!$B$7*E66</f>
        <v>235589.82953824656</v>
      </c>
      <c r="Q66" s="23">
        <f>'LU OLS Model'!$B$8*F66</f>
        <v>10664575.627180042</v>
      </c>
      <c r="R66" s="23">
        <f>'LU OLS Model'!$B$9*G66</f>
        <v>42718269.637297668</v>
      </c>
      <c r="S66" s="23">
        <f>'LU OLS Model'!$B$10*H66</f>
        <v>-2487654.7869110145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-1707342.3140862701</v>
      </c>
      <c r="X66" s="23">
        <f t="shared" si="4"/>
        <v>12430534.332178295</v>
      </c>
      <c r="Y66" s="13">
        <f t="shared" si="5"/>
        <v>4.8264151097782891E-2</v>
      </c>
    </row>
    <row r="67" spans="1:25" s="30" customFormat="1" x14ac:dyDescent="0.25">
      <c r="A67" s="11">
        <f>'Monthly Data'!A67</f>
        <v>41791</v>
      </c>
      <c r="B67" s="6">
        <f t="shared" si="3"/>
        <v>2014</v>
      </c>
      <c r="C67" s="4">
        <f>'Monthly Data'!I67</f>
        <v>12819088.591</v>
      </c>
      <c r="D67" s="30">
        <f>'Monthly Data'!M67</f>
        <v>25.699999999999996</v>
      </c>
      <c r="E67" s="30">
        <f>'Monthly Data'!N67</f>
        <v>47.4</v>
      </c>
      <c r="F67" s="30">
        <f>'Monthly Data'!P67</f>
        <v>30</v>
      </c>
      <c r="G67" s="30">
        <f>'Monthly Data'!Q67</f>
        <v>6912.9</v>
      </c>
      <c r="H67" s="30">
        <f>'Monthly Data'!S67</f>
        <v>66</v>
      </c>
      <c r="I67" s="30">
        <f>'Monthly Data'!AE67</f>
        <v>0</v>
      </c>
      <c r="J67" s="30">
        <f>'Monthly Data'!AG67</f>
        <v>0</v>
      </c>
      <c r="K67" s="4">
        <f>'Monthly Data'!AH67</f>
        <v>0</v>
      </c>
      <c r="L67" s="4">
        <f>'Monthly Data'!AI67</f>
        <v>1</v>
      </c>
      <c r="N67" s="23">
        <f>'LU OLS Model'!$B$5</f>
        <v>-36743884.5954879</v>
      </c>
      <c r="O67" s="23">
        <f>'LU OLS Model'!$B$6*D67</f>
        <v>-50115.818164124445</v>
      </c>
      <c r="P67" s="23">
        <f>'LU OLS Model'!$B$7*E67</f>
        <v>900561.12258974905</v>
      </c>
      <c r="Q67" s="23">
        <f>'LU OLS Model'!$B$8*F67</f>
        <v>10320557.058561331</v>
      </c>
      <c r="R67" s="23">
        <f>'LU OLS Model'!$B$9*G67</f>
        <v>43157151.693168536</v>
      </c>
      <c r="S67" s="23">
        <f>'LU OLS Model'!$B$10*H67</f>
        <v>-2525926.3990173377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-1707342.3140862701</v>
      </c>
      <c r="X67" s="23">
        <f t="shared" si="4"/>
        <v>13351000.747563988</v>
      </c>
      <c r="Y67" s="13">
        <f t="shared" si="5"/>
        <v>4.1493757749473059E-2</v>
      </c>
    </row>
    <row r="68" spans="1:25" s="30" customFormat="1" x14ac:dyDescent="0.25">
      <c r="A68" s="11">
        <f>'Monthly Data'!A68</f>
        <v>41821</v>
      </c>
      <c r="B68" s="6">
        <f t="shared" si="3"/>
        <v>2014</v>
      </c>
      <c r="C68" s="4">
        <f>'Monthly Data'!I68</f>
        <v>14008809.457</v>
      </c>
      <c r="D68" s="30">
        <f>'Monthly Data'!M68</f>
        <v>10.600000000000001</v>
      </c>
      <c r="E68" s="30">
        <f>'Monthly Data'!N68</f>
        <v>55.899999999999984</v>
      </c>
      <c r="F68" s="30">
        <f>'Monthly Data'!P68</f>
        <v>31</v>
      </c>
      <c r="G68" s="30">
        <f>'Monthly Data'!Q68</f>
        <v>6957.8</v>
      </c>
      <c r="H68" s="30">
        <f>'Monthly Data'!S68</f>
        <v>67</v>
      </c>
      <c r="I68" s="30">
        <f>'Monthly Data'!AE68</f>
        <v>0</v>
      </c>
      <c r="J68" s="30">
        <f>'Monthly Data'!AG68</f>
        <v>0</v>
      </c>
      <c r="K68" s="4">
        <f>'Monthly Data'!AH68</f>
        <v>0</v>
      </c>
      <c r="L68" s="4">
        <f>'Monthly Data'!AI68</f>
        <v>1</v>
      </c>
      <c r="N68" s="23">
        <f>'LU OLS Model'!$B$5</f>
        <v>-36743884.5954879</v>
      </c>
      <c r="O68" s="23">
        <f>'LU OLS Model'!$B$6*D68</f>
        <v>-20670.337452907366</v>
      </c>
      <c r="P68" s="23">
        <f>'LU OLS Model'!$B$7*E68</f>
        <v>1062054.1509022564</v>
      </c>
      <c r="Q68" s="23">
        <f>'LU OLS Model'!$B$8*F68</f>
        <v>10664575.627180042</v>
      </c>
      <c r="R68" s="23">
        <f>'LU OLS Model'!$B$9*G68</f>
        <v>43437461.854030594</v>
      </c>
      <c r="S68" s="23">
        <f>'LU OLS Model'!$B$10*H68</f>
        <v>-2564198.011123661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-1707342.3140862701</v>
      </c>
      <c r="X68" s="23">
        <f t="shared" si="4"/>
        <v>14127996.373962149</v>
      </c>
      <c r="Y68" s="13">
        <f t="shared" si="5"/>
        <v>8.5079975802363865E-3</v>
      </c>
    </row>
    <row r="69" spans="1:25" s="30" customFormat="1" x14ac:dyDescent="0.25">
      <c r="A69" s="11">
        <f>'Monthly Data'!A69</f>
        <v>41852</v>
      </c>
      <c r="B69" s="6">
        <f t="shared" si="3"/>
        <v>2014</v>
      </c>
      <c r="C69" s="4">
        <f>'Monthly Data'!I69</f>
        <v>14091447.23</v>
      </c>
      <c r="D69" s="30">
        <f>'Monthly Data'!M69</f>
        <v>18.999999999999996</v>
      </c>
      <c r="E69" s="30">
        <f>'Monthly Data'!N69</f>
        <v>51.999999999999993</v>
      </c>
      <c r="F69" s="30">
        <f>'Monthly Data'!P69</f>
        <v>31</v>
      </c>
      <c r="G69" s="30">
        <f>'Monthly Data'!Q69</f>
        <v>6969.7</v>
      </c>
      <c r="H69" s="30">
        <f>'Monthly Data'!S69</f>
        <v>68</v>
      </c>
      <c r="I69" s="30">
        <f>'Monthly Data'!AE69</f>
        <v>0</v>
      </c>
      <c r="J69" s="30">
        <f>'Monthly Data'!AG69</f>
        <v>0</v>
      </c>
      <c r="K69" s="4">
        <f>'Monthly Data'!AH69</f>
        <v>0</v>
      </c>
      <c r="L69" s="4">
        <f>'Monthly Data'!AI69</f>
        <v>1</v>
      </c>
      <c r="N69" s="23">
        <f>'LU OLS Model'!$B$5</f>
        <v>-36743884.5954879</v>
      </c>
      <c r="O69" s="23">
        <f>'LU OLS Model'!$B$6*D69</f>
        <v>-37050.60486841885</v>
      </c>
      <c r="P69" s="23">
        <f>'LU OLS Model'!$B$7*E69</f>
        <v>987957.34967651777</v>
      </c>
      <c r="Q69" s="23">
        <f>'LU OLS Model'!$B$8*F69</f>
        <v>10664575.627180042</v>
      </c>
      <c r="R69" s="23">
        <f>'LU OLS Model'!$B$9*G69</f>
        <v>43511753.411141023</v>
      </c>
      <c r="S69" s="23">
        <f>'LU OLS Model'!$B$10*H69</f>
        <v>-2602469.6232299842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-1707342.3140862701</v>
      </c>
      <c r="X69" s="23">
        <f t="shared" si="4"/>
        <v>14073539.250325009</v>
      </c>
      <c r="Y69" s="13">
        <f t="shared" si="5"/>
        <v>1.2708403461119315E-3</v>
      </c>
    </row>
    <row r="70" spans="1:25" s="30" customFormat="1" x14ac:dyDescent="0.25">
      <c r="A70" s="11">
        <f>'Monthly Data'!A70</f>
        <v>41883</v>
      </c>
      <c r="B70" s="6">
        <f t="shared" si="3"/>
        <v>2014</v>
      </c>
      <c r="C70" s="4">
        <f>'Monthly Data'!I70</f>
        <v>13562155.984999999</v>
      </c>
      <c r="D70" s="30">
        <f>'Monthly Data'!M70</f>
        <v>90.500000000000014</v>
      </c>
      <c r="E70" s="30">
        <f>'Monthly Data'!N70</f>
        <v>25.400000000000006</v>
      </c>
      <c r="F70" s="30">
        <f>'Monthly Data'!P70</f>
        <v>30</v>
      </c>
      <c r="G70" s="30">
        <f>'Monthly Data'!Q70</f>
        <v>6944.1</v>
      </c>
      <c r="H70" s="30">
        <f>'Monthly Data'!S70</f>
        <v>69</v>
      </c>
      <c r="I70" s="30">
        <f>'Monthly Data'!AE70</f>
        <v>1</v>
      </c>
      <c r="J70" s="30">
        <f>'Monthly Data'!AG70</f>
        <v>0</v>
      </c>
      <c r="K70" s="4">
        <f>'Monthly Data'!AH70</f>
        <v>0</v>
      </c>
      <c r="L70" s="4">
        <f>'Monthly Data'!AI70</f>
        <v>0</v>
      </c>
      <c r="N70" s="23">
        <f>'LU OLS Model'!$B$5</f>
        <v>-36743884.5954879</v>
      </c>
      <c r="O70" s="23">
        <f>'LU OLS Model'!$B$6*D70</f>
        <v>-176477.8810837846</v>
      </c>
      <c r="P70" s="23">
        <f>'LU OLS Model'!$B$7*E70</f>
        <v>482579.16695737618</v>
      </c>
      <c r="Q70" s="23">
        <f>'LU OLS Model'!$B$8*F70</f>
        <v>10320557.058561331</v>
      </c>
      <c r="R70" s="23">
        <f>'LU OLS Model'!$B$9*G70</f>
        <v>43351932.918533705</v>
      </c>
      <c r="S70" s="23">
        <f>'LU OLS Model'!$B$10*H70</f>
        <v>-2640741.2353363079</v>
      </c>
      <c r="T70" s="23">
        <f>'LU OLS Model'!$B$11*I70</f>
        <v>-1051550.2365486601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si="4"/>
        <v>13542415.195595762</v>
      </c>
      <c r="Y70" s="13">
        <f t="shared" si="5"/>
        <v>1.4555789968845167E-3</v>
      </c>
    </row>
    <row r="71" spans="1:25" s="30" customFormat="1" x14ac:dyDescent="0.25">
      <c r="A71" s="11">
        <f>'Monthly Data'!A71</f>
        <v>41913</v>
      </c>
      <c r="B71" s="6">
        <f t="shared" si="3"/>
        <v>2014</v>
      </c>
      <c r="C71" s="4">
        <f>'Monthly Data'!I71</f>
        <v>12773242.293000001</v>
      </c>
      <c r="D71" s="30">
        <f>'Monthly Data'!M71</f>
        <v>225.59999999999994</v>
      </c>
      <c r="E71" s="30">
        <f>'Monthly Data'!N71</f>
        <v>1.8</v>
      </c>
      <c r="F71" s="30">
        <f>'Monthly Data'!P71</f>
        <v>31</v>
      </c>
      <c r="G71" s="30">
        <f>'Monthly Data'!Q71</f>
        <v>6936.6</v>
      </c>
      <c r="H71" s="30">
        <f>'Monthly Data'!S71</f>
        <v>70</v>
      </c>
      <c r="I71" s="30">
        <f>'Monthly Data'!AE71</f>
        <v>1</v>
      </c>
      <c r="J71" s="30">
        <f>'Monthly Data'!AG71</f>
        <v>0</v>
      </c>
      <c r="K71" s="4">
        <f>'Monthly Data'!AH71</f>
        <v>0</v>
      </c>
      <c r="L71" s="4">
        <f>'Monthly Data'!AI71</f>
        <v>0</v>
      </c>
      <c r="N71" s="23">
        <f>'LU OLS Model'!$B$5</f>
        <v>-36743884.5954879</v>
      </c>
      <c r="O71" s="23">
        <f>'LU OLS Model'!$B$6*D71</f>
        <v>-439927.18201659434</v>
      </c>
      <c r="P71" s="23">
        <f>'LU OLS Model'!$B$7*E71</f>
        <v>34198.523642648695</v>
      </c>
      <c r="Q71" s="23">
        <f>'LU OLS Model'!$B$8*F71</f>
        <v>10664575.627180042</v>
      </c>
      <c r="R71" s="23">
        <f>'LU OLS Model'!$B$9*G71</f>
        <v>43305110.508590162</v>
      </c>
      <c r="S71" s="23">
        <f>'LU OLS Model'!$B$10*H71</f>
        <v>-2679012.8474426311</v>
      </c>
      <c r="T71" s="23">
        <f>'LU OLS Model'!$B$11*I71</f>
        <v>-1051550.2365486601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si="4"/>
        <v>13089509.797917066</v>
      </c>
      <c r="Y71" s="13">
        <f t="shared" si="5"/>
        <v>2.4760158592653157E-2</v>
      </c>
    </row>
    <row r="72" spans="1:25" s="30" customFormat="1" x14ac:dyDescent="0.25">
      <c r="A72" s="11">
        <f>'Monthly Data'!A72</f>
        <v>41944</v>
      </c>
      <c r="B72" s="6">
        <f t="shared" si="3"/>
        <v>2014</v>
      </c>
      <c r="C72" s="4">
        <f>'Monthly Data'!I72</f>
        <v>11904214.238</v>
      </c>
      <c r="D72" s="30">
        <f>'Monthly Data'!M72</f>
        <v>491.6</v>
      </c>
      <c r="E72" s="30">
        <f>'Monthly Data'!N72</f>
        <v>0</v>
      </c>
      <c r="F72" s="30">
        <f>'Monthly Data'!P72</f>
        <v>30</v>
      </c>
      <c r="G72" s="30">
        <f>'Monthly Data'!Q72</f>
        <v>6914.3</v>
      </c>
      <c r="H72" s="30">
        <f>'Monthly Data'!S72</f>
        <v>71</v>
      </c>
      <c r="I72" s="30">
        <f>'Monthly Data'!AE72</f>
        <v>1</v>
      </c>
      <c r="J72" s="30">
        <f>'Monthly Data'!AG72</f>
        <v>0</v>
      </c>
      <c r="K72" s="4">
        <f>'Monthly Data'!AH72</f>
        <v>0</v>
      </c>
      <c r="L72" s="4">
        <f>'Monthly Data'!AI72</f>
        <v>0</v>
      </c>
      <c r="N72" s="23">
        <f>'LU OLS Model'!$B$5</f>
        <v>-36743884.5954879</v>
      </c>
      <c r="O72" s="23">
        <f>'LU OLS Model'!$B$6*D72</f>
        <v>-958635.65017445851</v>
      </c>
      <c r="P72" s="23">
        <f>'LU OLS Model'!$B$7*E72</f>
        <v>0</v>
      </c>
      <c r="Q72" s="23">
        <f>'LU OLS Model'!$B$8*F72</f>
        <v>10320557.058561331</v>
      </c>
      <c r="R72" s="23">
        <f>'LU OLS Model'!$B$9*G72</f>
        <v>43165891.876358002</v>
      </c>
      <c r="S72" s="23">
        <f>'LU OLS Model'!$B$10*H72</f>
        <v>-2717284.4595489544</v>
      </c>
      <c r="T72" s="23">
        <f>'LU OLS Model'!$B$11*I72</f>
        <v>-1051550.2365486601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si="4"/>
        <v>12015093.993159359</v>
      </c>
      <c r="Y72" s="13">
        <f t="shared" si="5"/>
        <v>9.3143279298027893E-3</v>
      </c>
    </row>
    <row r="73" spans="1:25" s="30" customFormat="1" x14ac:dyDescent="0.25">
      <c r="A73" s="11">
        <f>'Monthly Data'!A73</f>
        <v>41974</v>
      </c>
      <c r="B73" s="6">
        <f t="shared" si="3"/>
        <v>2014</v>
      </c>
      <c r="C73" s="4">
        <f>'Monthly Data'!I73</f>
        <v>11928804.916999999</v>
      </c>
      <c r="D73" s="30">
        <f>'Monthly Data'!M73</f>
        <v>619.89999999999986</v>
      </c>
      <c r="E73" s="30">
        <f>'Monthly Data'!N73</f>
        <v>0</v>
      </c>
      <c r="F73" s="30">
        <f>'Monthly Data'!P73</f>
        <v>31</v>
      </c>
      <c r="G73" s="30">
        <f>'Monthly Data'!Q73</f>
        <v>6903.2</v>
      </c>
      <c r="H73" s="30">
        <f>'Monthly Data'!S73</f>
        <v>72</v>
      </c>
      <c r="I73" s="30">
        <f>'Monthly Data'!AE73</f>
        <v>0</v>
      </c>
      <c r="J73" s="30">
        <f>'Monthly Data'!AG73</f>
        <v>0</v>
      </c>
      <c r="K73" s="4">
        <f>'Monthly Data'!AH73</f>
        <v>1</v>
      </c>
      <c r="L73" s="4">
        <f>'Monthly Data'!AI73</f>
        <v>0</v>
      </c>
      <c r="N73" s="23">
        <f>'LU OLS Model'!$B$5</f>
        <v>-36743884.5954879</v>
      </c>
      <c r="O73" s="23">
        <f>'LU OLS Model'!$B$6*D73</f>
        <v>-1208824.7346280445</v>
      </c>
      <c r="P73" s="23">
        <f>'LU OLS Model'!$B$7*E73</f>
        <v>0</v>
      </c>
      <c r="Q73" s="23">
        <f>'LU OLS Model'!$B$8*F73</f>
        <v>10664575.627180042</v>
      </c>
      <c r="R73" s="23">
        <f>'LU OLS Model'!$B$9*G73</f>
        <v>43096594.709641546</v>
      </c>
      <c r="S73" s="23">
        <f>'LU OLS Model'!$B$10*H73</f>
        <v>-2755556.0716552776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-986240.09211876604</v>
      </c>
      <c r="W73" s="23">
        <f>'LU OLS Model'!$B$14*L73</f>
        <v>0</v>
      </c>
      <c r="X73" s="23">
        <f t="shared" si="4"/>
        <v>12066664.842931598</v>
      </c>
      <c r="Y73" s="13">
        <f t="shared" si="5"/>
        <v>1.1556893325930061E-2</v>
      </c>
    </row>
    <row r="74" spans="1:25" x14ac:dyDescent="0.25">
      <c r="Y74" s="14">
        <f>AVERAGE(Y2:Y73)</f>
        <v>1.7449795186837321E-2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16" workbookViewId="0">
      <selection activeCell="C4" sqref="C4"/>
    </sheetView>
  </sheetViews>
  <sheetFormatPr defaultRowHeight="13.2" x14ac:dyDescent="0.25"/>
  <cols>
    <col min="3" max="3" width="14" customWidth="1"/>
    <col min="4" max="4" width="14.33203125" customWidth="1"/>
    <col min="5" max="5" width="10.109375" bestFit="1" customWidth="1"/>
    <col min="6" max="6" width="10.109375" style="30" customWidth="1"/>
    <col min="8" max="8" width="15" customWidth="1"/>
    <col min="9" max="9" width="13.44140625" customWidth="1"/>
    <col min="11" max="11" width="9.109375" style="30"/>
    <col min="13" max="13" width="15.109375" customWidth="1"/>
    <col min="14" max="14" width="15.6640625" customWidth="1"/>
    <col min="16" max="16" width="9.109375" style="30"/>
    <col min="18" max="18" width="14.109375" customWidth="1"/>
    <col min="19" max="19" width="16.109375" customWidth="1"/>
  </cols>
  <sheetData>
    <row r="1" spans="1:20" x14ac:dyDescent="0.25">
      <c r="A1" t="s">
        <v>20</v>
      </c>
    </row>
    <row r="2" spans="1:20" x14ac:dyDescent="0.25">
      <c r="C2" s="2" t="s">
        <v>34</v>
      </c>
      <c r="E2" s="2" t="s">
        <v>38</v>
      </c>
      <c r="F2" s="2"/>
      <c r="H2" s="2" t="s">
        <v>28</v>
      </c>
      <c r="J2" s="2" t="s">
        <v>38</v>
      </c>
      <c r="K2" s="2"/>
      <c r="M2" s="2" t="s">
        <v>27</v>
      </c>
      <c r="O2" s="2" t="s">
        <v>38</v>
      </c>
      <c r="P2" s="2"/>
      <c r="R2" s="2" t="s">
        <v>29</v>
      </c>
      <c r="T2" s="2" t="s">
        <v>38</v>
      </c>
    </row>
    <row r="3" spans="1:20" x14ac:dyDescent="0.25">
      <c r="B3" s="2" t="s">
        <v>33</v>
      </c>
      <c r="C3" s="2" t="s">
        <v>35</v>
      </c>
      <c r="D3" s="16" t="s">
        <v>62</v>
      </c>
      <c r="E3" s="2" t="s">
        <v>37</v>
      </c>
      <c r="F3" s="2"/>
      <c r="H3" s="2" t="s">
        <v>35</v>
      </c>
      <c r="I3" s="16" t="s">
        <v>62</v>
      </c>
      <c r="J3" s="2" t="s">
        <v>37</v>
      </c>
      <c r="K3" s="2"/>
      <c r="M3" s="2" t="s">
        <v>35</v>
      </c>
      <c r="N3" s="16" t="s">
        <v>62</v>
      </c>
      <c r="O3" s="2" t="s">
        <v>37</v>
      </c>
      <c r="P3" s="2"/>
      <c r="R3" s="2" t="s">
        <v>35</v>
      </c>
      <c r="S3" s="16" t="s">
        <v>62</v>
      </c>
      <c r="T3" s="2" t="s">
        <v>37</v>
      </c>
    </row>
    <row r="4" spans="1:20" x14ac:dyDescent="0.25">
      <c r="B4">
        <v>2009</v>
      </c>
      <c r="C4" s="4">
        <f>SUMIF('Res Predicted Monthly'!$B:$B,B4,'Res Predicted Monthly'!C:C)</f>
        <v>196461749.94190001</v>
      </c>
      <c r="D4" s="4">
        <f>SUMIF('Res Predicted Monthly'!$B:$B,B4,'Res Predicted Monthly'!N:N)</f>
        <v>198369025.08072889</v>
      </c>
      <c r="E4" s="8">
        <f t="shared" ref="E4:E9" si="0">ABS(C4-D4)/C4</f>
        <v>9.7081245555071943E-3</v>
      </c>
      <c r="F4" s="8"/>
      <c r="G4">
        <v>2009</v>
      </c>
      <c r="H4" s="4">
        <f>SUMIF('GS &lt; 50 Predicted Monthly'!$B:$B,$B4,'GS &lt; 50 Predicted Monthly'!C:C)</f>
        <v>93350686.924999997</v>
      </c>
      <c r="I4" s="4">
        <f>SUMIF('GS &lt; 50 Predicted Monthly'!$B:$B,$B4,'GS &lt; 50 Predicted Monthly'!V:V)</f>
        <v>94338306.647301555</v>
      </c>
      <c r="J4" s="8">
        <f t="shared" ref="J4:J9" si="1">ABS(H4-I4)/H4</f>
        <v>1.0579672789071527E-2</v>
      </c>
      <c r="K4" s="8"/>
      <c r="L4">
        <v>2009</v>
      </c>
      <c r="M4" s="4">
        <f>SUMIF('GS &gt; 50 Predicted Monthly'!$B:$B,$B4,'GS &gt; 50 Predicted Monthly'!C:C)</f>
        <v>270117289.67619997</v>
      </c>
      <c r="N4" s="4">
        <f>SUMIF('GS &gt; 50 Predicted Monthly'!$B:$B,$B4,'GS &gt; 50 Predicted Monthly'!Z:Z)</f>
        <v>269681646.25682247</v>
      </c>
      <c r="O4" s="8">
        <f t="shared" ref="O4:O9" si="2">ABS(M4-N4)/M4</f>
        <v>1.6127935383171081E-3</v>
      </c>
      <c r="P4" s="8"/>
      <c r="Q4">
        <v>2009</v>
      </c>
      <c r="R4" s="4">
        <f>SUMIF('LU Predicted Monthly'!$B:$B,$B4,'LU Predicted Monthly'!C:C)</f>
        <v>148002868.85999998</v>
      </c>
      <c r="S4" s="4">
        <f>SUMIF('LU Predicted Monthly'!$B:$B,$B4,'LU Predicted Monthly'!X:X)</f>
        <v>147116187.76525888</v>
      </c>
      <c r="T4" s="8">
        <f t="shared" ref="T4:T9" si="3">ABS(R4-S4)/R4</f>
        <v>5.9909723478390291E-3</v>
      </c>
    </row>
    <row r="5" spans="1:20" x14ac:dyDescent="0.25">
      <c r="B5">
        <v>2010</v>
      </c>
      <c r="C5" s="4">
        <f>SUMIF('Res Predicted Monthly'!$B:$B,B5,'Res Predicted Monthly'!C:C)</f>
        <v>197410764.39520001</v>
      </c>
      <c r="D5" s="4">
        <f>SUMIF('Res Predicted Monthly'!$B:$B,B5,'Res Predicted Monthly'!N:N)</f>
        <v>194884760.74249455</v>
      </c>
      <c r="E5" s="8">
        <f t="shared" si="0"/>
        <v>1.2795673328373374E-2</v>
      </c>
      <c r="F5" s="8"/>
      <c r="G5">
        <v>2010</v>
      </c>
      <c r="H5" s="4">
        <f>SUMIF('GS &lt; 50 Predicted Monthly'!$B:$B,$B5,'GS &lt; 50 Predicted Monthly'!C:C)</f>
        <v>94126083.127000004</v>
      </c>
      <c r="I5" s="4">
        <f>SUMIF('GS &lt; 50 Predicted Monthly'!$B:$B,$B5,'GS &lt; 50 Predicted Monthly'!V:V)</f>
        <v>93582991.062678903</v>
      </c>
      <c r="J5" s="8">
        <f t="shared" si="1"/>
        <v>5.7698360144056091E-3</v>
      </c>
      <c r="K5" s="8"/>
      <c r="L5">
        <v>2010</v>
      </c>
      <c r="M5" s="4">
        <f>SUMIF('GS &gt; 50 Predicted Monthly'!$B:$B,$B5,'GS &gt; 50 Predicted Monthly'!C:C)</f>
        <v>273806097.95489997</v>
      </c>
      <c r="N5" s="4">
        <f>SUMIF('GS &gt; 50 Predicted Monthly'!$B:$B,$B5,'GS &gt; 50 Predicted Monthly'!Z:Z)</f>
        <v>272843450.76087248</v>
      </c>
      <c r="O5" s="8">
        <f t="shared" si="2"/>
        <v>3.5157989585244596E-3</v>
      </c>
      <c r="P5" s="8"/>
      <c r="Q5">
        <v>2010</v>
      </c>
      <c r="R5" s="4">
        <f>SUMIF('LU Predicted Monthly'!$B:$B,$B5,'LU Predicted Monthly'!C:C)</f>
        <v>149058789.9682</v>
      </c>
      <c r="S5" s="4">
        <f>SUMIF('LU Predicted Monthly'!$B:$B,$B5,'LU Predicted Monthly'!X:X)</f>
        <v>151794487.58587205</v>
      </c>
      <c r="T5" s="8">
        <f t="shared" si="3"/>
        <v>1.8353145213748791E-2</v>
      </c>
    </row>
    <row r="6" spans="1:20" x14ac:dyDescent="0.25">
      <c r="B6">
        <v>2011</v>
      </c>
      <c r="C6" s="4">
        <f>SUMIF('Res Predicted Monthly'!$B:$B,B6,'Res Predicted Monthly'!C:C)</f>
        <v>191104338.41010001</v>
      </c>
      <c r="D6" s="4">
        <f>SUMIF('Res Predicted Monthly'!$B:$B,B6,'Res Predicted Monthly'!N:N)</f>
        <v>192037552.30311272</v>
      </c>
      <c r="E6" s="8">
        <f t="shared" si="0"/>
        <v>4.8832690077923492E-3</v>
      </c>
      <c r="F6" s="8"/>
      <c r="G6">
        <v>2011</v>
      </c>
      <c r="H6" s="4">
        <f>SUMIF('GS &lt; 50 Predicted Monthly'!$B:$B,$B6,'GS &lt; 50 Predicted Monthly'!C:C)</f>
        <v>93008634.910999998</v>
      </c>
      <c r="I6" s="4">
        <f>SUMIF('GS &lt; 50 Predicted Monthly'!$B:$B,$B6,'GS &lt; 50 Predicted Monthly'!V:V)</f>
        <v>92014504.008659974</v>
      </c>
      <c r="J6" s="8">
        <f t="shared" si="1"/>
        <v>1.068858717571018E-2</v>
      </c>
      <c r="K6" s="8"/>
      <c r="L6">
        <v>2011</v>
      </c>
      <c r="M6" s="4">
        <f>SUMIF('GS &gt; 50 Predicted Monthly'!$B:$B,$B6,'GS &gt; 50 Predicted Monthly'!C:C)</f>
        <v>273712584.15109998</v>
      </c>
      <c r="N6" s="4">
        <f>SUMIF('GS &gt; 50 Predicted Monthly'!$B:$B,$B6,'GS &gt; 50 Predicted Monthly'!Z:Z)</f>
        <v>276014116.24405515</v>
      </c>
      <c r="O6" s="8">
        <f t="shared" si="2"/>
        <v>8.4085724450456284E-3</v>
      </c>
      <c r="P6" s="8"/>
      <c r="Q6">
        <v>2011</v>
      </c>
      <c r="R6" s="4">
        <f>SUMIF('LU Predicted Monthly'!$B:$B,$B6,'LU Predicted Monthly'!C:C)</f>
        <v>154491718.44549999</v>
      </c>
      <c r="S6" s="4">
        <f>SUMIF('LU Predicted Monthly'!$B:$B,$B6,'LU Predicted Monthly'!X:X)</f>
        <v>153573349.46648222</v>
      </c>
      <c r="T6" s="8">
        <f t="shared" si="3"/>
        <v>5.9444544229193567E-3</v>
      </c>
    </row>
    <row r="7" spans="1:20" x14ac:dyDescent="0.25">
      <c r="B7" s="9">
        <v>2012</v>
      </c>
      <c r="C7" s="4">
        <f>SUMIF('Res Predicted Monthly'!$B:$B,B7,'Res Predicted Monthly'!C:C)</f>
        <v>184953208.6112</v>
      </c>
      <c r="D7" s="4">
        <f>SUMIF('Res Predicted Monthly'!$B:$B,B7,'Res Predicted Monthly'!N:N)</f>
        <v>185288402.50185421</v>
      </c>
      <c r="E7" s="8">
        <f t="shared" si="0"/>
        <v>1.8123172513261731E-3</v>
      </c>
      <c r="F7" s="8"/>
      <c r="G7" s="9">
        <v>2012</v>
      </c>
      <c r="H7" s="4">
        <f>SUMIF('GS &lt; 50 Predicted Monthly'!$B:$B,$B7,'GS &lt; 50 Predicted Monthly'!C:C)</f>
        <v>88608640.897100002</v>
      </c>
      <c r="I7" s="4">
        <f>SUMIF('GS &lt; 50 Predicted Monthly'!$B:$B,$B7,'GS &lt; 50 Predicted Monthly'!V:V)</f>
        <v>88937027.952565551</v>
      </c>
      <c r="J7" s="8">
        <f t="shared" si="1"/>
        <v>3.7060387355100119E-3</v>
      </c>
      <c r="K7" s="8"/>
      <c r="L7" s="9">
        <v>2012</v>
      </c>
      <c r="M7" s="4">
        <f>SUMIF('GS &gt; 50 Predicted Monthly'!$B:$B,$B7,'GS &gt; 50 Predicted Monthly'!C:C)</f>
        <v>274473667.94679999</v>
      </c>
      <c r="N7" s="4">
        <f>SUMIF('GS &gt; 50 Predicted Monthly'!$B:$B,$B7,'GS &gt; 50 Predicted Monthly'!Z:Z)</f>
        <v>274234961.44433469</v>
      </c>
      <c r="O7" s="8">
        <f t="shared" si="2"/>
        <v>8.6968817173228852E-4</v>
      </c>
      <c r="P7" s="8"/>
      <c r="Q7" s="9">
        <v>2012</v>
      </c>
      <c r="R7" s="4">
        <f>SUMIF('LU Predicted Monthly'!$B:$B,$B7,'LU Predicted Monthly'!C:C)</f>
        <v>155448434.65640002</v>
      </c>
      <c r="S7" s="4">
        <f>SUMIF('LU Predicted Monthly'!$B:$B,$B7,'LU Predicted Monthly'!X:X)</f>
        <v>153495701.58051431</v>
      </c>
      <c r="T7" s="8">
        <f t="shared" si="3"/>
        <v>1.2561934638981689E-2</v>
      </c>
    </row>
    <row r="8" spans="1:20" x14ac:dyDescent="0.25">
      <c r="B8">
        <v>2013</v>
      </c>
      <c r="C8" s="4">
        <f>SUMIF('Res Predicted Monthly'!$B:$B,B8,'Res Predicted Monthly'!C:C)</f>
        <v>189348695.8743</v>
      </c>
      <c r="D8" s="4">
        <f>SUMIF('Res Predicted Monthly'!$B:$B,B8,'Res Predicted Monthly'!N:N)</f>
        <v>189623847.3998234</v>
      </c>
      <c r="E8" s="8">
        <f t="shared" si="0"/>
        <v>1.4531471909690625E-3</v>
      </c>
      <c r="F8" s="8"/>
      <c r="G8">
        <v>2013</v>
      </c>
      <c r="H8" s="4">
        <f>SUMIF('GS &lt; 50 Predicted Monthly'!$B:$B,$B8,'GS &lt; 50 Predicted Monthly'!C:C)</f>
        <v>86375577.059599996</v>
      </c>
      <c r="I8" s="4">
        <f>SUMIF('GS &lt; 50 Predicted Monthly'!$B:$B,$B8,'GS &lt; 50 Predicted Monthly'!V:V)</f>
        <v>86596793.248494133</v>
      </c>
      <c r="J8" s="8">
        <f t="shared" si="1"/>
        <v>2.5610965092771119E-3</v>
      </c>
      <c r="K8" s="8"/>
      <c r="L8">
        <v>2013</v>
      </c>
      <c r="M8" s="4">
        <f>SUMIF('GS &gt; 50 Predicted Monthly'!$B:$B,$B8,'GS &gt; 50 Predicted Monthly'!C:C)</f>
        <v>279458000.47820002</v>
      </c>
      <c r="N8" s="4">
        <f>SUMIF('GS &gt; 50 Predicted Monthly'!$B:$B,$B8,'GS &gt; 50 Predicted Monthly'!Z:Z)</f>
        <v>278793465.50111544</v>
      </c>
      <c r="O8" s="8">
        <f t="shared" si="2"/>
        <v>2.3779422165314469E-3</v>
      </c>
      <c r="P8" s="8"/>
      <c r="Q8">
        <v>2013</v>
      </c>
      <c r="R8" s="4">
        <f>SUMIF('LU Predicted Monthly'!$B:$B,$B8,'LU Predicted Monthly'!C:C)</f>
        <v>153943745.77000001</v>
      </c>
      <c r="S8" s="4">
        <f>SUMIF('LU Predicted Monthly'!$B:$B,$B8,'LU Predicted Monthly'!X:X)</f>
        <v>153995625.1639252</v>
      </c>
      <c r="T8" s="8">
        <f t="shared" si="3"/>
        <v>3.3700228395572816E-4</v>
      </c>
    </row>
    <row r="9" spans="1:20" s="30" customFormat="1" x14ac:dyDescent="0.25">
      <c r="B9" s="30">
        <v>2014</v>
      </c>
      <c r="C9" s="4">
        <f>SUMIF('Res Predicted Monthly'!$B:$B,B9,'Res Predicted Monthly'!C:C)</f>
        <v>192061408.34380001</v>
      </c>
      <c r="D9" s="4">
        <f>SUMIF('Res Predicted Monthly'!$B:$B,B9,'Res Predicted Monthly'!N:N)</f>
        <v>191136577.54848656</v>
      </c>
      <c r="E9" s="8">
        <f t="shared" si="0"/>
        <v>4.8152869610221328E-3</v>
      </c>
      <c r="F9" s="8"/>
      <c r="G9" s="30">
        <v>2013</v>
      </c>
      <c r="H9" s="4">
        <f>SUMIF('GS &lt; 50 Predicted Monthly'!$B:$B,$B9,'GS &lt; 50 Predicted Monthly'!C:C)</f>
        <v>91470554.884800017</v>
      </c>
      <c r="I9" s="4">
        <f>SUMIF('GS &lt; 50 Predicted Monthly'!$B:$B,$B9,'GS &lt; 50 Predicted Monthly'!V:V)</f>
        <v>91470554.884800047</v>
      </c>
      <c r="J9" s="8">
        <f t="shared" si="1"/>
        <v>3.2581328959061197E-16</v>
      </c>
      <c r="K9" s="8"/>
      <c r="L9" s="30">
        <v>2013</v>
      </c>
      <c r="M9" s="4">
        <f>SUMIF('GS &gt; 50 Predicted Monthly'!$B:$B,$B9,'GS &gt; 50 Predicted Monthly'!C:C)</f>
        <v>272498127.16669995</v>
      </c>
      <c r="N9" s="4">
        <f>SUMIF('GS &gt; 50 Predicted Monthly'!$B:$B,$B9,'GS &gt; 50 Predicted Monthly'!Z:Z)</f>
        <v>272498127.16670018</v>
      </c>
      <c r="O9" s="8">
        <f t="shared" si="2"/>
        <v>8.7493657875934909E-16</v>
      </c>
      <c r="P9" s="8"/>
      <c r="Q9" s="30">
        <v>2013</v>
      </c>
      <c r="R9" s="4">
        <f>SUMIF('LU Predicted Monthly'!$B:$B,$B9,'LU Predicted Monthly'!C:C)</f>
        <v>151518193.477</v>
      </c>
      <c r="S9" s="4">
        <f>SUMIF('LU Predicted Monthly'!$B:$B,$B9,'LU Predicted Monthly'!X:X)</f>
        <v>152488399.61504766</v>
      </c>
      <c r="T9" s="8">
        <f t="shared" si="3"/>
        <v>6.4032319537583428E-3</v>
      </c>
    </row>
    <row r="11" spans="1:20" x14ac:dyDescent="0.25">
      <c r="B11" t="s">
        <v>106</v>
      </c>
      <c r="E11" s="10">
        <f>AVERAGE(E4:E9)</f>
        <v>5.9113030491650476E-3</v>
      </c>
      <c r="F11" s="10"/>
      <c r="G11" t="s">
        <v>106</v>
      </c>
      <c r="J11" s="10">
        <f>AVERAGE(J4:J9)</f>
        <v>5.5508718706624612E-3</v>
      </c>
      <c r="K11" s="10"/>
      <c r="L11" t="s">
        <v>106</v>
      </c>
      <c r="O11" s="10">
        <f>AVERAGE(O4:O9)</f>
        <v>2.7974658883586343E-3</v>
      </c>
      <c r="P11" s="10"/>
      <c r="Q11" t="s">
        <v>106</v>
      </c>
      <c r="T11" s="10">
        <f>AVERAGE(T4:T9)</f>
        <v>8.2651234768671578E-3</v>
      </c>
    </row>
    <row r="12" spans="1:20" x14ac:dyDescent="0.25">
      <c r="B12" t="s">
        <v>105</v>
      </c>
      <c r="E12" s="10">
        <f>'Res Predicted Monthly'!$O$74</f>
        <v>3.2628547688306177E-2</v>
      </c>
      <c r="F12" s="10"/>
      <c r="G12" t="s">
        <v>105</v>
      </c>
      <c r="J12" s="10">
        <f>'GS &lt; 50 Predicted Monthly'!$W$74</f>
        <v>2.2174413179181111E-2</v>
      </c>
      <c r="K12" s="10"/>
      <c r="L12" t="s">
        <v>105</v>
      </c>
      <c r="O12" s="10">
        <f>'GS &gt; 50 Predicted Monthly'!$AA$74</f>
        <v>1.4018954786938027E-2</v>
      </c>
      <c r="P12" s="10"/>
      <c r="Q12" t="s">
        <v>105</v>
      </c>
      <c r="T12" s="10">
        <f>'LU Predicted Monthly'!$Y$74</f>
        <v>1.7449795186837321E-2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opLeftCell="A10"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5.5546875" bestFit="1" customWidth="1"/>
    <col min="7" max="7" width="8.6640625" bestFit="1" customWidth="1"/>
    <col min="8" max="8" width="9.109375" style="30"/>
    <col min="9" max="10" width="11.33203125" style="23" bestFit="1" customWidth="1"/>
    <col min="11" max="12" width="10.33203125" style="23" bestFit="1" customWidth="1"/>
    <col min="13" max="13" width="11.33203125" style="23" bestFit="1" customWidth="1"/>
    <col min="14" max="14" width="16.88671875" style="23" bestFit="1" customWidth="1"/>
  </cols>
  <sheetData>
    <row r="1" spans="1:14" x14ac:dyDescent="0.25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Data'!M1</f>
        <v>HDD</v>
      </c>
      <c r="E1" t="str">
        <f>'Monthly Data'!N1</f>
        <v>CDD</v>
      </c>
      <c r="F1" s="30" t="str">
        <f>'Monthly Data'!S1</f>
        <v>Trend</v>
      </c>
      <c r="G1" s="30" t="str">
        <f>'Monthly Data'!T1</f>
        <v>Res Cust</v>
      </c>
      <c r="I1" s="23" t="s">
        <v>13</v>
      </c>
      <c r="J1" s="23" t="str">
        <f>D1</f>
        <v>HDD</v>
      </c>
      <c r="K1" s="23" t="str">
        <f>E1</f>
        <v>CDD</v>
      </c>
      <c r="L1" s="23" t="str">
        <f>F1</f>
        <v>Trend</v>
      </c>
      <c r="M1" s="23" t="str">
        <f>G1</f>
        <v>Res Cust</v>
      </c>
      <c r="N1" s="80" t="s">
        <v>60</v>
      </c>
    </row>
    <row r="2" spans="1:14" x14ac:dyDescent="0.25">
      <c r="A2" s="11">
        <f>'Monthly Data'!A2</f>
        <v>39814</v>
      </c>
      <c r="B2" s="6">
        <f>YEAR(A2)</f>
        <v>2009</v>
      </c>
      <c r="C2">
        <f>'Monthly Data'!D2</f>
        <v>24633368.951099999</v>
      </c>
      <c r="D2">
        <f ca="1">'Weather Data'!G66</f>
        <v>784.29</v>
      </c>
      <c r="E2" s="30">
        <f ca="1">'Weather Data'!H66</f>
        <v>0</v>
      </c>
      <c r="F2">
        <f>'Monthly Data'!S2</f>
        <v>1</v>
      </c>
      <c r="G2" s="30">
        <f>'Monthly Data'!T2</f>
        <v>23190</v>
      </c>
      <c r="I2" s="23">
        <f>'Res OLS Model'!$B$5</f>
        <v>-20568225.384695102</v>
      </c>
      <c r="J2" s="23">
        <f ca="1">'Res OLS Model'!$B$6*D2</f>
        <v>11887172.044729536</v>
      </c>
      <c r="K2" s="23">
        <f ca="1">'Res OLS Model'!$B$7*E2</f>
        <v>0</v>
      </c>
      <c r="L2" s="23">
        <f>'Res OLS Model'!$B$8*F2</f>
        <v>-30519.460269652202</v>
      </c>
      <c r="M2" s="23">
        <f>'Res OLS Model'!$B$9*G2</f>
        <v>31601409.551945131</v>
      </c>
      <c r="N2" s="23">
        <f ca="1">SUM(I2:M2)</f>
        <v>22889836.751709916</v>
      </c>
    </row>
    <row r="3" spans="1:14" x14ac:dyDescent="0.25">
      <c r="A3" s="11">
        <f>'Monthly Data'!A3</f>
        <v>39845</v>
      </c>
      <c r="B3" s="6">
        <f t="shared" ref="B3:B66" si="0">YEAR(A3)</f>
        <v>2009</v>
      </c>
      <c r="C3">
        <f>'Monthly Data'!D3</f>
        <v>21259564.445299998</v>
      </c>
      <c r="D3" s="30">
        <f ca="1">'Weather Data'!G67</f>
        <v>682.50999999999988</v>
      </c>
      <c r="E3" s="30">
        <f ca="1">'Weather Data'!H67</f>
        <v>0</v>
      </c>
      <c r="F3">
        <f>'Monthly Data'!S3</f>
        <v>2</v>
      </c>
      <c r="G3" s="30">
        <f>'Monthly Data'!T3</f>
        <v>23198</v>
      </c>
      <c r="I3" s="23">
        <f>'Res OLS Model'!$B$5</f>
        <v>-20568225.384695102</v>
      </c>
      <c r="J3" s="23">
        <f ca="1">'Res OLS Model'!$B$6*D3</f>
        <v>10344533.007240122</v>
      </c>
      <c r="K3" s="23">
        <f ca="1">'Res OLS Model'!$B$7*E3</f>
        <v>0</v>
      </c>
      <c r="L3" s="23">
        <f>'Res OLS Model'!$B$8*F3</f>
        <v>-61038.920539304403</v>
      </c>
      <c r="M3" s="23">
        <f>'Res OLS Model'!$B$9*G3</f>
        <v>31612311.288746148</v>
      </c>
      <c r="N3" s="23">
        <f t="shared" ref="N3:N66" ca="1" si="1">SUM(I3:M3)</f>
        <v>21327579.990751863</v>
      </c>
    </row>
    <row r="4" spans="1:14" x14ac:dyDescent="0.25">
      <c r="A4" s="11">
        <f>'Monthly Data'!A4</f>
        <v>39873</v>
      </c>
      <c r="B4" s="6">
        <f t="shared" si="0"/>
        <v>2009</v>
      </c>
      <c r="C4">
        <f>'Monthly Data'!D4</f>
        <v>20311506.205500003</v>
      </c>
      <c r="D4" s="30">
        <f ca="1">'Weather Data'!G68</f>
        <v>556.99</v>
      </c>
      <c r="E4" s="30">
        <f ca="1">'Weather Data'!H68</f>
        <v>0</v>
      </c>
      <c r="F4">
        <f>'Monthly Data'!S4</f>
        <v>3</v>
      </c>
      <c r="G4" s="30">
        <f>'Monthly Data'!T4</f>
        <v>23222</v>
      </c>
      <c r="I4" s="23">
        <f>'Res OLS Model'!$B$5</f>
        <v>-20568225.384695102</v>
      </c>
      <c r="J4" s="23">
        <f ca="1">'Res OLS Model'!$B$6*D4</f>
        <v>8442076.2182278298</v>
      </c>
      <c r="K4" s="23">
        <f ca="1">'Res OLS Model'!$B$7*E4</f>
        <v>0</v>
      </c>
      <c r="L4" s="23">
        <f>'Res OLS Model'!$B$8*F4</f>
        <v>-91558.380808956601</v>
      </c>
      <c r="M4" s="23">
        <f>'Res OLS Model'!$B$9*G4</f>
        <v>31645016.499149196</v>
      </c>
      <c r="N4" s="23">
        <f t="shared" ca="1" si="1"/>
        <v>19427308.951872967</v>
      </c>
    </row>
    <row r="5" spans="1:14" x14ac:dyDescent="0.25">
      <c r="A5" s="11">
        <f>'Monthly Data'!A5</f>
        <v>39904</v>
      </c>
      <c r="B5" s="6">
        <f t="shared" si="0"/>
        <v>2009</v>
      </c>
      <c r="C5">
        <f>'Monthly Data'!D5</f>
        <v>15355678.4505</v>
      </c>
      <c r="D5" s="30">
        <f ca="1">'Weather Data'!G69</f>
        <v>326.58999999999997</v>
      </c>
      <c r="E5" s="30">
        <f ca="1">'Weather Data'!H69</f>
        <v>0.39</v>
      </c>
      <c r="F5">
        <f>'Monthly Data'!S5</f>
        <v>4</v>
      </c>
      <c r="G5" s="30">
        <f>'Monthly Data'!T5</f>
        <v>23086</v>
      </c>
      <c r="I5" s="23">
        <f>'Res OLS Model'!$B$5</f>
        <v>-20568225.384695102</v>
      </c>
      <c r="J5" s="23">
        <f ca="1">'Res OLS Model'!$B$6*D5</f>
        <v>4949994.9229088975</v>
      </c>
      <c r="K5" s="23">
        <f ca="1">'Res OLS Model'!$B$7*E5</f>
        <v>15137.773467507444</v>
      </c>
      <c r="L5" s="23">
        <f>'Res OLS Model'!$B$8*F5</f>
        <v>-122077.84107860881</v>
      </c>
      <c r="M5" s="23">
        <f>'Res OLS Model'!$B$9*G5</f>
        <v>31459686.973531924</v>
      </c>
      <c r="N5" s="23">
        <f t="shared" ca="1" si="1"/>
        <v>15734516.444134619</v>
      </c>
    </row>
    <row r="6" spans="1:14" x14ac:dyDescent="0.25">
      <c r="A6" s="11">
        <f>'Monthly Data'!A6</f>
        <v>39934</v>
      </c>
      <c r="B6" s="6">
        <f t="shared" si="0"/>
        <v>2009</v>
      </c>
      <c r="C6">
        <f>'Monthly Data'!D6</f>
        <v>13117710.1909</v>
      </c>
      <c r="D6" s="30">
        <f ca="1">'Weather Data'!G70</f>
        <v>144.96</v>
      </c>
      <c r="E6" s="30">
        <f ca="1">'Weather Data'!H70</f>
        <v>8.67</v>
      </c>
      <c r="F6">
        <f>'Monthly Data'!S6</f>
        <v>5</v>
      </c>
      <c r="G6" s="30">
        <f>'Monthly Data'!T6</f>
        <v>22950</v>
      </c>
      <c r="I6" s="23">
        <f>'Res OLS Model'!$B$5</f>
        <v>-20568225.384695102</v>
      </c>
      <c r="J6" s="23">
        <f ca="1">'Res OLS Model'!$B$6*D6</f>
        <v>2197101.1483048284</v>
      </c>
      <c r="K6" s="23">
        <f ca="1">'Res OLS Model'!$B$7*E6</f>
        <v>336524.3486238193</v>
      </c>
      <c r="L6" s="23">
        <f>'Res OLS Model'!$B$8*F6</f>
        <v>-152597.30134826101</v>
      </c>
      <c r="M6" s="23">
        <f>'Res OLS Model'!$B$9*G6</f>
        <v>31274357.447914653</v>
      </c>
      <c r="N6" s="23">
        <f t="shared" ca="1" si="1"/>
        <v>13087160.258799937</v>
      </c>
    </row>
    <row r="7" spans="1:14" x14ac:dyDescent="0.25">
      <c r="A7" s="11">
        <f>'Monthly Data'!A7</f>
        <v>39965</v>
      </c>
      <c r="B7" s="6">
        <f t="shared" si="0"/>
        <v>2009</v>
      </c>
      <c r="C7">
        <f>'Monthly Data'!D7</f>
        <v>11957071.520799998</v>
      </c>
      <c r="D7" s="30">
        <f ca="1">'Weather Data'!G71</f>
        <v>41.510000000000005</v>
      </c>
      <c r="E7" s="30">
        <f ca="1">'Weather Data'!H71</f>
        <v>44.41</v>
      </c>
      <c r="F7">
        <f>'Monthly Data'!S7</f>
        <v>6</v>
      </c>
      <c r="G7" s="30">
        <f>'Monthly Data'!T7</f>
        <v>22947</v>
      </c>
      <c r="I7" s="23">
        <f>'Res OLS Model'!$B$5</f>
        <v>-20568225.384695102</v>
      </c>
      <c r="J7" s="23">
        <f ca="1">'Res OLS Model'!$B$6*D7</f>
        <v>629150.58406549005</v>
      </c>
      <c r="K7" s="23">
        <f ca="1">'Res OLS Model'!$B$7*E7</f>
        <v>1723765.4351077063</v>
      </c>
      <c r="L7" s="23">
        <f>'Res OLS Model'!$B$8*F7</f>
        <v>-183116.7616179132</v>
      </c>
      <c r="M7" s="23">
        <f>'Res OLS Model'!$B$9*G7</f>
        <v>31270269.296614271</v>
      </c>
      <c r="N7" s="23">
        <f t="shared" ca="1" si="1"/>
        <v>12871843.169474453</v>
      </c>
    </row>
    <row r="8" spans="1:14" x14ac:dyDescent="0.25">
      <c r="A8" s="11">
        <f>'Monthly Data'!A8</f>
        <v>39995</v>
      </c>
      <c r="B8" s="6">
        <f t="shared" si="0"/>
        <v>2009</v>
      </c>
      <c r="C8">
        <f>'Monthly Data'!D8</f>
        <v>12423690.194100002</v>
      </c>
      <c r="D8" s="30">
        <f ca="1">'Weather Data'!G72</f>
        <v>5.01</v>
      </c>
      <c r="E8" s="30">
        <f ca="1">'Weather Data'!H72</f>
        <v>96.909999999999982</v>
      </c>
      <c r="F8">
        <f>'Monthly Data'!S8</f>
        <v>7</v>
      </c>
      <c r="G8" s="30">
        <f>'Monthly Data'!T8</f>
        <v>22995</v>
      </c>
      <c r="I8" s="23">
        <f>'Res OLS Model'!$B$5</f>
        <v>-20568225.384695102</v>
      </c>
      <c r="J8" s="23">
        <f ca="1">'Res OLS Model'!$B$6*D8</f>
        <v>75934.580249773659</v>
      </c>
      <c r="K8" s="23">
        <f ca="1">'Res OLS Model'!$B$7*E8</f>
        <v>3761542.6326567847</v>
      </c>
      <c r="L8" s="23">
        <f>'Res OLS Model'!$B$8*F8</f>
        <v>-213636.22188756542</v>
      </c>
      <c r="M8" s="23">
        <f>'Res OLS Model'!$B$9*G8</f>
        <v>31335679.717420366</v>
      </c>
      <c r="N8" s="23">
        <f t="shared" ca="1" si="1"/>
        <v>14391295.32374426</v>
      </c>
    </row>
    <row r="9" spans="1:14" x14ac:dyDescent="0.25">
      <c r="A9" s="11">
        <f>'Monthly Data'!A9</f>
        <v>40026</v>
      </c>
      <c r="B9" s="6">
        <f t="shared" si="0"/>
        <v>2009</v>
      </c>
      <c r="C9">
        <f>'Monthly Data'!D9</f>
        <v>13070512.381900001</v>
      </c>
      <c r="D9" s="30">
        <f ca="1">'Weather Data'!G73</f>
        <v>12.719999999999999</v>
      </c>
      <c r="E9" s="30">
        <f ca="1">'Weather Data'!H73</f>
        <v>77.22999999999999</v>
      </c>
      <c r="F9">
        <f>'Monthly Data'!S9</f>
        <v>8</v>
      </c>
      <c r="G9" s="30">
        <f>'Monthly Data'!T9</f>
        <v>22990</v>
      </c>
      <c r="I9" s="23">
        <f>'Res OLS Model'!$B$5</f>
        <v>-20568225.384695102</v>
      </c>
      <c r="J9" s="23">
        <f ca="1">'Res OLS Model'!$B$6*D9</f>
        <v>192791.98817906604</v>
      </c>
      <c r="K9" s="23">
        <f ca="1">'Res OLS Model'!$B$7*E9</f>
        <v>2997667.2946041017</v>
      </c>
      <c r="L9" s="23">
        <f>'Res OLS Model'!$B$8*F9</f>
        <v>-244155.68215721761</v>
      </c>
      <c r="M9" s="23">
        <f>'Res OLS Model'!$B$9*G9</f>
        <v>31328866.13191973</v>
      </c>
      <c r="N9" s="23">
        <f t="shared" ca="1" si="1"/>
        <v>13706944.347850576</v>
      </c>
    </row>
    <row r="10" spans="1:14" x14ac:dyDescent="0.25">
      <c r="A10" s="11">
        <f>'Monthly Data'!A10</f>
        <v>40057</v>
      </c>
      <c r="B10" s="6">
        <f t="shared" si="0"/>
        <v>2009</v>
      </c>
      <c r="C10">
        <f>'Monthly Data'!D10</f>
        <v>13202217.812000001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Data'!S10</f>
        <v>9</v>
      </c>
      <c r="G10" s="30">
        <f>'Monthly Data'!T10</f>
        <v>23114</v>
      </c>
      <c r="I10" s="23">
        <f>'Res OLS Model'!$B$5</f>
        <v>-20568225.384695102</v>
      </c>
      <c r="J10" s="23">
        <f ca="1">'Res OLS Model'!$B$6*D10</f>
        <v>1312107.1082281249</v>
      </c>
      <c r="K10" s="23">
        <f ca="1">'Res OLS Model'!$B$7*E10</f>
        <v>772414.59488050791</v>
      </c>
      <c r="L10" s="23">
        <f>'Res OLS Model'!$B$8*F10</f>
        <v>-274675.14242686983</v>
      </c>
      <c r="M10" s="23">
        <f>'Res OLS Model'!$B$9*G10</f>
        <v>31497843.052335478</v>
      </c>
      <c r="N10" s="23">
        <f t="shared" ca="1" si="1"/>
        <v>12739464.228322137</v>
      </c>
    </row>
    <row r="11" spans="1:14" x14ac:dyDescent="0.25">
      <c r="A11" s="11">
        <f>'Monthly Data'!A11</f>
        <v>40087</v>
      </c>
      <c r="B11" s="6">
        <f t="shared" si="0"/>
        <v>2009</v>
      </c>
      <c r="C11">
        <f>'Monthly Data'!D11</f>
        <v>14811561.364799999</v>
      </c>
      <c r="D11" s="30">
        <f ca="1">'Weather Data'!G75</f>
        <v>270.3</v>
      </c>
      <c r="E11" s="30">
        <f ca="1">'Weather Data'!H75</f>
        <v>1.21</v>
      </c>
      <c r="F11">
        <f>'Monthly Data'!S11</f>
        <v>10</v>
      </c>
      <c r="G11" s="30">
        <f>'Monthly Data'!T11</f>
        <v>23172</v>
      </c>
      <c r="I11" s="23">
        <f>'Res OLS Model'!$B$5</f>
        <v>-20568225.384695102</v>
      </c>
      <c r="J11" s="23">
        <f ca="1">'Res OLS Model'!$B$6*D11</f>
        <v>4096829.7488051536</v>
      </c>
      <c r="K11" s="23">
        <f ca="1">'Res OLS Model'!$B$7*E11</f>
        <v>46965.912553035909</v>
      </c>
      <c r="L11" s="23">
        <f>'Res OLS Model'!$B$8*F11</f>
        <v>-305194.60269652202</v>
      </c>
      <c r="M11" s="23">
        <f>'Res OLS Model'!$B$9*G11</f>
        <v>31576880.644142848</v>
      </c>
      <c r="N11" s="23">
        <f t="shared" ca="1" si="1"/>
        <v>14847256.318109415</v>
      </c>
    </row>
    <row r="12" spans="1:14" x14ac:dyDescent="0.25">
      <c r="A12" s="11">
        <f>'Monthly Data'!A12</f>
        <v>40118</v>
      </c>
      <c r="B12" s="6">
        <f t="shared" si="0"/>
        <v>2009</v>
      </c>
      <c r="C12">
        <f>'Monthly Data'!D12</f>
        <v>16459360.333399998</v>
      </c>
      <c r="D12" s="30">
        <f ca="1">'Weather Data'!G76</f>
        <v>444.05</v>
      </c>
      <c r="E12" s="30">
        <f ca="1">'Weather Data'!H76</f>
        <v>0</v>
      </c>
      <c r="F12">
        <f>'Monthly Data'!S12</f>
        <v>11</v>
      </c>
      <c r="G12" s="30">
        <f>'Monthly Data'!T12</f>
        <v>23202</v>
      </c>
      <c r="I12" s="23">
        <f>'Res OLS Model'!$B$5</f>
        <v>-20568225.384695102</v>
      </c>
      <c r="J12" s="23">
        <f ca="1">'Res OLS Model'!$B$6*D12</f>
        <v>6730289.4929964058</v>
      </c>
      <c r="K12" s="23">
        <f ca="1">'Res OLS Model'!$B$7*E12</f>
        <v>0</v>
      </c>
      <c r="L12" s="23">
        <f>'Res OLS Model'!$B$8*F12</f>
        <v>-335714.06296617421</v>
      </c>
      <c r="M12" s="23">
        <f>'Res OLS Model'!$B$9*G12</f>
        <v>31617762.157146655</v>
      </c>
      <c r="N12" s="23">
        <f t="shared" ca="1" si="1"/>
        <v>17444112.202481784</v>
      </c>
    </row>
    <row r="13" spans="1:14" x14ac:dyDescent="0.25">
      <c r="A13" s="11">
        <f>'Monthly Data'!A13</f>
        <v>40148</v>
      </c>
      <c r="B13" s="6">
        <f t="shared" si="0"/>
        <v>2009</v>
      </c>
      <c r="C13">
        <f>'Monthly Data'!D13</f>
        <v>19859508.091600001</v>
      </c>
      <c r="D13" s="30">
        <f ca="1">'Weather Data'!G77</f>
        <v>684.01</v>
      </c>
      <c r="E13" s="30">
        <f ca="1">'Weather Data'!H77</f>
        <v>0</v>
      </c>
      <c r="F13">
        <f>'Monthly Data'!S13</f>
        <v>12</v>
      </c>
      <c r="G13" s="30">
        <f>'Monthly Data'!T13</f>
        <v>23223</v>
      </c>
      <c r="I13" s="23">
        <f>'Res OLS Model'!$B$5</f>
        <v>-20568225.384695102</v>
      </c>
      <c r="J13" s="23">
        <f ca="1">'Res OLS Model'!$B$6*D13</f>
        <v>10367267.911506522</v>
      </c>
      <c r="K13" s="23">
        <f ca="1">'Res OLS Model'!$B$7*E13</f>
        <v>0</v>
      </c>
      <c r="L13" s="23">
        <f>'Res OLS Model'!$B$8*F13</f>
        <v>-366233.5232358264</v>
      </c>
      <c r="M13" s="23">
        <f>'Res OLS Model'!$B$9*G13</f>
        <v>31646379.216249324</v>
      </c>
      <c r="N13" s="23">
        <f t="shared" ca="1" si="1"/>
        <v>21079188.219824918</v>
      </c>
    </row>
    <row r="14" spans="1:14" x14ac:dyDescent="0.25">
      <c r="A14" s="11">
        <f>'Monthly Data'!A14</f>
        <v>40179</v>
      </c>
      <c r="B14" s="6">
        <f t="shared" si="0"/>
        <v>2010</v>
      </c>
      <c r="C14">
        <f>'Monthly Data'!D14</f>
        <v>23606855.725399997</v>
      </c>
      <c r="D14" s="30">
        <f t="shared" ref="D14:E33" ca="1" si="2">D2</f>
        <v>784.29</v>
      </c>
      <c r="E14" s="30">
        <f t="shared" ca="1" si="2"/>
        <v>0</v>
      </c>
      <c r="F14">
        <f>'Monthly Data'!S14</f>
        <v>13</v>
      </c>
      <c r="G14" s="30">
        <f>'Monthly Data'!T14</f>
        <v>23244</v>
      </c>
      <c r="I14" s="23">
        <f>'Res OLS Model'!$B$5</f>
        <v>-20568225.384695102</v>
      </c>
      <c r="J14" s="23">
        <f ca="1">'Res OLS Model'!$B$6*D14</f>
        <v>11887172.044729536</v>
      </c>
      <c r="K14" s="23">
        <f ca="1">'Res OLS Model'!$B$7*E14</f>
        <v>0</v>
      </c>
      <c r="L14" s="23">
        <f>'Res OLS Model'!$B$8*F14</f>
        <v>-396752.98350547859</v>
      </c>
      <c r="M14" s="23">
        <f>'Res OLS Model'!$B$9*G14</f>
        <v>31674996.27535199</v>
      </c>
      <c r="N14" s="23">
        <f t="shared" ca="1" si="1"/>
        <v>22597189.951880947</v>
      </c>
    </row>
    <row r="15" spans="1:14" x14ac:dyDescent="0.25">
      <c r="A15" s="11">
        <f>'Monthly Data'!A15</f>
        <v>40210</v>
      </c>
      <c r="B15" s="6">
        <f t="shared" si="0"/>
        <v>2010</v>
      </c>
      <c r="C15">
        <f>'Monthly Data'!D15</f>
        <v>21091517.422400001</v>
      </c>
      <c r="D15" s="30">
        <f t="shared" ca="1" si="2"/>
        <v>682.50999999999988</v>
      </c>
      <c r="E15" s="30">
        <f t="shared" ca="1" si="2"/>
        <v>0</v>
      </c>
      <c r="F15">
        <f>'Monthly Data'!S15</f>
        <v>14</v>
      </c>
      <c r="G15" s="30">
        <f>'Monthly Data'!T15</f>
        <v>23206</v>
      </c>
      <c r="I15" s="23">
        <f>'Res OLS Model'!$B$5</f>
        <v>-20568225.384695102</v>
      </c>
      <c r="J15" s="23">
        <f ca="1">'Res OLS Model'!$B$6*D15</f>
        <v>10344533.007240122</v>
      </c>
      <c r="K15" s="23">
        <f ca="1">'Res OLS Model'!$B$7*E15</f>
        <v>0</v>
      </c>
      <c r="L15" s="23">
        <f>'Res OLS Model'!$B$8*F15</f>
        <v>-427272.44377513084</v>
      </c>
      <c r="M15" s="23">
        <f>'Res OLS Model'!$B$9*G15</f>
        <v>31623213.025547165</v>
      </c>
      <c r="N15" s="23">
        <f t="shared" ca="1" si="1"/>
        <v>20972248.204317056</v>
      </c>
    </row>
    <row r="16" spans="1:14" x14ac:dyDescent="0.25">
      <c r="A16" s="11">
        <f>'Monthly Data'!A16</f>
        <v>40238</v>
      </c>
      <c r="B16" s="6">
        <f t="shared" si="0"/>
        <v>2010</v>
      </c>
      <c r="C16">
        <f>'Monthly Data'!D16</f>
        <v>19291304.618700001</v>
      </c>
      <c r="D16" s="30">
        <f t="shared" ca="1" si="2"/>
        <v>556.99</v>
      </c>
      <c r="E16" s="30">
        <f t="shared" ca="1" si="2"/>
        <v>0</v>
      </c>
      <c r="F16">
        <f>'Monthly Data'!S16</f>
        <v>15</v>
      </c>
      <c r="G16" s="30">
        <f>'Monthly Data'!T16</f>
        <v>23227</v>
      </c>
      <c r="I16" s="23">
        <f>'Res OLS Model'!$B$5</f>
        <v>-20568225.384695102</v>
      </c>
      <c r="J16" s="23">
        <f ca="1">'Res OLS Model'!$B$6*D16</f>
        <v>8442076.2182278298</v>
      </c>
      <c r="K16" s="23">
        <f ca="1">'Res OLS Model'!$B$7*E16</f>
        <v>0</v>
      </c>
      <c r="L16" s="23">
        <f>'Res OLS Model'!$B$8*F16</f>
        <v>-457791.90404478303</v>
      </c>
      <c r="M16" s="23">
        <f>'Res OLS Model'!$B$9*G16</f>
        <v>31651830.084649831</v>
      </c>
      <c r="N16" s="23">
        <f t="shared" ca="1" si="1"/>
        <v>19067889.014137775</v>
      </c>
    </row>
    <row r="17" spans="1:14" x14ac:dyDescent="0.25">
      <c r="A17" s="11">
        <f>'Monthly Data'!A17</f>
        <v>40269</v>
      </c>
      <c r="B17" s="6">
        <f t="shared" si="0"/>
        <v>2010</v>
      </c>
      <c r="C17">
        <f>'Monthly Data'!D17</f>
        <v>14289179.892700002</v>
      </c>
      <c r="D17" s="30">
        <f t="shared" ca="1" si="2"/>
        <v>326.58999999999997</v>
      </c>
      <c r="E17" s="30">
        <f t="shared" ca="1" si="2"/>
        <v>0.39</v>
      </c>
      <c r="F17">
        <f>'Monthly Data'!S17</f>
        <v>16</v>
      </c>
      <c r="G17" s="30">
        <f>'Monthly Data'!T17</f>
        <v>23169</v>
      </c>
      <c r="I17" s="23">
        <f>'Res OLS Model'!$B$5</f>
        <v>-20568225.384695102</v>
      </c>
      <c r="J17" s="23">
        <f ca="1">'Res OLS Model'!$B$6*D17</f>
        <v>4949994.9229088975</v>
      </c>
      <c r="K17" s="23">
        <f ca="1">'Res OLS Model'!$B$7*E17</f>
        <v>15137.773467507444</v>
      </c>
      <c r="L17" s="23">
        <f>'Res OLS Model'!$B$8*F17</f>
        <v>-488311.36431443522</v>
      </c>
      <c r="M17" s="23">
        <f>'Res OLS Model'!$B$9*G17</f>
        <v>31572792.492842466</v>
      </c>
      <c r="N17" s="23">
        <f t="shared" ca="1" si="1"/>
        <v>15481388.440209335</v>
      </c>
    </row>
    <row r="18" spans="1:14" x14ac:dyDescent="0.25">
      <c r="A18" s="11">
        <f>'Monthly Data'!A18</f>
        <v>40299</v>
      </c>
      <c r="B18" s="6">
        <f t="shared" si="0"/>
        <v>2010</v>
      </c>
      <c r="C18">
        <f>'Monthly Data'!D18</f>
        <v>12526333.185799999</v>
      </c>
      <c r="D18" s="30">
        <f t="shared" ca="1" si="2"/>
        <v>144.96</v>
      </c>
      <c r="E18" s="30">
        <f t="shared" ca="1" si="2"/>
        <v>8.67</v>
      </c>
      <c r="F18">
        <f>'Monthly Data'!S18</f>
        <v>17</v>
      </c>
      <c r="G18" s="30">
        <f>'Monthly Data'!T18</f>
        <v>22966</v>
      </c>
      <c r="I18" s="23">
        <f>'Res OLS Model'!$B$5</f>
        <v>-20568225.384695102</v>
      </c>
      <c r="J18" s="23">
        <f ca="1">'Res OLS Model'!$B$6*D18</f>
        <v>2197101.1483048284</v>
      </c>
      <c r="K18" s="23">
        <f ca="1">'Res OLS Model'!$B$7*E18</f>
        <v>336524.3486238193</v>
      </c>
      <c r="L18" s="23">
        <f>'Res OLS Model'!$B$8*F18</f>
        <v>-518830.82458408742</v>
      </c>
      <c r="M18" s="23">
        <f>'Res OLS Model'!$B$9*G18</f>
        <v>31296160.921516683</v>
      </c>
      <c r="N18" s="23">
        <f t="shared" ca="1" si="1"/>
        <v>12742730.209166139</v>
      </c>
    </row>
    <row r="19" spans="1:14" x14ac:dyDescent="0.25">
      <c r="A19" s="11">
        <f>'Monthly Data'!A19</f>
        <v>40330</v>
      </c>
      <c r="B19" s="6">
        <f t="shared" si="0"/>
        <v>2010</v>
      </c>
      <c r="C19">
        <f>'Monthly Data'!D19</f>
        <v>12654046.736899998</v>
      </c>
      <c r="D19" s="30">
        <f t="shared" ca="1" si="2"/>
        <v>41.510000000000005</v>
      </c>
      <c r="E19" s="30">
        <f t="shared" ca="1" si="2"/>
        <v>44.41</v>
      </c>
      <c r="F19">
        <f>'Monthly Data'!S19</f>
        <v>18</v>
      </c>
      <c r="G19" s="30">
        <f>'Monthly Data'!T19</f>
        <v>23006</v>
      </c>
      <c r="I19" s="23">
        <f>'Res OLS Model'!$B$5</f>
        <v>-20568225.384695102</v>
      </c>
      <c r="J19" s="23">
        <f ca="1">'Res OLS Model'!$B$6*D19</f>
        <v>629150.58406549005</v>
      </c>
      <c r="K19" s="23">
        <f ca="1">'Res OLS Model'!$B$7*E19</f>
        <v>1723765.4351077063</v>
      </c>
      <c r="L19" s="23">
        <f>'Res OLS Model'!$B$8*F19</f>
        <v>-549350.28485373966</v>
      </c>
      <c r="M19" s="23">
        <f>'Res OLS Model'!$B$9*G19</f>
        <v>31350669.605521765</v>
      </c>
      <c r="N19" s="23">
        <f t="shared" ca="1" si="1"/>
        <v>12586009.955146123</v>
      </c>
    </row>
    <row r="20" spans="1:14" x14ac:dyDescent="0.25">
      <c r="A20" s="11">
        <f>'Monthly Data'!A20</f>
        <v>40360</v>
      </c>
      <c r="B20" s="6">
        <f t="shared" si="0"/>
        <v>2010</v>
      </c>
      <c r="C20">
        <f>'Monthly Data'!D20</f>
        <v>14622071.658500001</v>
      </c>
      <c r="D20" s="30">
        <f t="shared" ca="1" si="2"/>
        <v>5.01</v>
      </c>
      <c r="E20" s="30">
        <f t="shared" ca="1" si="2"/>
        <v>96.909999999999982</v>
      </c>
      <c r="F20">
        <f>'Monthly Data'!S20</f>
        <v>19</v>
      </c>
      <c r="G20" s="30">
        <f>'Monthly Data'!T20</f>
        <v>23113</v>
      </c>
      <c r="I20" s="23">
        <f>'Res OLS Model'!$B$5</f>
        <v>-20568225.384695102</v>
      </c>
      <c r="J20" s="23">
        <f ca="1">'Res OLS Model'!$B$6*D20</f>
        <v>75934.580249773659</v>
      </c>
      <c r="K20" s="23">
        <f ca="1">'Res OLS Model'!$B$7*E20</f>
        <v>3761542.6326567847</v>
      </c>
      <c r="L20" s="23">
        <f>'Res OLS Model'!$B$8*F20</f>
        <v>-579869.74512339185</v>
      </c>
      <c r="M20" s="23">
        <f>'Res OLS Model'!$B$9*G20</f>
        <v>31496480.335235354</v>
      </c>
      <c r="N20" s="23">
        <f t="shared" ca="1" si="1"/>
        <v>14185862.41832342</v>
      </c>
    </row>
    <row r="21" spans="1:14" x14ac:dyDescent="0.25">
      <c r="A21" s="11">
        <f>'Monthly Data'!A21</f>
        <v>40391</v>
      </c>
      <c r="B21" s="6">
        <f t="shared" si="0"/>
        <v>2010</v>
      </c>
      <c r="C21">
        <f>'Monthly Data'!D21</f>
        <v>13964183.280500002</v>
      </c>
      <c r="D21" s="30">
        <f t="shared" ca="1" si="2"/>
        <v>12.719999999999999</v>
      </c>
      <c r="E21" s="30">
        <f t="shared" ca="1" si="2"/>
        <v>77.22999999999999</v>
      </c>
      <c r="F21">
        <f>'Monthly Data'!S21</f>
        <v>20</v>
      </c>
      <c r="G21" s="30">
        <f>'Monthly Data'!T21</f>
        <v>23035</v>
      </c>
      <c r="I21" s="23">
        <f>'Res OLS Model'!$B$5</f>
        <v>-20568225.384695102</v>
      </c>
      <c r="J21" s="23">
        <f ca="1">'Res OLS Model'!$B$6*D21</f>
        <v>192791.98817906604</v>
      </c>
      <c r="K21" s="23">
        <f ca="1">'Res OLS Model'!$B$7*E21</f>
        <v>2997667.2946041017</v>
      </c>
      <c r="L21" s="23">
        <f>'Res OLS Model'!$B$8*F21</f>
        <v>-610389.20539304405</v>
      </c>
      <c r="M21" s="23">
        <f>'Res OLS Model'!$B$9*G21</f>
        <v>31390188.401425447</v>
      </c>
      <c r="N21" s="23">
        <f t="shared" ca="1" si="1"/>
        <v>13402033.094120469</v>
      </c>
    </row>
    <row r="22" spans="1:14" x14ac:dyDescent="0.25">
      <c r="A22" s="11">
        <f>'Monthly Data'!A22</f>
        <v>40422</v>
      </c>
      <c r="B22" s="6">
        <f t="shared" si="0"/>
        <v>2010</v>
      </c>
      <c r="C22">
        <f>'Monthly Data'!D22</f>
        <v>13079707.3025</v>
      </c>
      <c r="D22" s="30">
        <f t="shared" ca="1" si="2"/>
        <v>86.570000000000007</v>
      </c>
      <c r="E22" s="30">
        <f t="shared" ca="1" si="2"/>
        <v>19.899999999999999</v>
      </c>
      <c r="F22">
        <f>'Monthly Data'!S22</f>
        <v>21</v>
      </c>
      <c r="G22" s="30">
        <f>'Monthly Data'!T22</f>
        <v>23146</v>
      </c>
      <c r="I22" s="23">
        <f>'Res OLS Model'!$B$5</f>
        <v>-20568225.384695102</v>
      </c>
      <c r="J22" s="23">
        <f ca="1">'Res OLS Model'!$B$6*D22</f>
        <v>1312107.1082281249</v>
      </c>
      <c r="K22" s="23">
        <f ca="1">'Res OLS Model'!$B$7*E22</f>
        <v>772414.59488050791</v>
      </c>
      <c r="L22" s="23">
        <f>'Res OLS Model'!$B$8*F22</f>
        <v>-640908.66566269624</v>
      </c>
      <c r="M22" s="23">
        <f>'Res OLS Model'!$B$9*G22</f>
        <v>31541449.999539543</v>
      </c>
      <c r="N22" s="23">
        <f t="shared" ca="1" si="1"/>
        <v>12416837.652290378</v>
      </c>
    </row>
    <row r="23" spans="1:14" x14ac:dyDescent="0.25">
      <c r="A23" s="11">
        <f>'Monthly Data'!A23</f>
        <v>40452</v>
      </c>
      <c r="B23" s="6">
        <f t="shared" si="0"/>
        <v>2010</v>
      </c>
      <c r="C23">
        <f>'Monthly Data'!D23</f>
        <v>14420343.764199998</v>
      </c>
      <c r="D23" s="30">
        <f t="shared" ca="1" si="2"/>
        <v>270.3</v>
      </c>
      <c r="E23" s="30">
        <f t="shared" ca="1" si="2"/>
        <v>1.21</v>
      </c>
      <c r="F23">
        <f>'Monthly Data'!S23</f>
        <v>22</v>
      </c>
      <c r="G23" s="30">
        <f>'Monthly Data'!T23</f>
        <v>23213</v>
      </c>
      <c r="I23" s="23">
        <f>'Res OLS Model'!$B$5</f>
        <v>-20568225.384695102</v>
      </c>
      <c r="J23" s="23">
        <f ca="1">'Res OLS Model'!$B$6*D23</f>
        <v>4096829.7488051536</v>
      </c>
      <c r="K23" s="23">
        <f ca="1">'Res OLS Model'!$B$7*E23</f>
        <v>46965.912553035909</v>
      </c>
      <c r="L23" s="23">
        <f>'Res OLS Model'!$B$8*F23</f>
        <v>-671428.12593234843</v>
      </c>
      <c r="M23" s="23">
        <f>'Res OLS Model'!$B$9*G23</f>
        <v>31632752.045248054</v>
      </c>
      <c r="N23" s="23">
        <f t="shared" ca="1" si="1"/>
        <v>14536894.195978794</v>
      </c>
    </row>
    <row r="24" spans="1:14" x14ac:dyDescent="0.25">
      <c r="A24" s="11">
        <f>'Monthly Data'!A24</f>
        <v>40483</v>
      </c>
      <c r="B24" s="6">
        <f t="shared" si="0"/>
        <v>2010</v>
      </c>
      <c r="C24">
        <f>'Monthly Data'!D24</f>
        <v>16915365.330200002</v>
      </c>
      <c r="D24" s="30">
        <f t="shared" ca="1" si="2"/>
        <v>444.05</v>
      </c>
      <c r="E24" s="30">
        <f t="shared" ca="1" si="2"/>
        <v>0</v>
      </c>
      <c r="F24">
        <f>'Monthly Data'!S24</f>
        <v>23</v>
      </c>
      <c r="G24" s="30">
        <f>'Monthly Data'!T24</f>
        <v>23299</v>
      </c>
      <c r="I24" s="23">
        <f>'Res OLS Model'!$B$5</f>
        <v>-20568225.384695102</v>
      </c>
      <c r="J24" s="23">
        <f ca="1">'Res OLS Model'!$B$6*D24</f>
        <v>6730289.4929964058</v>
      </c>
      <c r="K24" s="23">
        <f ca="1">'Res OLS Model'!$B$7*E24</f>
        <v>0</v>
      </c>
      <c r="L24" s="23">
        <f>'Res OLS Model'!$B$8*F24</f>
        <v>-701947.58620200062</v>
      </c>
      <c r="M24" s="23">
        <f>'Res OLS Model'!$B$9*G24</f>
        <v>31749945.715858974</v>
      </c>
      <c r="N24" s="23">
        <f t="shared" ca="1" si="1"/>
        <v>17210062.237958275</v>
      </c>
    </row>
    <row r="25" spans="1:14" x14ac:dyDescent="0.25">
      <c r="A25" s="11">
        <f>'Monthly Data'!A25</f>
        <v>40513</v>
      </c>
      <c r="B25" s="6">
        <f t="shared" si="0"/>
        <v>2010</v>
      </c>
      <c r="C25">
        <f>'Monthly Data'!D25</f>
        <v>20949855.477400001</v>
      </c>
      <c r="D25" s="30">
        <f t="shared" ca="1" si="2"/>
        <v>684.01</v>
      </c>
      <c r="E25" s="30">
        <f t="shared" ca="1" si="2"/>
        <v>0</v>
      </c>
      <c r="F25">
        <f>'Monthly Data'!S25</f>
        <v>24</v>
      </c>
      <c r="G25" s="30">
        <f>'Monthly Data'!T25</f>
        <v>23337</v>
      </c>
      <c r="I25" s="23">
        <f>'Res OLS Model'!$B$5</f>
        <v>-20568225.384695102</v>
      </c>
      <c r="J25" s="23">
        <f ca="1">'Res OLS Model'!$B$6*D25</f>
        <v>10367267.911506522</v>
      </c>
      <c r="K25" s="23">
        <f ca="1">'Res OLS Model'!$B$7*E25</f>
        <v>0</v>
      </c>
      <c r="L25" s="23">
        <f>'Res OLS Model'!$B$8*F25</f>
        <v>-732467.04647165281</v>
      </c>
      <c r="M25" s="23">
        <f>'Res OLS Model'!$B$9*G25</f>
        <v>31801728.965663802</v>
      </c>
      <c r="N25" s="23">
        <f t="shared" ca="1" si="1"/>
        <v>20868304.446003571</v>
      </c>
    </row>
    <row r="26" spans="1:14" x14ac:dyDescent="0.25">
      <c r="A26" s="11">
        <f>'Monthly Data'!A26</f>
        <v>40544</v>
      </c>
      <c r="B26" s="6">
        <f t="shared" si="0"/>
        <v>2011</v>
      </c>
      <c r="C26">
        <f>'Monthly Data'!D26</f>
        <v>22949860.934299998</v>
      </c>
      <c r="D26" s="30">
        <f t="shared" ca="1" si="2"/>
        <v>784.29</v>
      </c>
      <c r="E26" s="30">
        <f t="shared" ca="1" si="2"/>
        <v>0</v>
      </c>
      <c r="F26">
        <f>'Monthly Data'!S26</f>
        <v>25</v>
      </c>
      <c r="G26" s="30">
        <f>'Monthly Data'!T26</f>
        <v>23342</v>
      </c>
      <c r="I26" s="23">
        <f>'Res OLS Model'!$B$5</f>
        <v>-20568225.384695102</v>
      </c>
      <c r="J26" s="23">
        <f ca="1">'Res OLS Model'!$B$6*D26</f>
        <v>11887172.044729536</v>
      </c>
      <c r="K26" s="23">
        <f ca="1">'Res OLS Model'!$B$7*E26</f>
        <v>0</v>
      </c>
      <c r="L26" s="23">
        <f>'Res OLS Model'!$B$8*F26</f>
        <v>-762986.506741305</v>
      </c>
      <c r="M26" s="23">
        <f>'Res OLS Model'!$B$9*G26</f>
        <v>31808542.551164437</v>
      </c>
      <c r="N26" s="23">
        <f t="shared" ca="1" si="1"/>
        <v>22364502.704457566</v>
      </c>
    </row>
    <row r="27" spans="1:14" x14ac:dyDescent="0.25">
      <c r="A27" s="11">
        <f>'Monthly Data'!A27</f>
        <v>40575</v>
      </c>
      <c r="B27" s="6">
        <f t="shared" si="0"/>
        <v>2011</v>
      </c>
      <c r="C27">
        <f>'Monthly Data'!D27</f>
        <v>20130373.043899998</v>
      </c>
      <c r="D27" s="30">
        <f t="shared" ca="1" si="2"/>
        <v>682.50999999999988</v>
      </c>
      <c r="E27" s="30">
        <f t="shared" ca="1" si="2"/>
        <v>0</v>
      </c>
      <c r="F27">
        <f>'Monthly Data'!S27</f>
        <v>26</v>
      </c>
      <c r="G27" s="30">
        <f>'Monthly Data'!T27</f>
        <v>23363</v>
      </c>
      <c r="I27" s="23">
        <f>'Res OLS Model'!$B$5</f>
        <v>-20568225.384695102</v>
      </c>
      <c r="J27" s="23">
        <f ca="1">'Res OLS Model'!$B$6*D27</f>
        <v>10344533.007240122</v>
      </c>
      <c r="K27" s="23">
        <f ca="1">'Res OLS Model'!$B$7*E27</f>
        <v>0</v>
      </c>
      <c r="L27" s="23">
        <f>'Res OLS Model'!$B$8*F27</f>
        <v>-793505.96701095719</v>
      </c>
      <c r="M27" s="23">
        <f>'Res OLS Model'!$B$9*G27</f>
        <v>31837159.610267103</v>
      </c>
      <c r="N27" s="23">
        <f t="shared" ca="1" si="1"/>
        <v>20819961.265801165</v>
      </c>
    </row>
    <row r="28" spans="1:14" x14ac:dyDescent="0.25">
      <c r="A28" s="11">
        <f>'Monthly Data'!A28</f>
        <v>40603</v>
      </c>
      <c r="B28" s="6">
        <f t="shared" si="0"/>
        <v>2011</v>
      </c>
      <c r="C28">
        <f>'Monthly Data'!D28</f>
        <v>19264282.676100001</v>
      </c>
      <c r="D28" s="30">
        <f t="shared" ca="1" si="2"/>
        <v>556.99</v>
      </c>
      <c r="E28" s="30">
        <f t="shared" ca="1" si="2"/>
        <v>0</v>
      </c>
      <c r="F28">
        <f>'Monthly Data'!S28</f>
        <v>27</v>
      </c>
      <c r="G28" s="30">
        <f>'Monthly Data'!T28</f>
        <v>23358</v>
      </c>
      <c r="I28" s="23">
        <f>'Res OLS Model'!$B$5</f>
        <v>-20568225.384695102</v>
      </c>
      <c r="J28" s="23">
        <f ca="1">'Res OLS Model'!$B$6*D28</f>
        <v>8442076.2182278298</v>
      </c>
      <c r="K28" s="23">
        <f ca="1">'Res OLS Model'!$B$7*E28</f>
        <v>0</v>
      </c>
      <c r="L28" s="23">
        <f>'Res OLS Model'!$B$8*F28</f>
        <v>-824025.4272806095</v>
      </c>
      <c r="M28" s="23">
        <f>'Res OLS Model'!$B$9*G28</f>
        <v>31830346.024766468</v>
      </c>
      <c r="N28" s="23">
        <f t="shared" ca="1" si="1"/>
        <v>18880171.431018587</v>
      </c>
    </row>
    <row r="29" spans="1:14" x14ac:dyDescent="0.25">
      <c r="A29" s="11">
        <f>'Monthly Data'!A29</f>
        <v>40634</v>
      </c>
      <c r="B29" s="6">
        <f t="shared" si="0"/>
        <v>2011</v>
      </c>
      <c r="C29">
        <f>'Monthly Data'!D29</f>
        <v>15275002.8061</v>
      </c>
      <c r="D29" s="30">
        <f t="shared" ca="1" si="2"/>
        <v>326.58999999999997</v>
      </c>
      <c r="E29" s="30">
        <f t="shared" ca="1" si="2"/>
        <v>0.39</v>
      </c>
      <c r="F29">
        <f>'Monthly Data'!S29</f>
        <v>28</v>
      </c>
      <c r="G29" s="30">
        <f>'Monthly Data'!T29</f>
        <v>23357</v>
      </c>
      <c r="I29" s="23">
        <f>'Res OLS Model'!$B$5</f>
        <v>-20568225.384695102</v>
      </c>
      <c r="J29" s="23">
        <f ca="1">'Res OLS Model'!$B$6*D29</f>
        <v>4949994.9229088975</v>
      </c>
      <c r="K29" s="23">
        <f ca="1">'Res OLS Model'!$B$7*E29</f>
        <v>15137.773467507444</v>
      </c>
      <c r="L29" s="23">
        <f>'Res OLS Model'!$B$8*F29</f>
        <v>-854544.88755026169</v>
      </c>
      <c r="M29" s="23">
        <f>'Res OLS Model'!$B$9*G29</f>
        <v>31828983.307666343</v>
      </c>
      <c r="N29" s="23">
        <f t="shared" ca="1" si="1"/>
        <v>15371345.731797386</v>
      </c>
    </row>
    <row r="30" spans="1:14" x14ac:dyDescent="0.25">
      <c r="A30" s="11">
        <f>'Monthly Data'!A30</f>
        <v>40664</v>
      </c>
      <c r="B30" s="6">
        <f t="shared" si="0"/>
        <v>2011</v>
      </c>
      <c r="C30">
        <f>'Monthly Data'!D30</f>
        <v>12988644.4836</v>
      </c>
      <c r="D30" s="30">
        <f t="shared" ca="1" si="2"/>
        <v>144.96</v>
      </c>
      <c r="E30" s="30">
        <f t="shared" ca="1" si="2"/>
        <v>8.67</v>
      </c>
      <c r="F30">
        <f>'Monthly Data'!S30</f>
        <v>29</v>
      </c>
      <c r="G30" s="30">
        <f>'Monthly Data'!T30</f>
        <v>23144</v>
      </c>
      <c r="I30" s="23">
        <f>'Res OLS Model'!$B$5</f>
        <v>-20568225.384695102</v>
      </c>
      <c r="J30" s="23">
        <f ca="1">'Res OLS Model'!$B$6*D30</f>
        <v>2197101.1483048284</v>
      </c>
      <c r="K30" s="23">
        <f ca="1">'Res OLS Model'!$B$7*E30</f>
        <v>336524.3486238193</v>
      </c>
      <c r="L30" s="23">
        <f>'Res OLS Model'!$B$8*F30</f>
        <v>-885064.34781991388</v>
      </c>
      <c r="M30" s="23">
        <f>'Res OLS Model'!$B$9*G30</f>
        <v>31538724.56533929</v>
      </c>
      <c r="N30" s="23">
        <f t="shared" ca="1" si="1"/>
        <v>12619060.329752922</v>
      </c>
    </row>
    <row r="31" spans="1:14" x14ac:dyDescent="0.25">
      <c r="A31" s="11">
        <f>'Monthly Data'!A31</f>
        <v>40695</v>
      </c>
      <c r="B31" s="6">
        <f t="shared" si="0"/>
        <v>2011</v>
      </c>
      <c r="C31">
        <f>'Monthly Data'!D31</f>
        <v>12227658.222899999</v>
      </c>
      <c r="D31" s="30">
        <f t="shared" ca="1" si="2"/>
        <v>41.510000000000005</v>
      </c>
      <c r="E31" s="30">
        <f t="shared" ca="1" si="2"/>
        <v>44.41</v>
      </c>
      <c r="F31">
        <f>'Monthly Data'!S31</f>
        <v>30</v>
      </c>
      <c r="G31" s="30">
        <f>'Monthly Data'!T31</f>
        <v>23078</v>
      </c>
      <c r="I31" s="23">
        <f>'Res OLS Model'!$B$5</f>
        <v>-20568225.384695102</v>
      </c>
      <c r="J31" s="23">
        <f ca="1">'Res OLS Model'!$B$6*D31</f>
        <v>629150.58406549005</v>
      </c>
      <c r="K31" s="23">
        <f ca="1">'Res OLS Model'!$B$7*E31</f>
        <v>1723765.4351077063</v>
      </c>
      <c r="L31" s="23">
        <f>'Res OLS Model'!$B$8*F31</f>
        <v>-915583.80808956607</v>
      </c>
      <c r="M31" s="23">
        <f>'Res OLS Model'!$B$9*G31</f>
        <v>31448785.236730907</v>
      </c>
      <c r="N31" s="23">
        <f t="shared" ca="1" si="1"/>
        <v>12317892.063119438</v>
      </c>
    </row>
    <row r="32" spans="1:14" x14ac:dyDescent="0.25">
      <c r="A32" s="11">
        <f>'Monthly Data'!A32</f>
        <v>40725</v>
      </c>
      <c r="B32" s="6">
        <f t="shared" si="0"/>
        <v>2011</v>
      </c>
      <c r="C32">
        <f>'Monthly Data'!D32</f>
        <v>14186476.795499999</v>
      </c>
      <c r="D32" s="30">
        <f t="shared" ca="1" si="2"/>
        <v>5.01</v>
      </c>
      <c r="E32" s="30">
        <f t="shared" ca="1" si="2"/>
        <v>96.909999999999982</v>
      </c>
      <c r="F32">
        <f>'Monthly Data'!S32</f>
        <v>31</v>
      </c>
      <c r="G32" s="30">
        <f>'Monthly Data'!T32</f>
        <v>23049</v>
      </c>
      <c r="I32" s="23">
        <f>'Res OLS Model'!$B$5</f>
        <v>-20568225.384695102</v>
      </c>
      <c r="J32" s="23">
        <f ca="1">'Res OLS Model'!$B$6*D32</f>
        <v>75934.580249773659</v>
      </c>
      <c r="K32" s="23">
        <f ca="1">'Res OLS Model'!$B$7*E32</f>
        <v>3761542.6326567847</v>
      </c>
      <c r="L32" s="23">
        <f>'Res OLS Model'!$B$8*F32</f>
        <v>-946103.26835921826</v>
      </c>
      <c r="M32" s="23">
        <f>'Res OLS Model'!$B$9*G32</f>
        <v>31409266.440827224</v>
      </c>
      <c r="N32" s="23">
        <f t="shared" ca="1" si="1"/>
        <v>13732415.000679463</v>
      </c>
    </row>
    <row r="33" spans="1:14" x14ac:dyDescent="0.25">
      <c r="A33" s="11">
        <f>'Monthly Data'!A33</f>
        <v>40756</v>
      </c>
      <c r="B33" s="6">
        <f t="shared" si="0"/>
        <v>2011</v>
      </c>
      <c r="C33">
        <f>'Monthly Data'!D33</f>
        <v>13646879.092999998</v>
      </c>
      <c r="D33" s="30">
        <f t="shared" ca="1" si="2"/>
        <v>12.719999999999999</v>
      </c>
      <c r="E33" s="30">
        <f t="shared" ca="1" si="2"/>
        <v>77.22999999999999</v>
      </c>
      <c r="F33">
        <f>'Monthly Data'!S33</f>
        <v>32</v>
      </c>
      <c r="G33" s="30">
        <f>'Monthly Data'!T33</f>
        <v>23068</v>
      </c>
      <c r="I33" s="23">
        <f>'Res OLS Model'!$B$5</f>
        <v>-20568225.384695102</v>
      </c>
      <c r="J33" s="23">
        <f ca="1">'Res OLS Model'!$B$6*D33</f>
        <v>192791.98817906604</v>
      </c>
      <c r="K33" s="23">
        <f ca="1">'Res OLS Model'!$B$7*E33</f>
        <v>2997667.2946041017</v>
      </c>
      <c r="L33" s="23">
        <f>'Res OLS Model'!$B$8*F33</f>
        <v>-976622.72862887045</v>
      </c>
      <c r="M33" s="23">
        <f>'Res OLS Model'!$B$9*G33</f>
        <v>31435158.065729637</v>
      </c>
      <c r="N33" s="23">
        <f t="shared" ca="1" si="1"/>
        <v>13080769.235188831</v>
      </c>
    </row>
    <row r="34" spans="1:14" x14ac:dyDescent="0.25">
      <c r="A34" s="11">
        <f>'Monthly Data'!A34</f>
        <v>40787</v>
      </c>
      <c r="B34" s="6">
        <f t="shared" si="0"/>
        <v>2011</v>
      </c>
      <c r="C34">
        <f>'Monthly Data'!D34</f>
        <v>12374381.956699999</v>
      </c>
      <c r="D34" s="30">
        <f t="shared" ref="D34:E53" ca="1" si="3">D22</f>
        <v>86.570000000000007</v>
      </c>
      <c r="E34" s="30">
        <f t="shared" ca="1" si="3"/>
        <v>19.899999999999999</v>
      </c>
      <c r="F34">
        <f>'Monthly Data'!S34</f>
        <v>33</v>
      </c>
      <c r="G34" s="30">
        <f>'Monthly Data'!T34</f>
        <v>23151</v>
      </c>
      <c r="I34" s="23">
        <f>'Res OLS Model'!$B$5</f>
        <v>-20568225.384695102</v>
      </c>
      <c r="J34" s="23">
        <f ca="1">'Res OLS Model'!$B$6*D34</f>
        <v>1312107.1082281249</v>
      </c>
      <c r="K34" s="23">
        <f ca="1">'Res OLS Model'!$B$7*E34</f>
        <v>772414.59488050791</v>
      </c>
      <c r="L34" s="23">
        <f>'Res OLS Model'!$B$8*F34</f>
        <v>-1007142.1888985226</v>
      </c>
      <c r="M34" s="23">
        <f>'Res OLS Model'!$B$9*G34</f>
        <v>31548263.585040178</v>
      </c>
      <c r="N34" s="23">
        <f t="shared" ca="1" si="1"/>
        <v>12057417.714555185</v>
      </c>
    </row>
    <row r="35" spans="1:14" x14ac:dyDescent="0.25">
      <c r="A35" s="11">
        <f>'Monthly Data'!A35</f>
        <v>40817</v>
      </c>
      <c r="B35" s="6">
        <f t="shared" si="0"/>
        <v>2011</v>
      </c>
      <c r="C35">
        <f>'Monthly Data'!D35</f>
        <v>13664672.127900001</v>
      </c>
      <c r="D35" s="30">
        <f t="shared" ca="1" si="3"/>
        <v>270.3</v>
      </c>
      <c r="E35" s="30">
        <f t="shared" ca="1" si="3"/>
        <v>1.21</v>
      </c>
      <c r="F35">
        <f>'Monthly Data'!S35</f>
        <v>34</v>
      </c>
      <c r="G35" s="30">
        <f>'Monthly Data'!T35</f>
        <v>23189</v>
      </c>
      <c r="I35" s="23">
        <f>'Res OLS Model'!$B$5</f>
        <v>-20568225.384695102</v>
      </c>
      <c r="J35" s="23">
        <f ca="1">'Res OLS Model'!$B$6*D35</f>
        <v>4096829.7488051536</v>
      </c>
      <c r="K35" s="23">
        <f ca="1">'Res OLS Model'!$B$7*E35</f>
        <v>46965.912553035909</v>
      </c>
      <c r="L35" s="23">
        <f>'Res OLS Model'!$B$8*F35</f>
        <v>-1037661.6491681748</v>
      </c>
      <c r="M35" s="23">
        <f>'Res OLS Model'!$B$9*G35</f>
        <v>31600046.834845006</v>
      </c>
      <c r="N35" s="23">
        <f t="shared" ca="1" si="1"/>
        <v>14137955.462339919</v>
      </c>
    </row>
    <row r="36" spans="1:14" x14ac:dyDescent="0.25">
      <c r="A36" s="11">
        <f>'Monthly Data'!A36</f>
        <v>40848</v>
      </c>
      <c r="B36" s="6">
        <f t="shared" si="0"/>
        <v>2011</v>
      </c>
      <c r="C36">
        <f>'Monthly Data'!D36</f>
        <v>15512028.3873</v>
      </c>
      <c r="D36" s="30">
        <f t="shared" ca="1" si="3"/>
        <v>444.05</v>
      </c>
      <c r="E36" s="30">
        <f t="shared" ca="1" si="3"/>
        <v>0</v>
      </c>
      <c r="F36">
        <f>'Monthly Data'!S36</f>
        <v>35</v>
      </c>
      <c r="G36" s="30">
        <f>'Monthly Data'!T36</f>
        <v>23212</v>
      </c>
      <c r="I36" s="23">
        <f>'Res OLS Model'!$B$5</f>
        <v>-20568225.384695102</v>
      </c>
      <c r="J36" s="23">
        <f ca="1">'Res OLS Model'!$B$6*D36</f>
        <v>6730289.4929964058</v>
      </c>
      <c r="K36" s="23">
        <f ca="1">'Res OLS Model'!$B$7*E36</f>
        <v>0</v>
      </c>
      <c r="L36" s="23">
        <f>'Res OLS Model'!$B$8*F36</f>
        <v>-1068181.109437827</v>
      </c>
      <c r="M36" s="23">
        <f>'Res OLS Model'!$B$9*G36</f>
        <v>31631389.328147925</v>
      </c>
      <c r="N36" s="23">
        <f t="shared" ca="1" si="1"/>
        <v>16725272.327011403</v>
      </c>
    </row>
    <row r="37" spans="1:14" x14ac:dyDescent="0.25">
      <c r="A37" s="11">
        <f>'Monthly Data'!A37</f>
        <v>40878</v>
      </c>
      <c r="B37" s="6">
        <f t="shared" si="0"/>
        <v>2011</v>
      </c>
      <c r="C37">
        <f>'Monthly Data'!D37</f>
        <v>18884077.882800002</v>
      </c>
      <c r="D37" s="30">
        <f t="shared" ca="1" si="3"/>
        <v>684.01</v>
      </c>
      <c r="E37" s="30">
        <f t="shared" ca="1" si="3"/>
        <v>0</v>
      </c>
      <c r="F37">
        <f>'Monthly Data'!S37</f>
        <v>36</v>
      </c>
      <c r="G37" s="30">
        <f>'Monthly Data'!T37</f>
        <v>23234</v>
      </c>
      <c r="I37" s="23">
        <f>'Res OLS Model'!$B$5</f>
        <v>-20568225.384695102</v>
      </c>
      <c r="J37" s="23">
        <f ca="1">'Res OLS Model'!$B$6*D37</f>
        <v>10367267.911506522</v>
      </c>
      <c r="K37" s="23">
        <f ca="1">'Res OLS Model'!$B$7*E37</f>
        <v>0</v>
      </c>
      <c r="L37" s="23">
        <f>'Res OLS Model'!$B$8*F37</f>
        <v>-1098700.5697074793</v>
      </c>
      <c r="M37" s="23">
        <f>'Res OLS Model'!$B$9*G37</f>
        <v>31661369.10435072</v>
      </c>
      <c r="N37" s="23">
        <f t="shared" ca="1" si="1"/>
        <v>20361711.061454661</v>
      </c>
    </row>
    <row r="38" spans="1:14" x14ac:dyDescent="0.25">
      <c r="A38" s="11">
        <f>'Monthly Data'!A38</f>
        <v>40909</v>
      </c>
      <c r="B38" s="6">
        <f t="shared" si="0"/>
        <v>2012</v>
      </c>
      <c r="C38">
        <f>'Monthly Data'!D38</f>
        <v>20794679.283499997</v>
      </c>
      <c r="D38" s="30">
        <f t="shared" ca="1" si="3"/>
        <v>784.29</v>
      </c>
      <c r="E38" s="30">
        <f t="shared" ca="1" si="3"/>
        <v>0</v>
      </c>
      <c r="F38">
        <f>'Monthly Data'!S38</f>
        <v>37</v>
      </c>
      <c r="G38" s="30">
        <f>'Monthly Data'!T38</f>
        <v>23226</v>
      </c>
      <c r="I38" s="23">
        <f>'Res OLS Model'!$B$5</f>
        <v>-20568225.384695102</v>
      </c>
      <c r="J38" s="23">
        <f ca="1">'Res OLS Model'!$B$6*D38</f>
        <v>11887172.044729536</v>
      </c>
      <c r="K38" s="23">
        <f ca="1">'Res OLS Model'!$B$7*E38</f>
        <v>0</v>
      </c>
      <c r="L38" s="23">
        <f>'Res OLS Model'!$B$8*F38</f>
        <v>-1129220.0299771314</v>
      </c>
      <c r="M38" s="23">
        <f>'Res OLS Model'!$B$9*G38</f>
        <v>31650467.367549703</v>
      </c>
      <c r="N38" s="23">
        <f t="shared" ca="1" si="1"/>
        <v>21840193.997607008</v>
      </c>
    </row>
    <row r="39" spans="1:14" x14ac:dyDescent="0.25">
      <c r="A39" s="11">
        <f>'Monthly Data'!A39</f>
        <v>40940</v>
      </c>
      <c r="B39" s="6">
        <f t="shared" si="0"/>
        <v>2012</v>
      </c>
      <c r="C39">
        <f>'Monthly Data'!D39</f>
        <v>18571936.430599999</v>
      </c>
      <c r="D39" s="30">
        <f t="shared" ca="1" si="3"/>
        <v>682.50999999999988</v>
      </c>
      <c r="E39" s="30">
        <f t="shared" ca="1" si="3"/>
        <v>0</v>
      </c>
      <c r="F39">
        <f>'Monthly Data'!S39</f>
        <v>38</v>
      </c>
      <c r="G39" s="30">
        <f>'Monthly Data'!T39</f>
        <v>23235</v>
      </c>
      <c r="I39" s="23">
        <f>'Res OLS Model'!$B$5</f>
        <v>-20568225.384695102</v>
      </c>
      <c r="J39" s="23">
        <f ca="1">'Res OLS Model'!$B$6*D39</f>
        <v>10344533.007240122</v>
      </c>
      <c r="K39" s="23">
        <f ca="1">'Res OLS Model'!$B$7*E39</f>
        <v>0</v>
      </c>
      <c r="L39" s="23">
        <f>'Res OLS Model'!$B$8*F39</f>
        <v>-1159739.4902467837</v>
      </c>
      <c r="M39" s="23">
        <f>'Res OLS Model'!$B$9*G39</f>
        <v>31662731.821450848</v>
      </c>
      <c r="N39" s="23">
        <f t="shared" ca="1" si="1"/>
        <v>20279299.953749083</v>
      </c>
    </row>
    <row r="40" spans="1:14" x14ac:dyDescent="0.25">
      <c r="A40" s="11">
        <f>'Monthly Data'!A40</f>
        <v>40969</v>
      </c>
      <c r="B40" s="6">
        <f t="shared" si="0"/>
        <v>2012</v>
      </c>
      <c r="C40">
        <f>'Monthly Data'!D40</f>
        <v>16671968.3027</v>
      </c>
      <c r="D40" s="30">
        <f t="shared" ca="1" si="3"/>
        <v>556.99</v>
      </c>
      <c r="E40" s="30">
        <f t="shared" ca="1" si="3"/>
        <v>0</v>
      </c>
      <c r="F40">
        <f>'Monthly Data'!S40</f>
        <v>39</v>
      </c>
      <c r="G40" s="30">
        <f>'Monthly Data'!T40</f>
        <v>23259</v>
      </c>
      <c r="I40" s="23">
        <f>'Res OLS Model'!$B$5</f>
        <v>-20568225.384695102</v>
      </c>
      <c r="J40" s="23">
        <f ca="1">'Res OLS Model'!$B$6*D40</f>
        <v>8442076.2182278298</v>
      </c>
      <c r="K40" s="23">
        <f ca="1">'Res OLS Model'!$B$7*E40</f>
        <v>0</v>
      </c>
      <c r="L40" s="23">
        <f>'Res OLS Model'!$B$8*F40</f>
        <v>-1190258.9505164358</v>
      </c>
      <c r="M40" s="23">
        <f>'Res OLS Model'!$B$9*G40</f>
        <v>31695437.031853896</v>
      </c>
      <c r="N40" s="23">
        <f t="shared" ca="1" si="1"/>
        <v>18379028.914870188</v>
      </c>
    </row>
    <row r="41" spans="1:14" x14ac:dyDescent="0.25">
      <c r="A41" s="11">
        <f>'Monthly Data'!A41</f>
        <v>41000</v>
      </c>
      <c r="B41" s="6">
        <f t="shared" si="0"/>
        <v>2012</v>
      </c>
      <c r="C41">
        <f>'Monthly Data'!D41</f>
        <v>14395404.4703</v>
      </c>
      <c r="D41" s="30">
        <f t="shared" ca="1" si="3"/>
        <v>326.58999999999997</v>
      </c>
      <c r="E41" s="30">
        <f t="shared" ca="1" si="3"/>
        <v>0.39</v>
      </c>
      <c r="F41">
        <f>'Monthly Data'!S41</f>
        <v>40</v>
      </c>
      <c r="G41" s="30">
        <f>'Monthly Data'!T41</f>
        <v>23160</v>
      </c>
      <c r="I41" s="23">
        <f>'Res OLS Model'!$B$5</f>
        <v>-20568225.384695102</v>
      </c>
      <c r="J41" s="23">
        <f ca="1">'Res OLS Model'!$B$6*D41</f>
        <v>4949994.9229088975</v>
      </c>
      <c r="K41" s="23">
        <f ca="1">'Res OLS Model'!$B$7*E41</f>
        <v>15137.773467507444</v>
      </c>
      <c r="L41" s="23">
        <f>'Res OLS Model'!$B$8*F41</f>
        <v>-1220778.4107860881</v>
      </c>
      <c r="M41" s="23">
        <f>'Res OLS Model'!$B$9*G41</f>
        <v>31560528.038941324</v>
      </c>
      <c r="N41" s="23">
        <f t="shared" ca="1" si="1"/>
        <v>14736656.939836539</v>
      </c>
    </row>
    <row r="42" spans="1:14" x14ac:dyDescent="0.25">
      <c r="A42" s="11">
        <f>'Monthly Data'!A42</f>
        <v>41030</v>
      </c>
      <c r="B42" s="6">
        <f t="shared" si="0"/>
        <v>2012</v>
      </c>
      <c r="C42">
        <f>'Monthly Data'!D42</f>
        <v>11731052.347100001</v>
      </c>
      <c r="D42" s="30">
        <f t="shared" ca="1" si="3"/>
        <v>144.96</v>
      </c>
      <c r="E42" s="30">
        <f t="shared" ca="1" si="3"/>
        <v>8.67</v>
      </c>
      <c r="F42">
        <f>'Monthly Data'!S42</f>
        <v>41</v>
      </c>
      <c r="G42" s="30">
        <f>'Monthly Data'!T42</f>
        <v>22994</v>
      </c>
      <c r="I42" s="23">
        <f>'Res OLS Model'!$B$5</f>
        <v>-20568225.384695102</v>
      </c>
      <c r="J42" s="23">
        <f ca="1">'Res OLS Model'!$B$6*D42</f>
        <v>2197101.1483048284</v>
      </c>
      <c r="K42" s="23">
        <f ca="1">'Res OLS Model'!$B$7*E42</f>
        <v>336524.3486238193</v>
      </c>
      <c r="L42" s="23">
        <f>'Res OLS Model'!$B$8*F42</f>
        <v>-1251297.8710557402</v>
      </c>
      <c r="M42" s="23">
        <f>'Res OLS Model'!$B$9*G42</f>
        <v>31334317.000320241</v>
      </c>
      <c r="N42" s="23">
        <f t="shared" ca="1" si="1"/>
        <v>12048419.241498046</v>
      </c>
    </row>
    <row r="43" spans="1:14" x14ac:dyDescent="0.25">
      <c r="A43" s="11">
        <f>'Monthly Data'!A43</f>
        <v>41061</v>
      </c>
      <c r="B43" s="6">
        <f t="shared" si="0"/>
        <v>2012</v>
      </c>
      <c r="C43">
        <f>'Monthly Data'!D43</f>
        <v>12434620.296799999</v>
      </c>
      <c r="D43" s="30">
        <f t="shared" ca="1" si="3"/>
        <v>41.510000000000005</v>
      </c>
      <c r="E43" s="30">
        <f t="shared" ca="1" si="3"/>
        <v>44.41</v>
      </c>
      <c r="F43">
        <f>'Monthly Data'!S43</f>
        <v>42</v>
      </c>
      <c r="G43" s="30">
        <f>'Monthly Data'!T43</f>
        <v>23023</v>
      </c>
      <c r="I43" s="23">
        <f>'Res OLS Model'!$B$5</f>
        <v>-20568225.384695102</v>
      </c>
      <c r="J43" s="23">
        <f ca="1">'Res OLS Model'!$B$6*D43</f>
        <v>629150.58406549005</v>
      </c>
      <c r="K43" s="23">
        <f ca="1">'Res OLS Model'!$B$7*E43</f>
        <v>1723765.4351077063</v>
      </c>
      <c r="L43" s="23">
        <f>'Res OLS Model'!$B$8*F43</f>
        <v>-1281817.3313253925</v>
      </c>
      <c r="M43" s="23">
        <f>'Res OLS Model'!$B$9*G43</f>
        <v>31373835.796223924</v>
      </c>
      <c r="N43" s="23">
        <f t="shared" ca="1" si="1"/>
        <v>11876709.099376626</v>
      </c>
    </row>
    <row r="44" spans="1:14" x14ac:dyDescent="0.25">
      <c r="A44" s="11">
        <f>'Monthly Data'!A44</f>
        <v>41091</v>
      </c>
      <c r="B44" s="6">
        <f t="shared" si="0"/>
        <v>2012</v>
      </c>
      <c r="C44">
        <f>'Monthly Data'!D44</f>
        <v>14445687.284299999</v>
      </c>
      <c r="D44" s="30">
        <f t="shared" ca="1" si="3"/>
        <v>5.01</v>
      </c>
      <c r="E44" s="30">
        <f t="shared" ca="1" si="3"/>
        <v>96.909999999999982</v>
      </c>
      <c r="F44">
        <f>'Monthly Data'!S44</f>
        <v>43</v>
      </c>
      <c r="G44" s="30">
        <f>'Monthly Data'!T44</f>
        <v>23070</v>
      </c>
      <c r="I44" s="23">
        <f>'Res OLS Model'!$B$5</f>
        <v>-20568225.384695102</v>
      </c>
      <c r="J44" s="23">
        <f ca="1">'Res OLS Model'!$B$6*D44</f>
        <v>75934.580249773659</v>
      </c>
      <c r="K44" s="23">
        <f ca="1">'Res OLS Model'!$B$7*E44</f>
        <v>3761542.6326567847</v>
      </c>
      <c r="L44" s="23">
        <f>'Res OLS Model'!$B$8*F44</f>
        <v>-1312336.7915950448</v>
      </c>
      <c r="M44" s="23">
        <f>'Res OLS Model'!$B$9*G44</f>
        <v>31437883.499929894</v>
      </c>
      <c r="N44" s="23">
        <f t="shared" ca="1" si="1"/>
        <v>13394798.536546309</v>
      </c>
    </row>
    <row r="45" spans="1:14" x14ac:dyDescent="0.25">
      <c r="A45" s="11">
        <f>'Monthly Data'!A45</f>
        <v>41122</v>
      </c>
      <c r="B45" s="6">
        <f t="shared" si="0"/>
        <v>2012</v>
      </c>
      <c r="C45">
        <f>'Monthly Data'!D45</f>
        <v>13861522.800799999</v>
      </c>
      <c r="D45" s="30">
        <f t="shared" ca="1" si="3"/>
        <v>12.719999999999999</v>
      </c>
      <c r="E45" s="30">
        <f t="shared" ca="1" si="3"/>
        <v>77.22999999999999</v>
      </c>
      <c r="F45">
        <f>'Monthly Data'!S45</f>
        <v>44</v>
      </c>
      <c r="G45" s="30">
        <f>'Monthly Data'!T45</f>
        <v>23160</v>
      </c>
      <c r="I45" s="23">
        <f>'Res OLS Model'!$B$5</f>
        <v>-20568225.384695102</v>
      </c>
      <c r="J45" s="23">
        <f ca="1">'Res OLS Model'!$B$6*D45</f>
        <v>192791.98817906604</v>
      </c>
      <c r="K45" s="23">
        <f ca="1">'Res OLS Model'!$B$7*E45</f>
        <v>2997667.2946041017</v>
      </c>
      <c r="L45" s="23">
        <f>'Res OLS Model'!$B$8*F45</f>
        <v>-1342856.2518646969</v>
      </c>
      <c r="M45" s="23">
        <f>'Res OLS Model'!$B$9*G45</f>
        <v>31560528.038941324</v>
      </c>
      <c r="N45" s="23">
        <f t="shared" ca="1" si="1"/>
        <v>12839905.68516469</v>
      </c>
    </row>
    <row r="46" spans="1:14" x14ac:dyDescent="0.25">
      <c r="A46" s="11">
        <f>'Monthly Data'!A46</f>
        <v>41153</v>
      </c>
      <c r="B46" s="6">
        <f t="shared" si="0"/>
        <v>2012</v>
      </c>
      <c r="C46">
        <f>'Monthly Data'!D46</f>
        <v>12546095.385499999</v>
      </c>
      <c r="D46" s="30">
        <f t="shared" ca="1" si="3"/>
        <v>86.570000000000007</v>
      </c>
      <c r="E46" s="30">
        <f t="shared" ca="1" si="3"/>
        <v>19.899999999999999</v>
      </c>
      <c r="F46">
        <f>'Monthly Data'!S46</f>
        <v>45</v>
      </c>
      <c r="G46" s="30">
        <f>'Monthly Data'!T46</f>
        <v>23229</v>
      </c>
      <c r="I46" s="23">
        <f>'Res OLS Model'!$B$5</f>
        <v>-20568225.384695102</v>
      </c>
      <c r="J46" s="23">
        <f ca="1">'Res OLS Model'!$B$6*D46</f>
        <v>1312107.1082281249</v>
      </c>
      <c r="K46" s="23">
        <f ca="1">'Res OLS Model'!$B$7*E46</f>
        <v>772414.59488050791</v>
      </c>
      <c r="L46" s="23">
        <f>'Res OLS Model'!$B$8*F46</f>
        <v>-1373375.7121343492</v>
      </c>
      <c r="M46" s="23">
        <f>'Res OLS Model'!$B$9*G46</f>
        <v>31654555.518850084</v>
      </c>
      <c r="N46" s="23">
        <f t="shared" ca="1" si="1"/>
        <v>11797476.125129264</v>
      </c>
    </row>
    <row r="47" spans="1:14" x14ac:dyDescent="0.25">
      <c r="A47" s="11">
        <f>'Monthly Data'!A47</f>
        <v>41183</v>
      </c>
      <c r="B47" s="6">
        <f t="shared" si="0"/>
        <v>2012</v>
      </c>
      <c r="C47">
        <f>'Monthly Data'!D47</f>
        <v>13105249.1916</v>
      </c>
      <c r="D47" s="30">
        <f t="shared" ca="1" si="3"/>
        <v>270.3</v>
      </c>
      <c r="E47" s="30">
        <f t="shared" ca="1" si="3"/>
        <v>1.21</v>
      </c>
      <c r="F47">
        <f>'Monthly Data'!S47</f>
        <v>46</v>
      </c>
      <c r="G47" s="30">
        <f>'Monthly Data'!T47</f>
        <v>23301</v>
      </c>
      <c r="I47" s="23">
        <f>'Res OLS Model'!$B$5</f>
        <v>-20568225.384695102</v>
      </c>
      <c r="J47" s="23">
        <f ca="1">'Res OLS Model'!$B$6*D47</f>
        <v>4096829.7488051536</v>
      </c>
      <c r="K47" s="23">
        <f ca="1">'Res OLS Model'!$B$7*E47</f>
        <v>46965.912553035909</v>
      </c>
      <c r="L47" s="23">
        <f>'Res OLS Model'!$B$8*F47</f>
        <v>-1403895.1724040012</v>
      </c>
      <c r="M47" s="23">
        <f>'Res OLS Model'!$B$9*G47</f>
        <v>31752671.150059231</v>
      </c>
      <c r="N47" s="23">
        <f t="shared" ca="1" si="1"/>
        <v>13924346.254318319</v>
      </c>
    </row>
    <row r="48" spans="1:14" x14ac:dyDescent="0.25">
      <c r="A48" s="11">
        <f>'Monthly Data'!A48</f>
        <v>41214</v>
      </c>
      <c r="B48" s="6">
        <f t="shared" si="0"/>
        <v>2012</v>
      </c>
      <c r="C48">
        <f>'Monthly Data'!D48</f>
        <v>16847106.408300001</v>
      </c>
      <c r="D48" s="30">
        <f t="shared" ca="1" si="3"/>
        <v>444.05</v>
      </c>
      <c r="E48" s="30">
        <f t="shared" ca="1" si="3"/>
        <v>0</v>
      </c>
      <c r="F48">
        <f>'Monthly Data'!S48</f>
        <v>47</v>
      </c>
      <c r="G48" s="30">
        <f>'Monthly Data'!T48</f>
        <v>23329</v>
      </c>
      <c r="I48" s="23">
        <f>'Res OLS Model'!$B$5</f>
        <v>-20568225.384695102</v>
      </c>
      <c r="J48" s="23">
        <f ca="1">'Res OLS Model'!$B$6*D48</f>
        <v>6730289.4929964058</v>
      </c>
      <c r="K48" s="23">
        <f ca="1">'Res OLS Model'!$B$7*E48</f>
        <v>0</v>
      </c>
      <c r="L48" s="23">
        <f>'Res OLS Model'!$B$8*F48</f>
        <v>-1434414.6326736535</v>
      </c>
      <c r="M48" s="23">
        <f>'Res OLS Model'!$B$9*G48</f>
        <v>31790827.228862785</v>
      </c>
      <c r="N48" s="23">
        <f t="shared" ca="1" si="1"/>
        <v>16518476.704490436</v>
      </c>
    </row>
    <row r="49" spans="1:14" x14ac:dyDescent="0.25">
      <c r="A49" s="11">
        <f>'Monthly Data'!A49</f>
        <v>41244</v>
      </c>
      <c r="B49" s="6">
        <f t="shared" si="0"/>
        <v>2012</v>
      </c>
      <c r="C49">
        <f>'Monthly Data'!D49</f>
        <v>19547886.409699999</v>
      </c>
      <c r="D49" s="30">
        <f t="shared" ca="1" si="3"/>
        <v>684.01</v>
      </c>
      <c r="E49" s="30">
        <f t="shared" ca="1" si="3"/>
        <v>0</v>
      </c>
      <c r="F49">
        <f>'Monthly Data'!S49</f>
        <v>48</v>
      </c>
      <c r="G49" s="30">
        <f>'Monthly Data'!T49</f>
        <v>23324</v>
      </c>
      <c r="I49" s="23">
        <f>'Res OLS Model'!$B$5</f>
        <v>-20568225.384695102</v>
      </c>
      <c r="J49" s="23">
        <f ca="1">'Res OLS Model'!$B$6*D49</f>
        <v>10367267.911506522</v>
      </c>
      <c r="K49" s="23">
        <f ca="1">'Res OLS Model'!$B$7*E49</f>
        <v>0</v>
      </c>
      <c r="L49" s="23">
        <f>'Res OLS Model'!$B$8*F49</f>
        <v>-1464934.0929433056</v>
      </c>
      <c r="M49" s="23">
        <f>'Res OLS Model'!$B$9*G49</f>
        <v>31784013.64336215</v>
      </c>
      <c r="N49" s="23">
        <f t="shared" ca="1" si="1"/>
        <v>20118122.077230267</v>
      </c>
    </row>
    <row r="50" spans="1:14" x14ac:dyDescent="0.25">
      <c r="A50" s="11">
        <f>'Monthly Data'!A50</f>
        <v>41275</v>
      </c>
      <c r="B50" s="6">
        <f t="shared" si="0"/>
        <v>2013</v>
      </c>
      <c r="C50">
        <f>'Monthly Data'!D50</f>
        <v>21901118.335200001</v>
      </c>
      <c r="D50" s="30">
        <f t="shared" ca="1" si="3"/>
        <v>784.29</v>
      </c>
      <c r="E50" s="30">
        <f t="shared" ca="1" si="3"/>
        <v>0</v>
      </c>
      <c r="F50">
        <f>'Monthly Data'!S50</f>
        <v>49</v>
      </c>
      <c r="G50" s="30">
        <f>'Monthly Data'!T50</f>
        <v>23359</v>
      </c>
      <c r="I50" s="23">
        <f>'Res OLS Model'!$B$5</f>
        <v>-20568225.384695102</v>
      </c>
      <c r="J50" s="23">
        <f ca="1">'Res OLS Model'!$B$6*D50</f>
        <v>11887172.044729536</v>
      </c>
      <c r="K50" s="23">
        <f ca="1">'Res OLS Model'!$B$7*E50</f>
        <v>0</v>
      </c>
      <c r="L50" s="23">
        <f>'Res OLS Model'!$B$8*F50</f>
        <v>-1495453.5532129579</v>
      </c>
      <c r="M50" s="23">
        <f>'Res OLS Model'!$B$9*G50</f>
        <v>31831708.741866596</v>
      </c>
      <c r="N50" s="23">
        <f t="shared" ca="1" si="1"/>
        <v>21655201.848688073</v>
      </c>
    </row>
    <row r="51" spans="1:14" x14ac:dyDescent="0.25">
      <c r="A51" s="11">
        <f>'Monthly Data'!A51</f>
        <v>41306</v>
      </c>
      <c r="B51" s="6">
        <f t="shared" si="0"/>
        <v>2013</v>
      </c>
      <c r="C51">
        <f>'Monthly Data'!D51</f>
        <v>19629047.322099999</v>
      </c>
      <c r="D51" s="30">
        <f t="shared" ca="1" si="3"/>
        <v>682.50999999999988</v>
      </c>
      <c r="E51" s="30">
        <f t="shared" ca="1" si="3"/>
        <v>0</v>
      </c>
      <c r="F51">
        <f>'Monthly Data'!S51</f>
        <v>50</v>
      </c>
      <c r="G51" s="30">
        <f>'Monthly Data'!T51</f>
        <v>23474</v>
      </c>
      <c r="I51" s="23">
        <f>'Res OLS Model'!$B$5</f>
        <v>-20568225.384695102</v>
      </c>
      <c r="J51" s="23">
        <f ca="1">'Res OLS Model'!$B$6*D51</f>
        <v>10344533.007240122</v>
      </c>
      <c r="K51" s="23">
        <f ca="1">'Res OLS Model'!$B$7*E51</f>
        <v>0</v>
      </c>
      <c r="L51" s="23">
        <f>'Res OLS Model'!$B$8*F51</f>
        <v>-1525973.01348261</v>
      </c>
      <c r="M51" s="23">
        <f>'Res OLS Model'!$B$9*G51</f>
        <v>31988421.208381202</v>
      </c>
      <c r="N51" s="23">
        <f t="shared" ca="1" si="1"/>
        <v>20238755.817443613</v>
      </c>
    </row>
    <row r="52" spans="1:14" x14ac:dyDescent="0.25">
      <c r="A52" s="11">
        <f>'Monthly Data'!A52</f>
        <v>41334</v>
      </c>
      <c r="B52" s="6">
        <f t="shared" si="0"/>
        <v>2013</v>
      </c>
      <c r="C52">
        <f>'Monthly Data'!D52</f>
        <v>18854792.866099998</v>
      </c>
      <c r="D52" s="30">
        <f t="shared" ca="1" si="3"/>
        <v>556.99</v>
      </c>
      <c r="E52" s="30">
        <f t="shared" ca="1" si="3"/>
        <v>0</v>
      </c>
      <c r="F52">
        <f>'Monthly Data'!S52</f>
        <v>51</v>
      </c>
      <c r="G52" s="30">
        <f>'Monthly Data'!T52</f>
        <v>23489</v>
      </c>
      <c r="I52" s="23">
        <f>'Res OLS Model'!$B$5</f>
        <v>-20568225.384695102</v>
      </c>
      <c r="J52" s="23">
        <f ca="1">'Res OLS Model'!$B$6*D52</f>
        <v>8442076.2182278298</v>
      </c>
      <c r="K52" s="23">
        <f ca="1">'Res OLS Model'!$B$7*E52</f>
        <v>0</v>
      </c>
      <c r="L52" s="23">
        <f>'Res OLS Model'!$B$8*F52</f>
        <v>-1556492.4737522623</v>
      </c>
      <c r="M52" s="23">
        <f>'Res OLS Model'!$B$9*G52</f>
        <v>32008861.964883104</v>
      </c>
      <c r="N52" s="23">
        <f t="shared" ca="1" si="1"/>
        <v>18326220.324663572</v>
      </c>
    </row>
    <row r="53" spans="1:14" x14ac:dyDescent="0.25">
      <c r="A53" s="11">
        <f>'Monthly Data'!A53</f>
        <v>41365</v>
      </c>
      <c r="B53" s="6">
        <f t="shared" si="0"/>
        <v>2013</v>
      </c>
      <c r="C53">
        <f>'Monthly Data'!D53</f>
        <v>15311977.522799999</v>
      </c>
      <c r="D53" s="30">
        <f t="shared" ca="1" si="3"/>
        <v>326.58999999999997</v>
      </c>
      <c r="E53" s="30">
        <f t="shared" ca="1" si="3"/>
        <v>0.39</v>
      </c>
      <c r="F53">
        <f>'Monthly Data'!S53</f>
        <v>52</v>
      </c>
      <c r="G53" s="30">
        <f>'Monthly Data'!T53</f>
        <v>23431</v>
      </c>
      <c r="I53" s="23">
        <f>'Res OLS Model'!$B$5</f>
        <v>-20568225.384695102</v>
      </c>
      <c r="J53" s="23">
        <f ca="1">'Res OLS Model'!$B$6*D53</f>
        <v>4949994.9229088975</v>
      </c>
      <c r="K53" s="23">
        <f ca="1">'Res OLS Model'!$B$7*E53</f>
        <v>15137.773467507444</v>
      </c>
      <c r="L53" s="23">
        <f>'Res OLS Model'!$B$8*F53</f>
        <v>-1587011.9340219144</v>
      </c>
      <c r="M53" s="23">
        <f>'Res OLS Model'!$B$9*G53</f>
        <v>31929824.373075739</v>
      </c>
      <c r="N53" s="23">
        <f t="shared" ca="1" si="1"/>
        <v>14739719.750735126</v>
      </c>
    </row>
    <row r="54" spans="1:14" x14ac:dyDescent="0.25">
      <c r="A54" s="11">
        <f>'Monthly Data'!A54</f>
        <v>41395</v>
      </c>
      <c r="B54" s="6">
        <f t="shared" si="0"/>
        <v>2013</v>
      </c>
      <c r="C54">
        <f>'Monthly Data'!D54</f>
        <v>11256892.577400001</v>
      </c>
      <c r="D54" s="30">
        <f t="shared" ref="D54:E73" ca="1" si="4">D42</f>
        <v>144.96</v>
      </c>
      <c r="E54" s="30">
        <f t="shared" ca="1" si="4"/>
        <v>8.67</v>
      </c>
      <c r="F54">
        <f>'Monthly Data'!S54</f>
        <v>53</v>
      </c>
      <c r="G54" s="30">
        <f>'Monthly Data'!T54</f>
        <v>23336</v>
      </c>
      <c r="I54" s="23">
        <f>'Res OLS Model'!$B$5</f>
        <v>-20568225.384695102</v>
      </c>
      <c r="J54" s="23">
        <f ca="1">'Res OLS Model'!$B$6*D54</f>
        <v>2197101.1483048284</v>
      </c>
      <c r="K54" s="23">
        <f ca="1">'Res OLS Model'!$B$7*E54</f>
        <v>336524.3486238193</v>
      </c>
      <c r="L54" s="23">
        <f>'Res OLS Model'!$B$8*F54</f>
        <v>-1617531.3942915667</v>
      </c>
      <c r="M54" s="23">
        <f>'Res OLS Model'!$B$9*G54</f>
        <v>31800366.248563673</v>
      </c>
      <c r="N54" s="23">
        <f t="shared" ca="1" si="1"/>
        <v>12148234.96650565</v>
      </c>
    </row>
    <row r="55" spans="1:14" x14ac:dyDescent="0.25">
      <c r="A55" s="11">
        <f>'Monthly Data'!A55</f>
        <v>41426</v>
      </c>
      <c r="B55" s="6">
        <f t="shared" si="0"/>
        <v>2013</v>
      </c>
      <c r="C55">
        <f>'Monthly Data'!D55</f>
        <v>11837120.3138</v>
      </c>
      <c r="D55" s="30">
        <f t="shared" ca="1" si="4"/>
        <v>41.510000000000005</v>
      </c>
      <c r="E55" s="30">
        <f t="shared" ca="1" si="4"/>
        <v>44.41</v>
      </c>
      <c r="F55">
        <f>'Monthly Data'!S55</f>
        <v>54</v>
      </c>
      <c r="G55" s="30">
        <f>'Monthly Data'!T55</f>
        <v>23395</v>
      </c>
      <c r="I55" s="23">
        <f>'Res OLS Model'!$B$5</f>
        <v>-20568225.384695102</v>
      </c>
      <c r="J55" s="23">
        <f ca="1">'Res OLS Model'!$B$6*D55</f>
        <v>629150.58406549005</v>
      </c>
      <c r="K55" s="23">
        <f ca="1">'Res OLS Model'!$B$7*E55</f>
        <v>1723765.4351077063</v>
      </c>
      <c r="L55" s="23">
        <f>'Res OLS Model'!$B$8*F55</f>
        <v>-1648050.854561219</v>
      </c>
      <c r="M55" s="23">
        <f>'Res OLS Model'!$B$9*G55</f>
        <v>31880766.557471167</v>
      </c>
      <c r="N55" s="23">
        <f t="shared" ca="1" si="1"/>
        <v>12017406.337388042</v>
      </c>
    </row>
    <row r="56" spans="1:14" x14ac:dyDescent="0.25">
      <c r="A56" s="11">
        <f>'Monthly Data'!A56</f>
        <v>41456</v>
      </c>
      <c r="B56" s="6">
        <f t="shared" si="0"/>
        <v>2013</v>
      </c>
      <c r="C56">
        <f>'Monthly Data'!D56</f>
        <v>13724938.6174</v>
      </c>
      <c r="D56" s="30">
        <f t="shared" ca="1" si="4"/>
        <v>5.01</v>
      </c>
      <c r="E56" s="30">
        <f t="shared" ca="1" si="4"/>
        <v>96.909999999999982</v>
      </c>
      <c r="F56">
        <f>'Monthly Data'!S56</f>
        <v>55</v>
      </c>
      <c r="G56" s="30">
        <f>'Monthly Data'!T56</f>
        <v>23379</v>
      </c>
      <c r="I56" s="23">
        <f>'Res OLS Model'!$B$5</f>
        <v>-20568225.384695102</v>
      </c>
      <c r="J56" s="23">
        <f ca="1">'Res OLS Model'!$B$6*D56</f>
        <v>75934.580249773659</v>
      </c>
      <c r="K56" s="23">
        <f ca="1">'Res OLS Model'!$B$7*E56</f>
        <v>3761542.6326567847</v>
      </c>
      <c r="L56" s="23">
        <f>'Res OLS Model'!$B$8*F56</f>
        <v>-1678570.3148308711</v>
      </c>
      <c r="M56" s="23">
        <f>'Res OLS Model'!$B$9*G56</f>
        <v>31858963.083869137</v>
      </c>
      <c r="N56" s="23">
        <f t="shared" ca="1" si="1"/>
        <v>13449644.597249724</v>
      </c>
    </row>
    <row r="57" spans="1:14" x14ac:dyDescent="0.25">
      <c r="A57" s="11">
        <f>'Monthly Data'!A57</f>
        <v>41487</v>
      </c>
      <c r="B57" s="6">
        <f t="shared" si="0"/>
        <v>2013</v>
      </c>
      <c r="C57">
        <f>'Monthly Data'!D57</f>
        <v>12808476.5385</v>
      </c>
      <c r="D57" s="30">
        <f t="shared" ca="1" si="4"/>
        <v>12.719999999999999</v>
      </c>
      <c r="E57" s="30">
        <f t="shared" ca="1" si="4"/>
        <v>77.22999999999999</v>
      </c>
      <c r="F57">
        <f>'Monthly Data'!S57</f>
        <v>56</v>
      </c>
      <c r="G57" s="30">
        <f>'Monthly Data'!T57</f>
        <v>23423</v>
      </c>
      <c r="I57" s="23">
        <f>'Res OLS Model'!$B$5</f>
        <v>-20568225.384695102</v>
      </c>
      <c r="J57" s="23">
        <f ca="1">'Res OLS Model'!$B$6*D57</f>
        <v>192791.98817906604</v>
      </c>
      <c r="K57" s="23">
        <f ca="1">'Res OLS Model'!$B$7*E57</f>
        <v>2997667.2946041017</v>
      </c>
      <c r="L57" s="23">
        <f>'Res OLS Model'!$B$8*F57</f>
        <v>-1709089.7751005234</v>
      </c>
      <c r="M57" s="23">
        <f>'Res OLS Model'!$B$9*G57</f>
        <v>31918922.636274721</v>
      </c>
      <c r="N57" s="23">
        <f t="shared" ca="1" si="1"/>
        <v>12832066.759262264</v>
      </c>
    </row>
    <row r="58" spans="1:14" x14ac:dyDescent="0.25">
      <c r="A58" s="11">
        <f>'Monthly Data'!A58</f>
        <v>41518</v>
      </c>
      <c r="B58" s="6">
        <f t="shared" si="0"/>
        <v>2013</v>
      </c>
      <c r="C58">
        <f>'Monthly Data'!D58</f>
        <v>12245851.7632</v>
      </c>
      <c r="D58" s="30">
        <f t="shared" ca="1" si="4"/>
        <v>86.570000000000007</v>
      </c>
      <c r="E58" s="30">
        <f t="shared" ca="1" si="4"/>
        <v>19.899999999999999</v>
      </c>
      <c r="F58">
        <f>'Monthly Data'!S58</f>
        <v>57</v>
      </c>
      <c r="G58" s="30">
        <f>'Monthly Data'!T58</f>
        <v>23499</v>
      </c>
      <c r="I58" s="23">
        <f>'Res OLS Model'!$B$5</f>
        <v>-20568225.384695102</v>
      </c>
      <c r="J58" s="23">
        <f ca="1">'Res OLS Model'!$B$6*D58</f>
        <v>1312107.1082281249</v>
      </c>
      <c r="K58" s="23">
        <f ca="1">'Res OLS Model'!$B$7*E58</f>
        <v>772414.59488050791</v>
      </c>
      <c r="L58" s="23">
        <f>'Res OLS Model'!$B$8*F58</f>
        <v>-1739609.2353701754</v>
      </c>
      <c r="M58" s="23">
        <f>'Res OLS Model'!$B$9*G58</f>
        <v>32022489.135884374</v>
      </c>
      <c r="N58" s="23">
        <f t="shared" ca="1" si="1"/>
        <v>11799176.21892773</v>
      </c>
    </row>
    <row r="59" spans="1:14" x14ac:dyDescent="0.25">
      <c r="A59" s="11">
        <f>'Monthly Data'!A59</f>
        <v>41548</v>
      </c>
      <c r="B59" s="6">
        <f t="shared" si="0"/>
        <v>2013</v>
      </c>
      <c r="C59">
        <f>'Monthly Data'!D59</f>
        <v>13101524.618600002</v>
      </c>
      <c r="D59" s="30">
        <f t="shared" ca="1" si="4"/>
        <v>270.3</v>
      </c>
      <c r="E59" s="30">
        <f t="shared" ca="1" si="4"/>
        <v>1.21</v>
      </c>
      <c r="F59">
        <f>'Monthly Data'!S59</f>
        <v>58</v>
      </c>
      <c r="G59" s="30">
        <f>'Monthly Data'!T59</f>
        <v>23572</v>
      </c>
      <c r="I59" s="23">
        <f>'Res OLS Model'!$B$5</f>
        <v>-20568225.384695102</v>
      </c>
      <c r="J59" s="23">
        <f ca="1">'Res OLS Model'!$B$6*D59</f>
        <v>4096829.7488051536</v>
      </c>
      <c r="K59" s="23">
        <f ca="1">'Res OLS Model'!$B$7*E59</f>
        <v>46965.912553035909</v>
      </c>
      <c r="L59" s="23">
        <f>'Res OLS Model'!$B$8*F59</f>
        <v>-1770128.6956398278</v>
      </c>
      <c r="M59" s="23">
        <f>'Res OLS Model'!$B$9*G59</f>
        <v>32121967.484193645</v>
      </c>
      <c r="N59" s="23">
        <f t="shared" ca="1" si="1"/>
        <v>13927409.065216906</v>
      </c>
    </row>
    <row r="60" spans="1:14" x14ac:dyDescent="0.25">
      <c r="A60" s="11">
        <f>'Monthly Data'!A60</f>
        <v>41579</v>
      </c>
      <c r="B60" s="6">
        <f t="shared" si="0"/>
        <v>2013</v>
      </c>
      <c r="C60">
        <f>'Monthly Data'!D60</f>
        <v>17400393.981199998</v>
      </c>
      <c r="D60" s="30">
        <f t="shared" ca="1" si="4"/>
        <v>444.05</v>
      </c>
      <c r="E60" s="30">
        <f t="shared" ca="1" si="4"/>
        <v>0</v>
      </c>
      <c r="F60">
        <f>'Monthly Data'!S60</f>
        <v>59</v>
      </c>
      <c r="G60" s="30">
        <f>'Monthly Data'!T60</f>
        <v>23628</v>
      </c>
      <c r="I60" s="23">
        <f>'Res OLS Model'!$B$5</f>
        <v>-20568225.384695102</v>
      </c>
      <c r="J60" s="23">
        <f ca="1">'Res OLS Model'!$B$6*D60</f>
        <v>6730289.4929964058</v>
      </c>
      <c r="K60" s="23">
        <f ca="1">'Res OLS Model'!$B$7*E60</f>
        <v>0</v>
      </c>
      <c r="L60" s="23">
        <f>'Res OLS Model'!$B$8*F60</f>
        <v>-1800648.1559094798</v>
      </c>
      <c r="M60" s="23">
        <f>'Res OLS Model'!$B$9*G60</f>
        <v>32198279.641800757</v>
      </c>
      <c r="N60" s="23">
        <f t="shared" ca="1" si="1"/>
        <v>16559695.594192581</v>
      </c>
    </row>
    <row r="61" spans="1:14" x14ac:dyDescent="0.25">
      <c r="A61" s="11">
        <f>'Monthly Data'!A61</f>
        <v>41609</v>
      </c>
      <c r="B61" s="6">
        <f t="shared" si="0"/>
        <v>2013</v>
      </c>
      <c r="C61">
        <f>'Monthly Data'!D61</f>
        <v>21276561.418000001</v>
      </c>
      <c r="D61" s="30">
        <f t="shared" ca="1" si="4"/>
        <v>684.01</v>
      </c>
      <c r="E61" s="30">
        <f t="shared" ca="1" si="4"/>
        <v>0</v>
      </c>
      <c r="F61">
        <f>'Monthly Data'!S61</f>
        <v>60</v>
      </c>
      <c r="G61" s="30">
        <f>'Monthly Data'!T61</f>
        <v>23625</v>
      </c>
      <c r="I61" s="23">
        <f>'Res OLS Model'!$B$5</f>
        <v>-20568225.384695102</v>
      </c>
      <c r="J61" s="23">
        <f ca="1">'Res OLS Model'!$B$6*D61</f>
        <v>10367267.911506522</v>
      </c>
      <c r="K61" s="23">
        <f ca="1">'Res OLS Model'!$B$7*E61</f>
        <v>0</v>
      </c>
      <c r="L61" s="23">
        <f>'Res OLS Model'!$B$8*F61</f>
        <v>-1831167.6161791321</v>
      </c>
      <c r="M61" s="23">
        <f>'Res OLS Model'!$B$9*G61</f>
        <v>32194191.490500376</v>
      </c>
      <c r="N61" s="23">
        <f t="shared" ca="1" si="1"/>
        <v>20162066.401132666</v>
      </c>
    </row>
    <row r="62" spans="1:14" x14ac:dyDescent="0.25">
      <c r="A62" s="11">
        <v>41640</v>
      </c>
      <c r="B62" s="6">
        <f t="shared" si="0"/>
        <v>2014</v>
      </c>
      <c r="C62" s="30">
        <f>'Monthly Data'!D62</f>
        <v>24045022.723000001</v>
      </c>
      <c r="D62" s="30">
        <f t="shared" ca="1" si="4"/>
        <v>784.29</v>
      </c>
      <c r="E62" s="30">
        <f t="shared" ca="1" si="4"/>
        <v>0</v>
      </c>
      <c r="F62">
        <f>F61+1</f>
        <v>61</v>
      </c>
      <c r="G62" s="30">
        <f>'Monthly Data'!T62</f>
        <v>23649</v>
      </c>
      <c r="I62" s="23">
        <f>'Res OLS Model'!$B$5</f>
        <v>-20568225.384695102</v>
      </c>
      <c r="J62" s="23">
        <f ca="1">'Res OLS Model'!$B$6*D62</f>
        <v>11887172.044729536</v>
      </c>
      <c r="K62" s="23">
        <f ca="1">'Res OLS Model'!$B$7*E62</f>
        <v>0</v>
      </c>
      <c r="L62" s="23">
        <f>'Res OLS Model'!$B$8*F62</f>
        <v>-1861687.0764487842</v>
      </c>
      <c r="M62" s="23">
        <f>'Res OLS Model'!$B$9*G62</f>
        <v>32226896.700903427</v>
      </c>
      <c r="N62" s="23">
        <f t="shared" ca="1" si="1"/>
        <v>21684156.284489077</v>
      </c>
    </row>
    <row r="63" spans="1:14" x14ac:dyDescent="0.25">
      <c r="A63" s="11">
        <v>41671</v>
      </c>
      <c r="B63" s="6">
        <f t="shared" si="0"/>
        <v>2014</v>
      </c>
      <c r="C63" s="30">
        <f>'Monthly Data'!D63</f>
        <v>20749302.4553</v>
      </c>
      <c r="D63" s="30">
        <f t="shared" ca="1" si="4"/>
        <v>682.50999999999988</v>
      </c>
      <c r="E63" s="30">
        <f t="shared" ca="1" si="4"/>
        <v>0</v>
      </c>
      <c r="F63">
        <f t="shared" ref="F63:F126" si="5">F62+1</f>
        <v>62</v>
      </c>
      <c r="G63" s="30">
        <f>'Monthly Data'!T63</f>
        <v>23652</v>
      </c>
      <c r="I63" s="23">
        <f>'Res OLS Model'!$B$5</f>
        <v>-20568225.384695102</v>
      </c>
      <c r="J63" s="23">
        <f ca="1">'Res OLS Model'!$B$6*D63</f>
        <v>10344533.007240122</v>
      </c>
      <c r="K63" s="23">
        <f ca="1">'Res OLS Model'!$B$7*E63</f>
        <v>0</v>
      </c>
      <c r="L63" s="23">
        <f>'Res OLS Model'!$B$8*F63</f>
        <v>-1892206.5367184365</v>
      </c>
      <c r="M63" s="23">
        <f>'Res OLS Model'!$B$9*G63</f>
        <v>32230984.852203805</v>
      </c>
      <c r="N63" s="23">
        <f t="shared" ca="1" si="1"/>
        <v>20115085.938030388</v>
      </c>
    </row>
    <row r="64" spans="1:14" x14ac:dyDescent="0.25">
      <c r="A64" s="11">
        <v>41699</v>
      </c>
      <c r="B64" s="6">
        <f t="shared" si="0"/>
        <v>2014</v>
      </c>
      <c r="C64" s="30">
        <f>'Monthly Data'!D64</f>
        <v>20476865.275200002</v>
      </c>
      <c r="D64" s="30">
        <f t="shared" ca="1" si="4"/>
        <v>556.99</v>
      </c>
      <c r="E64" s="30">
        <f t="shared" ca="1" si="4"/>
        <v>0</v>
      </c>
      <c r="F64">
        <f t="shared" si="5"/>
        <v>63</v>
      </c>
      <c r="G64" s="30">
        <f>'Monthly Data'!T64</f>
        <v>23692</v>
      </c>
      <c r="I64" s="23">
        <f>'Res OLS Model'!$B$5</f>
        <v>-20568225.384695102</v>
      </c>
      <c r="J64" s="23">
        <f ca="1">'Res OLS Model'!$B$6*D64</f>
        <v>8442076.2182278298</v>
      </c>
      <c r="K64" s="23">
        <f ca="1">'Res OLS Model'!$B$7*E64</f>
        <v>0</v>
      </c>
      <c r="L64" s="23">
        <f>'Res OLS Model'!$B$8*F64</f>
        <v>-1922725.9969880886</v>
      </c>
      <c r="M64" s="23">
        <f>'Res OLS Model'!$B$9*G64</f>
        <v>32285493.536208887</v>
      </c>
      <c r="N64" s="23">
        <f t="shared" ca="1" si="1"/>
        <v>18236618.372753527</v>
      </c>
    </row>
    <row r="65" spans="1:14" x14ac:dyDescent="0.25">
      <c r="A65" s="11">
        <v>41730</v>
      </c>
      <c r="B65" s="6">
        <f t="shared" si="0"/>
        <v>2014</v>
      </c>
      <c r="C65" s="30">
        <f>'Monthly Data'!D65</f>
        <v>15606789.041399999</v>
      </c>
      <c r="D65" s="30">
        <f t="shared" ca="1" si="4"/>
        <v>326.58999999999997</v>
      </c>
      <c r="E65" s="30">
        <f t="shared" ca="1" si="4"/>
        <v>0.39</v>
      </c>
      <c r="F65">
        <f t="shared" si="5"/>
        <v>64</v>
      </c>
      <c r="G65" s="30">
        <f>'Monthly Data'!T65</f>
        <v>23826</v>
      </c>
      <c r="I65" s="23">
        <f>'Res OLS Model'!$B$5</f>
        <v>-20568225.384695102</v>
      </c>
      <c r="J65" s="23">
        <f ca="1">'Res OLS Model'!$B$6*D65</f>
        <v>4949994.9229088975</v>
      </c>
      <c r="K65" s="23">
        <f ca="1">'Res OLS Model'!$B$7*E65</f>
        <v>15137.773467507444</v>
      </c>
      <c r="L65" s="23">
        <f>'Res OLS Model'!$B$8*F65</f>
        <v>-1953245.4572577409</v>
      </c>
      <c r="M65" s="23">
        <f>'Res OLS Model'!$B$9*G65</f>
        <v>32468097.627625905</v>
      </c>
      <c r="N65" s="23">
        <f t="shared" ca="1" si="1"/>
        <v>14911759.482049469</v>
      </c>
    </row>
    <row r="66" spans="1:14" x14ac:dyDescent="0.25">
      <c r="A66" s="11">
        <v>41760</v>
      </c>
      <c r="B66" s="6">
        <f t="shared" si="0"/>
        <v>2014</v>
      </c>
      <c r="C66" s="30">
        <f>'Monthly Data'!D66</f>
        <v>11442915.201100001</v>
      </c>
      <c r="D66" s="30">
        <f t="shared" ca="1" si="4"/>
        <v>144.96</v>
      </c>
      <c r="E66" s="30">
        <f t="shared" ca="1" si="4"/>
        <v>8.67</v>
      </c>
      <c r="F66">
        <f t="shared" si="5"/>
        <v>65</v>
      </c>
      <c r="G66" s="30">
        <f>'Monthly Data'!T66</f>
        <v>23751</v>
      </c>
      <c r="I66" s="23">
        <f>'Res OLS Model'!$B$5</f>
        <v>-20568225.384695102</v>
      </c>
      <c r="J66" s="23">
        <f ca="1">'Res OLS Model'!$B$6*D66</f>
        <v>2197101.1483048284</v>
      </c>
      <c r="K66" s="23">
        <f ca="1">'Res OLS Model'!$B$7*E66</f>
        <v>336524.3486238193</v>
      </c>
      <c r="L66" s="23">
        <f>'Res OLS Model'!$B$8*F66</f>
        <v>-1983764.9175273932</v>
      </c>
      <c r="M66" s="23">
        <f>'Res OLS Model'!$B$9*G66</f>
        <v>32365893.845116381</v>
      </c>
      <c r="N66" s="23">
        <f t="shared" ca="1" si="1"/>
        <v>12347529.039822534</v>
      </c>
    </row>
    <row r="67" spans="1:14" x14ac:dyDescent="0.25">
      <c r="A67" s="11">
        <v>41791</v>
      </c>
      <c r="B67" s="6">
        <f t="shared" ref="B67:B97" si="6">YEAR(A67)</f>
        <v>2014</v>
      </c>
      <c r="C67" s="30">
        <f>'Monthly Data'!D67</f>
        <v>11450449.290999999</v>
      </c>
      <c r="D67" s="30">
        <f t="shared" ca="1" si="4"/>
        <v>41.510000000000005</v>
      </c>
      <c r="E67" s="30">
        <f t="shared" ca="1" si="4"/>
        <v>44.41</v>
      </c>
      <c r="F67">
        <f t="shared" si="5"/>
        <v>66</v>
      </c>
      <c r="G67" s="30">
        <f>'Monthly Data'!T67</f>
        <v>23799</v>
      </c>
      <c r="I67" s="23">
        <f>'Res OLS Model'!$B$5</f>
        <v>-20568225.384695102</v>
      </c>
      <c r="J67" s="23">
        <f ca="1">'Res OLS Model'!$B$6*D67</f>
        <v>629150.58406549005</v>
      </c>
      <c r="K67" s="23">
        <f ca="1">'Res OLS Model'!$B$7*E67</f>
        <v>1723765.4351077063</v>
      </c>
      <c r="L67" s="23">
        <f>'Res OLS Model'!$B$8*F67</f>
        <v>-2014284.3777970453</v>
      </c>
      <c r="M67" s="23">
        <f>'Res OLS Model'!$B$9*G67</f>
        <v>32431304.265922476</v>
      </c>
      <c r="N67" s="23">
        <f t="shared" ref="N67:N130" ca="1" si="7">SUM(I67:M67)</f>
        <v>12201710.522603527</v>
      </c>
    </row>
    <row r="68" spans="1:14" x14ac:dyDescent="0.25">
      <c r="A68" s="11">
        <v>41821</v>
      </c>
      <c r="B68" s="6">
        <f t="shared" si="6"/>
        <v>2014</v>
      </c>
      <c r="C68" s="30">
        <f>'Monthly Data'!D68</f>
        <v>12659349.261</v>
      </c>
      <c r="D68" s="30">
        <f t="shared" ca="1" si="4"/>
        <v>5.01</v>
      </c>
      <c r="E68" s="30">
        <f t="shared" ca="1" si="4"/>
        <v>96.909999999999982</v>
      </c>
      <c r="F68">
        <f t="shared" si="5"/>
        <v>67</v>
      </c>
      <c r="G68" s="30">
        <f>'Monthly Data'!T68</f>
        <v>23834</v>
      </c>
      <c r="I68" s="23">
        <f>'Res OLS Model'!$B$5</f>
        <v>-20568225.384695102</v>
      </c>
      <c r="J68" s="23">
        <f ca="1">'Res OLS Model'!$B$6*D68</f>
        <v>75934.580249773659</v>
      </c>
      <c r="K68" s="23">
        <f ca="1">'Res OLS Model'!$B$7*E68</f>
        <v>3761542.6326567847</v>
      </c>
      <c r="L68" s="23">
        <f>'Res OLS Model'!$B$8*F68</f>
        <v>-2044803.8380666976</v>
      </c>
      <c r="M68" s="23">
        <f>'Res OLS Model'!$B$9*G68</f>
        <v>32478999.364426922</v>
      </c>
      <c r="N68" s="23">
        <f t="shared" ca="1" si="7"/>
        <v>13703447.354571681</v>
      </c>
    </row>
    <row r="69" spans="1:14" x14ac:dyDescent="0.25">
      <c r="A69" s="11">
        <v>41852</v>
      </c>
      <c r="B69" s="6">
        <f t="shared" si="6"/>
        <v>2014</v>
      </c>
      <c r="C69" s="30">
        <f>'Monthly Data'!D69</f>
        <v>12690651.3156</v>
      </c>
      <c r="D69" s="30">
        <f t="shared" ca="1" si="4"/>
        <v>12.719999999999999</v>
      </c>
      <c r="E69" s="30">
        <f t="shared" ca="1" si="4"/>
        <v>77.22999999999999</v>
      </c>
      <c r="F69">
        <f t="shared" si="5"/>
        <v>68</v>
      </c>
      <c r="G69" s="30">
        <f>'Monthly Data'!T69</f>
        <v>23862</v>
      </c>
      <c r="I69" s="23">
        <f>'Res OLS Model'!$B$5</f>
        <v>-20568225.384695102</v>
      </c>
      <c r="J69" s="23">
        <f ca="1">'Res OLS Model'!$B$6*D69</f>
        <v>192791.98817906604</v>
      </c>
      <c r="K69" s="23">
        <f ca="1">'Res OLS Model'!$B$7*E69</f>
        <v>2997667.2946041017</v>
      </c>
      <c r="L69" s="23">
        <f>'Res OLS Model'!$B$8*F69</f>
        <v>-2075323.2983363497</v>
      </c>
      <c r="M69" s="23">
        <f>'Res OLS Model'!$B$9*G69</f>
        <v>32517155.443230476</v>
      </c>
      <c r="N69" s="23">
        <f t="shared" ca="1" si="7"/>
        <v>13064066.042982191</v>
      </c>
    </row>
    <row r="70" spans="1:14" x14ac:dyDescent="0.25">
      <c r="A70" s="11">
        <v>41883</v>
      </c>
      <c r="B70" s="6">
        <f t="shared" si="6"/>
        <v>2014</v>
      </c>
      <c r="C70" s="30">
        <f>'Monthly Data'!D70</f>
        <v>12397214.755899999</v>
      </c>
      <c r="D70" s="30">
        <f t="shared" ca="1" si="4"/>
        <v>86.570000000000007</v>
      </c>
      <c r="E70" s="30">
        <f t="shared" ca="1" si="4"/>
        <v>19.899999999999999</v>
      </c>
      <c r="F70">
        <f t="shared" si="5"/>
        <v>69</v>
      </c>
      <c r="G70" s="30">
        <f>'Monthly Data'!T70</f>
        <v>24020</v>
      </c>
      <c r="I70" s="23">
        <f>'Res OLS Model'!$B$5</f>
        <v>-20568225.384695102</v>
      </c>
      <c r="J70" s="23">
        <f ca="1">'Res OLS Model'!$B$6*D70</f>
        <v>1312107.1082281249</v>
      </c>
      <c r="K70" s="23">
        <f ca="1">'Res OLS Model'!$B$7*E70</f>
        <v>772414.59488050791</v>
      </c>
      <c r="L70" s="23">
        <f>'Res OLS Model'!$B$8*F70</f>
        <v>-2105842.7586060017</v>
      </c>
      <c r="M70" s="23">
        <f>'Res OLS Model'!$B$9*G70</f>
        <v>32732464.745050542</v>
      </c>
      <c r="N70" s="23">
        <f t="shared" ca="1" si="7"/>
        <v>12142918.30485807</v>
      </c>
    </row>
    <row r="71" spans="1:14" x14ac:dyDescent="0.25">
      <c r="A71" s="11">
        <v>41913</v>
      </c>
      <c r="B71" s="6">
        <f t="shared" si="6"/>
        <v>2014</v>
      </c>
      <c r="C71" s="30">
        <f>'Monthly Data'!D71</f>
        <v>13065374.972399998</v>
      </c>
      <c r="D71" s="30">
        <f t="shared" ca="1" si="4"/>
        <v>270.3</v>
      </c>
      <c r="E71" s="30">
        <f t="shared" ca="1" si="4"/>
        <v>1.21</v>
      </c>
      <c r="F71">
        <f t="shared" si="5"/>
        <v>70</v>
      </c>
      <c r="G71" s="30">
        <f>'Monthly Data'!T71</f>
        <v>24052</v>
      </c>
      <c r="I71" s="23">
        <f>'Res OLS Model'!$B$5</f>
        <v>-20568225.384695102</v>
      </c>
      <c r="J71" s="23">
        <f ca="1">'Res OLS Model'!$B$6*D71</f>
        <v>4096829.7488051536</v>
      </c>
      <c r="K71" s="23">
        <f ca="1">'Res OLS Model'!$B$7*E71</f>
        <v>46965.912553035909</v>
      </c>
      <c r="L71" s="23">
        <f>'Res OLS Model'!$B$8*F71</f>
        <v>-2136362.218875654</v>
      </c>
      <c r="M71" s="23">
        <f>'Res OLS Model'!$B$9*G71</f>
        <v>32776071.692254607</v>
      </c>
      <c r="N71" s="23">
        <f t="shared" ca="1" si="7"/>
        <v>14215279.75004204</v>
      </c>
    </row>
    <row r="72" spans="1:14" x14ac:dyDescent="0.25">
      <c r="A72" s="11">
        <v>41944</v>
      </c>
      <c r="B72" s="6">
        <f t="shared" si="6"/>
        <v>2014</v>
      </c>
      <c r="C72" s="30">
        <f>'Monthly Data'!D72</f>
        <v>17254782.230599999</v>
      </c>
      <c r="D72" s="30">
        <f t="shared" ca="1" si="4"/>
        <v>444.05</v>
      </c>
      <c r="E72" s="30">
        <f t="shared" ca="1" si="4"/>
        <v>0</v>
      </c>
      <c r="F72">
        <f t="shared" si="5"/>
        <v>71</v>
      </c>
      <c r="G72" s="30">
        <f>'Monthly Data'!T72</f>
        <v>24048</v>
      </c>
      <c r="I72" s="23">
        <f>'Res OLS Model'!$B$5</f>
        <v>-20568225.384695102</v>
      </c>
      <c r="J72" s="23">
        <f ca="1">'Res OLS Model'!$B$6*D72</f>
        <v>6730289.4929964058</v>
      </c>
      <c r="K72" s="23">
        <f ca="1">'Res OLS Model'!$B$7*E72</f>
        <v>0</v>
      </c>
      <c r="L72" s="23">
        <f>'Res OLS Model'!$B$8*F72</f>
        <v>-2166881.6791453063</v>
      </c>
      <c r="M72" s="23">
        <f>'Res OLS Model'!$B$9*G72</f>
        <v>32770620.8238541</v>
      </c>
      <c r="N72" s="23">
        <f t="shared" ca="1" si="7"/>
        <v>16765803.253010098</v>
      </c>
    </row>
    <row r="73" spans="1:14" x14ac:dyDescent="0.25">
      <c r="A73" s="11">
        <v>41974</v>
      </c>
      <c r="B73" s="6">
        <f t="shared" si="6"/>
        <v>2014</v>
      </c>
      <c r="C73" s="30">
        <f>'Monthly Data'!D73</f>
        <v>20222691.8213</v>
      </c>
      <c r="D73" s="30">
        <f t="shared" ca="1" si="4"/>
        <v>684.01</v>
      </c>
      <c r="E73" s="30">
        <f t="shared" ca="1" si="4"/>
        <v>0</v>
      </c>
      <c r="F73">
        <f t="shared" si="5"/>
        <v>72</v>
      </c>
      <c r="G73" s="30">
        <f>'Monthly Data'!T73</f>
        <v>24046</v>
      </c>
      <c r="I73" s="23">
        <f>'Res OLS Model'!$B$5</f>
        <v>-20568225.384695102</v>
      </c>
      <c r="J73" s="23">
        <f ca="1">'Res OLS Model'!$B$6*D73</f>
        <v>10367267.911506522</v>
      </c>
      <c r="K73" s="23">
        <f ca="1">'Res OLS Model'!$B$7*E73</f>
        <v>0</v>
      </c>
      <c r="L73" s="23">
        <f>'Res OLS Model'!$B$8*F73</f>
        <v>-2197401.1394149587</v>
      </c>
      <c r="M73" s="23">
        <f>'Res OLS Model'!$B$9*G73</f>
        <v>32767895.389653843</v>
      </c>
      <c r="N73" s="23">
        <f t="shared" ca="1" si="7"/>
        <v>20369536.777050305</v>
      </c>
    </row>
    <row r="74" spans="1:14" x14ac:dyDescent="0.25">
      <c r="A74" s="11">
        <v>42005</v>
      </c>
      <c r="B74" s="6">
        <f t="shared" si="6"/>
        <v>2015</v>
      </c>
      <c r="D74" s="30">
        <f t="shared" ref="D74:E93" ca="1" si="8">D62</f>
        <v>784.29</v>
      </c>
      <c r="E74" s="30">
        <f t="shared" ca="1" si="8"/>
        <v>0</v>
      </c>
      <c r="F74">
        <f t="shared" si="5"/>
        <v>73</v>
      </c>
      <c r="G74" s="82">
        <f>SUMIF('Connection count GS Adjusted '!B:B,B74,'Connection count GS Adjusted '!C:C)</f>
        <v>24004.475833780409</v>
      </c>
      <c r="I74" s="23">
        <f>'Res OLS Model'!$B$5</f>
        <v>-20568225.384695102</v>
      </c>
      <c r="J74" s="23">
        <f ca="1">'Res OLS Model'!$B$6*D74</f>
        <v>11887172.044729536</v>
      </c>
      <c r="K74" s="23">
        <f ca="1">'Res OLS Model'!$B$7*E74</f>
        <v>0</v>
      </c>
      <c r="L74" s="23">
        <f>'Res OLS Model'!$B$8*F74</f>
        <v>-2227920.5996846105</v>
      </c>
      <c r="M74" s="23">
        <f>'Res OLS Model'!$B$9*G74</f>
        <v>32711309.698277891</v>
      </c>
      <c r="N74" s="23">
        <f t="shared" ca="1" si="7"/>
        <v>21802335.758627713</v>
      </c>
    </row>
    <row r="75" spans="1:14" x14ac:dyDescent="0.25">
      <c r="A75" s="11">
        <v>42036</v>
      </c>
      <c r="B75" s="6">
        <f t="shared" si="6"/>
        <v>2015</v>
      </c>
      <c r="D75" s="30">
        <f t="shared" ca="1" si="8"/>
        <v>682.50999999999988</v>
      </c>
      <c r="E75" s="30">
        <f t="shared" ca="1" si="8"/>
        <v>0</v>
      </c>
      <c r="F75">
        <f t="shared" si="5"/>
        <v>74</v>
      </c>
      <c r="G75" s="82">
        <f>SUMIF('Connection count GS Adjusted '!B:B,B75,'Connection count GS Adjusted '!C:C)</f>
        <v>24004.475833780409</v>
      </c>
      <c r="I75" s="23">
        <f>'Res OLS Model'!$B$5</f>
        <v>-20568225.384695102</v>
      </c>
      <c r="J75" s="23">
        <f ca="1">'Res OLS Model'!$B$6*D75</f>
        <v>10344533.007240122</v>
      </c>
      <c r="K75" s="23">
        <f ca="1">'Res OLS Model'!$B$7*E75</f>
        <v>0</v>
      </c>
      <c r="L75" s="23">
        <f>'Res OLS Model'!$B$8*F75</f>
        <v>-2258440.0599542628</v>
      </c>
      <c r="M75" s="23">
        <f>'Res OLS Model'!$B$9*G75</f>
        <v>32711309.698277891</v>
      </c>
      <c r="N75" s="23">
        <f t="shared" ca="1" si="7"/>
        <v>20229177.260868646</v>
      </c>
    </row>
    <row r="76" spans="1:14" x14ac:dyDescent="0.25">
      <c r="A76" s="11">
        <v>42064</v>
      </c>
      <c r="B76" s="6">
        <f t="shared" si="6"/>
        <v>2015</v>
      </c>
      <c r="D76" s="30">
        <f t="shared" ca="1" si="8"/>
        <v>556.99</v>
      </c>
      <c r="E76" s="30">
        <f t="shared" ca="1" si="8"/>
        <v>0</v>
      </c>
      <c r="F76">
        <f t="shared" si="5"/>
        <v>75</v>
      </c>
      <c r="G76" s="82">
        <f>SUMIF('Connection count GS Adjusted '!B:B,B76,'Connection count GS Adjusted '!C:C)</f>
        <v>24004.475833780409</v>
      </c>
      <c r="I76" s="23">
        <f>'Res OLS Model'!$B$5</f>
        <v>-20568225.384695102</v>
      </c>
      <c r="J76" s="23">
        <f ca="1">'Res OLS Model'!$B$6*D76</f>
        <v>8442076.2182278298</v>
      </c>
      <c r="K76" s="23">
        <f ca="1">'Res OLS Model'!$B$7*E76</f>
        <v>0</v>
      </c>
      <c r="L76" s="23">
        <f>'Res OLS Model'!$B$8*F76</f>
        <v>-2288959.5202239151</v>
      </c>
      <c r="M76" s="23">
        <f>'Res OLS Model'!$B$9*G76</f>
        <v>32711309.698277891</v>
      </c>
      <c r="N76" s="23">
        <f t="shared" ca="1" si="7"/>
        <v>18296201.011586703</v>
      </c>
    </row>
    <row r="77" spans="1:14" x14ac:dyDescent="0.25">
      <c r="A77" s="11">
        <v>42095</v>
      </c>
      <c r="B77" s="6">
        <f t="shared" si="6"/>
        <v>2015</v>
      </c>
      <c r="D77" s="30">
        <f t="shared" ca="1" si="8"/>
        <v>326.58999999999997</v>
      </c>
      <c r="E77" s="30">
        <f t="shared" ca="1" si="8"/>
        <v>0.39</v>
      </c>
      <c r="F77">
        <f t="shared" si="5"/>
        <v>76</v>
      </c>
      <c r="G77" s="82">
        <f>SUMIF('Connection count GS Adjusted '!B:B,B77,'Connection count GS Adjusted '!C:C)</f>
        <v>24004.475833780409</v>
      </c>
      <c r="I77" s="23">
        <f>'Res OLS Model'!$B$5</f>
        <v>-20568225.384695102</v>
      </c>
      <c r="J77" s="23">
        <f ca="1">'Res OLS Model'!$B$6*D77</f>
        <v>4949994.9229088975</v>
      </c>
      <c r="K77" s="23">
        <f ca="1">'Res OLS Model'!$B$7*E77</f>
        <v>15137.773467507444</v>
      </c>
      <c r="L77" s="23">
        <f>'Res OLS Model'!$B$8*F77</f>
        <v>-2319478.9804935674</v>
      </c>
      <c r="M77" s="23">
        <f>'Res OLS Model'!$B$9*G77</f>
        <v>32711309.698277891</v>
      </c>
      <c r="N77" s="23">
        <f t="shared" ca="1" si="7"/>
        <v>14788738.029465627</v>
      </c>
    </row>
    <row r="78" spans="1:14" x14ac:dyDescent="0.25">
      <c r="A78" s="11">
        <v>42125</v>
      </c>
      <c r="B78" s="6">
        <f t="shared" si="6"/>
        <v>2015</v>
      </c>
      <c r="D78" s="30">
        <f t="shared" ca="1" si="8"/>
        <v>144.96</v>
      </c>
      <c r="E78" s="30">
        <f t="shared" ca="1" si="8"/>
        <v>8.67</v>
      </c>
      <c r="F78">
        <f t="shared" si="5"/>
        <v>77</v>
      </c>
      <c r="G78" s="82">
        <f>SUMIF('Connection count GS Adjusted '!B:B,B78,'Connection count GS Adjusted '!C:C)</f>
        <v>24004.475833780409</v>
      </c>
      <c r="I78" s="23">
        <f>'Res OLS Model'!$B$5</f>
        <v>-20568225.384695102</v>
      </c>
      <c r="J78" s="23">
        <f ca="1">'Res OLS Model'!$B$6*D78</f>
        <v>2197101.1483048284</v>
      </c>
      <c r="K78" s="23">
        <f ca="1">'Res OLS Model'!$B$7*E78</f>
        <v>336524.3486238193</v>
      </c>
      <c r="L78" s="23">
        <f>'Res OLS Model'!$B$8*F78</f>
        <v>-2349998.4407632197</v>
      </c>
      <c r="M78" s="23">
        <f>'Res OLS Model'!$B$9*G78</f>
        <v>32711309.698277891</v>
      </c>
      <c r="N78" s="23">
        <f t="shared" ca="1" si="7"/>
        <v>12326711.369748216</v>
      </c>
    </row>
    <row r="79" spans="1:14" x14ac:dyDescent="0.25">
      <c r="A79" s="11">
        <v>42156</v>
      </c>
      <c r="B79" s="6">
        <f t="shared" si="6"/>
        <v>2015</v>
      </c>
      <c r="D79" s="30">
        <f t="shared" ca="1" si="8"/>
        <v>41.510000000000005</v>
      </c>
      <c r="E79" s="30">
        <f t="shared" ca="1" si="8"/>
        <v>44.41</v>
      </c>
      <c r="F79">
        <f t="shared" si="5"/>
        <v>78</v>
      </c>
      <c r="G79" s="82">
        <f>SUMIF('Connection count GS Adjusted '!B:B,B79,'Connection count GS Adjusted '!C:C)</f>
        <v>24004.475833780409</v>
      </c>
      <c r="I79" s="23">
        <f>'Res OLS Model'!$B$5</f>
        <v>-20568225.384695102</v>
      </c>
      <c r="J79" s="23">
        <f ca="1">'Res OLS Model'!$B$6*D79</f>
        <v>629150.58406549005</v>
      </c>
      <c r="K79" s="23">
        <f ca="1">'Res OLS Model'!$B$7*E79</f>
        <v>1723765.4351077063</v>
      </c>
      <c r="L79" s="23">
        <f>'Res OLS Model'!$B$8*F79</f>
        <v>-2380517.9010328716</v>
      </c>
      <c r="M79" s="23">
        <f>'Res OLS Model'!$B$9*G79</f>
        <v>32711309.698277891</v>
      </c>
      <c r="N79" s="23">
        <f t="shared" ca="1" si="7"/>
        <v>12115482.431723114</v>
      </c>
    </row>
    <row r="80" spans="1:14" x14ac:dyDescent="0.25">
      <c r="A80" s="11">
        <v>42186</v>
      </c>
      <c r="B80" s="6">
        <f t="shared" si="6"/>
        <v>2015</v>
      </c>
      <c r="D80" s="30">
        <f t="shared" ca="1" si="8"/>
        <v>5.01</v>
      </c>
      <c r="E80" s="30">
        <f t="shared" ca="1" si="8"/>
        <v>96.909999999999982</v>
      </c>
      <c r="F80">
        <f t="shared" si="5"/>
        <v>79</v>
      </c>
      <c r="G80" s="82">
        <f>SUMIF('Connection count GS Adjusted '!B:B,B80,'Connection count GS Adjusted '!C:C)</f>
        <v>24004.475833780409</v>
      </c>
      <c r="I80" s="23">
        <f>'Res OLS Model'!$B$5</f>
        <v>-20568225.384695102</v>
      </c>
      <c r="J80" s="23">
        <f ca="1">'Res OLS Model'!$B$6*D80</f>
        <v>75934.580249773659</v>
      </c>
      <c r="K80" s="23">
        <f ca="1">'Res OLS Model'!$B$7*E80</f>
        <v>3761542.6326567847</v>
      </c>
      <c r="L80" s="23">
        <f>'Res OLS Model'!$B$8*F80</f>
        <v>-2411037.3613025239</v>
      </c>
      <c r="M80" s="23">
        <f>'Res OLS Model'!$B$9*G80</f>
        <v>32711309.698277891</v>
      </c>
      <c r="N80" s="23">
        <f t="shared" ca="1" si="7"/>
        <v>13569524.165186826</v>
      </c>
    </row>
    <row r="81" spans="1:14" x14ac:dyDescent="0.25">
      <c r="A81" s="11">
        <v>42217</v>
      </c>
      <c r="B81" s="6">
        <f t="shared" si="6"/>
        <v>2015</v>
      </c>
      <c r="D81" s="30">
        <f t="shared" ca="1" si="8"/>
        <v>12.719999999999999</v>
      </c>
      <c r="E81" s="30">
        <f t="shared" ca="1" si="8"/>
        <v>77.22999999999999</v>
      </c>
      <c r="F81">
        <f t="shared" si="5"/>
        <v>80</v>
      </c>
      <c r="G81" s="82">
        <f>SUMIF('Connection count GS Adjusted '!B:B,B81,'Connection count GS Adjusted '!C:C)</f>
        <v>24004.475833780409</v>
      </c>
      <c r="I81" s="23">
        <f>'Res OLS Model'!$B$5</f>
        <v>-20568225.384695102</v>
      </c>
      <c r="J81" s="23">
        <f ca="1">'Res OLS Model'!$B$6*D81</f>
        <v>192791.98817906604</v>
      </c>
      <c r="K81" s="23">
        <f ca="1">'Res OLS Model'!$B$7*E81</f>
        <v>2997667.2946041017</v>
      </c>
      <c r="L81" s="23">
        <f>'Res OLS Model'!$B$8*F81</f>
        <v>-2441556.8215721762</v>
      </c>
      <c r="M81" s="23">
        <f>'Res OLS Model'!$B$9*G81</f>
        <v>32711309.698277891</v>
      </c>
      <c r="N81" s="23">
        <f t="shared" ca="1" si="7"/>
        <v>12891986.774793778</v>
      </c>
    </row>
    <row r="82" spans="1:14" x14ac:dyDescent="0.25">
      <c r="A82" s="11">
        <v>42248</v>
      </c>
      <c r="B82" s="6">
        <f t="shared" si="6"/>
        <v>2015</v>
      </c>
      <c r="D82" s="30">
        <f t="shared" ca="1" si="8"/>
        <v>86.570000000000007</v>
      </c>
      <c r="E82" s="30">
        <f t="shared" ca="1" si="8"/>
        <v>19.899999999999999</v>
      </c>
      <c r="F82">
        <f t="shared" si="5"/>
        <v>81</v>
      </c>
      <c r="G82" s="82">
        <f>SUMIF('Connection count GS Adjusted '!B:B,B82,'Connection count GS Adjusted '!C:C)</f>
        <v>24004.475833780409</v>
      </c>
      <c r="I82" s="23">
        <f>'Res OLS Model'!$B$5</f>
        <v>-20568225.384695102</v>
      </c>
      <c r="J82" s="23">
        <f ca="1">'Res OLS Model'!$B$6*D82</f>
        <v>1312107.1082281249</v>
      </c>
      <c r="K82" s="23">
        <f ca="1">'Res OLS Model'!$B$7*E82</f>
        <v>772414.59488050791</v>
      </c>
      <c r="L82" s="23">
        <f>'Res OLS Model'!$B$8*F82</f>
        <v>-2472076.2818418285</v>
      </c>
      <c r="M82" s="23">
        <f>'Res OLS Model'!$B$9*G82</f>
        <v>32711309.698277891</v>
      </c>
      <c r="N82" s="23">
        <f t="shared" ca="1" si="7"/>
        <v>11755529.734849591</v>
      </c>
    </row>
    <row r="83" spans="1:14" x14ac:dyDescent="0.25">
      <c r="A83" s="11">
        <v>42278</v>
      </c>
      <c r="B83" s="6">
        <f t="shared" si="6"/>
        <v>2015</v>
      </c>
      <c r="D83" s="30">
        <f t="shared" ca="1" si="8"/>
        <v>270.3</v>
      </c>
      <c r="E83" s="30">
        <f t="shared" ca="1" si="8"/>
        <v>1.21</v>
      </c>
      <c r="F83">
        <f t="shared" si="5"/>
        <v>82</v>
      </c>
      <c r="G83" s="82">
        <f>SUMIF('Connection count GS Adjusted '!B:B,B83,'Connection count GS Adjusted '!C:C)</f>
        <v>24004.475833780409</v>
      </c>
      <c r="I83" s="23">
        <f>'Res OLS Model'!$B$5</f>
        <v>-20568225.384695102</v>
      </c>
      <c r="J83" s="23">
        <f ca="1">'Res OLS Model'!$B$6*D83</f>
        <v>4096829.7488051536</v>
      </c>
      <c r="K83" s="23">
        <f ca="1">'Res OLS Model'!$B$7*E83</f>
        <v>46965.912553035909</v>
      </c>
      <c r="L83" s="23">
        <f>'Res OLS Model'!$B$8*F83</f>
        <v>-2502595.7421114803</v>
      </c>
      <c r="M83" s="23">
        <f>'Res OLS Model'!$B$9*G83</f>
        <v>32711309.698277891</v>
      </c>
      <c r="N83" s="23">
        <f t="shared" ca="1" si="7"/>
        <v>13784284.2328295</v>
      </c>
    </row>
    <row r="84" spans="1:14" x14ac:dyDescent="0.25">
      <c r="A84" s="11">
        <v>42309</v>
      </c>
      <c r="B84" s="6">
        <f t="shared" si="6"/>
        <v>2015</v>
      </c>
      <c r="D84" s="30">
        <f t="shared" ca="1" si="8"/>
        <v>444.05</v>
      </c>
      <c r="E84" s="30">
        <f t="shared" ca="1" si="8"/>
        <v>0</v>
      </c>
      <c r="F84">
        <f t="shared" si="5"/>
        <v>83</v>
      </c>
      <c r="G84" s="82">
        <f>SUMIF('Connection count GS Adjusted '!B:B,B84,'Connection count GS Adjusted '!C:C)</f>
        <v>24004.475833780409</v>
      </c>
      <c r="I84" s="23">
        <f>'Res OLS Model'!$B$5</f>
        <v>-20568225.384695102</v>
      </c>
      <c r="J84" s="23">
        <f ca="1">'Res OLS Model'!$B$6*D84</f>
        <v>6730289.4929964058</v>
      </c>
      <c r="K84" s="23">
        <f ca="1">'Res OLS Model'!$B$7*E84</f>
        <v>0</v>
      </c>
      <c r="L84" s="23">
        <f>'Res OLS Model'!$B$8*F84</f>
        <v>-2533115.2023811326</v>
      </c>
      <c r="M84" s="23">
        <f>'Res OLS Model'!$B$9*G84</f>
        <v>32711309.698277891</v>
      </c>
      <c r="N84" s="23">
        <f t="shared" ca="1" si="7"/>
        <v>16340258.604198063</v>
      </c>
    </row>
    <row r="85" spans="1:14" x14ac:dyDescent="0.25">
      <c r="A85" s="11">
        <v>42339</v>
      </c>
      <c r="B85" s="6">
        <f t="shared" si="6"/>
        <v>2015</v>
      </c>
      <c r="D85" s="30">
        <f t="shared" ca="1" si="8"/>
        <v>684.01</v>
      </c>
      <c r="E85" s="30">
        <f t="shared" ca="1" si="8"/>
        <v>0</v>
      </c>
      <c r="F85">
        <f t="shared" si="5"/>
        <v>84</v>
      </c>
      <c r="G85" s="82">
        <f>SUMIF('Connection count GS Adjusted '!B:B,B85,'Connection count GS Adjusted '!C:C)</f>
        <v>24004.475833780409</v>
      </c>
      <c r="I85" s="23">
        <f>'Res OLS Model'!$B$5</f>
        <v>-20568225.384695102</v>
      </c>
      <c r="J85" s="23">
        <f ca="1">'Res OLS Model'!$B$6*D85</f>
        <v>10367267.911506522</v>
      </c>
      <c r="K85" s="23">
        <f ca="1">'Res OLS Model'!$B$7*E85</f>
        <v>0</v>
      </c>
      <c r="L85" s="23">
        <f>'Res OLS Model'!$B$8*F85</f>
        <v>-2563634.6626507849</v>
      </c>
      <c r="M85" s="23">
        <f>'Res OLS Model'!$B$9*G85</f>
        <v>32711309.698277891</v>
      </c>
      <c r="N85" s="23">
        <f t="shared" ca="1" si="7"/>
        <v>19946717.562438525</v>
      </c>
    </row>
    <row r="86" spans="1:14" x14ac:dyDescent="0.25">
      <c r="A86" s="11">
        <v>42370</v>
      </c>
      <c r="B86" s="6">
        <f t="shared" si="6"/>
        <v>2016</v>
      </c>
      <c r="D86" s="30">
        <f t="shared" ca="1" si="8"/>
        <v>784.29</v>
      </c>
      <c r="E86" s="30">
        <f t="shared" ca="1" si="8"/>
        <v>0</v>
      </c>
      <c r="F86">
        <f t="shared" si="5"/>
        <v>85</v>
      </c>
      <c r="G86" s="82">
        <f>SUMIF('Connection count GS Adjusted '!B:B,B86,'Connection count GS Adjusted '!C:C)</f>
        <v>24157.335580892955</v>
      </c>
      <c r="I86" s="23">
        <f>'Res OLS Model'!$B$5</f>
        <v>-20568225.384695102</v>
      </c>
      <c r="J86" s="23">
        <f ca="1">'Res OLS Model'!$B$6*D86</f>
        <v>11887172.044729536</v>
      </c>
      <c r="K86" s="23">
        <f ca="1">'Res OLS Model'!$B$7*E86</f>
        <v>0</v>
      </c>
      <c r="L86" s="23">
        <f>'Res OLS Model'!$B$8*F86</f>
        <v>-2594154.1229204373</v>
      </c>
      <c r="M86" s="23">
        <f>'Res OLS Model'!$B$9*G86</f>
        <v>32919614.289589249</v>
      </c>
      <c r="N86" s="23">
        <f t="shared" ca="1" si="7"/>
        <v>21644406.826703247</v>
      </c>
    </row>
    <row r="87" spans="1:14" x14ac:dyDescent="0.25">
      <c r="A87" s="11">
        <v>42401</v>
      </c>
      <c r="B87" s="6">
        <f t="shared" si="6"/>
        <v>2016</v>
      </c>
      <c r="D87" s="30">
        <f t="shared" ca="1" si="8"/>
        <v>682.50999999999988</v>
      </c>
      <c r="E87" s="30">
        <f t="shared" ca="1" si="8"/>
        <v>0</v>
      </c>
      <c r="F87">
        <f t="shared" si="5"/>
        <v>86</v>
      </c>
      <c r="G87" s="82">
        <f>SUMIF('Connection count GS Adjusted '!B:B,B87,'Connection count GS Adjusted '!C:C)</f>
        <v>24157.335580892955</v>
      </c>
      <c r="I87" s="23">
        <f>'Res OLS Model'!$B$5</f>
        <v>-20568225.384695102</v>
      </c>
      <c r="J87" s="23">
        <f ca="1">'Res OLS Model'!$B$6*D87</f>
        <v>10344533.007240122</v>
      </c>
      <c r="K87" s="23">
        <f ca="1">'Res OLS Model'!$B$7*E87</f>
        <v>0</v>
      </c>
      <c r="L87" s="23">
        <f>'Res OLS Model'!$B$8*F87</f>
        <v>-2624673.5831900896</v>
      </c>
      <c r="M87" s="23">
        <f>'Res OLS Model'!$B$9*G87</f>
        <v>32919614.289589249</v>
      </c>
      <c r="N87" s="23">
        <f t="shared" ca="1" si="7"/>
        <v>20071248.32894418</v>
      </c>
    </row>
    <row r="88" spans="1:14" x14ac:dyDescent="0.25">
      <c r="A88" s="11">
        <v>42430</v>
      </c>
      <c r="B88" s="6">
        <f t="shared" si="6"/>
        <v>2016</v>
      </c>
      <c r="D88" s="30">
        <f t="shared" ca="1" si="8"/>
        <v>556.99</v>
      </c>
      <c r="E88" s="30">
        <f t="shared" ca="1" si="8"/>
        <v>0</v>
      </c>
      <c r="F88">
        <f t="shared" si="5"/>
        <v>87</v>
      </c>
      <c r="G88" s="82">
        <f>SUMIF('Connection count GS Adjusted '!B:B,B88,'Connection count GS Adjusted '!C:C)</f>
        <v>24157.335580892955</v>
      </c>
      <c r="I88" s="23">
        <f>'Res OLS Model'!$B$5</f>
        <v>-20568225.384695102</v>
      </c>
      <c r="J88" s="23">
        <f ca="1">'Res OLS Model'!$B$6*D88</f>
        <v>8442076.2182278298</v>
      </c>
      <c r="K88" s="23">
        <f ca="1">'Res OLS Model'!$B$7*E88</f>
        <v>0</v>
      </c>
      <c r="L88" s="23">
        <f>'Res OLS Model'!$B$8*F88</f>
        <v>-2655193.0434597414</v>
      </c>
      <c r="M88" s="23">
        <f>'Res OLS Model'!$B$9*G88</f>
        <v>32919614.289589249</v>
      </c>
      <c r="N88" s="23">
        <f t="shared" ca="1" si="7"/>
        <v>18138272.079662234</v>
      </c>
    </row>
    <row r="89" spans="1:14" x14ac:dyDescent="0.25">
      <c r="A89" s="11">
        <v>42461</v>
      </c>
      <c r="B89" s="6">
        <f t="shared" si="6"/>
        <v>2016</v>
      </c>
      <c r="D89" s="30">
        <f t="shared" ca="1" si="8"/>
        <v>326.58999999999997</v>
      </c>
      <c r="E89" s="30">
        <f t="shared" ca="1" si="8"/>
        <v>0.39</v>
      </c>
      <c r="F89">
        <f t="shared" si="5"/>
        <v>88</v>
      </c>
      <c r="G89" s="82">
        <f>SUMIF('Connection count GS Adjusted '!B:B,B89,'Connection count GS Adjusted '!C:C)</f>
        <v>24157.335580892955</v>
      </c>
      <c r="I89" s="23">
        <f>'Res OLS Model'!$B$5</f>
        <v>-20568225.384695102</v>
      </c>
      <c r="J89" s="23">
        <f ca="1">'Res OLS Model'!$B$6*D89</f>
        <v>4949994.9229088975</v>
      </c>
      <c r="K89" s="23">
        <f ca="1">'Res OLS Model'!$B$7*E89</f>
        <v>15137.773467507444</v>
      </c>
      <c r="L89" s="23">
        <f>'Res OLS Model'!$B$8*F89</f>
        <v>-2685712.5037293937</v>
      </c>
      <c r="M89" s="23">
        <f>'Res OLS Model'!$B$9*G89</f>
        <v>32919614.289589249</v>
      </c>
      <c r="N89" s="23">
        <f t="shared" ca="1" si="7"/>
        <v>14630809.097541161</v>
      </c>
    </row>
    <row r="90" spans="1:14" x14ac:dyDescent="0.25">
      <c r="A90" s="11">
        <v>42491</v>
      </c>
      <c r="B90" s="6">
        <f t="shared" si="6"/>
        <v>2016</v>
      </c>
      <c r="D90" s="30">
        <f t="shared" ca="1" si="8"/>
        <v>144.96</v>
      </c>
      <c r="E90" s="30">
        <f t="shared" ca="1" si="8"/>
        <v>8.67</v>
      </c>
      <c r="F90">
        <f t="shared" si="5"/>
        <v>89</v>
      </c>
      <c r="G90" s="82">
        <f>SUMIF('Connection count GS Adjusted '!B:B,B90,'Connection count GS Adjusted '!C:C)</f>
        <v>24157.335580892955</v>
      </c>
      <c r="I90" s="23">
        <f>'Res OLS Model'!$B$5</f>
        <v>-20568225.384695102</v>
      </c>
      <c r="J90" s="23">
        <f ca="1">'Res OLS Model'!$B$6*D90</f>
        <v>2197101.1483048284</v>
      </c>
      <c r="K90" s="23">
        <f ca="1">'Res OLS Model'!$B$7*E90</f>
        <v>336524.3486238193</v>
      </c>
      <c r="L90" s="23">
        <f>'Res OLS Model'!$B$8*F90</f>
        <v>-2716231.963999046</v>
      </c>
      <c r="M90" s="23">
        <f>'Res OLS Model'!$B$9*G90</f>
        <v>32919614.289589249</v>
      </c>
      <c r="N90" s="23">
        <f t="shared" ca="1" si="7"/>
        <v>12168782.43782375</v>
      </c>
    </row>
    <row r="91" spans="1:14" x14ac:dyDescent="0.25">
      <c r="A91" s="11">
        <v>42522</v>
      </c>
      <c r="B91" s="6">
        <f t="shared" si="6"/>
        <v>2016</v>
      </c>
      <c r="D91" s="30">
        <f t="shared" ca="1" si="8"/>
        <v>41.510000000000005</v>
      </c>
      <c r="E91" s="30">
        <f t="shared" ca="1" si="8"/>
        <v>44.41</v>
      </c>
      <c r="F91">
        <f t="shared" si="5"/>
        <v>90</v>
      </c>
      <c r="G91" s="82">
        <f>SUMIF('Connection count GS Adjusted '!B:B,B91,'Connection count GS Adjusted '!C:C)</f>
        <v>24157.335580892955</v>
      </c>
      <c r="I91" s="23">
        <f>'Res OLS Model'!$B$5</f>
        <v>-20568225.384695102</v>
      </c>
      <c r="J91" s="23">
        <f ca="1">'Res OLS Model'!$B$6*D91</f>
        <v>629150.58406549005</v>
      </c>
      <c r="K91" s="23">
        <f ca="1">'Res OLS Model'!$B$7*E91</f>
        <v>1723765.4351077063</v>
      </c>
      <c r="L91" s="23">
        <f>'Res OLS Model'!$B$8*F91</f>
        <v>-2746751.4242686983</v>
      </c>
      <c r="M91" s="23">
        <f>'Res OLS Model'!$B$9*G91</f>
        <v>32919614.289589249</v>
      </c>
      <c r="N91" s="23">
        <f t="shared" ca="1" si="7"/>
        <v>11957553.499798648</v>
      </c>
    </row>
    <row r="92" spans="1:14" x14ac:dyDescent="0.25">
      <c r="A92" s="11">
        <v>42552</v>
      </c>
      <c r="B92" s="6">
        <f t="shared" si="6"/>
        <v>2016</v>
      </c>
      <c r="D92" s="30">
        <f t="shared" ca="1" si="8"/>
        <v>5.01</v>
      </c>
      <c r="E92" s="30">
        <f t="shared" ca="1" si="8"/>
        <v>96.909999999999982</v>
      </c>
      <c r="F92">
        <f t="shared" si="5"/>
        <v>91</v>
      </c>
      <c r="G92" s="82">
        <f>SUMIF('Connection count GS Adjusted '!B:B,B92,'Connection count GS Adjusted '!C:C)</f>
        <v>24157.335580892955</v>
      </c>
      <c r="I92" s="23">
        <f>'Res OLS Model'!$B$5</f>
        <v>-20568225.384695102</v>
      </c>
      <c r="J92" s="23">
        <f ca="1">'Res OLS Model'!$B$6*D92</f>
        <v>75934.580249773659</v>
      </c>
      <c r="K92" s="23">
        <f ca="1">'Res OLS Model'!$B$7*E92</f>
        <v>3761542.6326567847</v>
      </c>
      <c r="L92" s="23">
        <f>'Res OLS Model'!$B$8*F92</f>
        <v>-2777270.8845383502</v>
      </c>
      <c r="M92" s="23">
        <f>'Res OLS Model'!$B$9*G92</f>
        <v>32919614.289589249</v>
      </c>
      <c r="N92" s="23">
        <f t="shared" ca="1" si="7"/>
        <v>13411595.233262356</v>
      </c>
    </row>
    <row r="93" spans="1:14" x14ac:dyDescent="0.25">
      <c r="A93" s="11">
        <v>42583</v>
      </c>
      <c r="B93" s="6">
        <f t="shared" si="6"/>
        <v>2016</v>
      </c>
      <c r="D93" s="30">
        <f t="shared" ca="1" si="8"/>
        <v>12.719999999999999</v>
      </c>
      <c r="E93" s="30">
        <f t="shared" ca="1" si="8"/>
        <v>77.22999999999999</v>
      </c>
      <c r="F93">
        <f t="shared" si="5"/>
        <v>92</v>
      </c>
      <c r="G93" s="82">
        <f>SUMIF('Connection count GS Adjusted '!B:B,B93,'Connection count GS Adjusted '!C:C)</f>
        <v>24157.335580892955</v>
      </c>
      <c r="I93" s="23">
        <f>'Res OLS Model'!$B$5</f>
        <v>-20568225.384695102</v>
      </c>
      <c r="J93" s="23">
        <f ca="1">'Res OLS Model'!$B$6*D93</f>
        <v>192791.98817906604</v>
      </c>
      <c r="K93" s="23">
        <f ca="1">'Res OLS Model'!$B$7*E93</f>
        <v>2997667.2946041017</v>
      </c>
      <c r="L93" s="23">
        <f>'Res OLS Model'!$B$8*F93</f>
        <v>-2807790.3448080025</v>
      </c>
      <c r="M93" s="23">
        <f>'Res OLS Model'!$B$9*G93</f>
        <v>32919614.289589249</v>
      </c>
      <c r="N93" s="23">
        <f t="shared" ca="1" si="7"/>
        <v>12734057.842869312</v>
      </c>
    </row>
    <row r="94" spans="1:14" x14ac:dyDescent="0.25">
      <c r="A94" s="11">
        <v>42614</v>
      </c>
      <c r="B94" s="6">
        <f t="shared" si="6"/>
        <v>2016</v>
      </c>
      <c r="D94" s="30">
        <f t="shared" ref="D94:E113" ca="1" si="9">D82</f>
        <v>86.570000000000007</v>
      </c>
      <c r="E94" s="30">
        <f t="shared" ca="1" si="9"/>
        <v>19.899999999999999</v>
      </c>
      <c r="F94">
        <f t="shared" si="5"/>
        <v>93</v>
      </c>
      <c r="G94" s="82">
        <f>SUMIF('Connection count GS Adjusted '!B:B,B94,'Connection count GS Adjusted '!C:C)</f>
        <v>24157.335580892955</v>
      </c>
      <c r="I94" s="23">
        <f>'Res OLS Model'!$B$5</f>
        <v>-20568225.384695102</v>
      </c>
      <c r="J94" s="23">
        <f ca="1">'Res OLS Model'!$B$6*D94</f>
        <v>1312107.1082281249</v>
      </c>
      <c r="K94" s="23">
        <f ca="1">'Res OLS Model'!$B$7*E94</f>
        <v>772414.59488050791</v>
      </c>
      <c r="L94" s="23">
        <f>'Res OLS Model'!$B$8*F94</f>
        <v>-2838309.8050776548</v>
      </c>
      <c r="M94" s="23">
        <f>'Res OLS Model'!$B$9*G94</f>
        <v>32919614.289589249</v>
      </c>
      <c r="N94" s="23">
        <f t="shared" ca="1" si="7"/>
        <v>11597600.802925125</v>
      </c>
    </row>
    <row r="95" spans="1:14" x14ac:dyDescent="0.25">
      <c r="A95" s="11">
        <v>42644</v>
      </c>
      <c r="B95" s="6">
        <f t="shared" si="6"/>
        <v>2016</v>
      </c>
      <c r="D95" s="30">
        <f t="shared" ca="1" si="9"/>
        <v>270.3</v>
      </c>
      <c r="E95" s="30">
        <f t="shared" ca="1" si="9"/>
        <v>1.21</v>
      </c>
      <c r="F95">
        <f t="shared" si="5"/>
        <v>94</v>
      </c>
      <c r="G95" s="82">
        <f>SUMIF('Connection count GS Adjusted '!B:B,B95,'Connection count GS Adjusted '!C:C)</f>
        <v>24157.335580892955</v>
      </c>
      <c r="I95" s="23">
        <f>'Res OLS Model'!$B$5</f>
        <v>-20568225.384695102</v>
      </c>
      <c r="J95" s="23">
        <f ca="1">'Res OLS Model'!$B$6*D95</f>
        <v>4096829.7488051536</v>
      </c>
      <c r="K95" s="23">
        <f ca="1">'Res OLS Model'!$B$7*E95</f>
        <v>46965.912553035909</v>
      </c>
      <c r="L95" s="23">
        <f>'Res OLS Model'!$B$8*F95</f>
        <v>-2868829.2653473071</v>
      </c>
      <c r="M95" s="23">
        <f>'Res OLS Model'!$B$9*G95</f>
        <v>32919614.289589249</v>
      </c>
      <c r="N95" s="23">
        <f t="shared" ca="1" si="7"/>
        <v>13626355.30090503</v>
      </c>
    </row>
    <row r="96" spans="1:14" x14ac:dyDescent="0.25">
      <c r="A96" s="11">
        <v>42675</v>
      </c>
      <c r="B96" s="6">
        <f t="shared" si="6"/>
        <v>2016</v>
      </c>
      <c r="D96" s="30">
        <f t="shared" ca="1" si="9"/>
        <v>444.05</v>
      </c>
      <c r="E96" s="30">
        <f t="shared" ca="1" si="9"/>
        <v>0</v>
      </c>
      <c r="F96">
        <f t="shared" si="5"/>
        <v>95</v>
      </c>
      <c r="G96" s="82">
        <f>SUMIF('Connection count GS Adjusted '!B:B,B96,'Connection count GS Adjusted '!C:C)</f>
        <v>24157.335580892955</v>
      </c>
      <c r="I96" s="23">
        <f>'Res OLS Model'!$B$5</f>
        <v>-20568225.384695102</v>
      </c>
      <c r="J96" s="23">
        <f ca="1">'Res OLS Model'!$B$6*D96</f>
        <v>6730289.4929964058</v>
      </c>
      <c r="K96" s="23">
        <f ca="1">'Res OLS Model'!$B$7*E96</f>
        <v>0</v>
      </c>
      <c r="L96" s="23">
        <f>'Res OLS Model'!$B$8*F96</f>
        <v>-2899348.7256169589</v>
      </c>
      <c r="M96" s="23">
        <f>'Res OLS Model'!$B$9*G96</f>
        <v>32919614.289589249</v>
      </c>
      <c r="N96" s="23">
        <f t="shared" ca="1" si="7"/>
        <v>16182329.672273595</v>
      </c>
    </row>
    <row r="97" spans="1:14" x14ac:dyDescent="0.25">
      <c r="A97" s="11">
        <v>42705</v>
      </c>
      <c r="B97" s="6">
        <f t="shared" si="6"/>
        <v>2016</v>
      </c>
      <c r="D97" s="30">
        <f t="shared" ca="1" si="9"/>
        <v>684.01</v>
      </c>
      <c r="E97" s="30">
        <f t="shared" ca="1" si="9"/>
        <v>0</v>
      </c>
      <c r="F97">
        <f t="shared" si="5"/>
        <v>96</v>
      </c>
      <c r="G97" s="82">
        <f>SUMIF('Connection count GS Adjusted '!B:B,B97,'Connection count GS Adjusted '!C:C)</f>
        <v>24157.335580892955</v>
      </c>
      <c r="I97" s="23">
        <f>'Res OLS Model'!$B$5</f>
        <v>-20568225.384695102</v>
      </c>
      <c r="J97" s="23">
        <f ca="1">'Res OLS Model'!$B$6*D97</f>
        <v>10367267.911506522</v>
      </c>
      <c r="K97" s="23">
        <f ca="1">'Res OLS Model'!$B$7*E97</f>
        <v>0</v>
      </c>
      <c r="L97" s="23">
        <f>'Res OLS Model'!$B$8*F97</f>
        <v>-2929868.1858866112</v>
      </c>
      <c r="M97" s="23">
        <f>'Res OLS Model'!$B$9*G97</f>
        <v>32919614.289589249</v>
      </c>
      <c r="N97" s="23">
        <f t="shared" ca="1" si="7"/>
        <v>19788788.630514059</v>
      </c>
    </row>
    <row r="98" spans="1:14" x14ac:dyDescent="0.25">
      <c r="A98" s="11">
        <v>42736</v>
      </c>
      <c r="B98" s="6">
        <f t="shared" ref="B98:B145" si="10">YEAR(A98)</f>
        <v>2017</v>
      </c>
      <c r="D98" s="30">
        <f t="shared" ca="1" si="9"/>
        <v>784.29</v>
      </c>
      <c r="E98" s="30">
        <f t="shared" ca="1" si="9"/>
        <v>0</v>
      </c>
      <c r="F98">
        <f t="shared" si="5"/>
        <v>97</v>
      </c>
      <c r="G98" s="82">
        <f>SUMIF('Connection count GS Adjusted '!B:B,B98,'Connection count GS Adjusted '!C:C)</f>
        <v>24311.16873406732</v>
      </c>
      <c r="I98" s="23">
        <f>'Res OLS Model'!$B$5</f>
        <v>-20568225.384695102</v>
      </c>
      <c r="J98" s="23">
        <f ca="1">'Res OLS Model'!$B$6*D98</f>
        <v>11887172.044729536</v>
      </c>
      <c r="K98" s="23">
        <f ca="1">'Res OLS Model'!$B$7*E98</f>
        <v>0</v>
      </c>
      <c r="L98" s="23">
        <f>'Res OLS Model'!$B$8*F98</f>
        <v>-2960387.6461562635</v>
      </c>
      <c r="M98" s="23">
        <f>'Res OLS Model'!$B$9*G98</f>
        <v>33129245.357986409</v>
      </c>
      <c r="N98" s="23">
        <f t="shared" ca="1" si="7"/>
        <v>21487804.37186458</v>
      </c>
    </row>
    <row r="99" spans="1:14" x14ac:dyDescent="0.25">
      <c r="A99" s="11">
        <v>42767</v>
      </c>
      <c r="B99" s="6">
        <f t="shared" si="10"/>
        <v>2017</v>
      </c>
      <c r="D99" s="30">
        <f t="shared" ca="1" si="9"/>
        <v>682.50999999999988</v>
      </c>
      <c r="E99" s="30">
        <f t="shared" ca="1" si="9"/>
        <v>0</v>
      </c>
      <c r="F99">
        <f t="shared" si="5"/>
        <v>98</v>
      </c>
      <c r="G99" s="82">
        <f>SUMIF('Connection count GS Adjusted '!B:B,B99,'Connection count GS Adjusted '!C:C)</f>
        <v>24311.16873406732</v>
      </c>
      <c r="I99" s="23">
        <f>'Res OLS Model'!$B$5</f>
        <v>-20568225.384695102</v>
      </c>
      <c r="J99" s="23">
        <f ca="1">'Res OLS Model'!$B$6*D99</f>
        <v>10344533.007240122</v>
      </c>
      <c r="K99" s="23">
        <f ca="1">'Res OLS Model'!$B$7*E99</f>
        <v>0</v>
      </c>
      <c r="L99" s="23">
        <f>'Res OLS Model'!$B$8*F99</f>
        <v>-2990907.1064259158</v>
      </c>
      <c r="M99" s="23">
        <f>'Res OLS Model'!$B$9*G99</f>
        <v>33129245.357986409</v>
      </c>
      <c r="N99" s="23">
        <f t="shared" ca="1" si="7"/>
        <v>19914645.874105513</v>
      </c>
    </row>
    <row r="100" spans="1:14" x14ac:dyDescent="0.25">
      <c r="A100" s="11">
        <v>42795</v>
      </c>
      <c r="B100" s="6">
        <f t="shared" si="10"/>
        <v>2017</v>
      </c>
      <c r="D100" s="30">
        <f t="shared" ca="1" si="9"/>
        <v>556.99</v>
      </c>
      <c r="E100" s="30">
        <f t="shared" ca="1" si="9"/>
        <v>0</v>
      </c>
      <c r="F100">
        <f t="shared" si="5"/>
        <v>99</v>
      </c>
      <c r="G100" s="82">
        <f>SUMIF('Connection count GS Adjusted '!B:B,B100,'Connection count GS Adjusted '!C:C)</f>
        <v>24311.16873406732</v>
      </c>
      <c r="I100" s="23">
        <f>'Res OLS Model'!$B$5</f>
        <v>-20568225.384695102</v>
      </c>
      <c r="J100" s="23">
        <f ca="1">'Res OLS Model'!$B$6*D100</f>
        <v>8442076.2182278298</v>
      </c>
      <c r="K100" s="23">
        <f ca="1">'Res OLS Model'!$B$7*E100</f>
        <v>0</v>
      </c>
      <c r="L100" s="23">
        <f>'Res OLS Model'!$B$8*F100</f>
        <v>-3021426.5666955682</v>
      </c>
      <c r="M100" s="23">
        <f>'Res OLS Model'!$B$9*G100</f>
        <v>33129245.357986409</v>
      </c>
      <c r="N100" s="23">
        <f t="shared" ca="1" si="7"/>
        <v>17981669.62482357</v>
      </c>
    </row>
    <row r="101" spans="1:14" x14ac:dyDescent="0.25">
      <c r="A101" s="11">
        <v>42826</v>
      </c>
      <c r="B101" s="6">
        <f t="shared" si="10"/>
        <v>2017</v>
      </c>
      <c r="D101" s="30">
        <f t="shared" ca="1" si="9"/>
        <v>326.58999999999997</v>
      </c>
      <c r="E101" s="30">
        <f t="shared" ca="1" si="9"/>
        <v>0.39</v>
      </c>
      <c r="F101">
        <f t="shared" si="5"/>
        <v>100</v>
      </c>
      <c r="G101" s="82">
        <f>SUMIF('Connection count GS Adjusted '!B:B,B101,'Connection count GS Adjusted '!C:C)</f>
        <v>24311.16873406732</v>
      </c>
      <c r="I101" s="23">
        <f>'Res OLS Model'!$B$5</f>
        <v>-20568225.384695102</v>
      </c>
      <c r="J101" s="23">
        <f ca="1">'Res OLS Model'!$B$6*D101</f>
        <v>4949994.9229088975</v>
      </c>
      <c r="K101" s="23">
        <f ca="1">'Res OLS Model'!$B$7*E101</f>
        <v>15137.773467507444</v>
      </c>
      <c r="L101" s="23">
        <f>'Res OLS Model'!$B$8*F101</f>
        <v>-3051946.02696522</v>
      </c>
      <c r="M101" s="23">
        <f>'Res OLS Model'!$B$9*G101</f>
        <v>33129245.357986409</v>
      </c>
      <c r="N101" s="23">
        <f t="shared" ca="1" si="7"/>
        <v>14474206.642702494</v>
      </c>
    </row>
    <row r="102" spans="1:14" x14ac:dyDescent="0.25">
      <c r="A102" s="11">
        <v>42856</v>
      </c>
      <c r="B102" s="6">
        <f t="shared" si="10"/>
        <v>2017</v>
      </c>
      <c r="D102" s="30">
        <f t="shared" ca="1" si="9"/>
        <v>144.96</v>
      </c>
      <c r="E102" s="30">
        <f t="shared" ca="1" si="9"/>
        <v>8.67</v>
      </c>
      <c r="F102">
        <f t="shared" si="5"/>
        <v>101</v>
      </c>
      <c r="G102" s="82">
        <f>SUMIF('Connection count GS Adjusted '!B:B,B102,'Connection count GS Adjusted '!C:C)</f>
        <v>24311.16873406732</v>
      </c>
      <c r="I102" s="23">
        <f>'Res OLS Model'!$B$5</f>
        <v>-20568225.384695102</v>
      </c>
      <c r="J102" s="23">
        <f ca="1">'Res OLS Model'!$B$6*D102</f>
        <v>2197101.1483048284</v>
      </c>
      <c r="K102" s="23">
        <f ca="1">'Res OLS Model'!$B$7*E102</f>
        <v>336524.3486238193</v>
      </c>
      <c r="L102" s="23">
        <f>'Res OLS Model'!$B$8*F102</f>
        <v>-3082465.4872348723</v>
      </c>
      <c r="M102" s="23">
        <f>'Res OLS Model'!$B$9*G102</f>
        <v>33129245.357986409</v>
      </c>
      <c r="N102" s="23">
        <f t="shared" ca="1" si="7"/>
        <v>12012179.982985083</v>
      </c>
    </row>
    <row r="103" spans="1:14" x14ac:dyDescent="0.25">
      <c r="A103" s="11">
        <v>42887</v>
      </c>
      <c r="B103" s="6">
        <f t="shared" si="10"/>
        <v>2017</v>
      </c>
      <c r="D103" s="30">
        <f t="shared" ca="1" si="9"/>
        <v>41.510000000000005</v>
      </c>
      <c r="E103" s="30">
        <f t="shared" ca="1" si="9"/>
        <v>44.41</v>
      </c>
      <c r="F103">
        <f t="shared" si="5"/>
        <v>102</v>
      </c>
      <c r="G103" s="82">
        <f>SUMIF('Connection count GS Adjusted '!B:B,B103,'Connection count GS Adjusted '!C:C)</f>
        <v>24311.16873406732</v>
      </c>
      <c r="I103" s="23">
        <f>'Res OLS Model'!$B$5</f>
        <v>-20568225.384695102</v>
      </c>
      <c r="J103" s="23">
        <f ca="1">'Res OLS Model'!$B$6*D103</f>
        <v>629150.58406549005</v>
      </c>
      <c r="K103" s="23">
        <f ca="1">'Res OLS Model'!$B$7*E103</f>
        <v>1723765.4351077063</v>
      </c>
      <c r="L103" s="23">
        <f>'Res OLS Model'!$B$8*F103</f>
        <v>-3112984.9475045246</v>
      </c>
      <c r="M103" s="23">
        <f>'Res OLS Model'!$B$9*G103</f>
        <v>33129245.357986409</v>
      </c>
      <c r="N103" s="23">
        <f t="shared" ca="1" si="7"/>
        <v>11800951.044959981</v>
      </c>
    </row>
    <row r="104" spans="1:14" x14ac:dyDescent="0.25">
      <c r="A104" s="11">
        <v>42917</v>
      </c>
      <c r="B104" s="6">
        <f t="shared" si="10"/>
        <v>2017</v>
      </c>
      <c r="D104" s="30">
        <f t="shared" ca="1" si="9"/>
        <v>5.01</v>
      </c>
      <c r="E104" s="30">
        <f t="shared" ca="1" si="9"/>
        <v>96.909999999999982</v>
      </c>
      <c r="F104">
        <f t="shared" si="5"/>
        <v>103</v>
      </c>
      <c r="G104" s="82">
        <f>SUMIF('Connection count GS Adjusted '!B:B,B104,'Connection count GS Adjusted '!C:C)</f>
        <v>24311.16873406732</v>
      </c>
      <c r="I104" s="23">
        <f>'Res OLS Model'!$B$5</f>
        <v>-20568225.384695102</v>
      </c>
      <c r="J104" s="23">
        <f ca="1">'Res OLS Model'!$B$6*D104</f>
        <v>75934.580249773659</v>
      </c>
      <c r="K104" s="23">
        <f ca="1">'Res OLS Model'!$B$7*E104</f>
        <v>3761542.6326567847</v>
      </c>
      <c r="L104" s="23">
        <f>'Res OLS Model'!$B$8*F104</f>
        <v>-3143504.4077741769</v>
      </c>
      <c r="M104" s="23">
        <f>'Res OLS Model'!$B$9*G104</f>
        <v>33129245.357986409</v>
      </c>
      <c r="N104" s="23">
        <f t="shared" ca="1" si="7"/>
        <v>13254992.778423689</v>
      </c>
    </row>
    <row r="105" spans="1:14" x14ac:dyDescent="0.25">
      <c r="A105" s="11">
        <v>42948</v>
      </c>
      <c r="B105" s="6">
        <f t="shared" si="10"/>
        <v>2017</v>
      </c>
      <c r="D105" s="30">
        <f t="shared" ca="1" si="9"/>
        <v>12.719999999999999</v>
      </c>
      <c r="E105" s="30">
        <f t="shared" ca="1" si="9"/>
        <v>77.22999999999999</v>
      </c>
      <c r="F105">
        <f t="shared" si="5"/>
        <v>104</v>
      </c>
      <c r="G105" s="82">
        <f>SUMIF('Connection count GS Adjusted '!B:B,B105,'Connection count GS Adjusted '!C:C)</f>
        <v>24311.16873406732</v>
      </c>
      <c r="I105" s="23">
        <f>'Res OLS Model'!$B$5</f>
        <v>-20568225.384695102</v>
      </c>
      <c r="J105" s="23">
        <f ca="1">'Res OLS Model'!$B$6*D105</f>
        <v>192791.98817906604</v>
      </c>
      <c r="K105" s="23">
        <f ca="1">'Res OLS Model'!$B$7*E105</f>
        <v>2997667.2946041017</v>
      </c>
      <c r="L105" s="23">
        <f>'Res OLS Model'!$B$8*F105</f>
        <v>-3174023.8680438288</v>
      </c>
      <c r="M105" s="23">
        <f>'Res OLS Model'!$B$9*G105</f>
        <v>33129245.357986409</v>
      </c>
      <c r="N105" s="23">
        <f t="shared" ca="1" si="7"/>
        <v>12577455.388030645</v>
      </c>
    </row>
    <row r="106" spans="1:14" x14ac:dyDescent="0.25">
      <c r="A106" s="11">
        <v>42979</v>
      </c>
      <c r="B106" s="6">
        <f t="shared" si="10"/>
        <v>2017</v>
      </c>
      <c r="D106" s="30">
        <f t="shared" ca="1" si="9"/>
        <v>86.570000000000007</v>
      </c>
      <c r="E106" s="30">
        <f t="shared" ca="1" si="9"/>
        <v>19.899999999999999</v>
      </c>
      <c r="F106">
        <f t="shared" si="5"/>
        <v>105</v>
      </c>
      <c r="G106" s="82">
        <f>SUMIF('Connection count GS Adjusted '!B:B,B106,'Connection count GS Adjusted '!C:C)</f>
        <v>24311.16873406732</v>
      </c>
      <c r="I106" s="23">
        <f>'Res OLS Model'!$B$5</f>
        <v>-20568225.384695102</v>
      </c>
      <c r="J106" s="23">
        <f ca="1">'Res OLS Model'!$B$6*D106</f>
        <v>1312107.1082281249</v>
      </c>
      <c r="K106" s="23">
        <f ca="1">'Res OLS Model'!$B$7*E106</f>
        <v>772414.59488050791</v>
      </c>
      <c r="L106" s="23">
        <f>'Res OLS Model'!$B$8*F106</f>
        <v>-3204543.3283134811</v>
      </c>
      <c r="M106" s="23">
        <f>'Res OLS Model'!$B$9*G106</f>
        <v>33129245.357986409</v>
      </c>
      <c r="N106" s="23">
        <f t="shared" ca="1" si="7"/>
        <v>11440998.348086458</v>
      </c>
    </row>
    <row r="107" spans="1:14" x14ac:dyDescent="0.25">
      <c r="A107" s="11">
        <v>43009</v>
      </c>
      <c r="B107" s="6">
        <f t="shared" si="10"/>
        <v>2017</v>
      </c>
      <c r="D107" s="30">
        <f t="shared" ca="1" si="9"/>
        <v>270.3</v>
      </c>
      <c r="E107" s="30">
        <f t="shared" ca="1" si="9"/>
        <v>1.21</v>
      </c>
      <c r="F107">
        <f t="shared" si="5"/>
        <v>106</v>
      </c>
      <c r="G107" s="82">
        <f>SUMIF('Connection count GS Adjusted '!B:B,B107,'Connection count GS Adjusted '!C:C)</f>
        <v>24311.16873406732</v>
      </c>
      <c r="I107" s="23">
        <f>'Res OLS Model'!$B$5</f>
        <v>-20568225.384695102</v>
      </c>
      <c r="J107" s="23">
        <f ca="1">'Res OLS Model'!$B$6*D107</f>
        <v>4096829.7488051536</v>
      </c>
      <c r="K107" s="23">
        <f ca="1">'Res OLS Model'!$B$7*E107</f>
        <v>46965.912553035909</v>
      </c>
      <c r="L107" s="23">
        <f>'Res OLS Model'!$B$8*F107</f>
        <v>-3235062.7885831334</v>
      </c>
      <c r="M107" s="23">
        <f>'Res OLS Model'!$B$9*G107</f>
        <v>33129245.357986409</v>
      </c>
      <c r="N107" s="23">
        <f t="shared" ca="1" si="7"/>
        <v>13469752.846066367</v>
      </c>
    </row>
    <row r="108" spans="1:14" x14ac:dyDescent="0.25">
      <c r="A108" s="11">
        <v>43040</v>
      </c>
      <c r="B108" s="6">
        <f t="shared" si="10"/>
        <v>2017</v>
      </c>
      <c r="D108" s="30">
        <f t="shared" ca="1" si="9"/>
        <v>444.05</v>
      </c>
      <c r="E108" s="30">
        <f t="shared" ca="1" si="9"/>
        <v>0</v>
      </c>
      <c r="F108">
        <f t="shared" si="5"/>
        <v>107</v>
      </c>
      <c r="G108" s="82">
        <f>SUMIF('Connection count GS Adjusted '!B:B,B108,'Connection count GS Adjusted '!C:C)</f>
        <v>24311.16873406732</v>
      </c>
      <c r="I108" s="23">
        <f>'Res OLS Model'!$B$5</f>
        <v>-20568225.384695102</v>
      </c>
      <c r="J108" s="23">
        <f ca="1">'Res OLS Model'!$B$6*D108</f>
        <v>6730289.4929964058</v>
      </c>
      <c r="K108" s="23">
        <f ca="1">'Res OLS Model'!$B$7*E108</f>
        <v>0</v>
      </c>
      <c r="L108" s="23">
        <f>'Res OLS Model'!$B$8*F108</f>
        <v>-3265582.2488527857</v>
      </c>
      <c r="M108" s="23">
        <f>'Res OLS Model'!$B$9*G108</f>
        <v>33129245.357986409</v>
      </c>
      <c r="N108" s="23">
        <f t="shared" ca="1" si="7"/>
        <v>16025727.217434928</v>
      </c>
    </row>
    <row r="109" spans="1:14" x14ac:dyDescent="0.25">
      <c r="A109" s="11">
        <v>43070</v>
      </c>
      <c r="B109" s="6">
        <f t="shared" si="10"/>
        <v>2017</v>
      </c>
      <c r="D109" s="30">
        <f t="shared" ca="1" si="9"/>
        <v>684.01</v>
      </c>
      <c r="E109" s="30">
        <f t="shared" ca="1" si="9"/>
        <v>0</v>
      </c>
      <c r="F109">
        <f t="shared" si="5"/>
        <v>108</v>
      </c>
      <c r="G109" s="82">
        <f>SUMIF('Connection count GS Adjusted '!B:B,B109,'Connection count GS Adjusted '!C:C)</f>
        <v>24311.16873406732</v>
      </c>
      <c r="I109" s="23">
        <f>'Res OLS Model'!$B$5</f>
        <v>-20568225.384695102</v>
      </c>
      <c r="J109" s="23">
        <f ca="1">'Res OLS Model'!$B$6*D109</f>
        <v>10367267.911506522</v>
      </c>
      <c r="K109" s="23">
        <f ca="1">'Res OLS Model'!$B$7*E109</f>
        <v>0</v>
      </c>
      <c r="L109" s="23">
        <f>'Res OLS Model'!$B$8*F109</f>
        <v>-3296101.709122438</v>
      </c>
      <c r="M109" s="23">
        <f>'Res OLS Model'!$B$9*G109</f>
        <v>33129245.357986409</v>
      </c>
      <c r="N109" s="23">
        <f t="shared" ca="1" si="7"/>
        <v>19632186.175675392</v>
      </c>
    </row>
    <row r="110" spans="1:14" x14ac:dyDescent="0.25">
      <c r="A110" s="11">
        <v>43101</v>
      </c>
      <c r="B110" s="6">
        <f t="shared" si="10"/>
        <v>2018</v>
      </c>
      <c r="D110" s="30">
        <f t="shared" ca="1" si="9"/>
        <v>784.29</v>
      </c>
      <c r="E110" s="30">
        <f t="shared" ca="1" si="9"/>
        <v>0</v>
      </c>
      <c r="F110">
        <f t="shared" si="5"/>
        <v>109</v>
      </c>
      <c r="G110" s="82">
        <f>SUMIF('Connection count GS Adjusted '!B:B,B110,'Connection count GS Adjusted '!C:C)</f>
        <v>24465.981491922685</v>
      </c>
      <c r="I110" s="23">
        <f>'Res OLS Model'!$B$5</f>
        <v>-20568225.384695102</v>
      </c>
      <c r="J110" s="23">
        <f ca="1">'Res OLS Model'!$B$6*D110</f>
        <v>11887172.044729536</v>
      </c>
      <c r="K110" s="23">
        <f ca="1">'Res OLS Model'!$B$7*E110</f>
        <v>0</v>
      </c>
      <c r="L110" s="23">
        <f>'Res OLS Model'!$B$8*F110</f>
        <v>-3326621.1693920898</v>
      </c>
      <c r="M110" s="23">
        <f>'Res OLS Model'!$B$9*G110</f>
        <v>33340211.350433737</v>
      </c>
      <c r="N110" s="23">
        <f t="shared" ca="1" si="7"/>
        <v>21332536.841076083</v>
      </c>
    </row>
    <row r="111" spans="1:14" x14ac:dyDescent="0.25">
      <c r="A111" s="11">
        <v>43132</v>
      </c>
      <c r="B111" s="6">
        <f t="shared" si="10"/>
        <v>2018</v>
      </c>
      <c r="D111" s="30">
        <f t="shared" ca="1" si="9"/>
        <v>682.50999999999988</v>
      </c>
      <c r="E111" s="30">
        <f t="shared" ca="1" si="9"/>
        <v>0</v>
      </c>
      <c r="F111">
        <f t="shared" si="5"/>
        <v>110</v>
      </c>
      <c r="G111" s="82">
        <f>SUMIF('Connection count GS Adjusted '!B:B,B111,'Connection count GS Adjusted '!C:C)</f>
        <v>24465.981491922685</v>
      </c>
      <c r="I111" s="23">
        <f>'Res OLS Model'!$B$5</f>
        <v>-20568225.384695102</v>
      </c>
      <c r="J111" s="23">
        <f ca="1">'Res OLS Model'!$B$6*D111</f>
        <v>10344533.007240122</v>
      </c>
      <c r="K111" s="23">
        <f ca="1">'Res OLS Model'!$B$7*E111</f>
        <v>0</v>
      </c>
      <c r="L111" s="23">
        <f>'Res OLS Model'!$B$8*F111</f>
        <v>-3357140.6296617421</v>
      </c>
      <c r="M111" s="23">
        <f>'Res OLS Model'!$B$9*G111</f>
        <v>33340211.350433737</v>
      </c>
      <c r="N111" s="23">
        <f t="shared" ca="1" si="7"/>
        <v>19759378.343317017</v>
      </c>
    </row>
    <row r="112" spans="1:14" x14ac:dyDescent="0.25">
      <c r="A112" s="11">
        <v>43160</v>
      </c>
      <c r="B112" s="6">
        <f t="shared" si="10"/>
        <v>2018</v>
      </c>
      <c r="D112" s="30">
        <f t="shared" ca="1" si="9"/>
        <v>556.99</v>
      </c>
      <c r="E112" s="30">
        <f t="shared" ca="1" si="9"/>
        <v>0</v>
      </c>
      <c r="F112">
        <f t="shared" si="5"/>
        <v>111</v>
      </c>
      <c r="G112" s="82">
        <f>SUMIF('Connection count GS Adjusted '!B:B,B112,'Connection count GS Adjusted '!C:C)</f>
        <v>24465.981491922685</v>
      </c>
      <c r="I112" s="23">
        <f>'Res OLS Model'!$B$5</f>
        <v>-20568225.384695102</v>
      </c>
      <c r="J112" s="23">
        <f ca="1">'Res OLS Model'!$B$6*D112</f>
        <v>8442076.2182278298</v>
      </c>
      <c r="K112" s="23">
        <f ca="1">'Res OLS Model'!$B$7*E112</f>
        <v>0</v>
      </c>
      <c r="L112" s="23">
        <f>'Res OLS Model'!$B$8*F112</f>
        <v>-3387660.0899313944</v>
      </c>
      <c r="M112" s="23">
        <f>'Res OLS Model'!$B$9*G112</f>
        <v>33340211.350433737</v>
      </c>
      <c r="N112" s="23">
        <f t="shared" ca="1" si="7"/>
        <v>17826402.09403507</v>
      </c>
    </row>
    <row r="113" spans="1:14" x14ac:dyDescent="0.25">
      <c r="A113" s="11">
        <v>43191</v>
      </c>
      <c r="B113" s="6">
        <f t="shared" si="10"/>
        <v>2018</v>
      </c>
      <c r="D113" s="30">
        <f t="shared" ca="1" si="9"/>
        <v>326.58999999999997</v>
      </c>
      <c r="E113" s="30">
        <f t="shared" ca="1" si="9"/>
        <v>0.39</v>
      </c>
      <c r="F113">
        <f t="shared" si="5"/>
        <v>112</v>
      </c>
      <c r="G113" s="82">
        <f>SUMIF('Connection count GS Adjusted '!B:B,B113,'Connection count GS Adjusted '!C:C)</f>
        <v>24465.981491922685</v>
      </c>
      <c r="I113" s="23">
        <f>'Res OLS Model'!$B$5</f>
        <v>-20568225.384695102</v>
      </c>
      <c r="J113" s="23">
        <f ca="1">'Res OLS Model'!$B$6*D113</f>
        <v>4949994.9229088975</v>
      </c>
      <c r="K113" s="23">
        <f ca="1">'Res OLS Model'!$B$7*E113</f>
        <v>15137.773467507444</v>
      </c>
      <c r="L113" s="23">
        <f>'Res OLS Model'!$B$8*F113</f>
        <v>-3418179.5502010467</v>
      </c>
      <c r="M113" s="23">
        <f>'Res OLS Model'!$B$9*G113</f>
        <v>33340211.350433737</v>
      </c>
      <c r="N113" s="23">
        <f t="shared" ca="1" si="7"/>
        <v>14318939.111913994</v>
      </c>
    </row>
    <row r="114" spans="1:14" x14ac:dyDescent="0.25">
      <c r="A114" s="11">
        <v>43221</v>
      </c>
      <c r="B114" s="6">
        <f t="shared" si="10"/>
        <v>2018</v>
      </c>
      <c r="D114" s="30">
        <f t="shared" ref="D114:E133" ca="1" si="11">D102</f>
        <v>144.96</v>
      </c>
      <c r="E114" s="30">
        <f t="shared" ca="1" si="11"/>
        <v>8.67</v>
      </c>
      <c r="F114">
        <f t="shared" si="5"/>
        <v>113</v>
      </c>
      <c r="G114" s="82">
        <f>SUMIF('Connection count GS Adjusted '!B:B,B114,'Connection count GS Adjusted '!C:C)</f>
        <v>24465.981491922685</v>
      </c>
      <c r="I114" s="23">
        <f>'Res OLS Model'!$B$5</f>
        <v>-20568225.384695102</v>
      </c>
      <c r="J114" s="23">
        <f ca="1">'Res OLS Model'!$B$6*D114</f>
        <v>2197101.1483048284</v>
      </c>
      <c r="K114" s="23">
        <f ca="1">'Res OLS Model'!$B$7*E114</f>
        <v>336524.3486238193</v>
      </c>
      <c r="L114" s="23">
        <f>'Res OLS Model'!$B$8*F114</f>
        <v>-3448699.0104706986</v>
      </c>
      <c r="M114" s="23">
        <f>'Res OLS Model'!$B$9*G114</f>
        <v>33340211.350433737</v>
      </c>
      <c r="N114" s="23">
        <f t="shared" ca="1" si="7"/>
        <v>11856912.452196583</v>
      </c>
    </row>
    <row r="115" spans="1:14" x14ac:dyDescent="0.25">
      <c r="A115" s="11">
        <v>43252</v>
      </c>
      <c r="B115" s="6">
        <f t="shared" si="10"/>
        <v>2018</v>
      </c>
      <c r="D115" s="30">
        <f t="shared" ca="1" si="11"/>
        <v>41.510000000000005</v>
      </c>
      <c r="E115" s="30">
        <f t="shared" ca="1" si="11"/>
        <v>44.41</v>
      </c>
      <c r="F115">
        <f t="shared" si="5"/>
        <v>114</v>
      </c>
      <c r="G115" s="82">
        <f>SUMIF('Connection count GS Adjusted '!B:B,B115,'Connection count GS Adjusted '!C:C)</f>
        <v>24465.981491922685</v>
      </c>
      <c r="I115" s="23">
        <f>'Res OLS Model'!$B$5</f>
        <v>-20568225.384695102</v>
      </c>
      <c r="J115" s="23">
        <f ca="1">'Res OLS Model'!$B$6*D115</f>
        <v>629150.58406549005</v>
      </c>
      <c r="K115" s="23">
        <f ca="1">'Res OLS Model'!$B$7*E115</f>
        <v>1723765.4351077063</v>
      </c>
      <c r="L115" s="23">
        <f>'Res OLS Model'!$B$8*F115</f>
        <v>-3479218.4707403509</v>
      </c>
      <c r="M115" s="23">
        <f>'Res OLS Model'!$B$9*G115</f>
        <v>33340211.350433737</v>
      </c>
      <c r="N115" s="23">
        <f t="shared" ca="1" si="7"/>
        <v>11645683.514171481</v>
      </c>
    </row>
    <row r="116" spans="1:14" x14ac:dyDescent="0.25">
      <c r="A116" s="11">
        <v>43282</v>
      </c>
      <c r="B116" s="6">
        <f t="shared" si="10"/>
        <v>2018</v>
      </c>
      <c r="D116" s="30">
        <f t="shared" ca="1" si="11"/>
        <v>5.01</v>
      </c>
      <c r="E116" s="30">
        <f t="shared" ca="1" si="11"/>
        <v>96.909999999999982</v>
      </c>
      <c r="F116">
        <f t="shared" si="5"/>
        <v>115</v>
      </c>
      <c r="G116" s="82">
        <f>SUMIF('Connection count GS Adjusted '!B:B,B116,'Connection count GS Adjusted '!C:C)</f>
        <v>24465.981491922685</v>
      </c>
      <c r="I116" s="23">
        <f>'Res OLS Model'!$B$5</f>
        <v>-20568225.384695102</v>
      </c>
      <c r="J116" s="23">
        <f ca="1">'Res OLS Model'!$B$6*D116</f>
        <v>75934.580249773659</v>
      </c>
      <c r="K116" s="23">
        <f ca="1">'Res OLS Model'!$B$7*E116</f>
        <v>3761542.6326567847</v>
      </c>
      <c r="L116" s="23">
        <f>'Res OLS Model'!$B$8*F116</f>
        <v>-3509737.9310100032</v>
      </c>
      <c r="M116" s="23">
        <f>'Res OLS Model'!$B$9*G116</f>
        <v>33340211.350433737</v>
      </c>
      <c r="N116" s="23">
        <f t="shared" ca="1" si="7"/>
        <v>13099725.247635193</v>
      </c>
    </row>
    <row r="117" spans="1:14" x14ac:dyDescent="0.25">
      <c r="A117" s="11">
        <v>43313</v>
      </c>
      <c r="B117" s="6">
        <f t="shared" si="10"/>
        <v>2018</v>
      </c>
      <c r="D117" s="30">
        <f t="shared" ca="1" si="11"/>
        <v>12.719999999999999</v>
      </c>
      <c r="E117" s="30">
        <f t="shared" ca="1" si="11"/>
        <v>77.22999999999999</v>
      </c>
      <c r="F117">
        <f t="shared" si="5"/>
        <v>116</v>
      </c>
      <c r="G117" s="82">
        <f>SUMIF('Connection count GS Adjusted '!B:B,B117,'Connection count GS Adjusted '!C:C)</f>
        <v>24465.981491922685</v>
      </c>
      <c r="I117" s="23">
        <f>'Res OLS Model'!$B$5</f>
        <v>-20568225.384695102</v>
      </c>
      <c r="J117" s="23">
        <f ca="1">'Res OLS Model'!$B$6*D117</f>
        <v>192791.98817906604</v>
      </c>
      <c r="K117" s="23">
        <f ca="1">'Res OLS Model'!$B$7*E117</f>
        <v>2997667.2946041017</v>
      </c>
      <c r="L117" s="23">
        <f>'Res OLS Model'!$B$8*F117</f>
        <v>-3540257.3912796555</v>
      </c>
      <c r="M117" s="23">
        <f>'Res OLS Model'!$B$9*G117</f>
        <v>33340211.350433737</v>
      </c>
      <c r="N117" s="23">
        <f t="shared" ca="1" si="7"/>
        <v>12422187.857242145</v>
      </c>
    </row>
    <row r="118" spans="1:14" x14ac:dyDescent="0.25">
      <c r="A118" s="11">
        <v>43344</v>
      </c>
      <c r="B118" s="6">
        <f t="shared" si="10"/>
        <v>2018</v>
      </c>
      <c r="D118" s="30">
        <f t="shared" ca="1" si="11"/>
        <v>86.570000000000007</v>
      </c>
      <c r="E118" s="30">
        <f t="shared" ca="1" si="11"/>
        <v>19.899999999999999</v>
      </c>
      <c r="F118">
        <f t="shared" si="5"/>
        <v>117</v>
      </c>
      <c r="G118" s="82">
        <f>SUMIF('Connection count GS Adjusted '!B:B,B118,'Connection count GS Adjusted '!C:C)</f>
        <v>24465.981491922685</v>
      </c>
      <c r="I118" s="23">
        <f>'Res OLS Model'!$B$5</f>
        <v>-20568225.384695102</v>
      </c>
      <c r="J118" s="23">
        <f ca="1">'Res OLS Model'!$B$6*D118</f>
        <v>1312107.1082281249</v>
      </c>
      <c r="K118" s="23">
        <f ca="1">'Res OLS Model'!$B$7*E118</f>
        <v>772414.59488050791</v>
      </c>
      <c r="L118" s="23">
        <f>'Res OLS Model'!$B$8*F118</f>
        <v>-3570776.8515493074</v>
      </c>
      <c r="M118" s="23">
        <f>'Res OLS Model'!$B$9*G118</f>
        <v>33340211.350433737</v>
      </c>
      <c r="N118" s="23">
        <f t="shared" ca="1" si="7"/>
        <v>11285730.817297958</v>
      </c>
    </row>
    <row r="119" spans="1:14" x14ac:dyDescent="0.25">
      <c r="A119" s="11">
        <v>43374</v>
      </c>
      <c r="B119" s="6">
        <f t="shared" si="10"/>
        <v>2018</v>
      </c>
      <c r="D119" s="30">
        <f t="shared" ca="1" si="11"/>
        <v>270.3</v>
      </c>
      <c r="E119" s="30">
        <f t="shared" ca="1" si="11"/>
        <v>1.21</v>
      </c>
      <c r="F119">
        <f t="shared" si="5"/>
        <v>118</v>
      </c>
      <c r="G119" s="82">
        <f>SUMIF('Connection count GS Adjusted '!B:B,B119,'Connection count GS Adjusted '!C:C)</f>
        <v>24465.981491922685</v>
      </c>
      <c r="I119" s="23">
        <f>'Res OLS Model'!$B$5</f>
        <v>-20568225.384695102</v>
      </c>
      <c r="J119" s="23">
        <f ca="1">'Res OLS Model'!$B$6*D119</f>
        <v>4096829.7488051536</v>
      </c>
      <c r="K119" s="23">
        <f ca="1">'Res OLS Model'!$B$7*E119</f>
        <v>46965.912553035909</v>
      </c>
      <c r="L119" s="23">
        <f>'Res OLS Model'!$B$8*F119</f>
        <v>-3601296.3118189597</v>
      </c>
      <c r="M119" s="23">
        <f>'Res OLS Model'!$B$9*G119</f>
        <v>33340211.350433737</v>
      </c>
      <c r="N119" s="23">
        <f t="shared" ca="1" si="7"/>
        <v>13314485.315277867</v>
      </c>
    </row>
    <row r="120" spans="1:14" x14ac:dyDescent="0.25">
      <c r="A120" s="11">
        <v>43405</v>
      </c>
      <c r="B120" s="6">
        <f t="shared" si="10"/>
        <v>2018</v>
      </c>
      <c r="D120" s="30">
        <f t="shared" ca="1" si="11"/>
        <v>444.05</v>
      </c>
      <c r="E120" s="30">
        <f t="shared" ca="1" si="11"/>
        <v>0</v>
      </c>
      <c r="F120">
        <f t="shared" si="5"/>
        <v>119</v>
      </c>
      <c r="G120" s="82">
        <f>SUMIF('Connection count GS Adjusted '!B:B,B120,'Connection count GS Adjusted '!C:C)</f>
        <v>24465.981491922685</v>
      </c>
      <c r="I120" s="23">
        <f>'Res OLS Model'!$B$5</f>
        <v>-20568225.384695102</v>
      </c>
      <c r="J120" s="23">
        <f ca="1">'Res OLS Model'!$B$6*D120</f>
        <v>6730289.4929964058</v>
      </c>
      <c r="K120" s="23">
        <f ca="1">'Res OLS Model'!$B$7*E120</f>
        <v>0</v>
      </c>
      <c r="L120" s="23">
        <f>'Res OLS Model'!$B$8*F120</f>
        <v>-3631815.772088612</v>
      </c>
      <c r="M120" s="23">
        <f>'Res OLS Model'!$B$9*G120</f>
        <v>33340211.350433737</v>
      </c>
      <c r="N120" s="23">
        <f t="shared" ca="1" si="7"/>
        <v>15870459.686646428</v>
      </c>
    </row>
    <row r="121" spans="1:14" x14ac:dyDescent="0.25">
      <c r="A121" s="11">
        <v>43435</v>
      </c>
      <c r="B121" s="6">
        <f t="shared" si="10"/>
        <v>2018</v>
      </c>
      <c r="D121" s="30">
        <f t="shared" ca="1" si="11"/>
        <v>684.01</v>
      </c>
      <c r="E121" s="30">
        <f t="shared" ca="1" si="11"/>
        <v>0</v>
      </c>
      <c r="F121">
        <f t="shared" si="5"/>
        <v>120</v>
      </c>
      <c r="G121" s="82">
        <f>SUMIF('Connection count GS Adjusted '!B:B,B121,'Connection count GS Adjusted '!C:C)</f>
        <v>24465.981491922685</v>
      </c>
      <c r="I121" s="23">
        <f>'Res OLS Model'!$B$5</f>
        <v>-20568225.384695102</v>
      </c>
      <c r="J121" s="23">
        <f ca="1">'Res OLS Model'!$B$6*D121</f>
        <v>10367267.911506522</v>
      </c>
      <c r="K121" s="23">
        <f ca="1">'Res OLS Model'!$B$7*E121</f>
        <v>0</v>
      </c>
      <c r="L121" s="23">
        <f>'Res OLS Model'!$B$8*F121</f>
        <v>-3662335.2323582643</v>
      </c>
      <c r="M121" s="23">
        <f>'Res OLS Model'!$B$9*G121</f>
        <v>33340211.350433737</v>
      </c>
      <c r="N121" s="23">
        <f t="shared" ca="1" si="7"/>
        <v>19476918.644886896</v>
      </c>
    </row>
    <row r="122" spans="1:14" x14ac:dyDescent="0.25">
      <c r="A122" s="11">
        <v>43466</v>
      </c>
      <c r="B122" s="6">
        <f t="shared" si="10"/>
        <v>2019</v>
      </c>
      <c r="D122" s="30">
        <f t="shared" ca="1" si="11"/>
        <v>784.29</v>
      </c>
      <c r="E122" s="30">
        <f t="shared" ca="1" si="11"/>
        <v>0</v>
      </c>
      <c r="F122">
        <f t="shared" si="5"/>
        <v>121</v>
      </c>
      <c r="G122" s="82">
        <f>SUMIF('Connection count GS Adjusted '!B:B,B122,'Connection count GS Adjusted '!C:C)</f>
        <v>24621.780092550849</v>
      </c>
      <c r="I122" s="23">
        <f>'Res OLS Model'!$B$5</f>
        <v>-20568225.384695102</v>
      </c>
      <c r="J122" s="23">
        <f ca="1">'Res OLS Model'!$B$6*D122</f>
        <v>11887172.044729536</v>
      </c>
      <c r="K122" s="23">
        <f ca="1">'Res OLS Model'!$B$7*E122</f>
        <v>0</v>
      </c>
      <c r="L122" s="23">
        <f>'Res OLS Model'!$B$8*F122</f>
        <v>-3692854.6926279166</v>
      </c>
      <c r="M122" s="23">
        <f>'Res OLS Model'!$B$9*G122</f>
        <v>33552520.767685592</v>
      </c>
      <c r="N122" s="23">
        <f t="shared" ca="1" si="7"/>
        <v>21178612.735092111</v>
      </c>
    </row>
    <row r="123" spans="1:14" x14ac:dyDescent="0.25">
      <c r="A123" s="11">
        <v>43497</v>
      </c>
      <c r="B123" s="6">
        <f t="shared" si="10"/>
        <v>2019</v>
      </c>
      <c r="D123" s="30">
        <f t="shared" ca="1" si="11"/>
        <v>682.50999999999988</v>
      </c>
      <c r="E123" s="30">
        <f t="shared" ca="1" si="11"/>
        <v>0</v>
      </c>
      <c r="F123">
        <f t="shared" si="5"/>
        <v>122</v>
      </c>
      <c r="G123" s="82">
        <f>SUMIF('Connection count GS Adjusted '!B:B,B123,'Connection count GS Adjusted '!C:C)</f>
        <v>24621.780092550849</v>
      </c>
      <c r="I123" s="23">
        <f>'Res OLS Model'!$B$5</f>
        <v>-20568225.384695102</v>
      </c>
      <c r="J123" s="23">
        <f ca="1">'Res OLS Model'!$B$6*D123</f>
        <v>10344533.007240122</v>
      </c>
      <c r="K123" s="23">
        <f ca="1">'Res OLS Model'!$B$7*E123</f>
        <v>0</v>
      </c>
      <c r="L123" s="23">
        <f>'Res OLS Model'!$B$8*F123</f>
        <v>-3723374.1528975684</v>
      </c>
      <c r="M123" s="23">
        <f>'Res OLS Model'!$B$9*G123</f>
        <v>33552520.767685592</v>
      </c>
      <c r="N123" s="23">
        <f t="shared" ca="1" si="7"/>
        <v>19605454.237333044</v>
      </c>
    </row>
    <row r="124" spans="1:14" x14ac:dyDescent="0.25">
      <c r="A124" s="11">
        <v>43525</v>
      </c>
      <c r="B124" s="6">
        <f t="shared" si="10"/>
        <v>2019</v>
      </c>
      <c r="D124" s="30">
        <f t="shared" ca="1" si="11"/>
        <v>556.99</v>
      </c>
      <c r="E124" s="30">
        <f t="shared" ca="1" si="11"/>
        <v>0</v>
      </c>
      <c r="F124">
        <f t="shared" si="5"/>
        <v>123</v>
      </c>
      <c r="G124" s="82">
        <f>SUMIF('Connection count GS Adjusted '!B:B,B124,'Connection count GS Adjusted '!C:C)</f>
        <v>24621.780092550849</v>
      </c>
      <c r="I124" s="23">
        <f>'Res OLS Model'!$B$5</f>
        <v>-20568225.384695102</v>
      </c>
      <c r="J124" s="23">
        <f ca="1">'Res OLS Model'!$B$6*D124</f>
        <v>8442076.2182278298</v>
      </c>
      <c r="K124" s="23">
        <f ca="1">'Res OLS Model'!$B$7*E124</f>
        <v>0</v>
      </c>
      <c r="L124" s="23">
        <f>'Res OLS Model'!$B$8*F124</f>
        <v>-3753893.6131672207</v>
      </c>
      <c r="M124" s="23">
        <f>'Res OLS Model'!$B$9*G124</f>
        <v>33552520.767685592</v>
      </c>
      <c r="N124" s="23">
        <f t="shared" ca="1" si="7"/>
        <v>17672477.988051102</v>
      </c>
    </row>
    <row r="125" spans="1:14" x14ac:dyDescent="0.25">
      <c r="A125" s="11">
        <v>43556</v>
      </c>
      <c r="B125" s="6">
        <f t="shared" si="10"/>
        <v>2019</v>
      </c>
      <c r="D125" s="30">
        <f t="shared" ca="1" si="11"/>
        <v>326.58999999999997</v>
      </c>
      <c r="E125" s="30">
        <f t="shared" ca="1" si="11"/>
        <v>0.39</v>
      </c>
      <c r="F125">
        <f t="shared" si="5"/>
        <v>124</v>
      </c>
      <c r="G125" s="82">
        <f>SUMIF('Connection count GS Adjusted '!B:B,B125,'Connection count GS Adjusted '!C:C)</f>
        <v>24621.780092550849</v>
      </c>
      <c r="I125" s="23">
        <f>'Res OLS Model'!$B$5</f>
        <v>-20568225.384695102</v>
      </c>
      <c r="J125" s="23">
        <f ca="1">'Res OLS Model'!$B$6*D125</f>
        <v>4949994.9229088975</v>
      </c>
      <c r="K125" s="23">
        <f ca="1">'Res OLS Model'!$B$7*E125</f>
        <v>15137.773467507444</v>
      </c>
      <c r="L125" s="23">
        <f>'Res OLS Model'!$B$8*F125</f>
        <v>-3784413.073436873</v>
      </c>
      <c r="M125" s="23">
        <f>'Res OLS Model'!$B$9*G125</f>
        <v>33552520.767685592</v>
      </c>
      <c r="N125" s="23">
        <f t="shared" ca="1" si="7"/>
        <v>14165015.005930021</v>
      </c>
    </row>
    <row r="126" spans="1:14" x14ac:dyDescent="0.25">
      <c r="A126" s="11">
        <v>43586</v>
      </c>
      <c r="B126" s="6">
        <f t="shared" si="10"/>
        <v>2019</v>
      </c>
      <c r="D126" s="30">
        <f t="shared" ca="1" si="11"/>
        <v>144.96</v>
      </c>
      <c r="E126" s="30">
        <f t="shared" ca="1" si="11"/>
        <v>8.67</v>
      </c>
      <c r="F126">
        <f t="shared" si="5"/>
        <v>125</v>
      </c>
      <c r="G126" s="82">
        <f>SUMIF('Connection count GS Adjusted '!B:B,B126,'Connection count GS Adjusted '!C:C)</f>
        <v>24621.780092550849</v>
      </c>
      <c r="I126" s="23">
        <f>'Res OLS Model'!$B$5</f>
        <v>-20568225.384695102</v>
      </c>
      <c r="J126" s="23">
        <f ca="1">'Res OLS Model'!$B$6*D126</f>
        <v>2197101.1483048284</v>
      </c>
      <c r="K126" s="23">
        <f ca="1">'Res OLS Model'!$B$7*E126</f>
        <v>336524.3486238193</v>
      </c>
      <c r="L126" s="23">
        <f>'Res OLS Model'!$B$8*F126</f>
        <v>-3814932.5337065253</v>
      </c>
      <c r="M126" s="23">
        <f>'Res OLS Model'!$B$9*G126</f>
        <v>33552520.767685592</v>
      </c>
      <c r="N126" s="23">
        <f t="shared" ca="1" si="7"/>
        <v>11702988.346212611</v>
      </c>
    </row>
    <row r="127" spans="1:14" x14ac:dyDescent="0.25">
      <c r="A127" s="11">
        <v>43617</v>
      </c>
      <c r="B127" s="6">
        <f t="shared" si="10"/>
        <v>2019</v>
      </c>
      <c r="D127" s="30">
        <f t="shared" ca="1" si="11"/>
        <v>41.510000000000005</v>
      </c>
      <c r="E127" s="30">
        <f t="shared" ca="1" si="11"/>
        <v>44.41</v>
      </c>
      <c r="F127">
        <f t="shared" ref="F127:F145" si="12">F126+1</f>
        <v>126</v>
      </c>
      <c r="G127" s="82">
        <f>SUMIF('Connection count GS Adjusted '!B:B,B127,'Connection count GS Adjusted '!C:C)</f>
        <v>24621.780092550849</v>
      </c>
      <c r="I127" s="23">
        <f>'Res OLS Model'!$B$5</f>
        <v>-20568225.384695102</v>
      </c>
      <c r="J127" s="23">
        <f ca="1">'Res OLS Model'!$B$6*D127</f>
        <v>629150.58406549005</v>
      </c>
      <c r="K127" s="23">
        <f ca="1">'Res OLS Model'!$B$7*E127</f>
        <v>1723765.4351077063</v>
      </c>
      <c r="L127" s="23">
        <f>'Res OLS Model'!$B$8*F127</f>
        <v>-3845451.9939761772</v>
      </c>
      <c r="M127" s="23">
        <f>'Res OLS Model'!$B$9*G127</f>
        <v>33552520.767685592</v>
      </c>
      <c r="N127" s="23">
        <f t="shared" ca="1" si="7"/>
        <v>11491759.408187512</v>
      </c>
    </row>
    <row r="128" spans="1:14" x14ac:dyDescent="0.25">
      <c r="A128" s="11">
        <v>43647</v>
      </c>
      <c r="B128" s="6">
        <f t="shared" si="10"/>
        <v>2019</v>
      </c>
      <c r="D128" s="30">
        <f t="shared" ca="1" si="11"/>
        <v>5.01</v>
      </c>
      <c r="E128" s="30">
        <f t="shared" ca="1" si="11"/>
        <v>96.909999999999982</v>
      </c>
      <c r="F128">
        <f t="shared" si="12"/>
        <v>127</v>
      </c>
      <c r="G128" s="82">
        <f>SUMIF('Connection count GS Adjusted '!B:B,B128,'Connection count GS Adjusted '!C:C)</f>
        <v>24621.780092550849</v>
      </c>
      <c r="I128" s="23">
        <f>'Res OLS Model'!$B$5</f>
        <v>-20568225.384695102</v>
      </c>
      <c r="J128" s="23">
        <f ca="1">'Res OLS Model'!$B$6*D128</f>
        <v>75934.580249773659</v>
      </c>
      <c r="K128" s="23">
        <f ca="1">'Res OLS Model'!$B$7*E128</f>
        <v>3761542.6326567847</v>
      </c>
      <c r="L128" s="23">
        <f>'Res OLS Model'!$B$8*F128</f>
        <v>-3875971.4542458295</v>
      </c>
      <c r="M128" s="23">
        <f>'Res OLS Model'!$B$9*G128</f>
        <v>33552520.767685592</v>
      </c>
      <c r="N128" s="23">
        <f t="shared" ca="1" si="7"/>
        <v>12945801.141651221</v>
      </c>
    </row>
    <row r="129" spans="1:14" x14ac:dyDescent="0.25">
      <c r="A129" s="11">
        <v>43678</v>
      </c>
      <c r="B129" s="6">
        <f t="shared" si="10"/>
        <v>2019</v>
      </c>
      <c r="D129" s="30">
        <f t="shared" ca="1" si="11"/>
        <v>12.719999999999999</v>
      </c>
      <c r="E129" s="30">
        <f t="shared" ca="1" si="11"/>
        <v>77.22999999999999</v>
      </c>
      <c r="F129">
        <f t="shared" si="12"/>
        <v>128</v>
      </c>
      <c r="G129" s="82">
        <f>SUMIF('Connection count GS Adjusted '!B:B,B129,'Connection count GS Adjusted '!C:C)</f>
        <v>24621.780092550849</v>
      </c>
      <c r="I129" s="23">
        <f>'Res OLS Model'!$B$5</f>
        <v>-20568225.384695102</v>
      </c>
      <c r="J129" s="23">
        <f ca="1">'Res OLS Model'!$B$6*D129</f>
        <v>192791.98817906604</v>
      </c>
      <c r="K129" s="23">
        <f ca="1">'Res OLS Model'!$B$7*E129</f>
        <v>2997667.2946041017</v>
      </c>
      <c r="L129" s="23">
        <f>'Res OLS Model'!$B$8*F129</f>
        <v>-3906490.9145154818</v>
      </c>
      <c r="M129" s="23">
        <f>'Res OLS Model'!$B$9*G129</f>
        <v>33552520.767685592</v>
      </c>
      <c r="N129" s="23">
        <f t="shared" ca="1" si="7"/>
        <v>12268263.751258176</v>
      </c>
    </row>
    <row r="130" spans="1:14" x14ac:dyDescent="0.25">
      <c r="A130" s="11">
        <v>43709</v>
      </c>
      <c r="B130" s="6">
        <f t="shared" si="10"/>
        <v>2019</v>
      </c>
      <c r="D130" s="30">
        <f t="shared" ca="1" si="11"/>
        <v>86.570000000000007</v>
      </c>
      <c r="E130" s="30">
        <f t="shared" ca="1" si="11"/>
        <v>19.899999999999999</v>
      </c>
      <c r="F130">
        <f t="shared" si="12"/>
        <v>129</v>
      </c>
      <c r="G130" s="82">
        <f>SUMIF('Connection count GS Adjusted '!B:B,B130,'Connection count GS Adjusted '!C:C)</f>
        <v>24621.780092550849</v>
      </c>
      <c r="I130" s="23">
        <f>'Res OLS Model'!$B$5</f>
        <v>-20568225.384695102</v>
      </c>
      <c r="J130" s="23">
        <f ca="1">'Res OLS Model'!$B$6*D130</f>
        <v>1312107.1082281249</v>
      </c>
      <c r="K130" s="23">
        <f ca="1">'Res OLS Model'!$B$7*E130</f>
        <v>772414.59488050791</v>
      </c>
      <c r="L130" s="23">
        <f>'Res OLS Model'!$B$8*F130</f>
        <v>-3937010.3747851341</v>
      </c>
      <c r="M130" s="23">
        <f>'Res OLS Model'!$B$9*G130</f>
        <v>33552520.767685592</v>
      </c>
      <c r="N130" s="23">
        <f t="shared" ca="1" si="7"/>
        <v>11131806.711313989</v>
      </c>
    </row>
    <row r="131" spans="1:14" x14ac:dyDescent="0.25">
      <c r="A131" s="11">
        <v>43739</v>
      </c>
      <c r="B131" s="6">
        <f t="shared" si="10"/>
        <v>2019</v>
      </c>
      <c r="D131" s="30">
        <f t="shared" ca="1" si="11"/>
        <v>270.3</v>
      </c>
      <c r="E131" s="30">
        <f t="shared" ca="1" si="11"/>
        <v>1.21</v>
      </c>
      <c r="F131">
        <f t="shared" si="12"/>
        <v>130</v>
      </c>
      <c r="G131" s="82">
        <f>SUMIF('Connection count GS Adjusted '!B:B,B131,'Connection count GS Adjusted '!C:C)</f>
        <v>24621.780092550849</v>
      </c>
      <c r="I131" s="23">
        <f>'Res OLS Model'!$B$5</f>
        <v>-20568225.384695102</v>
      </c>
      <c r="J131" s="23">
        <f ca="1">'Res OLS Model'!$B$6*D131</f>
        <v>4096829.7488051536</v>
      </c>
      <c r="K131" s="23">
        <f ca="1">'Res OLS Model'!$B$7*E131</f>
        <v>46965.912553035909</v>
      </c>
      <c r="L131" s="23">
        <f>'Res OLS Model'!$B$8*F131</f>
        <v>-3967529.8350547864</v>
      </c>
      <c r="M131" s="23">
        <f>'Res OLS Model'!$B$9*G131</f>
        <v>33552520.767685592</v>
      </c>
      <c r="N131" s="23">
        <f t="shared" ref="N131:N145" ca="1" si="13">SUM(I131:M131)</f>
        <v>13160561.209293894</v>
      </c>
    </row>
    <row r="132" spans="1:14" x14ac:dyDescent="0.25">
      <c r="A132" s="11">
        <v>43770</v>
      </c>
      <c r="B132" s="6">
        <f t="shared" si="10"/>
        <v>2019</v>
      </c>
      <c r="D132" s="30">
        <f t="shared" ca="1" si="11"/>
        <v>444.05</v>
      </c>
      <c r="E132" s="30">
        <f t="shared" ca="1" si="11"/>
        <v>0</v>
      </c>
      <c r="F132">
        <f t="shared" si="12"/>
        <v>131</v>
      </c>
      <c r="G132" s="82">
        <f>SUMIF('Connection count GS Adjusted '!B:B,B132,'Connection count GS Adjusted '!C:C)</f>
        <v>24621.780092550849</v>
      </c>
      <c r="I132" s="23">
        <f>'Res OLS Model'!$B$5</f>
        <v>-20568225.384695102</v>
      </c>
      <c r="J132" s="23">
        <f ca="1">'Res OLS Model'!$B$6*D132</f>
        <v>6730289.4929964058</v>
      </c>
      <c r="K132" s="23">
        <f ca="1">'Res OLS Model'!$B$7*E132</f>
        <v>0</v>
      </c>
      <c r="L132" s="23">
        <f>'Res OLS Model'!$B$8*F132</f>
        <v>-3998049.2953244383</v>
      </c>
      <c r="M132" s="23">
        <f>'Res OLS Model'!$B$9*G132</f>
        <v>33552520.767685592</v>
      </c>
      <c r="N132" s="23">
        <f t="shared" ca="1" si="13"/>
        <v>15716535.580662459</v>
      </c>
    </row>
    <row r="133" spans="1:14" x14ac:dyDescent="0.25">
      <c r="A133" s="11">
        <v>43800</v>
      </c>
      <c r="B133" s="6">
        <f t="shared" si="10"/>
        <v>2019</v>
      </c>
      <c r="D133" s="30">
        <f t="shared" ca="1" si="11"/>
        <v>684.01</v>
      </c>
      <c r="E133" s="30">
        <f t="shared" ca="1" si="11"/>
        <v>0</v>
      </c>
      <c r="F133">
        <f t="shared" si="12"/>
        <v>132</v>
      </c>
      <c r="G133" s="82">
        <f>SUMIF('Connection count GS Adjusted '!B:B,B133,'Connection count GS Adjusted '!C:C)</f>
        <v>24621.780092550849</v>
      </c>
      <c r="I133" s="23">
        <f>'Res OLS Model'!$B$5</f>
        <v>-20568225.384695102</v>
      </c>
      <c r="J133" s="23">
        <f ca="1">'Res OLS Model'!$B$6*D133</f>
        <v>10367267.911506522</v>
      </c>
      <c r="K133" s="23">
        <f ca="1">'Res OLS Model'!$B$7*E133</f>
        <v>0</v>
      </c>
      <c r="L133" s="23">
        <f>'Res OLS Model'!$B$8*F133</f>
        <v>-4028568.7555940906</v>
      </c>
      <c r="M133" s="23">
        <f>'Res OLS Model'!$B$9*G133</f>
        <v>33552520.767685592</v>
      </c>
      <c r="N133" s="23">
        <f t="shared" ca="1" si="13"/>
        <v>19322994.538902923</v>
      </c>
    </row>
    <row r="134" spans="1:14" x14ac:dyDescent="0.25">
      <c r="A134" s="11">
        <v>43831</v>
      </c>
      <c r="B134" s="6">
        <f t="shared" si="10"/>
        <v>2020</v>
      </c>
      <c r="D134" s="30">
        <f t="shared" ref="D134:E145" ca="1" si="14">D122</f>
        <v>784.29</v>
      </c>
      <c r="E134" s="30">
        <f t="shared" ca="1" si="14"/>
        <v>0</v>
      </c>
      <c r="F134">
        <f t="shared" si="12"/>
        <v>133</v>
      </c>
      <c r="G134" s="82">
        <f>SUMIF('Connection count GS Adjusted '!B:B,B134,'Connection count GS Adjusted '!C:C)</f>
        <v>24778.570813767583</v>
      </c>
      <c r="I134" s="23">
        <f>'Res OLS Model'!$B$5</f>
        <v>-20568225.384695102</v>
      </c>
      <c r="J134" s="23">
        <f ca="1">'Res OLS Model'!$B$6*D134</f>
        <v>11887172.044729536</v>
      </c>
      <c r="K134" s="23">
        <f ca="1">'Res OLS Model'!$B$7*E134</f>
        <v>0</v>
      </c>
      <c r="L134" s="23">
        <f>'Res OLS Model'!$B$8*F134</f>
        <v>-4059088.2158637429</v>
      </c>
      <c r="M134" s="23">
        <f>'Res OLS Model'!$B$9*G134</f>
        <v>33766182.164628878</v>
      </c>
      <c r="N134" s="23">
        <f t="shared" ca="1" si="13"/>
        <v>21026040.608799569</v>
      </c>
    </row>
    <row r="135" spans="1:14" x14ac:dyDescent="0.25">
      <c r="A135" s="11">
        <v>43862</v>
      </c>
      <c r="B135" s="6">
        <f t="shared" si="10"/>
        <v>2020</v>
      </c>
      <c r="D135" s="30">
        <f t="shared" ca="1" si="14"/>
        <v>682.50999999999988</v>
      </c>
      <c r="E135" s="30">
        <f t="shared" ca="1" si="14"/>
        <v>0</v>
      </c>
      <c r="F135">
        <f t="shared" si="12"/>
        <v>134</v>
      </c>
      <c r="G135" s="82">
        <f>SUMIF('Connection count GS Adjusted '!B:B,B135,'Connection count GS Adjusted '!C:C)</f>
        <v>24778.570813767583</v>
      </c>
      <c r="I135" s="23">
        <f>'Res OLS Model'!$B$5</f>
        <v>-20568225.384695102</v>
      </c>
      <c r="J135" s="23">
        <f ca="1">'Res OLS Model'!$B$6*D135</f>
        <v>10344533.007240122</v>
      </c>
      <c r="K135" s="23">
        <f ca="1">'Res OLS Model'!$B$7*E135</f>
        <v>0</v>
      </c>
      <c r="L135" s="23">
        <f>'Res OLS Model'!$B$8*F135</f>
        <v>-4089607.6761333952</v>
      </c>
      <c r="M135" s="23">
        <f>'Res OLS Model'!$B$9*G135</f>
        <v>33766182.164628878</v>
      </c>
      <c r="N135" s="23">
        <f t="shared" ca="1" si="13"/>
        <v>19452882.111040503</v>
      </c>
    </row>
    <row r="136" spans="1:14" x14ac:dyDescent="0.25">
      <c r="A136" s="11">
        <v>43891</v>
      </c>
      <c r="B136" s="6">
        <f t="shared" si="10"/>
        <v>2020</v>
      </c>
      <c r="D136" s="30">
        <f t="shared" ca="1" si="14"/>
        <v>556.99</v>
      </c>
      <c r="E136" s="30">
        <f t="shared" ca="1" si="14"/>
        <v>0</v>
      </c>
      <c r="F136">
        <f t="shared" si="12"/>
        <v>135</v>
      </c>
      <c r="G136" s="82">
        <f>SUMIF('Connection count GS Adjusted '!B:B,B136,'Connection count GS Adjusted '!C:C)</f>
        <v>24778.570813767583</v>
      </c>
      <c r="I136" s="23">
        <f>'Res OLS Model'!$B$5</f>
        <v>-20568225.384695102</v>
      </c>
      <c r="J136" s="23">
        <f ca="1">'Res OLS Model'!$B$6*D136</f>
        <v>8442076.2182278298</v>
      </c>
      <c r="K136" s="23">
        <f ca="1">'Res OLS Model'!$B$7*E136</f>
        <v>0</v>
      </c>
      <c r="L136" s="23">
        <f>'Res OLS Model'!$B$8*F136</f>
        <v>-4120127.136403047</v>
      </c>
      <c r="M136" s="23">
        <f>'Res OLS Model'!$B$9*G136</f>
        <v>33766182.164628878</v>
      </c>
      <c r="N136" s="23">
        <f t="shared" ca="1" si="13"/>
        <v>17519905.86175856</v>
      </c>
    </row>
    <row r="137" spans="1:14" x14ac:dyDescent="0.25">
      <c r="A137" s="11">
        <v>43922</v>
      </c>
      <c r="B137" s="6">
        <f t="shared" si="10"/>
        <v>2020</v>
      </c>
      <c r="D137" s="30">
        <f t="shared" ca="1" si="14"/>
        <v>326.58999999999997</v>
      </c>
      <c r="E137" s="30">
        <f t="shared" ca="1" si="14"/>
        <v>0.39</v>
      </c>
      <c r="F137">
        <f t="shared" si="12"/>
        <v>136</v>
      </c>
      <c r="G137" s="82">
        <f>SUMIF('Connection count GS Adjusted '!B:B,B137,'Connection count GS Adjusted '!C:C)</f>
        <v>24778.570813767583</v>
      </c>
      <c r="I137" s="23">
        <f>'Res OLS Model'!$B$5</f>
        <v>-20568225.384695102</v>
      </c>
      <c r="J137" s="23">
        <f ca="1">'Res OLS Model'!$B$6*D137</f>
        <v>4949994.9229088975</v>
      </c>
      <c r="K137" s="23">
        <f ca="1">'Res OLS Model'!$B$7*E137</f>
        <v>15137.773467507444</v>
      </c>
      <c r="L137" s="23">
        <f>'Res OLS Model'!$B$8*F137</f>
        <v>-4150646.5966726993</v>
      </c>
      <c r="M137" s="23">
        <f>'Res OLS Model'!$B$9*G137</f>
        <v>33766182.164628878</v>
      </c>
      <c r="N137" s="23">
        <f t="shared" ca="1" si="13"/>
        <v>14012442.879637484</v>
      </c>
    </row>
    <row r="138" spans="1:14" x14ac:dyDescent="0.25">
      <c r="A138" s="11">
        <v>43952</v>
      </c>
      <c r="B138" s="6">
        <f t="shared" si="10"/>
        <v>2020</v>
      </c>
      <c r="D138" s="30">
        <f t="shared" ca="1" si="14"/>
        <v>144.96</v>
      </c>
      <c r="E138" s="30">
        <f t="shared" ca="1" si="14"/>
        <v>8.67</v>
      </c>
      <c r="F138">
        <f t="shared" si="12"/>
        <v>137</v>
      </c>
      <c r="G138" s="82">
        <f>SUMIF('Connection count GS Adjusted '!B:B,B138,'Connection count GS Adjusted '!C:C)</f>
        <v>24778.570813767583</v>
      </c>
      <c r="I138" s="23">
        <f>'Res OLS Model'!$B$5</f>
        <v>-20568225.384695102</v>
      </c>
      <c r="J138" s="23">
        <f ca="1">'Res OLS Model'!$B$6*D138</f>
        <v>2197101.1483048284</v>
      </c>
      <c r="K138" s="23">
        <f ca="1">'Res OLS Model'!$B$7*E138</f>
        <v>336524.3486238193</v>
      </c>
      <c r="L138" s="23">
        <f>'Res OLS Model'!$B$8*F138</f>
        <v>-4181166.0569423516</v>
      </c>
      <c r="M138" s="23">
        <f>'Res OLS Model'!$B$9*G138</f>
        <v>33766182.164628878</v>
      </c>
      <c r="N138" s="23">
        <f t="shared" ca="1" si="13"/>
        <v>11550416.219920073</v>
      </c>
    </row>
    <row r="139" spans="1:14" x14ac:dyDescent="0.25">
      <c r="A139" s="11">
        <v>43983</v>
      </c>
      <c r="B139" s="6">
        <f t="shared" si="10"/>
        <v>2020</v>
      </c>
      <c r="D139" s="30">
        <f t="shared" ca="1" si="14"/>
        <v>41.510000000000005</v>
      </c>
      <c r="E139" s="30">
        <f t="shared" ca="1" si="14"/>
        <v>44.41</v>
      </c>
      <c r="F139">
        <f t="shared" si="12"/>
        <v>138</v>
      </c>
      <c r="G139" s="82">
        <f>SUMIF('Connection count GS Adjusted '!B:B,B139,'Connection count GS Adjusted '!C:C)</f>
        <v>24778.570813767583</v>
      </c>
      <c r="I139" s="23">
        <f>'Res OLS Model'!$B$5</f>
        <v>-20568225.384695102</v>
      </c>
      <c r="J139" s="23">
        <f ca="1">'Res OLS Model'!$B$6*D139</f>
        <v>629150.58406549005</v>
      </c>
      <c r="K139" s="23">
        <f ca="1">'Res OLS Model'!$B$7*E139</f>
        <v>1723765.4351077063</v>
      </c>
      <c r="L139" s="23">
        <f>'Res OLS Model'!$B$8*F139</f>
        <v>-4211685.5172120035</v>
      </c>
      <c r="M139" s="23">
        <f>'Res OLS Model'!$B$9*G139</f>
        <v>33766182.164628878</v>
      </c>
      <c r="N139" s="23">
        <f t="shared" ca="1" si="13"/>
        <v>11339187.281894971</v>
      </c>
    </row>
    <row r="140" spans="1:14" x14ac:dyDescent="0.25">
      <c r="A140" s="11">
        <v>44013</v>
      </c>
      <c r="B140" s="6">
        <f t="shared" si="10"/>
        <v>2020</v>
      </c>
      <c r="D140" s="30">
        <f t="shared" ca="1" si="14"/>
        <v>5.01</v>
      </c>
      <c r="E140" s="30">
        <f t="shared" ca="1" si="14"/>
        <v>96.909999999999982</v>
      </c>
      <c r="F140">
        <f t="shared" si="12"/>
        <v>139</v>
      </c>
      <c r="G140" s="82">
        <f>SUMIF('Connection count GS Adjusted '!B:B,B140,'Connection count GS Adjusted '!C:C)</f>
        <v>24778.570813767583</v>
      </c>
      <c r="I140" s="23">
        <f>'Res OLS Model'!$B$5</f>
        <v>-20568225.384695102</v>
      </c>
      <c r="J140" s="23">
        <f ca="1">'Res OLS Model'!$B$6*D140</f>
        <v>75934.580249773659</v>
      </c>
      <c r="K140" s="23">
        <f ca="1">'Res OLS Model'!$B$7*E140</f>
        <v>3761542.6326567847</v>
      </c>
      <c r="L140" s="23">
        <f>'Res OLS Model'!$B$8*F140</f>
        <v>-4242204.9774816558</v>
      </c>
      <c r="M140" s="23">
        <f>'Res OLS Model'!$B$9*G140</f>
        <v>33766182.164628878</v>
      </c>
      <c r="N140" s="23">
        <f t="shared" ca="1" si="13"/>
        <v>12793229.015358679</v>
      </c>
    </row>
    <row r="141" spans="1:14" x14ac:dyDescent="0.25">
      <c r="A141" s="11">
        <v>44044</v>
      </c>
      <c r="B141" s="6">
        <f t="shared" si="10"/>
        <v>2020</v>
      </c>
      <c r="D141" s="30">
        <f t="shared" ca="1" si="14"/>
        <v>12.719999999999999</v>
      </c>
      <c r="E141" s="30">
        <f t="shared" ca="1" si="14"/>
        <v>77.22999999999999</v>
      </c>
      <c r="F141">
        <f t="shared" si="12"/>
        <v>140</v>
      </c>
      <c r="G141" s="82">
        <f>SUMIF('Connection count GS Adjusted '!B:B,B141,'Connection count GS Adjusted '!C:C)</f>
        <v>24778.570813767583</v>
      </c>
      <c r="I141" s="23">
        <f>'Res OLS Model'!$B$5</f>
        <v>-20568225.384695102</v>
      </c>
      <c r="J141" s="23">
        <f ca="1">'Res OLS Model'!$B$6*D141</f>
        <v>192791.98817906604</v>
      </c>
      <c r="K141" s="23">
        <f ca="1">'Res OLS Model'!$B$7*E141</f>
        <v>2997667.2946041017</v>
      </c>
      <c r="L141" s="23">
        <f>'Res OLS Model'!$B$8*F141</f>
        <v>-4272724.4377513081</v>
      </c>
      <c r="M141" s="23">
        <f>'Res OLS Model'!$B$9*G141</f>
        <v>33766182.164628878</v>
      </c>
      <c r="N141" s="23">
        <f t="shared" ca="1" si="13"/>
        <v>12115691.624965634</v>
      </c>
    </row>
    <row r="142" spans="1:14" x14ac:dyDescent="0.25">
      <c r="A142" s="11">
        <v>44075</v>
      </c>
      <c r="B142" s="6">
        <f t="shared" si="10"/>
        <v>2020</v>
      </c>
      <c r="D142" s="30">
        <f t="shared" ca="1" si="14"/>
        <v>86.570000000000007</v>
      </c>
      <c r="E142" s="30">
        <f t="shared" ca="1" si="14"/>
        <v>19.899999999999999</v>
      </c>
      <c r="F142">
        <f t="shared" si="12"/>
        <v>141</v>
      </c>
      <c r="G142" s="82">
        <f>SUMIF('Connection count GS Adjusted '!B:B,B142,'Connection count GS Adjusted '!C:C)</f>
        <v>24778.570813767583</v>
      </c>
      <c r="I142" s="23">
        <f>'Res OLS Model'!$B$5</f>
        <v>-20568225.384695102</v>
      </c>
      <c r="J142" s="23">
        <f ca="1">'Res OLS Model'!$B$6*D142</f>
        <v>1312107.1082281249</v>
      </c>
      <c r="K142" s="23">
        <f ca="1">'Res OLS Model'!$B$7*E142</f>
        <v>772414.59488050791</v>
      </c>
      <c r="L142" s="23">
        <f>'Res OLS Model'!$B$8*F142</f>
        <v>-4303243.8980209604</v>
      </c>
      <c r="M142" s="23">
        <f>'Res OLS Model'!$B$9*G142</f>
        <v>33766182.164628878</v>
      </c>
      <c r="N142" s="23">
        <f t="shared" ca="1" si="13"/>
        <v>10979234.585021447</v>
      </c>
    </row>
    <row r="143" spans="1:14" x14ac:dyDescent="0.25">
      <c r="A143" s="11">
        <v>44105</v>
      </c>
      <c r="B143" s="6">
        <f t="shared" si="10"/>
        <v>2020</v>
      </c>
      <c r="D143" s="30">
        <f t="shared" ca="1" si="14"/>
        <v>270.3</v>
      </c>
      <c r="E143" s="30">
        <f t="shared" ca="1" si="14"/>
        <v>1.21</v>
      </c>
      <c r="F143">
        <f t="shared" si="12"/>
        <v>142</v>
      </c>
      <c r="G143" s="82">
        <f>SUMIF('Connection count GS Adjusted '!B:B,B143,'Connection count GS Adjusted '!C:C)</f>
        <v>24778.570813767583</v>
      </c>
      <c r="I143" s="23">
        <f>'Res OLS Model'!$B$5</f>
        <v>-20568225.384695102</v>
      </c>
      <c r="J143" s="23">
        <f ca="1">'Res OLS Model'!$B$6*D143</f>
        <v>4096829.7488051536</v>
      </c>
      <c r="K143" s="23">
        <f ca="1">'Res OLS Model'!$B$7*E143</f>
        <v>46965.912553035909</v>
      </c>
      <c r="L143" s="23">
        <f>'Res OLS Model'!$B$8*F143</f>
        <v>-4333763.3582906127</v>
      </c>
      <c r="M143" s="23">
        <f>'Res OLS Model'!$B$9*G143</f>
        <v>33766182.164628878</v>
      </c>
      <c r="N143" s="23">
        <f t="shared" ca="1" si="13"/>
        <v>13007989.083001353</v>
      </c>
    </row>
    <row r="144" spans="1:14" x14ac:dyDescent="0.25">
      <c r="A144" s="11">
        <v>44136</v>
      </c>
      <c r="B144" s="6">
        <f t="shared" si="10"/>
        <v>2020</v>
      </c>
      <c r="D144" s="30">
        <f t="shared" ca="1" si="14"/>
        <v>444.05</v>
      </c>
      <c r="E144" s="30">
        <f t="shared" ca="1" si="14"/>
        <v>0</v>
      </c>
      <c r="F144">
        <f t="shared" si="12"/>
        <v>143</v>
      </c>
      <c r="G144" s="82">
        <f>SUMIF('Connection count GS Adjusted '!B:B,B144,'Connection count GS Adjusted '!C:C)</f>
        <v>24778.570813767583</v>
      </c>
      <c r="I144" s="23">
        <f>'Res OLS Model'!$B$5</f>
        <v>-20568225.384695102</v>
      </c>
      <c r="J144" s="23">
        <f ca="1">'Res OLS Model'!$B$6*D144</f>
        <v>6730289.4929964058</v>
      </c>
      <c r="K144" s="23">
        <f ca="1">'Res OLS Model'!$B$7*E144</f>
        <v>0</v>
      </c>
      <c r="L144" s="23">
        <f>'Res OLS Model'!$B$8*F144</f>
        <v>-4364282.818560265</v>
      </c>
      <c r="M144" s="23">
        <f>'Res OLS Model'!$B$9*G144</f>
        <v>33766182.164628878</v>
      </c>
      <c r="N144" s="23">
        <f t="shared" ca="1" si="13"/>
        <v>15563963.454369918</v>
      </c>
    </row>
    <row r="145" spans="1:14" x14ac:dyDescent="0.25">
      <c r="A145" s="11">
        <v>44166</v>
      </c>
      <c r="B145" s="6">
        <f t="shared" si="10"/>
        <v>2020</v>
      </c>
      <c r="D145" s="30">
        <f t="shared" ca="1" si="14"/>
        <v>684.01</v>
      </c>
      <c r="E145" s="30">
        <f t="shared" ca="1" si="14"/>
        <v>0</v>
      </c>
      <c r="F145">
        <f t="shared" si="12"/>
        <v>144</v>
      </c>
      <c r="G145" s="82">
        <f>SUMIF('Connection count GS Adjusted '!B:B,B145,'Connection count GS Adjusted '!C:C)</f>
        <v>24778.570813767583</v>
      </c>
      <c r="I145" s="23">
        <f>'Res OLS Model'!$B$5</f>
        <v>-20568225.384695102</v>
      </c>
      <c r="J145" s="23">
        <f ca="1">'Res OLS Model'!$B$6*D145</f>
        <v>10367267.911506522</v>
      </c>
      <c r="K145" s="23">
        <f ca="1">'Res OLS Model'!$B$7*E145</f>
        <v>0</v>
      </c>
      <c r="L145" s="23">
        <f>'Res OLS Model'!$B$8*F145</f>
        <v>-4394802.2788299173</v>
      </c>
      <c r="M145" s="23">
        <f>'Res OLS Model'!$B$9*G145</f>
        <v>33766182.164628878</v>
      </c>
      <c r="N145" s="23">
        <f t="shared" ca="1" si="13"/>
        <v>19170422.412610382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5.5546875" bestFit="1" customWidth="1"/>
    <col min="7" max="7" width="11.33203125" bestFit="1" customWidth="1"/>
    <col min="8" max="8" width="14.109375" bestFit="1" customWidth="1"/>
    <col min="9" max="9" width="4" style="30" bestFit="1" customWidth="1"/>
    <col min="10" max="10" width="6" style="30" bestFit="1" customWidth="1"/>
    <col min="11" max="11" width="6.109375" style="30" bestFit="1" customWidth="1"/>
    <col min="13" max="15" width="10.33203125" style="23" bestFit="1" customWidth="1"/>
    <col min="16" max="16" width="8.6640625" style="23" bestFit="1" customWidth="1"/>
    <col min="17" max="17" width="12.44140625" style="23" bestFit="1" customWidth="1"/>
    <col min="18" max="18" width="15.33203125" style="23" bestFit="1" customWidth="1"/>
    <col min="19" max="21" width="8.6640625" style="23" bestFit="1" customWidth="1"/>
    <col min="22" max="22" width="15.44140625" style="23" bestFit="1" customWidth="1"/>
  </cols>
  <sheetData>
    <row r="1" spans="1:22" x14ac:dyDescent="0.25">
      <c r="A1" s="11" t="str">
        <f>'Monthly Data'!A1</f>
        <v>Date</v>
      </c>
      <c r="B1" s="15" t="s">
        <v>33</v>
      </c>
      <c r="C1" t="str">
        <f>'Monthly Data'!E1</f>
        <v>GSlt50kWh</v>
      </c>
      <c r="D1" s="30" t="str">
        <f>'Monthly Data'!M1</f>
        <v>HDD</v>
      </c>
      <c r="E1" s="30" t="str">
        <f>'Monthly Data'!N1</f>
        <v>CDD</v>
      </c>
      <c r="F1" s="30" t="str">
        <f>'Monthly Data'!S1</f>
        <v>Trend</v>
      </c>
      <c r="G1" s="30" t="str">
        <f>'Monthly Data'!U1</f>
        <v>GS&lt;50 Cust</v>
      </c>
      <c r="H1" s="30" t="str">
        <f>'Monthly Data'!Y1</f>
        <v>Reclassification</v>
      </c>
      <c r="I1" s="30" t="str">
        <f>'Monthly Data'!AE1</f>
        <v>Fall</v>
      </c>
      <c r="J1" s="30" t="str">
        <f>'Monthly Data'!AF1</f>
        <v>DFEB</v>
      </c>
      <c r="K1" s="30" t="str">
        <f>'Monthly Data'!AG1</f>
        <v>DAPR</v>
      </c>
      <c r="M1" s="23" t="s">
        <v>13</v>
      </c>
      <c r="N1" s="23" t="str">
        <f>D1</f>
        <v>HDD</v>
      </c>
      <c r="O1" s="23" t="str">
        <f t="shared" ref="O1:U1" si="0">E1</f>
        <v>CDD</v>
      </c>
      <c r="P1" s="23" t="str">
        <f t="shared" si="0"/>
        <v>Trend</v>
      </c>
      <c r="Q1" s="23" t="str">
        <f t="shared" si="0"/>
        <v>GS&lt;50 Cust</v>
      </c>
      <c r="R1" s="23" t="str">
        <f t="shared" si="0"/>
        <v>Reclassification</v>
      </c>
      <c r="S1" s="23" t="str">
        <f t="shared" si="0"/>
        <v>Fall</v>
      </c>
      <c r="T1" s="23" t="str">
        <f t="shared" si="0"/>
        <v>DFEB</v>
      </c>
      <c r="U1" s="23" t="str">
        <f t="shared" si="0"/>
        <v>DAPR</v>
      </c>
      <c r="V1" s="80" t="s">
        <v>60</v>
      </c>
    </row>
    <row r="2" spans="1:22" x14ac:dyDescent="0.25">
      <c r="A2" s="11">
        <f>'Monthly Data'!A2</f>
        <v>39814</v>
      </c>
      <c r="B2" s="6">
        <f>YEAR(A2)</f>
        <v>2009</v>
      </c>
      <c r="C2">
        <f>'Monthly Data'!E2</f>
        <v>9405720.7811999973</v>
      </c>
      <c r="D2">
        <f ca="1">'Weather Data'!G66</f>
        <v>784.29</v>
      </c>
      <c r="E2" s="30">
        <f ca="1">'Weather Data'!H66</f>
        <v>0</v>
      </c>
      <c r="F2" s="30">
        <f>'Monthly Data'!S2</f>
        <v>1</v>
      </c>
      <c r="G2" s="30">
        <f>'Monthly Data'!U2</f>
        <v>3262</v>
      </c>
      <c r="H2" s="30">
        <f>'Monthly Data'!Y2</f>
        <v>0</v>
      </c>
      <c r="I2" s="30">
        <f>'Monthly Data'!AE2</f>
        <v>0</v>
      </c>
      <c r="J2" s="30">
        <f>'Monthly Data'!AF2</f>
        <v>0</v>
      </c>
      <c r="K2" s="30">
        <f>'Monthly Data'!AG2</f>
        <v>0</v>
      </c>
      <c r="M2" s="23">
        <f>'GS &lt; 50 OLS Model'!$B$5</f>
        <v>-4820550.2123392904</v>
      </c>
      <c r="N2" s="23">
        <f ca="1">'GS &lt; 50 OLS Model'!$B$6*D2</f>
        <v>2528461.1552556558</v>
      </c>
      <c r="O2" s="23">
        <f ca="1">'GS &lt; 50 OLS Model'!$B$7*E2</f>
        <v>0</v>
      </c>
      <c r="P2" s="23">
        <f>'GS &lt; 50 OLS Model'!$B$8*F2</f>
        <v>-7342.7159726151203</v>
      </c>
      <c r="Q2" s="23">
        <f>'GS &lt; 50 OLS Model'!$B$9*G2</f>
        <v>11492576.846413719</v>
      </c>
      <c r="R2" s="23">
        <f>'GS &lt; 50 OLS Model'!$B$10*H2</f>
        <v>0</v>
      </c>
      <c r="S2" s="23">
        <f>'GS &lt; 50 OLS Model'!$B$11*I2</f>
        <v>0</v>
      </c>
      <c r="T2" s="23">
        <f>'GS &lt; 50 OLS Model'!$B$12*J2</f>
        <v>0</v>
      </c>
      <c r="U2" s="23">
        <f>'GS &lt; 50 OLS Model'!$B$13*K2</f>
        <v>0</v>
      </c>
      <c r="V2" s="23">
        <f ca="1">SUM(M2:U2)</f>
        <v>9193145.0733574685</v>
      </c>
    </row>
    <row r="3" spans="1:22" x14ac:dyDescent="0.25">
      <c r="A3" s="11">
        <f>'Monthly Data'!A3</f>
        <v>39845</v>
      </c>
      <c r="B3" s="6">
        <f t="shared" ref="B3:B66" si="1">YEAR(A3)</f>
        <v>2009</v>
      </c>
      <c r="C3">
        <f>'Monthly Data'!E3</f>
        <v>8296015.0248000016</v>
      </c>
      <c r="D3" s="30">
        <f ca="1">'Weather Data'!G67</f>
        <v>682.50999999999988</v>
      </c>
      <c r="E3" s="30">
        <f ca="1">'Weather Data'!H67</f>
        <v>0</v>
      </c>
      <c r="F3" s="30">
        <f>'Monthly Data'!S3</f>
        <v>2</v>
      </c>
      <c r="G3" s="30">
        <f>'Monthly Data'!U3</f>
        <v>3265</v>
      </c>
      <c r="H3" s="30">
        <f>'Monthly Data'!Y3</f>
        <v>0</v>
      </c>
      <c r="I3" s="30">
        <f>'Monthly Data'!AE3</f>
        <v>0</v>
      </c>
      <c r="J3" s="30">
        <f>'Monthly Data'!AF3</f>
        <v>1</v>
      </c>
      <c r="K3" s="30">
        <f>'Monthly Data'!AG3</f>
        <v>0</v>
      </c>
      <c r="M3" s="23">
        <f>'GS &lt; 50 OLS Model'!$B$5</f>
        <v>-4820550.2123392904</v>
      </c>
      <c r="N3" s="23">
        <f ca="1">'GS &lt; 50 OLS Model'!$B$6*D3</f>
        <v>2200334.0895249685</v>
      </c>
      <c r="O3" s="23">
        <f ca="1">'GS &lt; 50 OLS Model'!$B$7*E3</f>
        <v>0</v>
      </c>
      <c r="P3" s="23">
        <f>'GS &lt; 50 OLS Model'!$B$8*F3</f>
        <v>-14685.431945230241</v>
      </c>
      <c r="Q3" s="23">
        <f>'GS &lt; 50 OLS Model'!$B$9*G3</f>
        <v>11503146.353016797</v>
      </c>
      <c r="R3" s="23">
        <f>'GS &lt; 50 OLS Model'!$B$10*H3</f>
        <v>0</v>
      </c>
      <c r="S3" s="23">
        <f>'GS &lt; 50 OLS Model'!$B$11*I3</f>
        <v>0</v>
      </c>
      <c r="T3" s="23">
        <f>'GS &lt; 50 OLS Model'!$B$12*J3</f>
        <v>-323195.56340474403</v>
      </c>
      <c r="U3" s="23">
        <f>'GS &lt; 50 OLS Model'!$B$13*K3</f>
        <v>0</v>
      </c>
      <c r="V3" s="23">
        <f t="shared" ref="V3:V61" ca="1" si="2">SUM(M3:R3)</f>
        <v>8868244.7982572448</v>
      </c>
    </row>
    <row r="4" spans="1:22" x14ac:dyDescent="0.25">
      <c r="A4" s="11">
        <f>'Monthly Data'!A4</f>
        <v>39873</v>
      </c>
      <c r="B4" s="6">
        <f t="shared" si="1"/>
        <v>2009</v>
      </c>
      <c r="C4">
        <f>'Monthly Data'!E4</f>
        <v>8604597.311900001</v>
      </c>
      <c r="D4" s="30">
        <f ca="1">'Weather Data'!G68</f>
        <v>556.99</v>
      </c>
      <c r="E4" s="30">
        <f ca="1">'Weather Data'!H68</f>
        <v>0</v>
      </c>
      <c r="F4" s="30">
        <f>'Monthly Data'!S4</f>
        <v>3</v>
      </c>
      <c r="G4" s="30">
        <f>'Monthly Data'!U4</f>
        <v>3290</v>
      </c>
      <c r="H4" s="30">
        <f>'Monthly Data'!Y4</f>
        <v>0</v>
      </c>
      <c r="I4" s="30">
        <f>'Monthly Data'!AE4</f>
        <v>0</v>
      </c>
      <c r="J4" s="30">
        <f>'Monthly Data'!AF4</f>
        <v>0</v>
      </c>
      <c r="K4" s="30">
        <f>'Monthly Data'!AG4</f>
        <v>0</v>
      </c>
      <c r="M4" s="23">
        <f>'GS &lt; 50 OLS Model'!$B$5</f>
        <v>-4820550.2123392904</v>
      </c>
      <c r="N4" s="23">
        <f ca="1">'GS &lt; 50 OLS Model'!$B$6*D4</f>
        <v>1795671.9821314155</v>
      </c>
      <c r="O4" s="23">
        <f ca="1">'GS &lt; 50 OLS Model'!$B$7*E4</f>
        <v>0</v>
      </c>
      <c r="P4" s="23">
        <f>'GS &lt; 50 OLS Model'!$B$8*F4</f>
        <v>-22028.147917845359</v>
      </c>
      <c r="Q4" s="23">
        <f>'GS &lt; 50 OLS Model'!$B$9*G4</f>
        <v>11591225.574709116</v>
      </c>
      <c r="R4" s="23">
        <f>'GS &lt; 50 OLS Model'!$B$10*H4</f>
        <v>0</v>
      </c>
      <c r="S4" s="23">
        <f>'GS &lt; 50 OLS Model'!$B$11*I4</f>
        <v>0</v>
      </c>
      <c r="T4" s="23">
        <f>'GS &lt; 50 OLS Model'!$B$12*J4</f>
        <v>0</v>
      </c>
      <c r="U4" s="23">
        <f>'GS &lt; 50 OLS Model'!$B$13*K4</f>
        <v>0</v>
      </c>
      <c r="V4" s="23">
        <f t="shared" ca="1" si="2"/>
        <v>8544319.1965833958</v>
      </c>
    </row>
    <row r="5" spans="1:22" x14ac:dyDescent="0.25">
      <c r="A5" s="11">
        <f>'Monthly Data'!A5</f>
        <v>39904</v>
      </c>
      <c r="B5" s="6">
        <f t="shared" si="1"/>
        <v>2009</v>
      </c>
      <c r="C5">
        <f>'Monthly Data'!E5</f>
        <v>7316308.4113000007</v>
      </c>
      <c r="D5" s="30">
        <f ca="1">'Weather Data'!G69</f>
        <v>326.58999999999997</v>
      </c>
      <c r="E5" s="30">
        <f ca="1">'Weather Data'!H69</f>
        <v>0.39</v>
      </c>
      <c r="F5" s="30">
        <f>'Monthly Data'!S5</f>
        <v>4</v>
      </c>
      <c r="G5" s="30">
        <f>'Monthly Data'!U5</f>
        <v>3289</v>
      </c>
      <c r="H5" s="30">
        <f>'Monthly Data'!Y5</f>
        <v>0</v>
      </c>
      <c r="I5" s="30">
        <f>'Monthly Data'!AE5</f>
        <v>0</v>
      </c>
      <c r="J5" s="30">
        <f>'Monthly Data'!AF5</f>
        <v>0</v>
      </c>
      <c r="K5" s="30">
        <f>'Monthly Data'!AG5</f>
        <v>1</v>
      </c>
      <c r="M5" s="23">
        <f>'GS &lt; 50 OLS Model'!$B$5</f>
        <v>-4820550.2123392904</v>
      </c>
      <c r="N5" s="23">
        <f ca="1">'GS &lt; 50 OLS Model'!$B$6*D5</f>
        <v>1052888.7639711646</v>
      </c>
      <c r="O5" s="23">
        <f ca="1">'GS &lt; 50 OLS Model'!$B$7*E5</f>
        <v>5929.2514145123614</v>
      </c>
      <c r="P5" s="23">
        <f>'GS &lt; 50 OLS Model'!$B$8*F5</f>
        <v>-29370.863890460481</v>
      </c>
      <c r="Q5" s="23">
        <f>'GS &lt; 50 OLS Model'!$B$9*G5</f>
        <v>11587702.405841423</v>
      </c>
      <c r="R5" s="23">
        <f>'GS &lt; 50 OLS Model'!$B$10*H5</f>
        <v>0</v>
      </c>
      <c r="S5" s="23">
        <f>'GS &lt; 50 OLS Model'!$B$11*I5</f>
        <v>0</v>
      </c>
      <c r="T5" s="23">
        <f>'GS &lt; 50 OLS Model'!$B$12*J5</f>
        <v>0</v>
      </c>
      <c r="U5" s="23">
        <f>'GS &lt; 50 OLS Model'!$B$13*K5</f>
        <v>-425159.68663676298</v>
      </c>
      <c r="V5" s="23">
        <f t="shared" ca="1" si="2"/>
        <v>7796599.3449973492</v>
      </c>
    </row>
    <row r="6" spans="1:22" x14ac:dyDescent="0.25">
      <c r="A6" s="11">
        <f>'Monthly Data'!A6</f>
        <v>39934</v>
      </c>
      <c r="B6" s="6">
        <f t="shared" si="1"/>
        <v>2009</v>
      </c>
      <c r="C6">
        <f>'Monthly Data'!E6</f>
        <v>6892994.1161999991</v>
      </c>
      <c r="D6" s="30">
        <f ca="1">'Weather Data'!G70</f>
        <v>144.96</v>
      </c>
      <c r="E6" s="30">
        <f ca="1">'Weather Data'!H70</f>
        <v>8.67</v>
      </c>
      <c r="F6" s="30">
        <f>'Monthly Data'!S6</f>
        <v>5</v>
      </c>
      <c r="G6" s="30">
        <f>'Monthly Data'!U6</f>
        <v>3284</v>
      </c>
      <c r="H6" s="30">
        <f>'Monthly Data'!Y6</f>
        <v>0</v>
      </c>
      <c r="I6" s="30">
        <f>'Monthly Data'!AE6</f>
        <v>0</v>
      </c>
      <c r="J6" s="30">
        <f>'Monthly Data'!AF6</f>
        <v>0</v>
      </c>
      <c r="K6" s="30">
        <f>'Monthly Data'!AG6</f>
        <v>0</v>
      </c>
      <c r="M6" s="23">
        <f>'GS &lt; 50 OLS Model'!$B$5</f>
        <v>-4820550.2123392904</v>
      </c>
      <c r="N6" s="23">
        <f ca="1">'GS &lt; 50 OLS Model'!$B$6*D6</f>
        <v>467334.44142582454</v>
      </c>
      <c r="O6" s="23">
        <f ca="1">'GS &lt; 50 OLS Model'!$B$7*E6</f>
        <v>131811.81990723632</v>
      </c>
      <c r="P6" s="23">
        <f>'GS &lt; 50 OLS Model'!$B$8*F6</f>
        <v>-36713.579863075603</v>
      </c>
      <c r="Q6" s="23">
        <f>'GS &lt; 50 OLS Model'!$B$9*G6</f>
        <v>11570086.56150296</v>
      </c>
      <c r="R6" s="23">
        <f>'GS &lt; 50 OLS Model'!$B$10*H6</f>
        <v>0</v>
      </c>
      <c r="S6" s="23">
        <f>'GS &lt; 50 OLS Model'!$B$11*I6</f>
        <v>0</v>
      </c>
      <c r="T6" s="23">
        <f>'GS &lt; 50 OLS Model'!$B$12*J6</f>
        <v>0</v>
      </c>
      <c r="U6" s="23">
        <f>'GS &lt; 50 OLS Model'!$B$13*K6</f>
        <v>0</v>
      </c>
      <c r="V6" s="23">
        <f t="shared" ca="1" si="2"/>
        <v>7311969.0306336544</v>
      </c>
    </row>
    <row r="7" spans="1:22" x14ac:dyDescent="0.25">
      <c r="A7" s="11">
        <f>'Monthly Data'!A7</f>
        <v>39965</v>
      </c>
      <c r="B7" s="6">
        <f t="shared" si="1"/>
        <v>2009</v>
      </c>
      <c r="C7">
        <f>'Monthly Data'!E7</f>
        <v>6896984.1305000009</v>
      </c>
      <c r="D7" s="30">
        <f ca="1">'Weather Data'!G71</f>
        <v>41.510000000000005</v>
      </c>
      <c r="E7" s="30">
        <f ca="1">'Weather Data'!H71</f>
        <v>44.41</v>
      </c>
      <c r="F7" s="30">
        <f>'Monthly Data'!S7</f>
        <v>6</v>
      </c>
      <c r="G7" s="30">
        <f>'Monthly Data'!U7</f>
        <v>3268</v>
      </c>
      <c r="H7" s="30">
        <f>'Monthly Data'!Y7</f>
        <v>0</v>
      </c>
      <c r="I7" s="30">
        <f>'Monthly Data'!AE7</f>
        <v>0</v>
      </c>
      <c r="J7" s="30">
        <f>'Monthly Data'!AF7</f>
        <v>0</v>
      </c>
      <c r="K7" s="30">
        <f>'Monthly Data'!AG7</f>
        <v>0</v>
      </c>
      <c r="M7" s="23">
        <f>'GS &lt; 50 OLS Model'!$B$5</f>
        <v>-4820550.2123392904</v>
      </c>
      <c r="N7" s="23">
        <f ca="1">'GS &lt; 50 OLS Model'!$B$6*D7</f>
        <v>133823.4869176737</v>
      </c>
      <c r="O7" s="23">
        <f ca="1">'GS &lt; 50 OLS Model'!$B$7*E7</f>
        <v>675174.50081665104</v>
      </c>
      <c r="P7" s="23">
        <f>'GS &lt; 50 OLS Model'!$B$8*F7</f>
        <v>-44056.295835690718</v>
      </c>
      <c r="Q7" s="23">
        <f>'GS &lt; 50 OLS Model'!$B$9*G7</f>
        <v>11513715.859619875</v>
      </c>
      <c r="R7" s="23">
        <f>'GS &lt; 50 OLS Model'!$B$10*H7</f>
        <v>0</v>
      </c>
      <c r="S7" s="23">
        <f>'GS &lt; 50 OLS Model'!$B$11*I7</f>
        <v>0</v>
      </c>
      <c r="T7" s="23">
        <f>'GS &lt; 50 OLS Model'!$B$12*J7</f>
        <v>0</v>
      </c>
      <c r="U7" s="23">
        <f>'GS &lt; 50 OLS Model'!$B$13*K7</f>
        <v>0</v>
      </c>
      <c r="V7" s="23">
        <f t="shared" ca="1" si="2"/>
        <v>7458107.3391792178</v>
      </c>
    </row>
    <row r="8" spans="1:22" x14ac:dyDescent="0.25">
      <c r="A8" s="11">
        <f>'Monthly Data'!A8</f>
        <v>39995</v>
      </c>
      <c r="B8" s="6">
        <f t="shared" si="1"/>
        <v>2009</v>
      </c>
      <c r="C8">
        <f>'Monthly Data'!E8</f>
        <v>7547793.2116999989</v>
      </c>
      <c r="D8" s="30">
        <f ca="1">'Weather Data'!G72</f>
        <v>5.01</v>
      </c>
      <c r="E8" s="30">
        <f ca="1">'Weather Data'!H72</f>
        <v>96.909999999999982</v>
      </c>
      <c r="F8" s="30">
        <f>'Monthly Data'!S8</f>
        <v>7</v>
      </c>
      <c r="G8" s="30">
        <f>'Monthly Data'!U8</f>
        <v>3268</v>
      </c>
      <c r="H8" s="30">
        <f>'Monthly Data'!Y8</f>
        <v>0</v>
      </c>
      <c r="I8" s="30">
        <f>'Monthly Data'!AE8</f>
        <v>0</v>
      </c>
      <c r="J8" s="30">
        <f>'Monthly Data'!AF8</f>
        <v>0</v>
      </c>
      <c r="K8" s="30">
        <f>'Monthly Data'!AG8</f>
        <v>0</v>
      </c>
      <c r="M8" s="23">
        <f>'GS &lt; 50 OLS Model'!$B$5</f>
        <v>-4820550.2123392904</v>
      </c>
      <c r="N8" s="23">
        <f ca="1">'GS &lt; 50 OLS Model'!$B$6*D8</f>
        <v>16151.666332390871</v>
      </c>
      <c r="O8" s="23">
        <f ca="1">'GS &lt; 50 OLS Model'!$B$7*E8</f>
        <v>1473342.9604625455</v>
      </c>
      <c r="P8" s="23">
        <f>'GS &lt; 50 OLS Model'!$B$8*F8</f>
        <v>-51399.011808305841</v>
      </c>
      <c r="Q8" s="23">
        <f>'GS &lt; 50 OLS Model'!$B$9*G8</f>
        <v>11513715.859619875</v>
      </c>
      <c r="R8" s="23">
        <f>'GS &lt; 50 OLS Model'!$B$10*H8</f>
        <v>0</v>
      </c>
      <c r="S8" s="23">
        <f>'GS &lt; 50 OLS Model'!$B$11*I8</f>
        <v>0</v>
      </c>
      <c r="T8" s="23">
        <f>'GS &lt; 50 OLS Model'!$B$12*J8</f>
        <v>0</v>
      </c>
      <c r="U8" s="23">
        <f>'GS &lt; 50 OLS Model'!$B$13*K8</f>
        <v>0</v>
      </c>
      <c r="V8" s="23">
        <f t="shared" ca="1" si="2"/>
        <v>8131261.2622672152</v>
      </c>
    </row>
    <row r="9" spans="1:22" x14ac:dyDescent="0.25">
      <c r="A9" s="11">
        <f>'Monthly Data'!A9</f>
        <v>40026</v>
      </c>
      <c r="B9" s="6">
        <f t="shared" si="1"/>
        <v>2009</v>
      </c>
      <c r="C9">
        <f>'Monthly Data'!E9</f>
        <v>7818900.3452000003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Data'!S9</f>
        <v>8</v>
      </c>
      <c r="G9" s="30">
        <f>'Monthly Data'!U9</f>
        <v>3261</v>
      </c>
      <c r="H9" s="30">
        <f>'Monthly Data'!Y9</f>
        <v>0</v>
      </c>
      <c r="I9" s="30">
        <f>'Monthly Data'!AE9</f>
        <v>0</v>
      </c>
      <c r="J9" s="30">
        <f>'Monthly Data'!AF9</f>
        <v>0</v>
      </c>
      <c r="K9" s="30">
        <f>'Monthly Data'!AG9</f>
        <v>0</v>
      </c>
      <c r="M9" s="23">
        <f>'GS &lt; 50 OLS Model'!$B$5</f>
        <v>-4820550.2123392904</v>
      </c>
      <c r="N9" s="23">
        <f ca="1">'GS &lt; 50 OLS Model'!$B$6*D9</f>
        <v>41007.823502597181</v>
      </c>
      <c r="O9" s="23">
        <f ca="1">'GS &lt; 50 OLS Model'!$B$7*E9</f>
        <v>1174143.8121609988</v>
      </c>
      <c r="P9" s="23">
        <f>'GS &lt; 50 OLS Model'!$B$8*F9</f>
        <v>-58741.727780920963</v>
      </c>
      <c r="Q9" s="23">
        <f>'GS &lt; 50 OLS Model'!$B$9*G9</f>
        <v>11489053.677546026</v>
      </c>
      <c r="R9" s="23">
        <f>'GS &lt; 50 OLS Model'!$B$10*H9</f>
        <v>0</v>
      </c>
      <c r="S9" s="23">
        <f>'GS &lt; 50 OLS Model'!$B$11*I9</f>
        <v>0</v>
      </c>
      <c r="T9" s="23">
        <f>'GS &lt; 50 OLS Model'!$B$12*J9</f>
        <v>0</v>
      </c>
      <c r="U9" s="23">
        <f>'GS &lt; 50 OLS Model'!$B$13*K9</f>
        <v>0</v>
      </c>
      <c r="V9" s="23">
        <f t="shared" ca="1" si="2"/>
        <v>7824913.3730894104</v>
      </c>
    </row>
    <row r="10" spans="1:22" x14ac:dyDescent="0.25">
      <c r="A10" s="11">
        <f>'Monthly Data'!A10</f>
        <v>40057</v>
      </c>
      <c r="B10" s="6">
        <f t="shared" si="1"/>
        <v>2009</v>
      </c>
      <c r="C10">
        <f>'Monthly Data'!E10</f>
        <v>7086905.3305000011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Data'!S10</f>
        <v>9</v>
      </c>
      <c r="G10" s="30">
        <f>'Monthly Data'!U10</f>
        <v>3260</v>
      </c>
      <c r="H10" s="30">
        <f>'Monthly Data'!Y10</f>
        <v>0</v>
      </c>
      <c r="I10" s="30">
        <f>'Monthly Data'!AE10</f>
        <v>1</v>
      </c>
      <c r="J10" s="30">
        <f>'Monthly Data'!AF10</f>
        <v>0</v>
      </c>
      <c r="K10" s="30">
        <f>'Monthly Data'!AG10</f>
        <v>0</v>
      </c>
      <c r="M10" s="23">
        <f>'GS &lt; 50 OLS Model'!$B$5</f>
        <v>-4820550.2123392904</v>
      </c>
      <c r="N10" s="23">
        <f ca="1">'GS &lt; 50 OLS Model'!$B$6*D10</f>
        <v>279091.76734432695</v>
      </c>
      <c r="O10" s="23">
        <f ca="1">'GS &lt; 50 OLS Model'!$B$7*E10</f>
        <v>302543.85422768199</v>
      </c>
      <c r="P10" s="23">
        <f>'GS &lt; 50 OLS Model'!$B$8*F10</f>
        <v>-66084.443753536078</v>
      </c>
      <c r="Q10" s="23">
        <f>'GS &lt; 50 OLS Model'!$B$9*G10</f>
        <v>11485530.508678332</v>
      </c>
      <c r="R10" s="23">
        <f>'GS &lt; 50 OLS Model'!$B$10*H10</f>
        <v>0</v>
      </c>
      <c r="S10" s="23">
        <f>'GS &lt; 50 OLS Model'!$B$11*I10</f>
        <v>-173591.250541696</v>
      </c>
      <c r="T10" s="23">
        <f>'GS &lt; 50 OLS Model'!$B$12*J10</f>
        <v>0</v>
      </c>
      <c r="U10" s="23">
        <f>'GS &lt; 50 OLS Model'!$B$13*K10</f>
        <v>0</v>
      </c>
      <c r="V10" s="23">
        <f t="shared" ca="1" si="2"/>
        <v>7180531.4741575141</v>
      </c>
    </row>
    <row r="11" spans="1:22" x14ac:dyDescent="0.25">
      <c r="A11" s="11">
        <f>'Monthly Data'!A11</f>
        <v>40087</v>
      </c>
      <c r="B11" s="6">
        <f t="shared" si="1"/>
        <v>2009</v>
      </c>
      <c r="C11">
        <f>'Monthly Data'!E11</f>
        <v>7315482.7944999998</v>
      </c>
      <c r="D11" s="30">
        <f ca="1">'Weather Data'!G75</f>
        <v>270.3</v>
      </c>
      <c r="E11" s="30">
        <f ca="1">'Weather Data'!H75</f>
        <v>1.21</v>
      </c>
      <c r="F11" s="30">
        <f>'Monthly Data'!S11</f>
        <v>10</v>
      </c>
      <c r="G11" s="30">
        <f>'Monthly Data'!U11</f>
        <v>3248</v>
      </c>
      <c r="H11" s="30">
        <f>'Monthly Data'!Y11</f>
        <v>0</v>
      </c>
      <c r="I11" s="30">
        <f>'Monthly Data'!AE11</f>
        <v>1</v>
      </c>
      <c r="J11" s="30">
        <f>'Monthly Data'!AF11</f>
        <v>0</v>
      </c>
      <c r="K11" s="30">
        <f>'Monthly Data'!AG11</f>
        <v>0</v>
      </c>
      <c r="M11" s="23">
        <f>'GS &lt; 50 OLS Model'!$B$5</f>
        <v>-4820550.2123392904</v>
      </c>
      <c r="N11" s="23">
        <f ca="1">'GS &lt; 50 OLS Model'!$B$6*D11</f>
        <v>871416.24943019019</v>
      </c>
      <c r="O11" s="23">
        <f ca="1">'GS &lt; 50 OLS Model'!$B$7*E11</f>
        <v>18395.882593743478</v>
      </c>
      <c r="P11" s="23">
        <f>'GS &lt; 50 OLS Model'!$B$8*F11</f>
        <v>-73427.159726151207</v>
      </c>
      <c r="Q11" s="23">
        <f>'GS &lt; 50 OLS Model'!$B$9*G11</f>
        <v>11443252.48226602</v>
      </c>
      <c r="R11" s="23">
        <f>'GS &lt; 50 OLS Model'!$B$10*H11</f>
        <v>0</v>
      </c>
      <c r="S11" s="23">
        <f>'GS &lt; 50 OLS Model'!$B$11*I11</f>
        <v>-173591.250541696</v>
      </c>
      <c r="T11" s="23">
        <f>'GS &lt; 50 OLS Model'!$B$12*J11</f>
        <v>0</v>
      </c>
      <c r="U11" s="23">
        <f>'GS &lt; 50 OLS Model'!$B$13*K11</f>
        <v>0</v>
      </c>
      <c r="V11" s="23">
        <f t="shared" ca="1" si="2"/>
        <v>7439087.2422245126</v>
      </c>
    </row>
    <row r="12" spans="1:22" x14ac:dyDescent="0.25">
      <c r="A12" s="11">
        <f>'Monthly Data'!A12</f>
        <v>40118</v>
      </c>
      <c r="B12" s="6">
        <f t="shared" si="1"/>
        <v>2009</v>
      </c>
      <c r="C12">
        <f>'Monthly Data'!E12</f>
        <v>7548115.7056999998</v>
      </c>
      <c r="D12" s="30">
        <f ca="1">'Weather Data'!G76</f>
        <v>444.05</v>
      </c>
      <c r="E12" s="30">
        <f ca="1">'Weather Data'!H76</f>
        <v>0</v>
      </c>
      <c r="F12" s="30">
        <f>'Monthly Data'!S12</f>
        <v>11</v>
      </c>
      <c r="G12" s="30">
        <f>'Monthly Data'!U12</f>
        <v>3247</v>
      </c>
      <c r="H12" s="30">
        <f>'Monthly Data'!Y12</f>
        <v>0</v>
      </c>
      <c r="I12" s="30">
        <f>'Monthly Data'!AE12</f>
        <v>1</v>
      </c>
      <c r="J12" s="30">
        <f>'Monthly Data'!AF12</f>
        <v>0</v>
      </c>
      <c r="K12" s="30">
        <f>'Monthly Data'!AG12</f>
        <v>0</v>
      </c>
      <c r="M12" s="23">
        <f>'GS &lt; 50 OLS Model'!$B$5</f>
        <v>-4820550.2123392904</v>
      </c>
      <c r="N12" s="23">
        <f ca="1">'GS &lt; 50 OLS Model'!$B$6*D12</f>
        <v>1431566.3542710911</v>
      </c>
      <c r="O12" s="23">
        <f ca="1">'GS &lt; 50 OLS Model'!$B$7*E12</f>
        <v>0</v>
      </c>
      <c r="P12" s="23">
        <f>'GS &lt; 50 OLS Model'!$B$8*F12</f>
        <v>-80769.875698766322</v>
      </c>
      <c r="Q12" s="23">
        <f>'GS &lt; 50 OLS Model'!$B$9*G12</f>
        <v>11439729.313398328</v>
      </c>
      <c r="R12" s="23">
        <f>'GS &lt; 50 OLS Model'!$B$10*H12</f>
        <v>0</v>
      </c>
      <c r="S12" s="23">
        <f>'GS &lt; 50 OLS Model'!$B$11*I12</f>
        <v>-173591.250541696</v>
      </c>
      <c r="T12" s="23">
        <f>'GS &lt; 50 OLS Model'!$B$12*J12</f>
        <v>0</v>
      </c>
      <c r="U12" s="23">
        <f>'GS &lt; 50 OLS Model'!$B$13*K12</f>
        <v>0</v>
      </c>
      <c r="V12" s="23">
        <f t="shared" ca="1" si="2"/>
        <v>7969975.5796313621</v>
      </c>
    </row>
    <row r="13" spans="1:22" x14ac:dyDescent="0.25">
      <c r="A13" s="11">
        <f>'Monthly Data'!A13</f>
        <v>40148</v>
      </c>
      <c r="B13" s="6">
        <f t="shared" si="1"/>
        <v>2009</v>
      </c>
      <c r="C13">
        <f>'Monthly Data'!E13</f>
        <v>8620869.761500001</v>
      </c>
      <c r="D13" s="30">
        <f ca="1">'Weather Data'!G77</f>
        <v>684.01</v>
      </c>
      <c r="E13" s="30">
        <f ca="1">'Weather Data'!H77</f>
        <v>0</v>
      </c>
      <c r="F13" s="30">
        <f>'Monthly Data'!S13</f>
        <v>12</v>
      </c>
      <c r="G13" s="30">
        <f>'Monthly Data'!U13</f>
        <v>3255</v>
      </c>
      <c r="H13" s="30">
        <f>'Monthly Data'!Y13</f>
        <v>0</v>
      </c>
      <c r="I13" s="30">
        <f>'Monthly Data'!AE13</f>
        <v>0</v>
      </c>
      <c r="J13" s="30">
        <f>'Monthly Data'!AF13</f>
        <v>0</v>
      </c>
      <c r="K13" s="30">
        <f>'Monthly Data'!AG13</f>
        <v>0</v>
      </c>
      <c r="M13" s="23">
        <f>'GS &lt; 50 OLS Model'!$B$5</f>
        <v>-4820550.2123392904</v>
      </c>
      <c r="N13" s="23">
        <f ca="1">'GS &lt; 50 OLS Model'!$B$6*D13</f>
        <v>2205169.9177681995</v>
      </c>
      <c r="O13" s="23">
        <f ca="1">'GS &lt; 50 OLS Model'!$B$7*E13</f>
        <v>0</v>
      </c>
      <c r="P13" s="23">
        <f>'GS &lt; 50 OLS Model'!$B$8*F13</f>
        <v>-88112.591671381437</v>
      </c>
      <c r="Q13" s="23">
        <f>'GS &lt; 50 OLS Model'!$B$9*G13</f>
        <v>11467914.664339868</v>
      </c>
      <c r="R13" s="23">
        <f>'GS &lt; 50 OLS Model'!$B$10*H13</f>
        <v>0</v>
      </c>
      <c r="S13" s="23">
        <f>'GS &lt; 50 OLS Model'!$B$11*I13</f>
        <v>0</v>
      </c>
      <c r="T13" s="23">
        <f>'GS &lt; 50 OLS Model'!$B$12*J13</f>
        <v>0</v>
      </c>
      <c r="U13" s="23">
        <f>'GS &lt; 50 OLS Model'!$B$13*K13</f>
        <v>0</v>
      </c>
      <c r="V13" s="23">
        <f t="shared" ca="1" si="2"/>
        <v>8764421.7780973949</v>
      </c>
    </row>
    <row r="14" spans="1:22" x14ac:dyDescent="0.25">
      <c r="A14" s="11">
        <f>'Monthly Data'!A14</f>
        <v>40179</v>
      </c>
      <c r="B14" s="6">
        <f t="shared" si="1"/>
        <v>2010</v>
      </c>
      <c r="C14">
        <f>'Monthly Data'!E14</f>
        <v>9325181.3517000005</v>
      </c>
      <c r="D14">
        <f ca="1">D2</f>
        <v>784.29</v>
      </c>
      <c r="E14">
        <f ca="1">E2</f>
        <v>0</v>
      </c>
      <c r="F14" s="30">
        <f>'Monthly Data'!S14</f>
        <v>13</v>
      </c>
      <c r="G14" s="30">
        <f>'Monthly Data'!U14</f>
        <v>3254</v>
      </c>
      <c r="H14" s="30">
        <f>'Monthly Data'!Y14</f>
        <v>0</v>
      </c>
      <c r="I14" s="30">
        <f>'Monthly Data'!AE14</f>
        <v>0</v>
      </c>
      <c r="J14" s="30">
        <f>'Monthly Data'!AF14</f>
        <v>0</v>
      </c>
      <c r="K14" s="30">
        <f>'Monthly Data'!AG14</f>
        <v>0</v>
      </c>
      <c r="M14" s="23">
        <f>'GS &lt; 50 OLS Model'!$B$5</f>
        <v>-4820550.2123392904</v>
      </c>
      <c r="N14" s="23">
        <f ca="1">'GS &lt; 50 OLS Model'!$B$6*D14</f>
        <v>2528461.1552556558</v>
      </c>
      <c r="O14" s="23">
        <f ca="1">'GS &lt; 50 OLS Model'!$B$7*E14</f>
        <v>0</v>
      </c>
      <c r="P14" s="23">
        <f>'GS &lt; 50 OLS Model'!$B$8*F14</f>
        <v>-95455.307643996566</v>
      </c>
      <c r="Q14" s="23">
        <f>'GS &lt; 50 OLS Model'!$B$9*G14</f>
        <v>11464391.495472176</v>
      </c>
      <c r="R14" s="23">
        <f>'GS &lt; 50 OLS Model'!$B$10*H14</f>
        <v>0</v>
      </c>
      <c r="S14" s="23">
        <f>'GS &lt; 50 OLS Model'!$B$11*I14</f>
        <v>0</v>
      </c>
      <c r="T14" s="23">
        <f>'GS &lt; 50 OLS Model'!$B$12*J14</f>
        <v>0</v>
      </c>
      <c r="U14" s="23">
        <f>'GS &lt; 50 OLS Model'!$B$13*K14</f>
        <v>0</v>
      </c>
      <c r="V14" s="23">
        <f t="shared" ca="1" si="2"/>
        <v>9076847.1307445448</v>
      </c>
    </row>
    <row r="15" spans="1:22" x14ac:dyDescent="0.25">
      <c r="A15" s="11">
        <f>'Monthly Data'!A15</f>
        <v>40210</v>
      </c>
      <c r="B15" s="6">
        <f t="shared" si="1"/>
        <v>2010</v>
      </c>
      <c r="C15">
        <f>'Monthly Data'!E15</f>
        <v>8591993.1293000001</v>
      </c>
      <c r="D15">
        <f t="shared" ref="D15:E30" ca="1" si="3">D3</f>
        <v>682.50999999999988</v>
      </c>
      <c r="E15">
        <f t="shared" ca="1" si="3"/>
        <v>0</v>
      </c>
      <c r="F15" s="30">
        <f>'Monthly Data'!S15</f>
        <v>14</v>
      </c>
      <c r="G15" s="30">
        <f>'Monthly Data'!U15</f>
        <v>3250</v>
      </c>
      <c r="H15" s="30">
        <f>'Monthly Data'!Y15</f>
        <v>0</v>
      </c>
      <c r="I15" s="30">
        <f>'Monthly Data'!AE15</f>
        <v>0</v>
      </c>
      <c r="J15" s="30">
        <f>'Monthly Data'!AF15</f>
        <v>1</v>
      </c>
      <c r="K15" s="30">
        <f>'Monthly Data'!AG15</f>
        <v>0</v>
      </c>
      <c r="M15" s="23">
        <f>'GS &lt; 50 OLS Model'!$B$5</f>
        <v>-4820550.2123392904</v>
      </c>
      <c r="N15" s="23">
        <f ca="1">'GS &lt; 50 OLS Model'!$B$6*D15</f>
        <v>2200334.0895249685</v>
      </c>
      <c r="O15" s="23">
        <f ca="1">'GS &lt; 50 OLS Model'!$B$7*E15</f>
        <v>0</v>
      </c>
      <c r="P15" s="23">
        <f>'GS &lt; 50 OLS Model'!$B$8*F15</f>
        <v>-102798.02361661168</v>
      </c>
      <c r="Q15" s="23">
        <f>'GS &lt; 50 OLS Model'!$B$9*G15</f>
        <v>11450298.820001405</v>
      </c>
      <c r="R15" s="23">
        <f>'GS &lt; 50 OLS Model'!$B$10*H15</f>
        <v>0</v>
      </c>
      <c r="S15" s="23">
        <f>'GS &lt; 50 OLS Model'!$B$11*I15</f>
        <v>0</v>
      </c>
      <c r="T15" s="23">
        <f>'GS &lt; 50 OLS Model'!$B$12*J15</f>
        <v>-323195.56340474403</v>
      </c>
      <c r="U15" s="23">
        <f>'GS &lt; 50 OLS Model'!$B$13*K15</f>
        <v>0</v>
      </c>
      <c r="V15" s="23">
        <f t="shared" ca="1" si="2"/>
        <v>8727284.6735704709</v>
      </c>
    </row>
    <row r="16" spans="1:22" x14ac:dyDescent="0.25">
      <c r="A16" s="11">
        <f>'Monthly Data'!A16</f>
        <v>40238</v>
      </c>
      <c r="B16" s="6">
        <f t="shared" si="1"/>
        <v>2010</v>
      </c>
      <c r="C16">
        <f>'Monthly Data'!E16</f>
        <v>8207095.9015999986</v>
      </c>
      <c r="D16">
        <f t="shared" ca="1" si="3"/>
        <v>556.99</v>
      </c>
      <c r="E16">
        <f t="shared" ca="1" si="3"/>
        <v>0</v>
      </c>
      <c r="F16" s="30">
        <f>'Monthly Data'!S16</f>
        <v>15</v>
      </c>
      <c r="G16" s="30">
        <f>'Monthly Data'!U16</f>
        <v>3249</v>
      </c>
      <c r="H16" s="30">
        <f>'Monthly Data'!Y16</f>
        <v>0</v>
      </c>
      <c r="I16" s="30">
        <f>'Monthly Data'!AE16</f>
        <v>0</v>
      </c>
      <c r="J16" s="30">
        <f>'Monthly Data'!AF16</f>
        <v>0</v>
      </c>
      <c r="K16" s="30">
        <f>'Monthly Data'!AG16</f>
        <v>0</v>
      </c>
      <c r="M16" s="23">
        <f>'GS &lt; 50 OLS Model'!$B$5</f>
        <v>-4820550.2123392904</v>
      </c>
      <c r="N16" s="23">
        <f ca="1">'GS &lt; 50 OLS Model'!$B$6*D16</f>
        <v>1795671.9821314155</v>
      </c>
      <c r="O16" s="23">
        <f ca="1">'GS &lt; 50 OLS Model'!$B$7*E16</f>
        <v>0</v>
      </c>
      <c r="P16" s="23">
        <f>'GS &lt; 50 OLS Model'!$B$8*F16</f>
        <v>-110140.73958922681</v>
      </c>
      <c r="Q16" s="23">
        <f>'GS &lt; 50 OLS Model'!$B$9*G16</f>
        <v>11446775.651133712</v>
      </c>
      <c r="R16" s="23">
        <f>'GS &lt; 50 OLS Model'!$B$10*H16</f>
        <v>0</v>
      </c>
      <c r="S16" s="23">
        <f>'GS &lt; 50 OLS Model'!$B$11*I16</f>
        <v>0</v>
      </c>
      <c r="T16" s="23">
        <f>'GS &lt; 50 OLS Model'!$B$12*J16</f>
        <v>0</v>
      </c>
      <c r="U16" s="23">
        <f>'GS &lt; 50 OLS Model'!$B$13*K16</f>
        <v>0</v>
      </c>
      <c r="V16" s="23">
        <f t="shared" ca="1" si="2"/>
        <v>8311756.6813366106</v>
      </c>
    </row>
    <row r="17" spans="1:22" x14ac:dyDescent="0.25">
      <c r="A17" s="11">
        <f>'Monthly Data'!A17</f>
        <v>40269</v>
      </c>
      <c r="B17" s="6">
        <f t="shared" si="1"/>
        <v>2010</v>
      </c>
      <c r="C17">
        <f>'Monthly Data'!E17</f>
        <v>6918818.8890000004</v>
      </c>
      <c r="D17">
        <f t="shared" ca="1" si="3"/>
        <v>326.58999999999997</v>
      </c>
      <c r="E17">
        <f t="shared" ca="1" si="3"/>
        <v>0.39</v>
      </c>
      <c r="F17" s="30">
        <f>'Monthly Data'!S17</f>
        <v>16</v>
      </c>
      <c r="G17" s="30">
        <f>'Monthly Data'!U17</f>
        <v>3250</v>
      </c>
      <c r="H17" s="30">
        <f>'Monthly Data'!Y17</f>
        <v>0</v>
      </c>
      <c r="I17" s="30">
        <f>'Monthly Data'!AE17</f>
        <v>0</v>
      </c>
      <c r="J17" s="30">
        <f>'Monthly Data'!AF17</f>
        <v>0</v>
      </c>
      <c r="K17" s="30">
        <f>'Monthly Data'!AG17</f>
        <v>1</v>
      </c>
      <c r="M17" s="23">
        <f>'GS &lt; 50 OLS Model'!$B$5</f>
        <v>-4820550.2123392904</v>
      </c>
      <c r="N17" s="23">
        <f ca="1">'GS &lt; 50 OLS Model'!$B$6*D17</f>
        <v>1052888.7639711646</v>
      </c>
      <c r="O17" s="23">
        <f ca="1">'GS &lt; 50 OLS Model'!$B$7*E17</f>
        <v>5929.2514145123614</v>
      </c>
      <c r="P17" s="23">
        <f>'GS &lt; 50 OLS Model'!$B$8*F17</f>
        <v>-117483.45556184193</v>
      </c>
      <c r="Q17" s="23">
        <f>'GS &lt; 50 OLS Model'!$B$9*G17</f>
        <v>11450298.820001405</v>
      </c>
      <c r="R17" s="23">
        <f>'GS &lt; 50 OLS Model'!$B$10*H17</f>
        <v>0</v>
      </c>
      <c r="S17" s="23">
        <f>'GS &lt; 50 OLS Model'!$B$11*I17</f>
        <v>0</v>
      </c>
      <c r="T17" s="23">
        <f>'GS &lt; 50 OLS Model'!$B$12*J17</f>
        <v>0</v>
      </c>
      <c r="U17" s="23">
        <f>'GS &lt; 50 OLS Model'!$B$13*K17</f>
        <v>-425159.68663676298</v>
      </c>
      <c r="V17" s="23">
        <f t="shared" ca="1" si="2"/>
        <v>7571083.1674859496</v>
      </c>
    </row>
    <row r="18" spans="1:22" x14ac:dyDescent="0.25">
      <c r="A18" s="11">
        <f>'Monthly Data'!A18</f>
        <v>40299</v>
      </c>
      <c r="B18" s="6">
        <f t="shared" si="1"/>
        <v>2010</v>
      </c>
      <c r="C18">
        <f>'Monthly Data'!E18</f>
        <v>6986125.7528999997</v>
      </c>
      <c r="D18">
        <f t="shared" ca="1" si="3"/>
        <v>144.96</v>
      </c>
      <c r="E18">
        <f t="shared" ca="1" si="3"/>
        <v>8.67</v>
      </c>
      <c r="F18" s="30">
        <f>'Monthly Data'!S18</f>
        <v>17</v>
      </c>
      <c r="G18" s="30">
        <f>'Monthly Data'!U18</f>
        <v>3237</v>
      </c>
      <c r="H18" s="30">
        <f>'Monthly Data'!Y18</f>
        <v>0</v>
      </c>
      <c r="I18" s="30">
        <f>'Monthly Data'!AE18</f>
        <v>0</v>
      </c>
      <c r="J18" s="30">
        <f>'Monthly Data'!AF18</f>
        <v>0</v>
      </c>
      <c r="K18" s="30">
        <f>'Monthly Data'!AG18</f>
        <v>0</v>
      </c>
      <c r="M18" s="23">
        <f>'GS &lt; 50 OLS Model'!$B$5</f>
        <v>-4820550.2123392904</v>
      </c>
      <c r="N18" s="23">
        <f ca="1">'GS &lt; 50 OLS Model'!$B$6*D18</f>
        <v>467334.44142582454</v>
      </c>
      <c r="O18" s="23">
        <f ca="1">'GS &lt; 50 OLS Model'!$B$7*E18</f>
        <v>131811.81990723632</v>
      </c>
      <c r="P18" s="23">
        <f>'GS &lt; 50 OLS Model'!$B$8*F18</f>
        <v>-124826.17153445704</v>
      </c>
      <c r="Q18" s="23">
        <f>'GS &lt; 50 OLS Model'!$B$9*G18</f>
        <v>11404497.6247214</v>
      </c>
      <c r="R18" s="23">
        <f>'GS &lt; 50 OLS Model'!$B$10*H18</f>
        <v>0</v>
      </c>
      <c r="S18" s="23">
        <f>'GS &lt; 50 OLS Model'!$B$11*I18</f>
        <v>0</v>
      </c>
      <c r="T18" s="23">
        <f>'GS &lt; 50 OLS Model'!$B$12*J18</f>
        <v>0</v>
      </c>
      <c r="U18" s="23">
        <f>'GS &lt; 50 OLS Model'!$B$13*K18</f>
        <v>0</v>
      </c>
      <c r="V18" s="23">
        <f t="shared" ca="1" si="2"/>
        <v>7058267.5021807132</v>
      </c>
    </row>
    <row r="19" spans="1:22" x14ac:dyDescent="0.25">
      <c r="A19" s="11">
        <f>'Monthly Data'!A19</f>
        <v>40330</v>
      </c>
      <c r="B19" s="6">
        <f t="shared" si="1"/>
        <v>2010</v>
      </c>
      <c r="C19">
        <f>'Monthly Data'!E19</f>
        <v>7185164.8809000012</v>
      </c>
      <c r="D19">
        <f t="shared" ca="1" si="3"/>
        <v>41.510000000000005</v>
      </c>
      <c r="E19">
        <f t="shared" ca="1" si="3"/>
        <v>44.41</v>
      </c>
      <c r="F19" s="30">
        <f>'Monthly Data'!S19</f>
        <v>18</v>
      </c>
      <c r="G19" s="30">
        <f>'Monthly Data'!U19</f>
        <v>3237</v>
      </c>
      <c r="H19" s="30">
        <f>'Monthly Data'!Y19</f>
        <v>0</v>
      </c>
      <c r="I19" s="30">
        <f>'Monthly Data'!AE19</f>
        <v>0</v>
      </c>
      <c r="J19" s="30">
        <f>'Monthly Data'!AF19</f>
        <v>0</v>
      </c>
      <c r="K19" s="30">
        <f>'Monthly Data'!AG19</f>
        <v>0</v>
      </c>
      <c r="M19" s="23">
        <f>'GS &lt; 50 OLS Model'!$B$5</f>
        <v>-4820550.2123392904</v>
      </c>
      <c r="N19" s="23">
        <f ca="1">'GS &lt; 50 OLS Model'!$B$6*D19</f>
        <v>133823.4869176737</v>
      </c>
      <c r="O19" s="23">
        <f ca="1">'GS &lt; 50 OLS Model'!$B$7*E19</f>
        <v>675174.50081665104</v>
      </c>
      <c r="P19" s="23">
        <f>'GS &lt; 50 OLS Model'!$B$8*F19</f>
        <v>-132168.88750707216</v>
      </c>
      <c r="Q19" s="23">
        <f>'GS &lt; 50 OLS Model'!$B$9*G19</f>
        <v>11404497.6247214</v>
      </c>
      <c r="R19" s="23">
        <f>'GS &lt; 50 OLS Model'!$B$10*H19</f>
        <v>0</v>
      </c>
      <c r="S19" s="23">
        <f>'GS &lt; 50 OLS Model'!$B$11*I19</f>
        <v>0</v>
      </c>
      <c r="T19" s="23">
        <f>'GS &lt; 50 OLS Model'!$B$12*J19</f>
        <v>0</v>
      </c>
      <c r="U19" s="23">
        <f>'GS &lt; 50 OLS Model'!$B$13*K19</f>
        <v>0</v>
      </c>
      <c r="V19" s="23">
        <f t="shared" ca="1" si="2"/>
        <v>7260776.5126093626</v>
      </c>
    </row>
    <row r="20" spans="1:22" x14ac:dyDescent="0.25">
      <c r="A20" s="11">
        <f>'Monthly Data'!A20</f>
        <v>40360</v>
      </c>
      <c r="B20" s="6">
        <f t="shared" si="1"/>
        <v>2010</v>
      </c>
      <c r="C20">
        <f>'Monthly Data'!E20</f>
        <v>8291002.0009999992</v>
      </c>
      <c r="D20">
        <f t="shared" ca="1" si="3"/>
        <v>5.01</v>
      </c>
      <c r="E20">
        <f t="shared" ca="1" si="3"/>
        <v>96.909999999999982</v>
      </c>
      <c r="F20" s="30">
        <f>'Monthly Data'!S20</f>
        <v>19</v>
      </c>
      <c r="G20" s="30">
        <f>'Monthly Data'!U20</f>
        <v>3227</v>
      </c>
      <c r="H20" s="30">
        <f>'Monthly Data'!Y20</f>
        <v>0</v>
      </c>
      <c r="I20" s="30">
        <f>'Monthly Data'!AE20</f>
        <v>0</v>
      </c>
      <c r="J20" s="30">
        <f>'Monthly Data'!AF20</f>
        <v>0</v>
      </c>
      <c r="K20" s="30">
        <f>'Monthly Data'!AG20</f>
        <v>0</v>
      </c>
      <c r="M20" s="23">
        <f>'GS &lt; 50 OLS Model'!$B$5</f>
        <v>-4820550.2123392904</v>
      </c>
      <c r="N20" s="23">
        <f ca="1">'GS &lt; 50 OLS Model'!$B$6*D20</f>
        <v>16151.666332390871</v>
      </c>
      <c r="O20" s="23">
        <f ca="1">'GS &lt; 50 OLS Model'!$B$7*E20</f>
        <v>1473342.9604625455</v>
      </c>
      <c r="P20" s="23">
        <f>'GS &lt; 50 OLS Model'!$B$8*F20</f>
        <v>-139511.6034796873</v>
      </c>
      <c r="Q20" s="23">
        <f>'GS &lt; 50 OLS Model'!$B$9*G20</f>
        <v>11369265.936044473</v>
      </c>
      <c r="R20" s="23">
        <f>'GS &lt; 50 OLS Model'!$B$10*H20</f>
        <v>0</v>
      </c>
      <c r="S20" s="23">
        <f>'GS &lt; 50 OLS Model'!$B$11*I20</f>
        <v>0</v>
      </c>
      <c r="T20" s="23">
        <f>'GS &lt; 50 OLS Model'!$B$12*J20</f>
        <v>0</v>
      </c>
      <c r="U20" s="23">
        <f>'GS &lt; 50 OLS Model'!$B$13*K20</f>
        <v>0</v>
      </c>
      <c r="V20" s="23">
        <f t="shared" ca="1" si="2"/>
        <v>7898698.7470204327</v>
      </c>
    </row>
    <row r="21" spans="1:22" x14ac:dyDescent="0.25">
      <c r="A21" s="11">
        <f>'Monthly Data'!A21</f>
        <v>40391</v>
      </c>
      <c r="B21" s="6">
        <f t="shared" si="1"/>
        <v>2010</v>
      </c>
      <c r="C21">
        <f>'Monthly Data'!E21</f>
        <v>8091227.442999999</v>
      </c>
      <c r="D21">
        <f t="shared" ca="1" si="3"/>
        <v>12.719999999999999</v>
      </c>
      <c r="E21">
        <f t="shared" ca="1" si="3"/>
        <v>77.22999999999999</v>
      </c>
      <c r="F21" s="30">
        <f>'Monthly Data'!S21</f>
        <v>20</v>
      </c>
      <c r="G21" s="30">
        <f>'Monthly Data'!U21</f>
        <v>3244</v>
      </c>
      <c r="H21" s="30">
        <f>'Monthly Data'!Y21</f>
        <v>0</v>
      </c>
      <c r="I21" s="30">
        <f>'Monthly Data'!AE21</f>
        <v>0</v>
      </c>
      <c r="J21" s="30">
        <f>'Monthly Data'!AF21</f>
        <v>0</v>
      </c>
      <c r="K21" s="30">
        <f>'Monthly Data'!AG21</f>
        <v>0</v>
      </c>
      <c r="M21" s="23">
        <f>'GS &lt; 50 OLS Model'!$B$5</f>
        <v>-4820550.2123392904</v>
      </c>
      <c r="N21" s="23">
        <f ca="1">'GS &lt; 50 OLS Model'!$B$6*D21</f>
        <v>41007.823502597181</v>
      </c>
      <c r="O21" s="23">
        <f ca="1">'GS &lt; 50 OLS Model'!$B$7*E21</f>
        <v>1174143.8121609988</v>
      </c>
      <c r="P21" s="23">
        <f>'GS &lt; 50 OLS Model'!$B$8*F21</f>
        <v>-146854.31945230241</v>
      </c>
      <c r="Q21" s="23">
        <f>'GS &lt; 50 OLS Model'!$B$9*G21</f>
        <v>11429159.806795249</v>
      </c>
      <c r="R21" s="23">
        <f>'GS &lt; 50 OLS Model'!$B$10*H21</f>
        <v>0</v>
      </c>
      <c r="S21" s="23">
        <f>'GS &lt; 50 OLS Model'!$B$11*I21</f>
        <v>0</v>
      </c>
      <c r="T21" s="23">
        <f>'GS &lt; 50 OLS Model'!$B$12*J21</f>
        <v>0</v>
      </c>
      <c r="U21" s="23">
        <f>'GS &lt; 50 OLS Model'!$B$13*K21</f>
        <v>0</v>
      </c>
      <c r="V21" s="23">
        <f t="shared" ca="1" si="2"/>
        <v>7676906.9106672518</v>
      </c>
    </row>
    <row r="22" spans="1:22" x14ac:dyDescent="0.25">
      <c r="A22" s="11">
        <f>'Monthly Data'!A22</f>
        <v>40422</v>
      </c>
      <c r="B22" s="6">
        <f t="shared" si="1"/>
        <v>2010</v>
      </c>
      <c r="C22">
        <f>'Monthly Data'!E22</f>
        <v>7107037.0582999997</v>
      </c>
      <c r="D22">
        <f t="shared" ca="1" si="3"/>
        <v>86.570000000000007</v>
      </c>
      <c r="E22">
        <f t="shared" ca="1" si="3"/>
        <v>19.899999999999999</v>
      </c>
      <c r="F22" s="30">
        <f>'Monthly Data'!S22</f>
        <v>21</v>
      </c>
      <c r="G22" s="30">
        <f>'Monthly Data'!U22</f>
        <v>3242</v>
      </c>
      <c r="H22" s="30">
        <f>'Monthly Data'!Y22</f>
        <v>0</v>
      </c>
      <c r="I22" s="30">
        <f>'Monthly Data'!AE22</f>
        <v>1</v>
      </c>
      <c r="J22" s="30">
        <f>'Monthly Data'!AF22</f>
        <v>0</v>
      </c>
      <c r="K22" s="30">
        <f>'Monthly Data'!AG22</f>
        <v>0</v>
      </c>
      <c r="M22" s="23">
        <f>'GS &lt; 50 OLS Model'!$B$5</f>
        <v>-4820550.2123392904</v>
      </c>
      <c r="N22" s="23">
        <f ca="1">'GS &lt; 50 OLS Model'!$B$6*D22</f>
        <v>279091.76734432695</v>
      </c>
      <c r="O22" s="23">
        <f ca="1">'GS &lt; 50 OLS Model'!$B$7*E22</f>
        <v>302543.85422768199</v>
      </c>
      <c r="P22" s="23">
        <f>'GS &lt; 50 OLS Model'!$B$8*F22</f>
        <v>-154197.03542491753</v>
      </c>
      <c r="Q22" s="23">
        <f>'GS &lt; 50 OLS Model'!$B$9*G22</f>
        <v>11422113.469059864</v>
      </c>
      <c r="R22" s="23">
        <f>'GS &lt; 50 OLS Model'!$B$10*H22</f>
        <v>0</v>
      </c>
      <c r="S22" s="23">
        <f>'GS &lt; 50 OLS Model'!$B$11*I22</f>
        <v>-173591.250541696</v>
      </c>
      <c r="T22" s="23">
        <f>'GS &lt; 50 OLS Model'!$B$12*J22</f>
        <v>0</v>
      </c>
      <c r="U22" s="23">
        <f>'GS &lt; 50 OLS Model'!$B$13*K22</f>
        <v>0</v>
      </c>
      <c r="V22" s="23">
        <f t="shared" ca="1" si="2"/>
        <v>7029001.8428676641</v>
      </c>
    </row>
    <row r="23" spans="1:22" x14ac:dyDescent="0.25">
      <c r="A23" s="11">
        <f>'Monthly Data'!A23</f>
        <v>40452</v>
      </c>
      <c r="B23" s="6">
        <f t="shared" si="1"/>
        <v>2010</v>
      </c>
      <c r="C23">
        <f>'Monthly Data'!E23</f>
        <v>7112672.8845999986</v>
      </c>
      <c r="D23">
        <f t="shared" ca="1" si="3"/>
        <v>270.3</v>
      </c>
      <c r="E23">
        <f t="shared" ca="1" si="3"/>
        <v>1.21</v>
      </c>
      <c r="F23" s="30">
        <f>'Monthly Data'!S23</f>
        <v>22</v>
      </c>
      <c r="G23" s="30">
        <f>'Monthly Data'!U23</f>
        <v>3247</v>
      </c>
      <c r="H23" s="30">
        <f>'Monthly Data'!Y23</f>
        <v>0</v>
      </c>
      <c r="I23" s="30">
        <f>'Monthly Data'!AE23</f>
        <v>1</v>
      </c>
      <c r="J23" s="30">
        <f>'Monthly Data'!AF23</f>
        <v>0</v>
      </c>
      <c r="K23" s="30">
        <f>'Monthly Data'!AG23</f>
        <v>0</v>
      </c>
      <c r="M23" s="23">
        <f>'GS &lt; 50 OLS Model'!$B$5</f>
        <v>-4820550.2123392904</v>
      </c>
      <c r="N23" s="23">
        <f ca="1">'GS &lt; 50 OLS Model'!$B$6*D23</f>
        <v>871416.24943019019</v>
      </c>
      <c r="O23" s="23">
        <f ca="1">'GS &lt; 50 OLS Model'!$B$7*E23</f>
        <v>18395.882593743478</v>
      </c>
      <c r="P23" s="23">
        <f>'GS &lt; 50 OLS Model'!$B$8*F23</f>
        <v>-161539.75139753264</v>
      </c>
      <c r="Q23" s="23">
        <f>'GS &lt; 50 OLS Model'!$B$9*G23</f>
        <v>11439729.313398328</v>
      </c>
      <c r="R23" s="23">
        <f>'GS &lt; 50 OLS Model'!$B$10*H23</f>
        <v>0</v>
      </c>
      <c r="S23" s="23">
        <f>'GS &lt; 50 OLS Model'!$B$11*I23</f>
        <v>-173591.250541696</v>
      </c>
      <c r="T23" s="23">
        <f>'GS &lt; 50 OLS Model'!$B$12*J23</f>
        <v>0</v>
      </c>
      <c r="U23" s="23">
        <f>'GS &lt; 50 OLS Model'!$B$13*K23</f>
        <v>0</v>
      </c>
      <c r="V23" s="23">
        <f t="shared" ca="1" si="2"/>
        <v>7347451.4816854382</v>
      </c>
    </row>
    <row r="24" spans="1:22" x14ac:dyDescent="0.25">
      <c r="A24" s="11">
        <f>'Monthly Data'!A24</f>
        <v>40483</v>
      </c>
      <c r="B24" s="6">
        <f t="shared" si="1"/>
        <v>2010</v>
      </c>
      <c r="C24">
        <f>'Monthly Data'!E24</f>
        <v>7591437.2906999998</v>
      </c>
      <c r="D24">
        <f t="shared" ca="1" si="3"/>
        <v>444.05</v>
      </c>
      <c r="E24">
        <f t="shared" ca="1" si="3"/>
        <v>0</v>
      </c>
      <c r="F24" s="30">
        <f>'Monthly Data'!S24</f>
        <v>23</v>
      </c>
      <c r="G24" s="30">
        <f>'Monthly Data'!U24</f>
        <v>3263</v>
      </c>
      <c r="H24" s="30">
        <f>'Monthly Data'!Y24</f>
        <v>0</v>
      </c>
      <c r="I24" s="30">
        <f>'Monthly Data'!AE24</f>
        <v>1</v>
      </c>
      <c r="J24" s="30">
        <f>'Monthly Data'!AF24</f>
        <v>0</v>
      </c>
      <c r="K24" s="30">
        <f>'Monthly Data'!AG24</f>
        <v>0</v>
      </c>
      <c r="M24" s="23">
        <f>'GS &lt; 50 OLS Model'!$B$5</f>
        <v>-4820550.2123392904</v>
      </c>
      <c r="N24" s="23">
        <f ca="1">'GS &lt; 50 OLS Model'!$B$6*D24</f>
        <v>1431566.3542710911</v>
      </c>
      <c r="O24" s="23">
        <f ca="1">'GS &lt; 50 OLS Model'!$B$7*E24</f>
        <v>0</v>
      </c>
      <c r="P24" s="23">
        <f>'GS &lt; 50 OLS Model'!$B$8*F24</f>
        <v>-168882.46737014776</v>
      </c>
      <c r="Q24" s="23">
        <f>'GS &lt; 50 OLS Model'!$B$9*G24</f>
        <v>11496100.015281411</v>
      </c>
      <c r="R24" s="23">
        <f>'GS &lt; 50 OLS Model'!$B$10*H24</f>
        <v>0</v>
      </c>
      <c r="S24" s="23">
        <f>'GS &lt; 50 OLS Model'!$B$11*I24</f>
        <v>-173591.250541696</v>
      </c>
      <c r="T24" s="23">
        <f>'GS &lt; 50 OLS Model'!$B$12*J24</f>
        <v>0</v>
      </c>
      <c r="U24" s="23">
        <f>'GS &lt; 50 OLS Model'!$B$13*K24</f>
        <v>0</v>
      </c>
      <c r="V24" s="23">
        <f t="shared" ca="1" si="2"/>
        <v>7938233.6898430642</v>
      </c>
    </row>
    <row r="25" spans="1:22" x14ac:dyDescent="0.25">
      <c r="A25" s="11">
        <f>'Monthly Data'!A25</f>
        <v>40513</v>
      </c>
      <c r="B25" s="6">
        <f t="shared" si="1"/>
        <v>2010</v>
      </c>
      <c r="C25">
        <f>'Monthly Data'!E25</f>
        <v>8718326.5439999998</v>
      </c>
      <c r="D25">
        <f t="shared" ca="1" si="3"/>
        <v>684.01</v>
      </c>
      <c r="E25">
        <f t="shared" ca="1" si="3"/>
        <v>0</v>
      </c>
      <c r="F25" s="30">
        <f>'Monthly Data'!S25</f>
        <v>24</v>
      </c>
      <c r="G25" s="30">
        <f>'Monthly Data'!U25</f>
        <v>3264</v>
      </c>
      <c r="H25" s="30">
        <f>'Monthly Data'!Y25</f>
        <v>0</v>
      </c>
      <c r="I25" s="30">
        <f>'Monthly Data'!AE25</f>
        <v>0</v>
      </c>
      <c r="J25" s="30">
        <f>'Monthly Data'!AF25</f>
        <v>0</v>
      </c>
      <c r="K25" s="30">
        <f>'Monthly Data'!AG25</f>
        <v>0</v>
      </c>
      <c r="M25" s="23">
        <f>'GS &lt; 50 OLS Model'!$B$5</f>
        <v>-4820550.2123392904</v>
      </c>
      <c r="N25" s="23">
        <f ca="1">'GS &lt; 50 OLS Model'!$B$6*D25</f>
        <v>2205169.9177681995</v>
      </c>
      <c r="O25" s="23">
        <f ca="1">'GS &lt; 50 OLS Model'!$B$7*E25</f>
        <v>0</v>
      </c>
      <c r="P25" s="23">
        <f>'GS &lt; 50 OLS Model'!$B$8*F25</f>
        <v>-176225.18334276287</v>
      </c>
      <c r="Q25" s="23">
        <f>'GS &lt; 50 OLS Model'!$B$9*G25</f>
        <v>11499623.184149103</v>
      </c>
      <c r="R25" s="23">
        <f>'GS &lt; 50 OLS Model'!$B$10*H25</f>
        <v>0</v>
      </c>
      <c r="S25" s="23">
        <f>'GS &lt; 50 OLS Model'!$B$11*I25</f>
        <v>0</v>
      </c>
      <c r="T25" s="23">
        <f>'GS &lt; 50 OLS Model'!$B$12*J25</f>
        <v>0</v>
      </c>
      <c r="U25" s="23">
        <f>'GS &lt; 50 OLS Model'!$B$13*K25</f>
        <v>0</v>
      </c>
      <c r="V25" s="23">
        <f t="shared" ca="1" si="2"/>
        <v>8708017.7062352486</v>
      </c>
    </row>
    <row r="26" spans="1:22" x14ac:dyDescent="0.25">
      <c r="A26" s="11">
        <f>'Monthly Data'!A26</f>
        <v>40544</v>
      </c>
      <c r="B26" s="6">
        <f t="shared" si="1"/>
        <v>2011</v>
      </c>
      <c r="C26">
        <f>'Monthly Data'!E26</f>
        <v>9393676.9426000006</v>
      </c>
      <c r="D26">
        <f t="shared" ca="1" si="3"/>
        <v>784.29</v>
      </c>
      <c r="E26">
        <f t="shared" ca="1" si="3"/>
        <v>0</v>
      </c>
      <c r="F26" s="30">
        <f>'Monthly Data'!S26</f>
        <v>25</v>
      </c>
      <c r="G26" s="30">
        <f>'Monthly Data'!U26</f>
        <v>3262</v>
      </c>
      <c r="H26" s="30">
        <f>'Monthly Data'!Y26</f>
        <v>0</v>
      </c>
      <c r="I26" s="30">
        <f>'Monthly Data'!AE26</f>
        <v>0</v>
      </c>
      <c r="J26" s="30">
        <f>'Monthly Data'!AF26</f>
        <v>0</v>
      </c>
      <c r="K26" s="30">
        <f>'Monthly Data'!AG26</f>
        <v>0</v>
      </c>
      <c r="M26" s="23">
        <f>'GS &lt; 50 OLS Model'!$B$5</f>
        <v>-4820550.2123392904</v>
      </c>
      <c r="N26" s="23">
        <f ca="1">'GS &lt; 50 OLS Model'!$B$6*D26</f>
        <v>2528461.1552556558</v>
      </c>
      <c r="O26" s="23">
        <f ca="1">'GS &lt; 50 OLS Model'!$B$7*E26</f>
        <v>0</v>
      </c>
      <c r="P26" s="23">
        <f>'GS &lt; 50 OLS Model'!$B$8*F26</f>
        <v>-183567.89931537802</v>
      </c>
      <c r="Q26" s="23">
        <f>'GS &lt; 50 OLS Model'!$B$9*G26</f>
        <v>11492576.846413719</v>
      </c>
      <c r="R26" s="23">
        <f>'GS &lt; 50 OLS Model'!$B$10*H26</f>
        <v>0</v>
      </c>
      <c r="S26" s="23">
        <f>'GS &lt; 50 OLS Model'!$B$11*I26</f>
        <v>0</v>
      </c>
      <c r="T26" s="23">
        <f>'GS &lt; 50 OLS Model'!$B$12*J26</f>
        <v>0</v>
      </c>
      <c r="U26" s="23">
        <f>'GS &lt; 50 OLS Model'!$B$13*K26</f>
        <v>0</v>
      </c>
      <c r="V26" s="23">
        <f t="shared" ca="1" si="2"/>
        <v>9016919.8900147062</v>
      </c>
    </row>
    <row r="27" spans="1:22" x14ac:dyDescent="0.25">
      <c r="A27" s="11">
        <f>'Monthly Data'!A27</f>
        <v>40575</v>
      </c>
      <c r="B27" s="6">
        <f t="shared" si="1"/>
        <v>2011</v>
      </c>
      <c r="C27">
        <f>'Monthly Data'!E27</f>
        <v>8452752.0697000008</v>
      </c>
      <c r="D27">
        <f t="shared" ca="1" si="3"/>
        <v>682.50999999999988</v>
      </c>
      <c r="E27">
        <f t="shared" ca="1" si="3"/>
        <v>0</v>
      </c>
      <c r="F27" s="30">
        <f>'Monthly Data'!S27</f>
        <v>26</v>
      </c>
      <c r="G27" s="30">
        <f>'Monthly Data'!U27</f>
        <v>3264</v>
      </c>
      <c r="H27" s="30">
        <f>'Monthly Data'!Y27</f>
        <v>0</v>
      </c>
      <c r="I27" s="30">
        <f>'Monthly Data'!AE27</f>
        <v>0</v>
      </c>
      <c r="J27" s="30">
        <f>'Monthly Data'!AF27</f>
        <v>1</v>
      </c>
      <c r="K27" s="30">
        <f>'Monthly Data'!AG27</f>
        <v>0</v>
      </c>
      <c r="M27" s="23">
        <f>'GS &lt; 50 OLS Model'!$B$5</f>
        <v>-4820550.2123392904</v>
      </c>
      <c r="N27" s="23">
        <f ca="1">'GS &lt; 50 OLS Model'!$B$6*D27</f>
        <v>2200334.0895249685</v>
      </c>
      <c r="O27" s="23">
        <f ca="1">'GS &lt; 50 OLS Model'!$B$7*E27</f>
        <v>0</v>
      </c>
      <c r="P27" s="23">
        <f>'GS &lt; 50 OLS Model'!$B$8*F27</f>
        <v>-190910.61528799313</v>
      </c>
      <c r="Q27" s="23">
        <f>'GS &lt; 50 OLS Model'!$B$9*G27</f>
        <v>11499623.184149103</v>
      </c>
      <c r="R27" s="23">
        <f>'GS &lt; 50 OLS Model'!$B$10*H27</f>
        <v>0</v>
      </c>
      <c r="S27" s="23">
        <f>'GS &lt; 50 OLS Model'!$B$11*I27</f>
        <v>0</v>
      </c>
      <c r="T27" s="23">
        <f>'GS &lt; 50 OLS Model'!$B$12*J27</f>
        <v>-323195.56340474403</v>
      </c>
      <c r="U27" s="23">
        <f>'GS &lt; 50 OLS Model'!$B$13*K27</f>
        <v>0</v>
      </c>
      <c r="V27" s="23">
        <f t="shared" ca="1" si="2"/>
        <v>8688496.4460467882</v>
      </c>
    </row>
    <row r="28" spans="1:22" x14ac:dyDescent="0.25">
      <c r="A28" s="11">
        <f>'Monthly Data'!A28</f>
        <v>40603</v>
      </c>
      <c r="B28" s="6">
        <f t="shared" si="1"/>
        <v>2011</v>
      </c>
      <c r="C28">
        <f>'Monthly Data'!E28</f>
        <v>8568325.1115000006</v>
      </c>
      <c r="D28">
        <f t="shared" ca="1" si="3"/>
        <v>556.99</v>
      </c>
      <c r="E28">
        <f t="shared" ca="1" si="3"/>
        <v>0</v>
      </c>
      <c r="F28" s="30">
        <f>'Monthly Data'!S28</f>
        <v>27</v>
      </c>
      <c r="G28" s="30">
        <f>'Monthly Data'!U28</f>
        <v>3261</v>
      </c>
      <c r="H28" s="30">
        <f>'Monthly Data'!Y28</f>
        <v>0</v>
      </c>
      <c r="I28" s="30">
        <f>'Monthly Data'!AE28</f>
        <v>0</v>
      </c>
      <c r="J28" s="30">
        <f>'Monthly Data'!AF28</f>
        <v>0</v>
      </c>
      <c r="K28" s="30">
        <f>'Monthly Data'!AG28</f>
        <v>0</v>
      </c>
      <c r="M28" s="23">
        <f>'GS &lt; 50 OLS Model'!$B$5</f>
        <v>-4820550.2123392904</v>
      </c>
      <c r="N28" s="23">
        <f ca="1">'GS &lt; 50 OLS Model'!$B$6*D28</f>
        <v>1795671.9821314155</v>
      </c>
      <c r="O28" s="23">
        <f ca="1">'GS &lt; 50 OLS Model'!$B$7*E28</f>
        <v>0</v>
      </c>
      <c r="P28" s="23">
        <f>'GS &lt; 50 OLS Model'!$B$8*F28</f>
        <v>-198253.33126060825</v>
      </c>
      <c r="Q28" s="23">
        <f>'GS &lt; 50 OLS Model'!$B$9*G28</f>
        <v>11489053.677546026</v>
      </c>
      <c r="R28" s="23">
        <f>'GS &lt; 50 OLS Model'!$B$10*H28</f>
        <v>0</v>
      </c>
      <c r="S28" s="23">
        <f>'GS &lt; 50 OLS Model'!$B$11*I28</f>
        <v>0</v>
      </c>
      <c r="T28" s="23">
        <f>'GS &lt; 50 OLS Model'!$B$12*J28</f>
        <v>0</v>
      </c>
      <c r="U28" s="23">
        <f>'GS &lt; 50 OLS Model'!$B$13*K28</f>
        <v>0</v>
      </c>
      <c r="V28" s="23">
        <f t="shared" ca="1" si="2"/>
        <v>8265922.1160775432</v>
      </c>
    </row>
    <row r="29" spans="1:22" x14ac:dyDescent="0.25">
      <c r="A29" s="11">
        <f>'Monthly Data'!A29</f>
        <v>40634</v>
      </c>
      <c r="B29" s="6">
        <f t="shared" si="1"/>
        <v>2011</v>
      </c>
      <c r="C29">
        <f>'Monthly Data'!E29</f>
        <v>7346493.2652000012</v>
      </c>
      <c r="D29">
        <f t="shared" ca="1" si="3"/>
        <v>326.58999999999997</v>
      </c>
      <c r="E29">
        <f t="shared" ca="1" si="3"/>
        <v>0.39</v>
      </c>
      <c r="F29" s="30">
        <f>'Monthly Data'!S29</f>
        <v>28</v>
      </c>
      <c r="G29" s="30">
        <f>'Monthly Data'!U29</f>
        <v>3260</v>
      </c>
      <c r="H29" s="30">
        <f>'Monthly Data'!Y29</f>
        <v>0</v>
      </c>
      <c r="I29" s="30">
        <f>'Monthly Data'!AE29</f>
        <v>0</v>
      </c>
      <c r="J29" s="30">
        <f>'Monthly Data'!AF29</f>
        <v>0</v>
      </c>
      <c r="K29" s="30">
        <f>'Monthly Data'!AG29</f>
        <v>1</v>
      </c>
      <c r="M29" s="23">
        <f>'GS &lt; 50 OLS Model'!$B$5</f>
        <v>-4820550.2123392904</v>
      </c>
      <c r="N29" s="23">
        <f ca="1">'GS &lt; 50 OLS Model'!$B$6*D29</f>
        <v>1052888.7639711646</v>
      </c>
      <c r="O29" s="23">
        <f ca="1">'GS &lt; 50 OLS Model'!$B$7*E29</f>
        <v>5929.2514145123614</v>
      </c>
      <c r="P29" s="23">
        <f>'GS &lt; 50 OLS Model'!$B$8*F29</f>
        <v>-205596.04723322336</v>
      </c>
      <c r="Q29" s="23">
        <f>'GS &lt; 50 OLS Model'!$B$9*G29</f>
        <v>11485530.508678332</v>
      </c>
      <c r="R29" s="23">
        <f>'GS &lt; 50 OLS Model'!$B$10*H29</f>
        <v>0</v>
      </c>
      <c r="S29" s="23">
        <f>'GS &lt; 50 OLS Model'!$B$11*I29</f>
        <v>0</v>
      </c>
      <c r="T29" s="23">
        <f>'GS &lt; 50 OLS Model'!$B$12*J29</f>
        <v>0</v>
      </c>
      <c r="U29" s="23">
        <f>'GS &lt; 50 OLS Model'!$B$13*K29</f>
        <v>-425159.68663676298</v>
      </c>
      <c r="V29" s="23">
        <f t="shared" ca="1" si="2"/>
        <v>7518202.2644914947</v>
      </c>
    </row>
    <row r="30" spans="1:22" x14ac:dyDescent="0.25">
      <c r="A30" s="11">
        <f>'Monthly Data'!A30</f>
        <v>40664</v>
      </c>
      <c r="B30" s="6">
        <f t="shared" si="1"/>
        <v>2011</v>
      </c>
      <c r="C30">
        <f>'Monthly Data'!E30</f>
        <v>7368309.8563999999</v>
      </c>
      <c r="D30">
        <f t="shared" ca="1" si="3"/>
        <v>144.96</v>
      </c>
      <c r="E30">
        <f t="shared" ca="1" si="3"/>
        <v>8.67</v>
      </c>
      <c r="F30" s="30">
        <f>'Monthly Data'!S30</f>
        <v>29</v>
      </c>
      <c r="G30" s="30">
        <f>'Monthly Data'!U30</f>
        <v>3250</v>
      </c>
      <c r="H30" s="30">
        <f>'Monthly Data'!Y30</f>
        <v>0</v>
      </c>
      <c r="I30" s="30">
        <f>'Monthly Data'!AE30</f>
        <v>0</v>
      </c>
      <c r="J30" s="30">
        <f>'Monthly Data'!AF30</f>
        <v>0</v>
      </c>
      <c r="K30" s="30">
        <f>'Monthly Data'!AG30</f>
        <v>0</v>
      </c>
      <c r="M30" s="23">
        <f>'GS &lt; 50 OLS Model'!$B$5</f>
        <v>-4820550.2123392904</v>
      </c>
      <c r="N30" s="23">
        <f ca="1">'GS &lt; 50 OLS Model'!$B$6*D30</f>
        <v>467334.44142582454</v>
      </c>
      <c r="O30" s="23">
        <f ca="1">'GS &lt; 50 OLS Model'!$B$7*E30</f>
        <v>131811.81990723632</v>
      </c>
      <c r="P30" s="23">
        <f>'GS &lt; 50 OLS Model'!$B$8*F30</f>
        <v>-212938.76320583848</v>
      </c>
      <c r="Q30" s="23">
        <f>'GS &lt; 50 OLS Model'!$B$9*G30</f>
        <v>11450298.820001405</v>
      </c>
      <c r="R30" s="23">
        <f>'GS &lt; 50 OLS Model'!$B$10*H30</f>
        <v>0</v>
      </c>
      <c r="S30" s="23">
        <f>'GS &lt; 50 OLS Model'!$B$11*I30</f>
        <v>0</v>
      </c>
      <c r="T30" s="23">
        <f>'GS &lt; 50 OLS Model'!$B$12*J30</f>
        <v>0</v>
      </c>
      <c r="U30" s="23">
        <f>'GS &lt; 50 OLS Model'!$B$13*K30</f>
        <v>0</v>
      </c>
      <c r="V30" s="23">
        <f t="shared" ca="1" si="2"/>
        <v>7015956.1057893364</v>
      </c>
    </row>
    <row r="31" spans="1:22" x14ac:dyDescent="0.25">
      <c r="A31" s="11">
        <f>'Monthly Data'!A31</f>
        <v>40695</v>
      </c>
      <c r="B31" s="6">
        <f t="shared" si="1"/>
        <v>2011</v>
      </c>
      <c r="C31">
        <f>'Monthly Data'!E31</f>
        <v>7131096.6754999999</v>
      </c>
      <c r="D31">
        <f t="shared" ref="D31:E46" ca="1" si="4">D19</f>
        <v>41.510000000000005</v>
      </c>
      <c r="E31">
        <f t="shared" ca="1" si="4"/>
        <v>44.41</v>
      </c>
      <c r="F31" s="30">
        <f>'Monthly Data'!S31</f>
        <v>30</v>
      </c>
      <c r="G31" s="30">
        <f>'Monthly Data'!U31</f>
        <v>3250</v>
      </c>
      <c r="H31" s="30">
        <f>'Monthly Data'!Y31</f>
        <v>0</v>
      </c>
      <c r="I31" s="30">
        <f>'Monthly Data'!AE31</f>
        <v>0</v>
      </c>
      <c r="J31" s="30">
        <f>'Monthly Data'!AF31</f>
        <v>0</v>
      </c>
      <c r="K31" s="30">
        <f>'Monthly Data'!AG31</f>
        <v>0</v>
      </c>
      <c r="M31" s="23">
        <f>'GS &lt; 50 OLS Model'!$B$5</f>
        <v>-4820550.2123392904</v>
      </c>
      <c r="N31" s="23">
        <f ca="1">'GS &lt; 50 OLS Model'!$B$6*D31</f>
        <v>133823.4869176737</v>
      </c>
      <c r="O31" s="23">
        <f ca="1">'GS &lt; 50 OLS Model'!$B$7*E31</f>
        <v>675174.50081665104</v>
      </c>
      <c r="P31" s="23">
        <f>'GS &lt; 50 OLS Model'!$B$8*F31</f>
        <v>-220281.47917845362</v>
      </c>
      <c r="Q31" s="23">
        <f>'GS &lt; 50 OLS Model'!$B$9*G31</f>
        <v>11450298.820001405</v>
      </c>
      <c r="R31" s="23">
        <f>'GS &lt; 50 OLS Model'!$B$10*H31</f>
        <v>0</v>
      </c>
      <c r="S31" s="23">
        <f>'GS &lt; 50 OLS Model'!$B$11*I31</f>
        <v>0</v>
      </c>
      <c r="T31" s="23">
        <f>'GS &lt; 50 OLS Model'!$B$12*J31</f>
        <v>0</v>
      </c>
      <c r="U31" s="23">
        <f>'GS &lt; 50 OLS Model'!$B$13*K31</f>
        <v>0</v>
      </c>
      <c r="V31" s="23">
        <f t="shared" ca="1" si="2"/>
        <v>7218465.1162179857</v>
      </c>
    </row>
    <row r="32" spans="1:22" x14ac:dyDescent="0.25">
      <c r="A32" s="11">
        <f>'Monthly Data'!A32</f>
        <v>40725</v>
      </c>
      <c r="B32" s="6">
        <f t="shared" si="1"/>
        <v>2011</v>
      </c>
      <c r="C32">
        <f>'Monthly Data'!E32</f>
        <v>8127943.4221000001</v>
      </c>
      <c r="D32">
        <f t="shared" ca="1" si="4"/>
        <v>5.01</v>
      </c>
      <c r="E32">
        <f t="shared" ca="1" si="4"/>
        <v>96.909999999999982</v>
      </c>
      <c r="F32" s="30">
        <f>'Monthly Data'!S32</f>
        <v>31</v>
      </c>
      <c r="G32" s="30">
        <f>'Monthly Data'!U32</f>
        <v>3245</v>
      </c>
      <c r="H32" s="30">
        <f>'Monthly Data'!Y32</f>
        <v>0</v>
      </c>
      <c r="I32" s="30">
        <f>'Monthly Data'!AE32</f>
        <v>0</v>
      </c>
      <c r="J32" s="30">
        <f>'Monthly Data'!AF32</f>
        <v>0</v>
      </c>
      <c r="K32" s="30">
        <f>'Monthly Data'!AG32</f>
        <v>0</v>
      </c>
      <c r="M32" s="23">
        <f>'GS &lt; 50 OLS Model'!$B$5</f>
        <v>-4820550.2123392904</v>
      </c>
      <c r="N32" s="23">
        <f ca="1">'GS &lt; 50 OLS Model'!$B$6*D32</f>
        <v>16151.666332390871</v>
      </c>
      <c r="O32" s="23">
        <f ca="1">'GS &lt; 50 OLS Model'!$B$7*E32</f>
        <v>1473342.9604625455</v>
      </c>
      <c r="P32" s="23">
        <f>'GS &lt; 50 OLS Model'!$B$8*F32</f>
        <v>-227624.19515106874</v>
      </c>
      <c r="Q32" s="23">
        <f>'GS &lt; 50 OLS Model'!$B$9*G32</f>
        <v>11432682.975662941</v>
      </c>
      <c r="R32" s="23">
        <f>'GS &lt; 50 OLS Model'!$B$10*H32</f>
        <v>0</v>
      </c>
      <c r="S32" s="23">
        <f>'GS &lt; 50 OLS Model'!$B$11*I32</f>
        <v>0</v>
      </c>
      <c r="T32" s="23">
        <f>'GS &lt; 50 OLS Model'!$B$12*J32</f>
        <v>0</v>
      </c>
      <c r="U32" s="23">
        <f>'GS &lt; 50 OLS Model'!$B$13*K32</f>
        <v>0</v>
      </c>
      <c r="V32" s="23">
        <f t="shared" ca="1" si="2"/>
        <v>7874003.1949675186</v>
      </c>
    </row>
    <row r="33" spans="1:22" x14ac:dyDescent="0.25">
      <c r="A33" s="11">
        <f>'Monthly Data'!A33</f>
        <v>40756</v>
      </c>
      <c r="B33" s="6">
        <f t="shared" si="1"/>
        <v>2011</v>
      </c>
      <c r="C33">
        <f>'Monthly Data'!E33</f>
        <v>7808808.1944000004</v>
      </c>
      <c r="D33">
        <f t="shared" ca="1" si="4"/>
        <v>12.719999999999999</v>
      </c>
      <c r="E33">
        <f t="shared" ca="1" si="4"/>
        <v>77.22999999999999</v>
      </c>
      <c r="F33" s="30">
        <f>'Monthly Data'!S33</f>
        <v>32</v>
      </c>
      <c r="G33" s="30">
        <f>'Monthly Data'!U33</f>
        <v>3235</v>
      </c>
      <c r="H33" s="30">
        <f>'Monthly Data'!Y33</f>
        <v>0</v>
      </c>
      <c r="I33" s="30">
        <f>'Monthly Data'!AE33</f>
        <v>0</v>
      </c>
      <c r="J33" s="30">
        <f>'Monthly Data'!AF33</f>
        <v>0</v>
      </c>
      <c r="K33" s="30">
        <f>'Monthly Data'!AG33</f>
        <v>0</v>
      </c>
      <c r="M33" s="23">
        <f>'GS &lt; 50 OLS Model'!$B$5</f>
        <v>-4820550.2123392904</v>
      </c>
      <c r="N33" s="23">
        <f ca="1">'GS &lt; 50 OLS Model'!$B$6*D33</f>
        <v>41007.823502597181</v>
      </c>
      <c r="O33" s="23">
        <f ca="1">'GS &lt; 50 OLS Model'!$B$7*E33</f>
        <v>1174143.8121609988</v>
      </c>
      <c r="P33" s="23">
        <f>'GS &lt; 50 OLS Model'!$B$8*F33</f>
        <v>-234966.91112368385</v>
      </c>
      <c r="Q33" s="23">
        <f>'GS &lt; 50 OLS Model'!$B$9*G33</f>
        <v>11397451.286986014</v>
      </c>
      <c r="R33" s="23">
        <f>'GS &lt; 50 OLS Model'!$B$10*H33</f>
        <v>0</v>
      </c>
      <c r="S33" s="23">
        <f>'GS &lt; 50 OLS Model'!$B$11*I33</f>
        <v>0</v>
      </c>
      <c r="T33" s="23">
        <f>'GS &lt; 50 OLS Model'!$B$12*J33</f>
        <v>0</v>
      </c>
      <c r="U33" s="23">
        <f>'GS &lt; 50 OLS Model'!$B$13*K33</f>
        <v>0</v>
      </c>
      <c r="V33" s="23">
        <f t="shared" ca="1" si="2"/>
        <v>7557085.7991866358</v>
      </c>
    </row>
    <row r="34" spans="1:22" x14ac:dyDescent="0.25">
      <c r="A34" s="11">
        <f>'Monthly Data'!A34</f>
        <v>40787</v>
      </c>
      <c r="B34" s="6">
        <f t="shared" si="1"/>
        <v>2011</v>
      </c>
      <c r="C34">
        <f>'Monthly Data'!E34</f>
        <v>6954625.1506999992</v>
      </c>
      <c r="D34">
        <f t="shared" ca="1" si="4"/>
        <v>86.570000000000007</v>
      </c>
      <c r="E34">
        <f t="shared" ca="1" si="4"/>
        <v>19.899999999999999</v>
      </c>
      <c r="F34" s="30">
        <f>'Monthly Data'!S34</f>
        <v>33</v>
      </c>
      <c r="G34" s="30">
        <f>'Monthly Data'!U34</f>
        <v>3235</v>
      </c>
      <c r="H34" s="30">
        <f>'Monthly Data'!Y34</f>
        <v>0</v>
      </c>
      <c r="I34" s="30">
        <f>'Monthly Data'!AE34</f>
        <v>1</v>
      </c>
      <c r="J34" s="30">
        <f>'Monthly Data'!AF34</f>
        <v>0</v>
      </c>
      <c r="K34" s="30">
        <f>'Monthly Data'!AG34</f>
        <v>0</v>
      </c>
      <c r="M34" s="23">
        <f>'GS &lt; 50 OLS Model'!$B$5</f>
        <v>-4820550.2123392904</v>
      </c>
      <c r="N34" s="23">
        <f ca="1">'GS &lt; 50 OLS Model'!$B$6*D34</f>
        <v>279091.76734432695</v>
      </c>
      <c r="O34" s="23">
        <f ca="1">'GS &lt; 50 OLS Model'!$B$7*E34</f>
        <v>302543.85422768199</v>
      </c>
      <c r="P34" s="23">
        <f>'GS &lt; 50 OLS Model'!$B$8*F34</f>
        <v>-242309.62709629897</v>
      </c>
      <c r="Q34" s="23">
        <f>'GS &lt; 50 OLS Model'!$B$9*G34</f>
        <v>11397451.286986014</v>
      </c>
      <c r="R34" s="23">
        <f>'GS &lt; 50 OLS Model'!$B$10*H34</f>
        <v>0</v>
      </c>
      <c r="S34" s="23">
        <f>'GS &lt; 50 OLS Model'!$B$11*I34</f>
        <v>-173591.250541696</v>
      </c>
      <c r="T34" s="23">
        <f>'GS &lt; 50 OLS Model'!$B$12*J34</f>
        <v>0</v>
      </c>
      <c r="U34" s="23">
        <f>'GS &lt; 50 OLS Model'!$B$13*K34</f>
        <v>0</v>
      </c>
      <c r="V34" s="23">
        <f t="shared" ca="1" si="2"/>
        <v>6916227.0691224327</v>
      </c>
    </row>
    <row r="35" spans="1:22" x14ac:dyDescent="0.25">
      <c r="A35" s="11">
        <f>'Monthly Data'!A35</f>
        <v>40817</v>
      </c>
      <c r="B35" s="6">
        <f t="shared" si="1"/>
        <v>2011</v>
      </c>
      <c r="C35">
        <f>'Monthly Data'!E35</f>
        <v>6817049.963200001</v>
      </c>
      <c r="D35">
        <f t="shared" ca="1" si="4"/>
        <v>270.3</v>
      </c>
      <c r="E35">
        <f t="shared" ca="1" si="4"/>
        <v>1.21</v>
      </c>
      <c r="F35" s="30">
        <f>'Monthly Data'!S35</f>
        <v>34</v>
      </c>
      <c r="G35" s="30">
        <f>'Monthly Data'!U35</f>
        <v>3226</v>
      </c>
      <c r="H35" s="30">
        <f>'Monthly Data'!Y35</f>
        <v>0</v>
      </c>
      <c r="I35" s="30">
        <f>'Monthly Data'!AE35</f>
        <v>1</v>
      </c>
      <c r="J35" s="30">
        <f>'Monthly Data'!AF35</f>
        <v>0</v>
      </c>
      <c r="K35" s="30">
        <f>'Monthly Data'!AG35</f>
        <v>0</v>
      </c>
      <c r="M35" s="23">
        <f>'GS &lt; 50 OLS Model'!$B$5</f>
        <v>-4820550.2123392904</v>
      </c>
      <c r="N35" s="23">
        <f ca="1">'GS &lt; 50 OLS Model'!$B$6*D35</f>
        <v>871416.24943019019</v>
      </c>
      <c r="O35" s="23">
        <f ca="1">'GS &lt; 50 OLS Model'!$B$7*E35</f>
        <v>18395.882593743478</v>
      </c>
      <c r="P35" s="23">
        <f>'GS &lt; 50 OLS Model'!$B$8*F35</f>
        <v>-249652.34306891408</v>
      </c>
      <c r="Q35" s="23">
        <f>'GS &lt; 50 OLS Model'!$B$9*G35</f>
        <v>11365742.767176779</v>
      </c>
      <c r="R35" s="23">
        <f>'GS &lt; 50 OLS Model'!$B$10*H35</f>
        <v>0</v>
      </c>
      <c r="S35" s="23">
        <f>'GS &lt; 50 OLS Model'!$B$11*I35</f>
        <v>-173591.250541696</v>
      </c>
      <c r="T35" s="23">
        <f>'GS &lt; 50 OLS Model'!$B$12*J35</f>
        <v>0</v>
      </c>
      <c r="U35" s="23">
        <f>'GS &lt; 50 OLS Model'!$B$13*K35</f>
        <v>0</v>
      </c>
      <c r="V35" s="23">
        <f t="shared" ca="1" si="2"/>
        <v>7185352.3437925084</v>
      </c>
    </row>
    <row r="36" spans="1:22" x14ac:dyDescent="0.25">
      <c r="A36" s="11">
        <f>'Monthly Data'!A36</f>
        <v>40848</v>
      </c>
      <c r="B36" s="6">
        <f t="shared" si="1"/>
        <v>2011</v>
      </c>
      <c r="C36">
        <f>'Monthly Data'!E36</f>
        <v>7100784.7841999996</v>
      </c>
      <c r="D36">
        <f t="shared" ca="1" si="4"/>
        <v>444.05</v>
      </c>
      <c r="E36">
        <f t="shared" ca="1" si="4"/>
        <v>0</v>
      </c>
      <c r="F36" s="30">
        <f>'Monthly Data'!S36</f>
        <v>35</v>
      </c>
      <c r="G36" s="30">
        <f>'Monthly Data'!U36</f>
        <v>3224</v>
      </c>
      <c r="H36" s="30">
        <f>'Monthly Data'!Y36</f>
        <v>0</v>
      </c>
      <c r="I36" s="30">
        <f>'Monthly Data'!AE36</f>
        <v>1</v>
      </c>
      <c r="J36" s="30">
        <f>'Monthly Data'!AF36</f>
        <v>0</v>
      </c>
      <c r="K36" s="30">
        <f>'Monthly Data'!AG36</f>
        <v>0</v>
      </c>
      <c r="M36" s="23">
        <f>'GS &lt; 50 OLS Model'!$B$5</f>
        <v>-4820550.2123392904</v>
      </c>
      <c r="N36" s="23">
        <f ca="1">'GS &lt; 50 OLS Model'!$B$6*D36</f>
        <v>1431566.3542710911</v>
      </c>
      <c r="O36" s="23">
        <f ca="1">'GS &lt; 50 OLS Model'!$B$7*E36</f>
        <v>0</v>
      </c>
      <c r="P36" s="23">
        <f>'GS &lt; 50 OLS Model'!$B$8*F36</f>
        <v>-256995.05904152922</v>
      </c>
      <c r="Q36" s="23">
        <f>'GS &lt; 50 OLS Model'!$B$9*G36</f>
        <v>11358696.429441394</v>
      </c>
      <c r="R36" s="23">
        <f>'GS &lt; 50 OLS Model'!$B$10*H36</f>
        <v>0</v>
      </c>
      <c r="S36" s="23">
        <f>'GS &lt; 50 OLS Model'!$B$11*I36</f>
        <v>-173591.250541696</v>
      </c>
      <c r="T36" s="23">
        <f>'GS &lt; 50 OLS Model'!$B$12*J36</f>
        <v>0</v>
      </c>
      <c r="U36" s="23">
        <f>'GS &lt; 50 OLS Model'!$B$13*K36</f>
        <v>0</v>
      </c>
      <c r="V36" s="23">
        <f t="shared" ca="1" si="2"/>
        <v>7712717.5123316655</v>
      </c>
    </row>
    <row r="37" spans="1:22" x14ac:dyDescent="0.25">
      <c r="A37" s="11">
        <f>'Monthly Data'!A37</f>
        <v>40878</v>
      </c>
      <c r="B37" s="6">
        <f t="shared" si="1"/>
        <v>2011</v>
      </c>
      <c r="C37">
        <f>'Monthly Data'!E37</f>
        <v>7938769.4755000006</v>
      </c>
      <c r="D37">
        <f t="shared" ca="1" si="4"/>
        <v>684.01</v>
      </c>
      <c r="E37">
        <f t="shared" ca="1" si="4"/>
        <v>0</v>
      </c>
      <c r="F37" s="30">
        <f>'Monthly Data'!S37</f>
        <v>36</v>
      </c>
      <c r="G37" s="30">
        <f>'Monthly Data'!U37</f>
        <v>3225</v>
      </c>
      <c r="H37" s="30">
        <f>'Monthly Data'!Y37</f>
        <v>0</v>
      </c>
      <c r="I37" s="30">
        <f>'Monthly Data'!AE37</f>
        <v>0</v>
      </c>
      <c r="J37" s="30">
        <f>'Monthly Data'!AF37</f>
        <v>0</v>
      </c>
      <c r="K37" s="30">
        <f>'Monthly Data'!AG37</f>
        <v>0</v>
      </c>
      <c r="M37" s="23">
        <f>'GS &lt; 50 OLS Model'!$B$5</f>
        <v>-4820550.2123392904</v>
      </c>
      <c r="N37" s="23">
        <f ca="1">'GS &lt; 50 OLS Model'!$B$6*D37</f>
        <v>2205169.9177681995</v>
      </c>
      <c r="O37" s="23">
        <f ca="1">'GS &lt; 50 OLS Model'!$B$7*E37</f>
        <v>0</v>
      </c>
      <c r="P37" s="23">
        <f>'GS &lt; 50 OLS Model'!$B$8*F37</f>
        <v>-264337.77501414431</v>
      </c>
      <c r="Q37" s="23">
        <f>'GS &lt; 50 OLS Model'!$B$9*G37</f>
        <v>11362219.598309087</v>
      </c>
      <c r="R37" s="23">
        <f>'GS &lt; 50 OLS Model'!$B$10*H37</f>
        <v>0</v>
      </c>
      <c r="S37" s="23">
        <f>'GS &lt; 50 OLS Model'!$B$11*I37</f>
        <v>0</v>
      </c>
      <c r="T37" s="23">
        <f>'GS &lt; 50 OLS Model'!$B$12*J37</f>
        <v>0</v>
      </c>
      <c r="U37" s="23">
        <f>'GS &lt; 50 OLS Model'!$B$13*K37</f>
        <v>0</v>
      </c>
      <c r="V37" s="23">
        <f t="shared" ca="1" si="2"/>
        <v>8482501.5287238508</v>
      </c>
    </row>
    <row r="38" spans="1:22" x14ac:dyDescent="0.25">
      <c r="A38" s="11">
        <f>'Monthly Data'!A38</f>
        <v>40909</v>
      </c>
      <c r="B38" s="6">
        <f t="shared" si="1"/>
        <v>2012</v>
      </c>
      <c r="C38">
        <f>'Monthly Data'!E38</f>
        <v>8455236.2163999993</v>
      </c>
      <c r="D38">
        <f t="shared" ca="1" si="4"/>
        <v>784.29</v>
      </c>
      <c r="E38">
        <f t="shared" ca="1" si="4"/>
        <v>0</v>
      </c>
      <c r="F38" s="30">
        <f>'Monthly Data'!S38</f>
        <v>37</v>
      </c>
      <c r="G38" s="30">
        <f>'Monthly Data'!U38</f>
        <v>3226</v>
      </c>
      <c r="H38" s="30">
        <f>'Monthly Data'!Y38</f>
        <v>0</v>
      </c>
      <c r="I38" s="30">
        <f>'Monthly Data'!AE38</f>
        <v>0</v>
      </c>
      <c r="J38" s="30">
        <f>'Monthly Data'!AF38</f>
        <v>0</v>
      </c>
      <c r="K38" s="30">
        <f>'Monthly Data'!AG38</f>
        <v>0</v>
      </c>
      <c r="M38" s="23">
        <f>'GS &lt; 50 OLS Model'!$B$5</f>
        <v>-4820550.2123392904</v>
      </c>
      <c r="N38" s="23">
        <f ca="1">'GS &lt; 50 OLS Model'!$B$6*D38</f>
        <v>2528461.1552556558</v>
      </c>
      <c r="O38" s="23">
        <f ca="1">'GS &lt; 50 OLS Model'!$B$7*E38</f>
        <v>0</v>
      </c>
      <c r="P38" s="23">
        <f>'GS &lt; 50 OLS Model'!$B$8*F38</f>
        <v>-271680.49098675943</v>
      </c>
      <c r="Q38" s="23">
        <f>'GS &lt; 50 OLS Model'!$B$9*G38</f>
        <v>11365742.767176779</v>
      </c>
      <c r="R38" s="23">
        <f>'GS &lt; 50 OLS Model'!$B$10*H38</f>
        <v>0</v>
      </c>
      <c r="S38" s="23">
        <f>'GS &lt; 50 OLS Model'!$B$11*I38</f>
        <v>0</v>
      </c>
      <c r="T38" s="23">
        <f>'GS &lt; 50 OLS Model'!$B$12*J38</f>
        <v>0</v>
      </c>
      <c r="U38" s="23">
        <f>'GS &lt; 50 OLS Model'!$B$13*K38</f>
        <v>0</v>
      </c>
      <c r="V38" s="23">
        <f t="shared" ca="1" si="2"/>
        <v>8801973.2191063855</v>
      </c>
    </row>
    <row r="39" spans="1:22" x14ac:dyDescent="0.25">
      <c r="A39" s="11">
        <f>'Monthly Data'!A39</f>
        <v>40940</v>
      </c>
      <c r="B39" s="6">
        <f t="shared" si="1"/>
        <v>2012</v>
      </c>
      <c r="C39">
        <f>'Monthly Data'!E39</f>
        <v>7820724.9231000002</v>
      </c>
      <c r="D39">
        <f t="shared" ca="1" si="4"/>
        <v>682.50999999999988</v>
      </c>
      <c r="E39">
        <f t="shared" ca="1" si="4"/>
        <v>0</v>
      </c>
      <c r="F39" s="30">
        <f>'Monthly Data'!S39</f>
        <v>38</v>
      </c>
      <c r="G39" s="30">
        <f>'Monthly Data'!U39</f>
        <v>3225</v>
      </c>
      <c r="H39" s="30">
        <f>'Monthly Data'!Y39</f>
        <v>0</v>
      </c>
      <c r="I39" s="30">
        <f>'Monthly Data'!AE39</f>
        <v>0</v>
      </c>
      <c r="J39" s="30">
        <f>'Monthly Data'!AF39</f>
        <v>1</v>
      </c>
      <c r="K39" s="30">
        <f>'Monthly Data'!AG39</f>
        <v>0</v>
      </c>
      <c r="M39" s="23">
        <f>'GS &lt; 50 OLS Model'!$B$5</f>
        <v>-4820550.2123392904</v>
      </c>
      <c r="N39" s="23">
        <f ca="1">'GS &lt; 50 OLS Model'!$B$6*D39</f>
        <v>2200334.0895249685</v>
      </c>
      <c r="O39" s="23">
        <f ca="1">'GS &lt; 50 OLS Model'!$B$7*E39</f>
        <v>0</v>
      </c>
      <c r="P39" s="23">
        <f>'GS &lt; 50 OLS Model'!$B$8*F39</f>
        <v>-279023.2069593746</v>
      </c>
      <c r="Q39" s="23">
        <f>'GS &lt; 50 OLS Model'!$B$9*G39</f>
        <v>11362219.598309087</v>
      </c>
      <c r="R39" s="23">
        <f>'GS &lt; 50 OLS Model'!$B$10*H39</f>
        <v>0</v>
      </c>
      <c r="S39" s="23">
        <f>'GS &lt; 50 OLS Model'!$B$11*I39</f>
        <v>0</v>
      </c>
      <c r="T39" s="23">
        <f>'GS &lt; 50 OLS Model'!$B$12*J39</f>
        <v>-323195.56340474403</v>
      </c>
      <c r="U39" s="23">
        <f>'GS &lt; 50 OLS Model'!$B$13*K39</f>
        <v>0</v>
      </c>
      <c r="V39" s="23">
        <f t="shared" ca="1" si="2"/>
        <v>8462980.2685353905</v>
      </c>
    </row>
    <row r="40" spans="1:22" x14ac:dyDescent="0.25">
      <c r="A40" s="11">
        <f>'Monthly Data'!A40</f>
        <v>40969</v>
      </c>
      <c r="B40" s="6">
        <f t="shared" si="1"/>
        <v>2012</v>
      </c>
      <c r="C40">
        <f>'Monthly Data'!E40</f>
        <v>7522796.9426999995</v>
      </c>
      <c r="D40">
        <f t="shared" ca="1" si="4"/>
        <v>556.99</v>
      </c>
      <c r="E40">
        <f t="shared" ca="1" si="4"/>
        <v>0</v>
      </c>
      <c r="F40" s="30">
        <f>'Monthly Data'!S40</f>
        <v>39</v>
      </c>
      <c r="G40" s="30">
        <f>'Monthly Data'!U40</f>
        <v>3222</v>
      </c>
      <c r="H40" s="30">
        <f>'Monthly Data'!Y40</f>
        <v>0</v>
      </c>
      <c r="I40" s="30">
        <f>'Monthly Data'!AE40</f>
        <v>0</v>
      </c>
      <c r="J40" s="30">
        <f>'Monthly Data'!AF40</f>
        <v>0</v>
      </c>
      <c r="K40" s="30">
        <f>'Monthly Data'!AG40</f>
        <v>0</v>
      </c>
      <c r="M40" s="23">
        <f>'GS &lt; 50 OLS Model'!$B$5</f>
        <v>-4820550.2123392904</v>
      </c>
      <c r="N40" s="23">
        <f ca="1">'GS &lt; 50 OLS Model'!$B$6*D40</f>
        <v>1795671.9821314155</v>
      </c>
      <c r="O40" s="23">
        <f ca="1">'GS &lt; 50 OLS Model'!$B$7*E40</f>
        <v>0</v>
      </c>
      <c r="P40" s="23">
        <f>'GS &lt; 50 OLS Model'!$B$8*F40</f>
        <v>-286365.92293198971</v>
      </c>
      <c r="Q40" s="23">
        <f>'GS &lt; 50 OLS Model'!$B$9*G40</f>
        <v>11351650.09170601</v>
      </c>
      <c r="R40" s="23">
        <f>'GS &lt; 50 OLS Model'!$B$10*H40</f>
        <v>0</v>
      </c>
      <c r="S40" s="23">
        <f>'GS &lt; 50 OLS Model'!$B$11*I40</f>
        <v>0</v>
      </c>
      <c r="T40" s="23">
        <f>'GS &lt; 50 OLS Model'!$B$12*J40</f>
        <v>0</v>
      </c>
      <c r="U40" s="23">
        <f>'GS &lt; 50 OLS Model'!$B$13*K40</f>
        <v>0</v>
      </c>
      <c r="V40" s="23">
        <f t="shared" ca="1" si="2"/>
        <v>8040405.9385661446</v>
      </c>
    </row>
    <row r="41" spans="1:22" x14ac:dyDescent="0.25">
      <c r="A41" s="11">
        <f>'Monthly Data'!A41</f>
        <v>41000</v>
      </c>
      <c r="B41" s="6">
        <f t="shared" si="1"/>
        <v>2012</v>
      </c>
      <c r="C41">
        <f>'Monthly Data'!E41</f>
        <v>6733723.8155000005</v>
      </c>
      <c r="D41">
        <f t="shared" ca="1" si="4"/>
        <v>326.58999999999997</v>
      </c>
      <c r="E41">
        <f t="shared" ca="1" si="4"/>
        <v>0.39</v>
      </c>
      <c r="F41" s="30">
        <f>'Monthly Data'!S41</f>
        <v>40</v>
      </c>
      <c r="G41" s="30">
        <f>'Monthly Data'!U41</f>
        <v>3213</v>
      </c>
      <c r="H41" s="30">
        <f>'Monthly Data'!Y41</f>
        <v>0</v>
      </c>
      <c r="I41" s="30">
        <f>'Monthly Data'!AE41</f>
        <v>0</v>
      </c>
      <c r="J41" s="30">
        <f>'Monthly Data'!AF41</f>
        <v>0</v>
      </c>
      <c r="K41" s="30">
        <f>'Monthly Data'!AG41</f>
        <v>1</v>
      </c>
      <c r="M41" s="23">
        <f>'GS &lt; 50 OLS Model'!$B$5</f>
        <v>-4820550.2123392904</v>
      </c>
      <c r="N41" s="23">
        <f ca="1">'GS &lt; 50 OLS Model'!$B$6*D41</f>
        <v>1052888.7639711646</v>
      </c>
      <c r="O41" s="23">
        <f ca="1">'GS &lt; 50 OLS Model'!$B$7*E41</f>
        <v>5929.2514145123614</v>
      </c>
      <c r="P41" s="23">
        <f>'GS &lt; 50 OLS Model'!$B$8*F41</f>
        <v>-293708.63890460483</v>
      </c>
      <c r="Q41" s="23">
        <f>'GS &lt; 50 OLS Model'!$B$9*G41</f>
        <v>11319941.571896775</v>
      </c>
      <c r="R41" s="23">
        <f>'GS &lt; 50 OLS Model'!$B$10*H41</f>
        <v>0</v>
      </c>
      <c r="S41" s="23">
        <f>'GS &lt; 50 OLS Model'!$B$11*I41</f>
        <v>0</v>
      </c>
      <c r="T41" s="23">
        <f>'GS &lt; 50 OLS Model'!$B$12*J41</f>
        <v>0</v>
      </c>
      <c r="U41" s="23">
        <f>'GS &lt; 50 OLS Model'!$B$13*K41</f>
        <v>-425159.68663676298</v>
      </c>
      <c r="V41" s="23">
        <f t="shared" ca="1" si="2"/>
        <v>7264500.7360385563</v>
      </c>
    </row>
    <row r="42" spans="1:22" x14ac:dyDescent="0.25">
      <c r="A42" s="11">
        <f>'Monthly Data'!A42</f>
        <v>41030</v>
      </c>
      <c r="B42" s="6">
        <f t="shared" si="1"/>
        <v>2012</v>
      </c>
      <c r="C42">
        <f>'Monthly Data'!E42</f>
        <v>6797543.6818000004</v>
      </c>
      <c r="D42">
        <f t="shared" ca="1" si="4"/>
        <v>144.96</v>
      </c>
      <c r="E42">
        <f t="shared" ca="1" si="4"/>
        <v>8.67</v>
      </c>
      <c r="F42" s="30">
        <f>'Monthly Data'!S42</f>
        <v>41</v>
      </c>
      <c r="G42" s="30">
        <f>'Monthly Data'!U42</f>
        <v>3198</v>
      </c>
      <c r="H42" s="30">
        <f>'Monthly Data'!Y42</f>
        <v>0</v>
      </c>
      <c r="I42" s="30">
        <f>'Monthly Data'!AE42</f>
        <v>0</v>
      </c>
      <c r="J42" s="30">
        <f>'Monthly Data'!AF42</f>
        <v>0</v>
      </c>
      <c r="K42" s="30">
        <f>'Monthly Data'!AG42</f>
        <v>0</v>
      </c>
      <c r="M42" s="23">
        <f>'GS &lt; 50 OLS Model'!$B$5</f>
        <v>-4820550.2123392904</v>
      </c>
      <c r="N42" s="23">
        <f ca="1">'GS &lt; 50 OLS Model'!$B$6*D42</f>
        <v>467334.44142582454</v>
      </c>
      <c r="O42" s="23">
        <f ca="1">'GS &lt; 50 OLS Model'!$B$7*E42</f>
        <v>131811.81990723632</v>
      </c>
      <c r="P42" s="23">
        <f>'GS &lt; 50 OLS Model'!$B$8*F42</f>
        <v>-301051.35487721994</v>
      </c>
      <c r="Q42" s="23">
        <f>'GS &lt; 50 OLS Model'!$B$9*G42</f>
        <v>11267094.038881384</v>
      </c>
      <c r="R42" s="23">
        <f>'GS &lt; 50 OLS Model'!$B$10*H42</f>
        <v>0</v>
      </c>
      <c r="S42" s="23">
        <f>'GS &lt; 50 OLS Model'!$B$11*I42</f>
        <v>0</v>
      </c>
      <c r="T42" s="23">
        <f>'GS &lt; 50 OLS Model'!$B$12*J42</f>
        <v>0</v>
      </c>
      <c r="U42" s="23">
        <f>'GS &lt; 50 OLS Model'!$B$13*K42</f>
        <v>0</v>
      </c>
      <c r="V42" s="23">
        <f t="shared" ca="1" si="2"/>
        <v>6744638.7329979343</v>
      </c>
    </row>
    <row r="43" spans="1:22" x14ac:dyDescent="0.25">
      <c r="A43" s="11">
        <f>'Monthly Data'!A43</f>
        <v>41061</v>
      </c>
      <c r="B43" s="6">
        <f t="shared" si="1"/>
        <v>2012</v>
      </c>
      <c r="C43">
        <f>'Monthly Data'!E43</f>
        <v>7173898.5476000002</v>
      </c>
      <c r="D43">
        <f t="shared" ca="1" si="4"/>
        <v>41.510000000000005</v>
      </c>
      <c r="E43">
        <f t="shared" ca="1" si="4"/>
        <v>44.41</v>
      </c>
      <c r="F43" s="30">
        <f>'Monthly Data'!S43</f>
        <v>42</v>
      </c>
      <c r="G43" s="30">
        <f>'Monthly Data'!U43</f>
        <v>3201</v>
      </c>
      <c r="H43" s="30">
        <f>'Monthly Data'!Y43</f>
        <v>0</v>
      </c>
      <c r="I43" s="30">
        <f>'Monthly Data'!AE43</f>
        <v>0</v>
      </c>
      <c r="J43" s="30">
        <f>'Monthly Data'!AF43</f>
        <v>0</v>
      </c>
      <c r="K43" s="30">
        <f>'Monthly Data'!AG43</f>
        <v>0</v>
      </c>
      <c r="M43" s="23">
        <f>'GS &lt; 50 OLS Model'!$B$5</f>
        <v>-4820550.2123392904</v>
      </c>
      <c r="N43" s="23">
        <f ca="1">'GS &lt; 50 OLS Model'!$B$6*D43</f>
        <v>133823.4869176737</v>
      </c>
      <c r="O43" s="23">
        <f ca="1">'GS &lt; 50 OLS Model'!$B$7*E43</f>
        <v>675174.50081665104</v>
      </c>
      <c r="P43" s="23">
        <f>'GS &lt; 50 OLS Model'!$B$8*F43</f>
        <v>-308394.07084983506</v>
      </c>
      <c r="Q43" s="23">
        <f>'GS &lt; 50 OLS Model'!$B$9*G43</f>
        <v>11277663.545484461</v>
      </c>
      <c r="R43" s="23">
        <f>'GS &lt; 50 OLS Model'!$B$10*H43</f>
        <v>0</v>
      </c>
      <c r="S43" s="23">
        <f>'GS &lt; 50 OLS Model'!$B$11*I43</f>
        <v>0</v>
      </c>
      <c r="T43" s="23">
        <f>'GS &lt; 50 OLS Model'!$B$12*J43</f>
        <v>0</v>
      </c>
      <c r="U43" s="23">
        <f>'GS &lt; 50 OLS Model'!$B$13*K43</f>
        <v>0</v>
      </c>
      <c r="V43" s="23">
        <f t="shared" ca="1" si="2"/>
        <v>6957717.2500296598</v>
      </c>
    </row>
    <row r="44" spans="1:22" x14ac:dyDescent="0.25">
      <c r="A44" s="11">
        <f>'Monthly Data'!A44</f>
        <v>41091</v>
      </c>
      <c r="B44" s="6">
        <f t="shared" si="1"/>
        <v>2012</v>
      </c>
      <c r="C44">
        <f>'Monthly Data'!E44</f>
        <v>7895965.2410000004</v>
      </c>
      <c r="D44">
        <f t="shared" ca="1" si="4"/>
        <v>5.01</v>
      </c>
      <c r="E44">
        <f t="shared" ca="1" si="4"/>
        <v>96.909999999999982</v>
      </c>
      <c r="F44" s="30">
        <f>'Monthly Data'!S44</f>
        <v>43</v>
      </c>
      <c r="G44" s="30">
        <f>'Monthly Data'!U44</f>
        <v>3197</v>
      </c>
      <c r="H44" s="30">
        <f>'Monthly Data'!Y44</f>
        <v>0</v>
      </c>
      <c r="I44" s="30">
        <f>'Monthly Data'!AE44</f>
        <v>0</v>
      </c>
      <c r="J44" s="30">
        <f>'Monthly Data'!AF44</f>
        <v>0</v>
      </c>
      <c r="K44" s="30">
        <f>'Monthly Data'!AG44</f>
        <v>0</v>
      </c>
      <c r="M44" s="23">
        <f>'GS &lt; 50 OLS Model'!$B$5</f>
        <v>-4820550.2123392904</v>
      </c>
      <c r="N44" s="23">
        <f ca="1">'GS &lt; 50 OLS Model'!$B$6*D44</f>
        <v>16151.666332390871</v>
      </c>
      <c r="O44" s="23">
        <f ca="1">'GS &lt; 50 OLS Model'!$B$7*E44</f>
        <v>1473342.9604625455</v>
      </c>
      <c r="P44" s="23">
        <f>'GS &lt; 50 OLS Model'!$B$8*F44</f>
        <v>-315736.78682245017</v>
      </c>
      <c r="Q44" s="23">
        <f>'GS &lt; 50 OLS Model'!$B$9*G44</f>
        <v>11263570.87001369</v>
      </c>
      <c r="R44" s="23">
        <f>'GS &lt; 50 OLS Model'!$B$10*H44</f>
        <v>0</v>
      </c>
      <c r="S44" s="23">
        <f>'GS &lt; 50 OLS Model'!$B$11*I44</f>
        <v>0</v>
      </c>
      <c r="T44" s="23">
        <f>'GS &lt; 50 OLS Model'!$B$12*J44</f>
        <v>0</v>
      </c>
      <c r="U44" s="23">
        <f>'GS &lt; 50 OLS Model'!$B$13*K44</f>
        <v>0</v>
      </c>
      <c r="V44" s="23">
        <f t="shared" ca="1" si="2"/>
        <v>7616778.497646885</v>
      </c>
    </row>
    <row r="45" spans="1:22" x14ac:dyDescent="0.25">
      <c r="A45" s="11">
        <f>'Monthly Data'!A45</f>
        <v>41122</v>
      </c>
      <c r="B45" s="6">
        <f t="shared" si="1"/>
        <v>2012</v>
      </c>
      <c r="C45">
        <f>'Monthly Data'!E45</f>
        <v>7673572.2456</v>
      </c>
      <c r="D45">
        <f t="shared" ca="1" si="4"/>
        <v>12.719999999999999</v>
      </c>
      <c r="E45">
        <f t="shared" ca="1" si="4"/>
        <v>77.22999999999999</v>
      </c>
      <c r="F45" s="30">
        <f>'Monthly Data'!S45</f>
        <v>44</v>
      </c>
      <c r="G45" s="30">
        <f>'Monthly Data'!U45</f>
        <v>3194</v>
      </c>
      <c r="H45" s="30">
        <f>'Monthly Data'!Y45</f>
        <v>0</v>
      </c>
      <c r="I45" s="30">
        <f>'Monthly Data'!AE45</f>
        <v>0</v>
      </c>
      <c r="J45" s="30">
        <f>'Monthly Data'!AF45</f>
        <v>0</v>
      </c>
      <c r="K45" s="30">
        <f>'Monthly Data'!AG45</f>
        <v>0</v>
      </c>
      <c r="M45" s="23">
        <f>'GS &lt; 50 OLS Model'!$B$5</f>
        <v>-4820550.2123392904</v>
      </c>
      <c r="N45" s="23">
        <f ca="1">'GS &lt; 50 OLS Model'!$B$6*D45</f>
        <v>41007.823502597181</v>
      </c>
      <c r="O45" s="23">
        <f ca="1">'GS &lt; 50 OLS Model'!$B$7*E45</f>
        <v>1174143.8121609988</v>
      </c>
      <c r="P45" s="23">
        <f>'GS &lt; 50 OLS Model'!$B$8*F45</f>
        <v>-323079.50279506529</v>
      </c>
      <c r="Q45" s="23">
        <f>'GS &lt; 50 OLS Model'!$B$9*G45</f>
        <v>11253001.363410613</v>
      </c>
      <c r="R45" s="23">
        <f>'GS &lt; 50 OLS Model'!$B$10*H45</f>
        <v>0</v>
      </c>
      <c r="S45" s="23">
        <f>'GS &lt; 50 OLS Model'!$B$11*I45</f>
        <v>0</v>
      </c>
      <c r="T45" s="23">
        <f>'GS &lt; 50 OLS Model'!$B$12*J45</f>
        <v>0</v>
      </c>
      <c r="U45" s="23">
        <f>'GS &lt; 50 OLS Model'!$B$13*K45</f>
        <v>0</v>
      </c>
      <c r="V45" s="23">
        <f t="shared" ca="1" si="2"/>
        <v>7324523.2839398533</v>
      </c>
    </row>
    <row r="46" spans="1:22" x14ac:dyDescent="0.25">
      <c r="A46" s="11">
        <f>'Monthly Data'!A46</f>
        <v>41153</v>
      </c>
      <c r="B46" s="6">
        <f t="shared" si="1"/>
        <v>2012</v>
      </c>
      <c r="C46">
        <f>'Monthly Data'!E46</f>
        <v>6803174.4414999997</v>
      </c>
      <c r="D46">
        <f t="shared" ca="1" si="4"/>
        <v>86.570000000000007</v>
      </c>
      <c r="E46">
        <f t="shared" ca="1" si="4"/>
        <v>19.899999999999999</v>
      </c>
      <c r="F46" s="30">
        <f>'Monthly Data'!S46</f>
        <v>45</v>
      </c>
      <c r="G46" s="30">
        <f>'Monthly Data'!U46</f>
        <v>3166</v>
      </c>
      <c r="H46" s="30">
        <f>'Monthly Data'!Y46</f>
        <v>0</v>
      </c>
      <c r="I46" s="30">
        <f>'Monthly Data'!AE46</f>
        <v>1</v>
      </c>
      <c r="J46" s="30">
        <f>'Monthly Data'!AF46</f>
        <v>0</v>
      </c>
      <c r="K46" s="30">
        <f>'Monthly Data'!AG46</f>
        <v>0</v>
      </c>
      <c r="M46" s="23">
        <f>'GS &lt; 50 OLS Model'!$B$5</f>
        <v>-4820550.2123392904</v>
      </c>
      <c r="N46" s="23">
        <f ca="1">'GS &lt; 50 OLS Model'!$B$6*D46</f>
        <v>279091.76734432695</v>
      </c>
      <c r="O46" s="23">
        <f ca="1">'GS &lt; 50 OLS Model'!$B$7*E46</f>
        <v>302543.85422768199</v>
      </c>
      <c r="P46" s="23">
        <f>'GS &lt; 50 OLS Model'!$B$8*F46</f>
        <v>-330422.2187676804</v>
      </c>
      <c r="Q46" s="23">
        <f>'GS &lt; 50 OLS Model'!$B$9*G46</f>
        <v>11154352.635115216</v>
      </c>
      <c r="R46" s="23">
        <f>'GS &lt; 50 OLS Model'!$B$10*H46</f>
        <v>0</v>
      </c>
      <c r="S46" s="23">
        <f>'GS &lt; 50 OLS Model'!$B$11*I46</f>
        <v>-173591.250541696</v>
      </c>
      <c r="T46" s="23">
        <f>'GS &lt; 50 OLS Model'!$B$12*J46</f>
        <v>0</v>
      </c>
      <c r="U46" s="23">
        <f>'GS &lt; 50 OLS Model'!$B$13*K46</f>
        <v>0</v>
      </c>
      <c r="V46" s="23">
        <f t="shared" ca="1" si="2"/>
        <v>6585015.8255802533</v>
      </c>
    </row>
    <row r="47" spans="1:22" x14ac:dyDescent="0.25">
      <c r="A47" s="11">
        <f>'Monthly Data'!A47</f>
        <v>41183</v>
      </c>
      <c r="B47" s="6">
        <f t="shared" si="1"/>
        <v>2012</v>
      </c>
      <c r="C47">
        <f>'Monthly Data'!E47</f>
        <v>6614485.8804000001</v>
      </c>
      <c r="D47">
        <f t="shared" ref="D47:E62" ca="1" si="5">D35</f>
        <v>270.3</v>
      </c>
      <c r="E47">
        <f t="shared" ca="1" si="5"/>
        <v>1.21</v>
      </c>
      <c r="F47" s="30">
        <f>'Monthly Data'!S47</f>
        <v>46</v>
      </c>
      <c r="G47" s="30">
        <f>'Monthly Data'!U47</f>
        <v>3163</v>
      </c>
      <c r="H47" s="30">
        <f>'Monthly Data'!Y47</f>
        <v>0</v>
      </c>
      <c r="I47" s="30">
        <f>'Monthly Data'!AE47</f>
        <v>1</v>
      </c>
      <c r="J47" s="30">
        <f>'Monthly Data'!AF47</f>
        <v>0</v>
      </c>
      <c r="K47" s="30">
        <f>'Monthly Data'!AG47</f>
        <v>0</v>
      </c>
      <c r="M47" s="23">
        <f>'GS &lt; 50 OLS Model'!$B$5</f>
        <v>-4820550.2123392904</v>
      </c>
      <c r="N47" s="23">
        <f ca="1">'GS &lt; 50 OLS Model'!$B$6*D47</f>
        <v>871416.24943019019</v>
      </c>
      <c r="O47" s="23">
        <f ca="1">'GS &lt; 50 OLS Model'!$B$7*E47</f>
        <v>18395.882593743478</v>
      </c>
      <c r="P47" s="23">
        <f>'GS &lt; 50 OLS Model'!$B$8*F47</f>
        <v>-337764.93474029552</v>
      </c>
      <c r="Q47" s="23">
        <f>'GS &lt; 50 OLS Model'!$B$9*G47</f>
        <v>11143783.128512137</v>
      </c>
      <c r="R47" s="23">
        <f>'GS &lt; 50 OLS Model'!$B$10*H47</f>
        <v>0</v>
      </c>
      <c r="S47" s="23">
        <f>'GS &lt; 50 OLS Model'!$B$11*I47</f>
        <v>-173591.250541696</v>
      </c>
      <c r="T47" s="23">
        <f>'GS &lt; 50 OLS Model'!$B$12*J47</f>
        <v>0</v>
      </c>
      <c r="U47" s="23">
        <f>'GS &lt; 50 OLS Model'!$B$13*K47</f>
        <v>0</v>
      </c>
      <c r="V47" s="23">
        <f t="shared" ca="1" si="2"/>
        <v>6875280.1134564849</v>
      </c>
    </row>
    <row r="48" spans="1:22" x14ac:dyDescent="0.25">
      <c r="A48" s="11">
        <f>'Monthly Data'!A48</f>
        <v>41214</v>
      </c>
      <c r="B48" s="6">
        <f t="shared" si="1"/>
        <v>2012</v>
      </c>
      <c r="C48">
        <f>'Monthly Data'!E48</f>
        <v>7233949.3405999998</v>
      </c>
      <c r="D48">
        <f t="shared" ca="1" si="5"/>
        <v>444.05</v>
      </c>
      <c r="E48">
        <f t="shared" ca="1" si="5"/>
        <v>0</v>
      </c>
      <c r="F48" s="30">
        <f>'Monthly Data'!S48</f>
        <v>47</v>
      </c>
      <c r="G48" s="30">
        <f>'Monthly Data'!U48</f>
        <v>3177</v>
      </c>
      <c r="H48" s="30">
        <f>'Monthly Data'!Y48</f>
        <v>0</v>
      </c>
      <c r="I48" s="30">
        <f>'Monthly Data'!AE48</f>
        <v>1</v>
      </c>
      <c r="J48" s="30">
        <f>'Monthly Data'!AF48</f>
        <v>0</v>
      </c>
      <c r="K48" s="30">
        <f>'Monthly Data'!AG48</f>
        <v>0</v>
      </c>
      <c r="M48" s="23">
        <f>'GS &lt; 50 OLS Model'!$B$5</f>
        <v>-4820550.2123392904</v>
      </c>
      <c r="N48" s="23">
        <f ca="1">'GS &lt; 50 OLS Model'!$B$6*D48</f>
        <v>1431566.3542710911</v>
      </c>
      <c r="O48" s="23">
        <f ca="1">'GS &lt; 50 OLS Model'!$B$7*E48</f>
        <v>0</v>
      </c>
      <c r="P48" s="23">
        <f>'GS &lt; 50 OLS Model'!$B$8*F48</f>
        <v>-345107.65071291063</v>
      </c>
      <c r="Q48" s="23">
        <f>'GS &lt; 50 OLS Model'!$B$9*G48</f>
        <v>11193107.492659835</v>
      </c>
      <c r="R48" s="23">
        <f>'GS &lt; 50 OLS Model'!$B$10*H48</f>
        <v>0</v>
      </c>
      <c r="S48" s="23">
        <f>'GS &lt; 50 OLS Model'!$B$11*I48</f>
        <v>-173591.250541696</v>
      </c>
      <c r="T48" s="23">
        <f>'GS &lt; 50 OLS Model'!$B$12*J48</f>
        <v>0</v>
      </c>
      <c r="U48" s="23">
        <f>'GS &lt; 50 OLS Model'!$B$13*K48</f>
        <v>0</v>
      </c>
      <c r="V48" s="23">
        <f t="shared" ca="1" si="2"/>
        <v>7459015.9838787252</v>
      </c>
    </row>
    <row r="49" spans="1:22" x14ac:dyDescent="0.25">
      <c r="A49" s="11">
        <f>'Monthly Data'!A49</f>
        <v>41244</v>
      </c>
      <c r="B49" s="6">
        <f t="shared" si="1"/>
        <v>2012</v>
      </c>
      <c r="C49">
        <f>'Monthly Data'!E49</f>
        <v>7883569.6208999995</v>
      </c>
      <c r="D49">
        <f t="shared" ca="1" si="5"/>
        <v>684.01</v>
      </c>
      <c r="E49">
        <f t="shared" ca="1" si="5"/>
        <v>0</v>
      </c>
      <c r="F49" s="30">
        <f>'Monthly Data'!S49</f>
        <v>48</v>
      </c>
      <c r="G49" s="30">
        <f>'Monthly Data'!U49</f>
        <v>3180</v>
      </c>
      <c r="H49" s="30">
        <f>'Monthly Data'!Y49</f>
        <v>0</v>
      </c>
      <c r="I49" s="30">
        <f>'Monthly Data'!AE49</f>
        <v>0</v>
      </c>
      <c r="J49" s="30">
        <f>'Monthly Data'!AF49</f>
        <v>0</v>
      </c>
      <c r="K49" s="30">
        <f>'Monthly Data'!AG49</f>
        <v>0</v>
      </c>
      <c r="M49" s="23">
        <f>'GS &lt; 50 OLS Model'!$B$5</f>
        <v>-4820550.2123392904</v>
      </c>
      <c r="N49" s="23">
        <f ca="1">'GS &lt; 50 OLS Model'!$B$6*D49</f>
        <v>2205169.9177681995</v>
      </c>
      <c r="O49" s="23">
        <f ca="1">'GS &lt; 50 OLS Model'!$B$7*E49</f>
        <v>0</v>
      </c>
      <c r="P49" s="23">
        <f>'GS &lt; 50 OLS Model'!$B$8*F49</f>
        <v>-352450.36668552575</v>
      </c>
      <c r="Q49" s="23">
        <f>'GS &lt; 50 OLS Model'!$B$9*G49</f>
        <v>11203676.999262914</v>
      </c>
      <c r="R49" s="23">
        <f>'GS &lt; 50 OLS Model'!$B$10*H49</f>
        <v>0</v>
      </c>
      <c r="S49" s="23">
        <f>'GS &lt; 50 OLS Model'!$B$11*I49</f>
        <v>0</v>
      </c>
      <c r="T49" s="23">
        <f>'GS &lt; 50 OLS Model'!$B$12*J49</f>
        <v>0</v>
      </c>
      <c r="U49" s="23">
        <f>'GS &lt; 50 OLS Model'!$B$13*K49</f>
        <v>0</v>
      </c>
      <c r="V49" s="23">
        <f t="shared" ca="1" si="2"/>
        <v>8235846.3380062971</v>
      </c>
    </row>
    <row r="50" spans="1:22" x14ac:dyDescent="0.25">
      <c r="A50" s="11">
        <f>'Monthly Data'!A50</f>
        <v>41275</v>
      </c>
      <c r="B50" s="6">
        <f t="shared" si="1"/>
        <v>2013</v>
      </c>
      <c r="C50">
        <f>'Monthly Data'!E50</f>
        <v>8494433.2956000008</v>
      </c>
      <c r="D50">
        <f t="shared" ca="1" si="5"/>
        <v>784.29</v>
      </c>
      <c r="E50">
        <f t="shared" ca="1" si="5"/>
        <v>0</v>
      </c>
      <c r="F50" s="30">
        <f>'Monthly Data'!S50</f>
        <v>49</v>
      </c>
      <c r="G50" s="30">
        <f>'Monthly Data'!U50</f>
        <v>3175</v>
      </c>
      <c r="H50" s="30">
        <f>'Monthly Data'!Y50</f>
        <v>0</v>
      </c>
      <c r="I50" s="30">
        <f>'Monthly Data'!AE50</f>
        <v>0</v>
      </c>
      <c r="J50" s="30">
        <f>'Monthly Data'!AF50</f>
        <v>0</v>
      </c>
      <c r="K50" s="30">
        <f>'Monthly Data'!AG50</f>
        <v>0</v>
      </c>
      <c r="M50" s="23">
        <f>'GS &lt; 50 OLS Model'!$B$5</f>
        <v>-4820550.2123392904</v>
      </c>
      <c r="N50" s="23">
        <f ca="1">'GS &lt; 50 OLS Model'!$B$6*D50</f>
        <v>2528461.1552556558</v>
      </c>
      <c r="O50" s="23">
        <f ca="1">'GS &lt; 50 OLS Model'!$B$7*E50</f>
        <v>0</v>
      </c>
      <c r="P50" s="23">
        <f>'GS &lt; 50 OLS Model'!$B$8*F50</f>
        <v>-359793.08265814092</v>
      </c>
      <c r="Q50" s="23">
        <f>'GS &lt; 50 OLS Model'!$B$9*G50</f>
        <v>11186061.15492445</v>
      </c>
      <c r="R50" s="23">
        <f>'GS &lt; 50 OLS Model'!$B$10*H50</f>
        <v>0</v>
      </c>
      <c r="S50" s="23">
        <f>'GS &lt; 50 OLS Model'!$B$11*I50</f>
        <v>0</v>
      </c>
      <c r="T50" s="23">
        <f>'GS &lt; 50 OLS Model'!$B$12*J50</f>
        <v>0</v>
      </c>
      <c r="U50" s="23">
        <f>'GS &lt; 50 OLS Model'!$B$13*K50</f>
        <v>0</v>
      </c>
      <c r="V50" s="23">
        <f t="shared" ca="1" si="2"/>
        <v>8534179.0151826739</v>
      </c>
    </row>
    <row r="51" spans="1:22" x14ac:dyDescent="0.25">
      <c r="A51" s="11">
        <f>'Monthly Data'!A51</f>
        <v>41306</v>
      </c>
      <c r="B51" s="6">
        <f t="shared" si="1"/>
        <v>2013</v>
      </c>
      <c r="C51">
        <f>'Monthly Data'!E51</f>
        <v>7732556.6048999997</v>
      </c>
      <c r="D51">
        <f t="shared" ca="1" si="5"/>
        <v>682.50999999999988</v>
      </c>
      <c r="E51">
        <f t="shared" ca="1" si="5"/>
        <v>0</v>
      </c>
      <c r="F51" s="30">
        <f>'Monthly Data'!S51</f>
        <v>50</v>
      </c>
      <c r="G51" s="30">
        <f>'Monthly Data'!U51</f>
        <v>3183</v>
      </c>
      <c r="H51" s="30">
        <f>'Monthly Data'!Y51</f>
        <v>0</v>
      </c>
      <c r="I51" s="30">
        <f>'Monthly Data'!AE51</f>
        <v>0</v>
      </c>
      <c r="J51" s="30">
        <f>'Monthly Data'!AF51</f>
        <v>1</v>
      </c>
      <c r="K51" s="30">
        <f>'Monthly Data'!AG51</f>
        <v>0</v>
      </c>
      <c r="M51" s="23">
        <f>'GS &lt; 50 OLS Model'!$B$5</f>
        <v>-4820550.2123392904</v>
      </c>
      <c r="N51" s="23">
        <f ca="1">'GS &lt; 50 OLS Model'!$B$6*D51</f>
        <v>2200334.0895249685</v>
      </c>
      <c r="O51" s="23">
        <f ca="1">'GS &lt; 50 OLS Model'!$B$7*E51</f>
        <v>0</v>
      </c>
      <c r="P51" s="23">
        <f>'GS &lt; 50 OLS Model'!$B$8*F51</f>
        <v>-367135.79863075603</v>
      </c>
      <c r="Q51" s="23">
        <f>'GS &lt; 50 OLS Model'!$B$9*G51</f>
        <v>11214246.505865991</v>
      </c>
      <c r="R51" s="23">
        <f>'GS &lt; 50 OLS Model'!$B$10*H51</f>
        <v>0</v>
      </c>
      <c r="S51" s="23">
        <f>'GS &lt; 50 OLS Model'!$B$11*I51</f>
        <v>0</v>
      </c>
      <c r="T51" s="23">
        <f>'GS &lt; 50 OLS Model'!$B$12*J51</f>
        <v>-323195.56340474403</v>
      </c>
      <c r="U51" s="23">
        <f>'GS &lt; 50 OLS Model'!$B$13*K51</f>
        <v>0</v>
      </c>
      <c r="V51" s="23">
        <f t="shared" ca="1" si="2"/>
        <v>8226894.5844209138</v>
      </c>
    </row>
    <row r="52" spans="1:22" x14ac:dyDescent="0.25">
      <c r="A52" s="11">
        <f>'Monthly Data'!A52</f>
        <v>41334</v>
      </c>
      <c r="B52" s="6">
        <f t="shared" si="1"/>
        <v>2013</v>
      </c>
      <c r="C52">
        <f>'Monthly Data'!E52</f>
        <v>7818446.9395999992</v>
      </c>
      <c r="D52">
        <f t="shared" ca="1" si="5"/>
        <v>556.99</v>
      </c>
      <c r="E52">
        <f t="shared" ca="1" si="5"/>
        <v>0</v>
      </c>
      <c r="F52" s="30">
        <f>'Monthly Data'!S52</f>
        <v>51</v>
      </c>
      <c r="G52" s="30">
        <f>'Monthly Data'!U52</f>
        <v>3179</v>
      </c>
      <c r="H52" s="30">
        <f>'Monthly Data'!Y52</f>
        <v>0</v>
      </c>
      <c r="I52" s="30">
        <f>'Monthly Data'!AE52</f>
        <v>0</v>
      </c>
      <c r="J52" s="30">
        <f>'Monthly Data'!AF52</f>
        <v>0</v>
      </c>
      <c r="K52" s="30">
        <f>'Monthly Data'!AG52</f>
        <v>0</v>
      </c>
      <c r="M52" s="23">
        <f>'GS &lt; 50 OLS Model'!$B$5</f>
        <v>-4820550.2123392904</v>
      </c>
      <c r="N52" s="23">
        <f ca="1">'GS &lt; 50 OLS Model'!$B$6*D52</f>
        <v>1795671.9821314155</v>
      </c>
      <c r="O52" s="23">
        <f ca="1">'GS &lt; 50 OLS Model'!$B$7*E52</f>
        <v>0</v>
      </c>
      <c r="P52" s="23">
        <f>'GS &lt; 50 OLS Model'!$B$8*F52</f>
        <v>-374478.51460337115</v>
      </c>
      <c r="Q52" s="23">
        <f>'GS &lt; 50 OLS Model'!$B$9*G52</f>
        <v>11200153.830395222</v>
      </c>
      <c r="R52" s="23">
        <f>'GS &lt; 50 OLS Model'!$B$10*H52</f>
        <v>0</v>
      </c>
      <c r="S52" s="23">
        <f>'GS &lt; 50 OLS Model'!$B$11*I52</f>
        <v>0</v>
      </c>
      <c r="T52" s="23">
        <f>'GS &lt; 50 OLS Model'!$B$12*J52</f>
        <v>0</v>
      </c>
      <c r="U52" s="23">
        <f>'GS &lt; 50 OLS Model'!$B$13*K52</f>
        <v>0</v>
      </c>
      <c r="V52" s="23">
        <f t="shared" ca="1" si="2"/>
        <v>7800797.0855839755</v>
      </c>
    </row>
    <row r="53" spans="1:22" x14ac:dyDescent="0.25">
      <c r="A53" s="11">
        <f>'Monthly Data'!A53</f>
        <v>41365</v>
      </c>
      <c r="B53" s="6">
        <f t="shared" si="1"/>
        <v>2013</v>
      </c>
      <c r="C53">
        <f>'Monthly Data'!E53</f>
        <v>6860921.9294999996</v>
      </c>
      <c r="D53">
        <f t="shared" ca="1" si="5"/>
        <v>326.58999999999997</v>
      </c>
      <c r="E53">
        <f t="shared" ca="1" si="5"/>
        <v>0.39</v>
      </c>
      <c r="F53" s="30">
        <f>'Monthly Data'!S53</f>
        <v>52</v>
      </c>
      <c r="G53" s="30">
        <f>'Monthly Data'!U53</f>
        <v>3182</v>
      </c>
      <c r="H53" s="30">
        <f>'Monthly Data'!Y53</f>
        <v>0</v>
      </c>
      <c r="I53" s="30">
        <f>'Monthly Data'!AE53</f>
        <v>0</v>
      </c>
      <c r="J53" s="30">
        <f>'Monthly Data'!AF53</f>
        <v>0</v>
      </c>
      <c r="K53" s="30">
        <f>'Monthly Data'!AG53</f>
        <v>1</v>
      </c>
      <c r="M53" s="23">
        <f>'GS &lt; 50 OLS Model'!$B$5</f>
        <v>-4820550.2123392904</v>
      </c>
      <c r="N53" s="23">
        <f ca="1">'GS &lt; 50 OLS Model'!$B$6*D53</f>
        <v>1052888.7639711646</v>
      </c>
      <c r="O53" s="23">
        <f ca="1">'GS &lt; 50 OLS Model'!$B$7*E53</f>
        <v>5929.2514145123614</v>
      </c>
      <c r="P53" s="23">
        <f>'GS &lt; 50 OLS Model'!$B$8*F53</f>
        <v>-381821.23057598626</v>
      </c>
      <c r="Q53" s="23">
        <f>'GS &lt; 50 OLS Model'!$B$9*G53</f>
        <v>11210723.336998299</v>
      </c>
      <c r="R53" s="23">
        <f>'GS &lt; 50 OLS Model'!$B$10*H53</f>
        <v>0</v>
      </c>
      <c r="S53" s="23">
        <f>'GS &lt; 50 OLS Model'!$B$11*I53</f>
        <v>0</v>
      </c>
      <c r="T53" s="23">
        <f>'GS &lt; 50 OLS Model'!$B$12*J53</f>
        <v>0</v>
      </c>
      <c r="U53" s="23">
        <f>'GS &lt; 50 OLS Model'!$B$13*K53</f>
        <v>-425159.68663676298</v>
      </c>
      <c r="V53" s="23">
        <f t="shared" ca="1" si="2"/>
        <v>7067169.9094686992</v>
      </c>
    </row>
    <row r="54" spans="1:22" x14ac:dyDescent="0.25">
      <c r="A54" s="11">
        <f>'Monthly Data'!A54</f>
        <v>41395</v>
      </c>
      <c r="B54" s="6">
        <f t="shared" si="1"/>
        <v>2013</v>
      </c>
      <c r="C54">
        <f>'Monthly Data'!E54</f>
        <v>6349928.6646999987</v>
      </c>
      <c r="D54">
        <f t="shared" ca="1" si="5"/>
        <v>144.96</v>
      </c>
      <c r="E54">
        <f t="shared" ca="1" si="5"/>
        <v>8.67</v>
      </c>
      <c r="F54" s="30">
        <f>'Monthly Data'!S54</f>
        <v>53</v>
      </c>
      <c r="G54" s="30">
        <f>'Monthly Data'!U54</f>
        <v>3169</v>
      </c>
      <c r="H54" s="30">
        <f>'Monthly Data'!Y54</f>
        <v>0</v>
      </c>
      <c r="I54" s="30">
        <f>'Monthly Data'!AE54</f>
        <v>0</v>
      </c>
      <c r="J54" s="30">
        <f>'Monthly Data'!AF54</f>
        <v>0</v>
      </c>
      <c r="K54" s="30">
        <f>'Monthly Data'!AG54</f>
        <v>0</v>
      </c>
      <c r="M54" s="23">
        <f>'GS &lt; 50 OLS Model'!$B$5</f>
        <v>-4820550.2123392904</v>
      </c>
      <c r="N54" s="23">
        <f ca="1">'GS &lt; 50 OLS Model'!$B$6*D54</f>
        <v>467334.44142582454</v>
      </c>
      <c r="O54" s="23">
        <f ca="1">'GS &lt; 50 OLS Model'!$B$7*E54</f>
        <v>131811.81990723632</v>
      </c>
      <c r="P54" s="23">
        <f>'GS &lt; 50 OLS Model'!$B$8*F54</f>
        <v>-389163.94654860138</v>
      </c>
      <c r="Q54" s="23">
        <f>'GS &lt; 50 OLS Model'!$B$9*G54</f>
        <v>11164922.141718293</v>
      </c>
      <c r="R54" s="23">
        <f>'GS &lt; 50 OLS Model'!$B$10*H54</f>
        <v>0</v>
      </c>
      <c r="S54" s="23">
        <f>'GS &lt; 50 OLS Model'!$B$11*I54</f>
        <v>0</v>
      </c>
      <c r="T54" s="23">
        <f>'GS &lt; 50 OLS Model'!$B$12*J54</f>
        <v>0</v>
      </c>
      <c r="U54" s="23">
        <f>'GS &lt; 50 OLS Model'!$B$13*K54</f>
        <v>0</v>
      </c>
      <c r="V54" s="23">
        <f t="shared" ca="1" si="2"/>
        <v>6554354.244163461</v>
      </c>
    </row>
    <row r="55" spans="1:22" x14ac:dyDescent="0.25">
      <c r="A55" s="11">
        <f>'Monthly Data'!A55</f>
        <v>41426</v>
      </c>
      <c r="B55" s="6">
        <f t="shared" si="1"/>
        <v>2013</v>
      </c>
      <c r="C55">
        <f>'Monthly Data'!E55</f>
        <v>6492686.1686000004</v>
      </c>
      <c r="D55">
        <f t="shared" ca="1" si="5"/>
        <v>41.510000000000005</v>
      </c>
      <c r="E55">
        <f t="shared" ca="1" si="5"/>
        <v>44.41</v>
      </c>
      <c r="F55" s="30">
        <f>'Monthly Data'!S55</f>
        <v>54</v>
      </c>
      <c r="G55" s="30">
        <f>'Monthly Data'!U55</f>
        <v>3174</v>
      </c>
      <c r="H55" s="30">
        <f>'Monthly Data'!Y55</f>
        <v>0</v>
      </c>
      <c r="I55" s="30">
        <f>'Monthly Data'!AE55</f>
        <v>0</v>
      </c>
      <c r="J55" s="30">
        <f>'Monthly Data'!AF55</f>
        <v>0</v>
      </c>
      <c r="K55" s="30">
        <f>'Monthly Data'!AG55</f>
        <v>0</v>
      </c>
      <c r="M55" s="23">
        <f>'GS &lt; 50 OLS Model'!$B$5</f>
        <v>-4820550.2123392904</v>
      </c>
      <c r="N55" s="23">
        <f ca="1">'GS &lt; 50 OLS Model'!$B$6*D55</f>
        <v>133823.4869176737</v>
      </c>
      <c r="O55" s="23">
        <f ca="1">'GS &lt; 50 OLS Model'!$B$7*E55</f>
        <v>675174.50081665104</v>
      </c>
      <c r="P55" s="23">
        <f>'GS &lt; 50 OLS Model'!$B$8*F55</f>
        <v>-396506.66252121649</v>
      </c>
      <c r="Q55" s="23">
        <f>'GS &lt; 50 OLS Model'!$B$9*G55</f>
        <v>11182537.986056758</v>
      </c>
      <c r="R55" s="23">
        <f>'GS &lt; 50 OLS Model'!$B$10*H55</f>
        <v>0</v>
      </c>
      <c r="S55" s="23">
        <f>'GS &lt; 50 OLS Model'!$B$11*I55</f>
        <v>0</v>
      </c>
      <c r="T55" s="23">
        <f>'GS &lt; 50 OLS Model'!$B$12*J55</f>
        <v>0</v>
      </c>
      <c r="U55" s="23">
        <f>'GS &lt; 50 OLS Model'!$B$13*K55</f>
        <v>0</v>
      </c>
      <c r="V55" s="23">
        <f t="shared" ca="1" si="2"/>
        <v>6774479.0989305759</v>
      </c>
    </row>
    <row r="56" spans="1:22" x14ac:dyDescent="0.25">
      <c r="A56" s="11">
        <f>'Monthly Data'!A56</f>
        <v>41456</v>
      </c>
      <c r="B56" s="6">
        <f t="shared" si="1"/>
        <v>2013</v>
      </c>
      <c r="C56">
        <f>'Monthly Data'!E56</f>
        <v>7411287.6236999994</v>
      </c>
      <c r="D56">
        <f t="shared" ca="1" si="5"/>
        <v>5.01</v>
      </c>
      <c r="E56">
        <f t="shared" ca="1" si="5"/>
        <v>96.909999999999982</v>
      </c>
      <c r="F56" s="30">
        <f>'Monthly Data'!S56</f>
        <v>55</v>
      </c>
      <c r="G56" s="30">
        <f>'Monthly Data'!U56</f>
        <v>3174</v>
      </c>
      <c r="H56" s="30">
        <f>'Monthly Data'!Y56</f>
        <v>0</v>
      </c>
      <c r="I56" s="30">
        <f>'Monthly Data'!AE56</f>
        <v>0</v>
      </c>
      <c r="J56" s="30">
        <f>'Monthly Data'!AF56</f>
        <v>0</v>
      </c>
      <c r="K56" s="30">
        <f>'Monthly Data'!AG56</f>
        <v>0</v>
      </c>
      <c r="M56" s="23">
        <f>'GS &lt; 50 OLS Model'!$B$5</f>
        <v>-4820550.2123392904</v>
      </c>
      <c r="N56" s="23">
        <f ca="1">'GS &lt; 50 OLS Model'!$B$6*D56</f>
        <v>16151.666332390871</v>
      </c>
      <c r="O56" s="23">
        <f ca="1">'GS &lt; 50 OLS Model'!$B$7*E56</f>
        <v>1473342.9604625455</v>
      </c>
      <c r="P56" s="23">
        <f>'GS &lt; 50 OLS Model'!$B$8*F56</f>
        <v>-403849.37849383161</v>
      </c>
      <c r="Q56" s="23">
        <f>'GS &lt; 50 OLS Model'!$B$9*G56</f>
        <v>11182537.986056758</v>
      </c>
      <c r="R56" s="23">
        <f>'GS &lt; 50 OLS Model'!$B$10*H56</f>
        <v>0</v>
      </c>
      <c r="S56" s="23">
        <f>'GS &lt; 50 OLS Model'!$B$11*I56</f>
        <v>0</v>
      </c>
      <c r="T56" s="23">
        <f>'GS &lt; 50 OLS Model'!$B$12*J56</f>
        <v>0</v>
      </c>
      <c r="U56" s="23">
        <f>'GS &lt; 50 OLS Model'!$B$13*K56</f>
        <v>0</v>
      </c>
      <c r="V56" s="23">
        <f t="shared" ca="1" si="2"/>
        <v>7447633.0220185723</v>
      </c>
    </row>
    <row r="57" spans="1:22" x14ac:dyDescent="0.25">
      <c r="A57" s="11">
        <f>'Monthly Data'!A57</f>
        <v>41487</v>
      </c>
      <c r="B57" s="6">
        <f t="shared" si="1"/>
        <v>2013</v>
      </c>
      <c r="C57">
        <f>'Monthly Data'!E57</f>
        <v>7080591.3404999999</v>
      </c>
      <c r="D57">
        <f t="shared" ca="1" si="5"/>
        <v>12.719999999999999</v>
      </c>
      <c r="E57">
        <f t="shared" ca="1" si="5"/>
        <v>77.22999999999999</v>
      </c>
      <c r="F57" s="30">
        <f>'Monthly Data'!S57</f>
        <v>56</v>
      </c>
      <c r="G57" s="30">
        <f>'Monthly Data'!U57</f>
        <v>3170</v>
      </c>
      <c r="H57" s="30">
        <f>'Monthly Data'!Y57</f>
        <v>0</v>
      </c>
      <c r="I57" s="30">
        <f>'Monthly Data'!AE57</f>
        <v>0</v>
      </c>
      <c r="J57" s="30">
        <f>'Monthly Data'!AF57</f>
        <v>0</v>
      </c>
      <c r="K57" s="30">
        <f>'Monthly Data'!AG57</f>
        <v>0</v>
      </c>
      <c r="M57" s="23">
        <f>'GS &lt; 50 OLS Model'!$B$5</f>
        <v>-4820550.2123392904</v>
      </c>
      <c r="N57" s="23">
        <f ca="1">'GS &lt; 50 OLS Model'!$B$6*D57</f>
        <v>41007.823502597181</v>
      </c>
      <c r="O57" s="23">
        <f ca="1">'GS &lt; 50 OLS Model'!$B$7*E57</f>
        <v>1174143.8121609988</v>
      </c>
      <c r="P57" s="23">
        <f>'GS &lt; 50 OLS Model'!$B$8*F57</f>
        <v>-411192.09446644672</v>
      </c>
      <c r="Q57" s="23">
        <f>'GS &lt; 50 OLS Model'!$B$9*G57</f>
        <v>11168445.310585987</v>
      </c>
      <c r="R57" s="23">
        <f>'GS &lt; 50 OLS Model'!$B$10*H57</f>
        <v>0</v>
      </c>
      <c r="S57" s="23">
        <f>'GS &lt; 50 OLS Model'!$B$11*I57</f>
        <v>0</v>
      </c>
      <c r="T57" s="23">
        <f>'GS &lt; 50 OLS Model'!$B$12*J57</f>
        <v>0</v>
      </c>
      <c r="U57" s="23">
        <f>'GS &lt; 50 OLS Model'!$B$13*K57</f>
        <v>0</v>
      </c>
      <c r="V57" s="23">
        <f t="shared" ca="1" si="2"/>
        <v>7151854.6394438455</v>
      </c>
    </row>
    <row r="58" spans="1:22" x14ac:dyDescent="0.25">
      <c r="A58" s="11">
        <f>'Monthly Data'!A58</f>
        <v>41518</v>
      </c>
      <c r="B58" s="6">
        <f t="shared" si="1"/>
        <v>2013</v>
      </c>
      <c r="C58">
        <f>'Monthly Data'!E58</f>
        <v>6427748.052699999</v>
      </c>
      <c r="D58">
        <f t="shared" ca="1" si="5"/>
        <v>86.570000000000007</v>
      </c>
      <c r="E58">
        <f t="shared" ca="1" si="5"/>
        <v>19.899999999999999</v>
      </c>
      <c r="F58" s="30">
        <f>'Monthly Data'!S58</f>
        <v>57</v>
      </c>
      <c r="G58" s="30">
        <f>'Monthly Data'!U58</f>
        <v>3166</v>
      </c>
      <c r="H58" s="30">
        <f>'Monthly Data'!Y58</f>
        <v>0</v>
      </c>
      <c r="I58" s="30">
        <f>'Monthly Data'!AE58</f>
        <v>1</v>
      </c>
      <c r="J58" s="30">
        <f>'Monthly Data'!AF58</f>
        <v>0</v>
      </c>
      <c r="K58" s="30">
        <f>'Monthly Data'!AG58</f>
        <v>0</v>
      </c>
      <c r="M58" s="23">
        <f>'GS &lt; 50 OLS Model'!$B$5</f>
        <v>-4820550.2123392904</v>
      </c>
      <c r="N58" s="23">
        <f ca="1">'GS &lt; 50 OLS Model'!$B$6*D58</f>
        <v>279091.76734432695</v>
      </c>
      <c r="O58" s="23">
        <f ca="1">'GS &lt; 50 OLS Model'!$B$7*E58</f>
        <v>302543.85422768199</v>
      </c>
      <c r="P58" s="23">
        <f>'GS &lt; 50 OLS Model'!$B$8*F58</f>
        <v>-418534.81043906184</v>
      </c>
      <c r="Q58" s="23">
        <f>'GS &lt; 50 OLS Model'!$B$9*G58</f>
        <v>11154352.635115216</v>
      </c>
      <c r="R58" s="23">
        <f>'GS &lt; 50 OLS Model'!$B$10*H58</f>
        <v>0</v>
      </c>
      <c r="S58" s="23">
        <f>'GS &lt; 50 OLS Model'!$B$11*I58</f>
        <v>-173591.250541696</v>
      </c>
      <c r="T58" s="23">
        <f>'GS &lt; 50 OLS Model'!$B$12*J58</f>
        <v>0</v>
      </c>
      <c r="U58" s="23">
        <f>'GS &lt; 50 OLS Model'!$B$13*K58</f>
        <v>0</v>
      </c>
      <c r="V58" s="23">
        <f t="shared" ca="1" si="2"/>
        <v>6496903.2339088712</v>
      </c>
    </row>
    <row r="59" spans="1:22" x14ac:dyDescent="0.25">
      <c r="A59" s="11">
        <f>'Monthly Data'!A59</f>
        <v>41548</v>
      </c>
      <c r="B59" s="6">
        <f t="shared" si="1"/>
        <v>2013</v>
      </c>
      <c r="C59">
        <f>'Monthly Data'!E59</f>
        <v>6420522.6624999996</v>
      </c>
      <c r="D59">
        <f t="shared" ca="1" si="5"/>
        <v>270.3</v>
      </c>
      <c r="E59">
        <f t="shared" ca="1" si="5"/>
        <v>1.21</v>
      </c>
      <c r="F59" s="30">
        <f>'Monthly Data'!S59</f>
        <v>58</v>
      </c>
      <c r="G59" s="30">
        <f>'Monthly Data'!U59</f>
        <v>3142</v>
      </c>
      <c r="H59" s="30">
        <f>'Monthly Data'!Y59</f>
        <v>0</v>
      </c>
      <c r="I59" s="30">
        <f>'Monthly Data'!AE59</f>
        <v>1</v>
      </c>
      <c r="J59" s="30">
        <f>'Monthly Data'!AF59</f>
        <v>0</v>
      </c>
      <c r="K59" s="30">
        <f>'Monthly Data'!AG59</f>
        <v>0</v>
      </c>
      <c r="M59" s="23">
        <f>'GS &lt; 50 OLS Model'!$B$5</f>
        <v>-4820550.2123392904</v>
      </c>
      <c r="N59" s="23">
        <f ca="1">'GS &lt; 50 OLS Model'!$B$6*D59</f>
        <v>871416.24943019019</v>
      </c>
      <c r="O59" s="23">
        <f ca="1">'GS &lt; 50 OLS Model'!$B$7*E59</f>
        <v>18395.882593743478</v>
      </c>
      <c r="P59" s="23">
        <f>'GS &lt; 50 OLS Model'!$B$8*F59</f>
        <v>-425877.52641167695</v>
      </c>
      <c r="Q59" s="23">
        <f>'GS &lt; 50 OLS Model'!$B$9*G59</f>
        <v>11069796.58229059</v>
      </c>
      <c r="R59" s="23">
        <f>'GS &lt; 50 OLS Model'!$B$10*H59</f>
        <v>0</v>
      </c>
      <c r="S59" s="23">
        <f>'GS &lt; 50 OLS Model'!$B$11*I59</f>
        <v>-173591.250541696</v>
      </c>
      <c r="T59" s="23">
        <f>'GS &lt; 50 OLS Model'!$B$12*J59</f>
        <v>0</v>
      </c>
      <c r="U59" s="23">
        <f>'GS &lt; 50 OLS Model'!$B$13*K59</f>
        <v>0</v>
      </c>
      <c r="V59" s="23">
        <f t="shared" ca="1" si="2"/>
        <v>6713180.975563556</v>
      </c>
    </row>
    <row r="60" spans="1:22" x14ac:dyDescent="0.25">
      <c r="A60" s="11">
        <f>'Monthly Data'!A60</f>
        <v>41579</v>
      </c>
      <c r="B60" s="6">
        <f t="shared" si="1"/>
        <v>2013</v>
      </c>
      <c r="C60">
        <f>'Monthly Data'!E60</f>
        <v>7196501.2766999993</v>
      </c>
      <c r="D60">
        <f t="shared" ca="1" si="5"/>
        <v>444.05</v>
      </c>
      <c r="E60">
        <f t="shared" ca="1" si="5"/>
        <v>0</v>
      </c>
      <c r="F60" s="30">
        <f>'Monthly Data'!S60</f>
        <v>59</v>
      </c>
      <c r="G60" s="30">
        <f>'Monthly Data'!U60</f>
        <v>3104</v>
      </c>
      <c r="H60" s="30">
        <f>'Monthly Data'!Y60</f>
        <v>0</v>
      </c>
      <c r="I60" s="30">
        <f>'Monthly Data'!AE60</f>
        <v>1</v>
      </c>
      <c r="J60" s="30">
        <f>'Monthly Data'!AF60</f>
        <v>0</v>
      </c>
      <c r="K60" s="30">
        <f>'Monthly Data'!AG60</f>
        <v>0</v>
      </c>
      <c r="M60" s="23">
        <f>'GS &lt; 50 OLS Model'!$B$5</f>
        <v>-4820550.2123392904</v>
      </c>
      <c r="N60" s="23">
        <f ca="1">'GS &lt; 50 OLS Model'!$B$6*D60</f>
        <v>1431566.3542710911</v>
      </c>
      <c r="O60" s="23">
        <f ca="1">'GS &lt; 50 OLS Model'!$B$7*E60</f>
        <v>0</v>
      </c>
      <c r="P60" s="23">
        <f>'GS &lt; 50 OLS Model'!$B$8*F60</f>
        <v>-433220.24238429213</v>
      </c>
      <c r="Q60" s="23">
        <f>'GS &lt; 50 OLS Model'!$B$9*G60</f>
        <v>10935916.165318266</v>
      </c>
      <c r="R60" s="23">
        <f>'GS &lt; 50 OLS Model'!$B$10*H60</f>
        <v>0</v>
      </c>
      <c r="S60" s="23">
        <f>'GS &lt; 50 OLS Model'!$B$11*I60</f>
        <v>-173591.250541696</v>
      </c>
      <c r="T60" s="23">
        <f>'GS &lt; 50 OLS Model'!$B$12*J60</f>
        <v>0</v>
      </c>
      <c r="U60" s="23">
        <f>'GS &lt; 50 OLS Model'!$B$13*K60</f>
        <v>0</v>
      </c>
      <c r="V60" s="23">
        <f t="shared" ca="1" si="2"/>
        <v>7113712.0648657735</v>
      </c>
    </row>
    <row r="61" spans="1:22" x14ac:dyDescent="0.25">
      <c r="A61" s="11">
        <f>'Monthly Data'!A61</f>
        <v>41609</v>
      </c>
      <c r="B61" s="6">
        <f t="shared" si="1"/>
        <v>2013</v>
      </c>
      <c r="C61">
        <f>'Monthly Data'!E61</f>
        <v>8089952.5006000008</v>
      </c>
      <c r="D61">
        <f t="shared" ca="1" si="5"/>
        <v>684.01</v>
      </c>
      <c r="E61">
        <f t="shared" ca="1" si="5"/>
        <v>0</v>
      </c>
      <c r="F61" s="30">
        <f>'Monthly Data'!S61</f>
        <v>60</v>
      </c>
      <c r="G61" s="30">
        <f>'Monthly Data'!U61</f>
        <v>3099</v>
      </c>
      <c r="H61" s="30">
        <f>'Monthly Data'!Y61</f>
        <v>0</v>
      </c>
      <c r="I61" s="30">
        <f>'Monthly Data'!AE61</f>
        <v>0</v>
      </c>
      <c r="J61" s="30">
        <f>'Monthly Data'!AF61</f>
        <v>0</v>
      </c>
      <c r="K61" s="30">
        <f>'Monthly Data'!AG61</f>
        <v>0</v>
      </c>
      <c r="M61" s="23">
        <f>'GS &lt; 50 OLS Model'!$B$5</f>
        <v>-4820550.2123392904</v>
      </c>
      <c r="N61" s="23">
        <f ca="1">'GS &lt; 50 OLS Model'!$B$6*D61</f>
        <v>2205169.9177681995</v>
      </c>
      <c r="O61" s="23">
        <f ca="1">'GS &lt; 50 OLS Model'!$B$7*E61</f>
        <v>0</v>
      </c>
      <c r="P61" s="23">
        <f>'GS &lt; 50 OLS Model'!$B$8*F61</f>
        <v>-440562.95835690724</v>
      </c>
      <c r="Q61" s="23">
        <f>'GS &lt; 50 OLS Model'!$B$9*G61</f>
        <v>10918300.320979802</v>
      </c>
      <c r="R61" s="23">
        <f>'GS &lt; 50 OLS Model'!$B$10*H61</f>
        <v>0</v>
      </c>
      <c r="S61" s="23">
        <f>'GS &lt; 50 OLS Model'!$B$11*I61</f>
        <v>0</v>
      </c>
      <c r="T61" s="23">
        <f>'GS &lt; 50 OLS Model'!$B$12*J61</f>
        <v>0</v>
      </c>
      <c r="U61" s="23">
        <f>'GS &lt; 50 OLS Model'!$B$13*K61</f>
        <v>0</v>
      </c>
      <c r="V61" s="23">
        <f t="shared" ca="1" si="2"/>
        <v>7862357.0680518039</v>
      </c>
    </row>
    <row r="62" spans="1:22" x14ac:dyDescent="0.25">
      <c r="A62" s="11">
        <v>41640</v>
      </c>
      <c r="B62" s="6">
        <f t="shared" si="1"/>
        <v>2014</v>
      </c>
      <c r="C62" s="30">
        <f>'Monthly Data'!E62</f>
        <v>9744747.6810999997</v>
      </c>
      <c r="D62">
        <f t="shared" ca="1" si="5"/>
        <v>784.29</v>
      </c>
      <c r="E62">
        <f t="shared" ca="1" si="5"/>
        <v>0</v>
      </c>
      <c r="F62" s="30">
        <f>'Monthly Data'!S62</f>
        <v>61</v>
      </c>
      <c r="G62" s="30">
        <f>'Monthly Data'!U62</f>
        <v>3122</v>
      </c>
      <c r="H62" s="30">
        <f>'Monthly Data'!Y62</f>
        <v>1</v>
      </c>
      <c r="I62" s="30">
        <f>'Monthly Data'!AE62</f>
        <v>0</v>
      </c>
      <c r="J62" s="30">
        <f>'Monthly Data'!AF62</f>
        <v>0</v>
      </c>
      <c r="K62" s="30">
        <f>'Monthly Data'!AG62</f>
        <v>0</v>
      </c>
      <c r="M62" s="23">
        <f>'GS &lt; 50 OLS Model'!$B$5</f>
        <v>-4820550.2123392904</v>
      </c>
      <c r="N62" s="23">
        <f ca="1">'GS &lt; 50 OLS Model'!$B$6*D62</f>
        <v>2528461.1552556558</v>
      </c>
      <c r="O62" s="23">
        <f ca="1">'GS &lt; 50 OLS Model'!$B$7*E62</f>
        <v>0</v>
      </c>
      <c r="P62" s="23">
        <f>'GS &lt; 50 OLS Model'!$B$8*F62</f>
        <v>-447905.67432952236</v>
      </c>
      <c r="Q62" s="23">
        <f>'GS &lt; 50 OLS Model'!$B$9*G62</f>
        <v>10999333.204936735</v>
      </c>
      <c r="R62" s="23">
        <f>'GS &lt; 50 OLS Model'!$B$10*H62</f>
        <v>893150.55620657699</v>
      </c>
      <c r="S62" s="23">
        <f>'GS &lt; 50 OLS Model'!$B$11*I62</f>
        <v>0</v>
      </c>
      <c r="T62" s="23">
        <f>'GS &lt; 50 OLS Model'!$B$12*J62</f>
        <v>0</v>
      </c>
      <c r="U62" s="23">
        <f>'GS &lt; 50 OLS Model'!$B$13*K62</f>
        <v>0</v>
      </c>
      <c r="V62" s="23">
        <f t="shared" ref="V62:V97" ca="1" si="6">SUM(M62:R62)</f>
        <v>9152489.0297301542</v>
      </c>
    </row>
    <row r="63" spans="1:22" x14ac:dyDescent="0.25">
      <c r="A63" s="11">
        <v>41671</v>
      </c>
      <c r="B63" s="6">
        <f t="shared" si="1"/>
        <v>2014</v>
      </c>
      <c r="C63" s="30">
        <f>'Monthly Data'!E63</f>
        <v>8690919.2281999998</v>
      </c>
      <c r="D63">
        <f t="shared" ref="D63:E78" ca="1" si="7">D51</f>
        <v>682.50999999999988</v>
      </c>
      <c r="E63">
        <f t="shared" ca="1" si="7"/>
        <v>0</v>
      </c>
      <c r="F63" s="30">
        <f>'Monthly Data'!S63</f>
        <v>62</v>
      </c>
      <c r="G63" s="30">
        <f>'Monthly Data'!U63</f>
        <v>3121</v>
      </c>
      <c r="H63" s="30">
        <f>'Monthly Data'!Y63</f>
        <v>1</v>
      </c>
      <c r="I63" s="30">
        <f>'Monthly Data'!AE63</f>
        <v>0</v>
      </c>
      <c r="J63" s="30">
        <f>'Monthly Data'!AF63</f>
        <v>1</v>
      </c>
      <c r="K63" s="30">
        <f>'Monthly Data'!AG63</f>
        <v>0</v>
      </c>
      <c r="M63" s="23">
        <f>'GS &lt; 50 OLS Model'!$B$5</f>
        <v>-4820550.2123392904</v>
      </c>
      <c r="N63" s="23">
        <f ca="1">'GS &lt; 50 OLS Model'!$B$6*D63</f>
        <v>2200334.0895249685</v>
      </c>
      <c r="O63" s="23">
        <f ca="1">'GS &lt; 50 OLS Model'!$B$7*E63</f>
        <v>0</v>
      </c>
      <c r="P63" s="23">
        <f>'GS &lt; 50 OLS Model'!$B$8*F63</f>
        <v>-455248.39030213747</v>
      </c>
      <c r="Q63" s="23">
        <f>'GS &lt; 50 OLS Model'!$B$9*G63</f>
        <v>10995810.036069041</v>
      </c>
      <c r="R63" s="23">
        <f>'GS &lt; 50 OLS Model'!$B$10*H63</f>
        <v>893150.55620657699</v>
      </c>
      <c r="S63" s="23">
        <f>'GS &lt; 50 OLS Model'!$B$11*I63</f>
        <v>0</v>
      </c>
      <c r="T63" s="23">
        <f>'GS &lt; 50 OLS Model'!$B$12*J63</f>
        <v>-323195.56340474403</v>
      </c>
      <c r="U63" s="23">
        <f>'GS &lt; 50 OLS Model'!$B$13*K63</f>
        <v>0</v>
      </c>
      <c r="V63" s="23">
        <f t="shared" ca="1" si="6"/>
        <v>8813496.0791591592</v>
      </c>
    </row>
    <row r="64" spans="1:22" x14ac:dyDescent="0.25">
      <c r="A64" s="11">
        <v>41699</v>
      </c>
      <c r="B64" s="6">
        <f t="shared" si="1"/>
        <v>2014</v>
      </c>
      <c r="C64" s="30">
        <f>'Monthly Data'!E64</f>
        <v>8839537.966</v>
      </c>
      <c r="D64">
        <f t="shared" ca="1" si="7"/>
        <v>556.99</v>
      </c>
      <c r="E64">
        <f t="shared" ca="1" si="7"/>
        <v>0</v>
      </c>
      <c r="F64" s="30">
        <f>'Monthly Data'!S64</f>
        <v>63</v>
      </c>
      <c r="G64" s="30">
        <f>'Monthly Data'!U64</f>
        <v>3085</v>
      </c>
      <c r="H64" s="30">
        <f>'Monthly Data'!Y64</f>
        <v>1</v>
      </c>
      <c r="I64" s="30">
        <f>'Monthly Data'!AE64</f>
        <v>0</v>
      </c>
      <c r="J64" s="30">
        <f>'Monthly Data'!AF64</f>
        <v>0</v>
      </c>
      <c r="K64" s="30">
        <f>'Monthly Data'!AG64</f>
        <v>0</v>
      </c>
      <c r="M64" s="23">
        <f>'GS &lt; 50 OLS Model'!$B$5</f>
        <v>-4820550.2123392904</v>
      </c>
      <c r="N64" s="23">
        <f ca="1">'GS &lt; 50 OLS Model'!$B$6*D64</f>
        <v>1795671.9821314155</v>
      </c>
      <c r="O64" s="23">
        <f ca="1">'GS &lt; 50 OLS Model'!$B$7*E64</f>
        <v>0</v>
      </c>
      <c r="P64" s="23">
        <f>'GS &lt; 50 OLS Model'!$B$8*F64</f>
        <v>-462591.10627475259</v>
      </c>
      <c r="Q64" s="23">
        <f>'GS &lt; 50 OLS Model'!$B$9*G64</f>
        <v>10868975.956832103</v>
      </c>
      <c r="R64" s="23">
        <f>'GS &lt; 50 OLS Model'!$B$10*H64</f>
        <v>893150.55620657699</v>
      </c>
      <c r="S64" s="23">
        <f>'GS &lt; 50 OLS Model'!$B$11*I64</f>
        <v>0</v>
      </c>
      <c r="T64" s="23">
        <f>'GS &lt; 50 OLS Model'!$B$12*J64</f>
        <v>0</v>
      </c>
      <c r="U64" s="23">
        <f>'GS &lt; 50 OLS Model'!$B$13*K64</f>
        <v>0</v>
      </c>
      <c r="V64" s="23">
        <f t="shared" ca="1" si="6"/>
        <v>8274657.1765560526</v>
      </c>
    </row>
    <row r="65" spans="1:22" x14ac:dyDescent="0.25">
      <c r="A65" s="11">
        <v>41730</v>
      </c>
      <c r="B65" s="6">
        <f t="shared" si="1"/>
        <v>2014</v>
      </c>
      <c r="C65" s="30">
        <f>'Monthly Data'!E65</f>
        <v>7227399.0751</v>
      </c>
      <c r="D65">
        <f t="shared" ca="1" si="7"/>
        <v>326.58999999999997</v>
      </c>
      <c r="E65">
        <f t="shared" ca="1" si="7"/>
        <v>0.39</v>
      </c>
      <c r="F65" s="30">
        <f>'Monthly Data'!S65</f>
        <v>64</v>
      </c>
      <c r="G65" s="30">
        <f>'Monthly Data'!U65</f>
        <v>3087</v>
      </c>
      <c r="H65" s="30">
        <f>'Monthly Data'!Y65</f>
        <v>1</v>
      </c>
      <c r="I65" s="30">
        <f>'Monthly Data'!AE65</f>
        <v>0</v>
      </c>
      <c r="J65" s="30">
        <f>'Monthly Data'!AF65</f>
        <v>0</v>
      </c>
      <c r="K65" s="30">
        <f>'Monthly Data'!AG65</f>
        <v>1</v>
      </c>
      <c r="M65" s="23">
        <f>'GS &lt; 50 OLS Model'!$B$5</f>
        <v>-4820550.2123392904</v>
      </c>
      <c r="N65" s="23">
        <f ca="1">'GS &lt; 50 OLS Model'!$B$6*D65</f>
        <v>1052888.7639711646</v>
      </c>
      <c r="O65" s="23">
        <f ca="1">'GS &lt; 50 OLS Model'!$B$7*E65</f>
        <v>5929.2514145123614</v>
      </c>
      <c r="P65" s="23">
        <f>'GS &lt; 50 OLS Model'!$B$8*F65</f>
        <v>-469933.8222473677</v>
      </c>
      <c r="Q65" s="23">
        <f>'GS &lt; 50 OLS Model'!$B$9*G65</f>
        <v>10876022.294567488</v>
      </c>
      <c r="R65" s="23">
        <f>'GS &lt; 50 OLS Model'!$B$10*H65</f>
        <v>893150.55620657699</v>
      </c>
      <c r="S65" s="23">
        <f>'GS &lt; 50 OLS Model'!$B$11*I65</f>
        <v>0</v>
      </c>
      <c r="T65" s="23">
        <f>'GS &lt; 50 OLS Model'!$B$12*J65</f>
        <v>0</v>
      </c>
      <c r="U65" s="23">
        <f>'GS &lt; 50 OLS Model'!$B$13*K65</f>
        <v>-425159.68663676298</v>
      </c>
      <c r="V65" s="23">
        <f t="shared" ca="1" si="6"/>
        <v>7537506.831573084</v>
      </c>
    </row>
    <row r="66" spans="1:22" x14ac:dyDescent="0.25">
      <c r="A66" s="11">
        <v>41760</v>
      </c>
      <c r="B66" s="6">
        <f t="shared" si="1"/>
        <v>2014</v>
      </c>
      <c r="C66" s="30">
        <f>'Monthly Data'!E66</f>
        <v>6595622.3787000002</v>
      </c>
      <c r="D66">
        <f t="shared" ca="1" si="7"/>
        <v>144.96</v>
      </c>
      <c r="E66">
        <f t="shared" ca="1" si="7"/>
        <v>8.67</v>
      </c>
      <c r="F66" s="30">
        <f>'Monthly Data'!S66</f>
        <v>65</v>
      </c>
      <c r="G66" s="30">
        <f>'Monthly Data'!U66</f>
        <v>3075</v>
      </c>
      <c r="H66" s="30">
        <f>'Monthly Data'!Y66</f>
        <v>1</v>
      </c>
      <c r="I66" s="30">
        <f>'Monthly Data'!AE66</f>
        <v>0</v>
      </c>
      <c r="J66" s="30">
        <f>'Monthly Data'!AF66</f>
        <v>0</v>
      </c>
      <c r="K66" s="30">
        <f>'Monthly Data'!AG66</f>
        <v>0</v>
      </c>
      <c r="M66" s="23">
        <f>'GS &lt; 50 OLS Model'!$B$5</f>
        <v>-4820550.2123392904</v>
      </c>
      <c r="N66" s="23">
        <f ca="1">'GS &lt; 50 OLS Model'!$B$6*D66</f>
        <v>467334.44142582454</v>
      </c>
      <c r="O66" s="23">
        <f ca="1">'GS &lt; 50 OLS Model'!$B$7*E66</f>
        <v>131811.81990723632</v>
      </c>
      <c r="P66" s="23">
        <f>'GS &lt; 50 OLS Model'!$B$8*F66</f>
        <v>-477276.53821998282</v>
      </c>
      <c r="Q66" s="23">
        <f>'GS &lt; 50 OLS Model'!$B$9*G66</f>
        <v>10833744.268155176</v>
      </c>
      <c r="R66" s="23">
        <f>'GS &lt; 50 OLS Model'!$B$10*H66</f>
        <v>893150.55620657699</v>
      </c>
      <c r="S66" s="23">
        <f>'GS &lt; 50 OLS Model'!$B$11*I66</f>
        <v>0</v>
      </c>
      <c r="T66" s="23">
        <f>'GS &lt; 50 OLS Model'!$B$12*J66</f>
        <v>0</v>
      </c>
      <c r="U66" s="23">
        <f>'GS &lt; 50 OLS Model'!$B$13*K66</f>
        <v>0</v>
      </c>
      <c r="V66" s="23">
        <f t="shared" ca="1" si="6"/>
        <v>7028214.33513554</v>
      </c>
    </row>
    <row r="67" spans="1:22" x14ac:dyDescent="0.25">
      <c r="A67" s="11">
        <v>41791</v>
      </c>
      <c r="B67" s="6">
        <f t="shared" ref="B67:B97" si="8">YEAR(A67)</f>
        <v>2014</v>
      </c>
      <c r="C67" s="30">
        <f>'Monthly Data'!E67</f>
        <v>6748420.8118000003</v>
      </c>
      <c r="D67">
        <f t="shared" ca="1" si="7"/>
        <v>41.510000000000005</v>
      </c>
      <c r="E67">
        <f t="shared" ca="1" si="7"/>
        <v>44.41</v>
      </c>
      <c r="F67" s="30">
        <f>'Monthly Data'!S67</f>
        <v>66</v>
      </c>
      <c r="G67" s="30">
        <f>'Monthly Data'!U67</f>
        <v>3067</v>
      </c>
      <c r="H67" s="30">
        <f>'Monthly Data'!Y67</f>
        <v>1</v>
      </c>
      <c r="I67" s="30">
        <f>'Monthly Data'!AE67</f>
        <v>0</v>
      </c>
      <c r="J67" s="30">
        <f>'Monthly Data'!AF67</f>
        <v>0</v>
      </c>
      <c r="K67" s="30">
        <f>'Monthly Data'!AG67</f>
        <v>0</v>
      </c>
      <c r="M67" s="23">
        <f>'GS &lt; 50 OLS Model'!$B$5</f>
        <v>-4820550.2123392904</v>
      </c>
      <c r="N67" s="23">
        <f ca="1">'GS &lt; 50 OLS Model'!$B$6*D67</f>
        <v>133823.4869176737</v>
      </c>
      <c r="O67" s="23">
        <f ca="1">'GS &lt; 50 OLS Model'!$B$7*E67</f>
        <v>675174.50081665104</v>
      </c>
      <c r="P67" s="23">
        <f>'GS &lt; 50 OLS Model'!$B$8*F67</f>
        <v>-484619.25419259793</v>
      </c>
      <c r="Q67" s="23">
        <f>'GS &lt; 50 OLS Model'!$B$9*G67</f>
        <v>10805558.917213634</v>
      </c>
      <c r="R67" s="23">
        <f>'GS &lt; 50 OLS Model'!$B$10*H67</f>
        <v>893150.55620657699</v>
      </c>
      <c r="S67" s="23">
        <f>'GS &lt; 50 OLS Model'!$B$11*I67</f>
        <v>0</v>
      </c>
      <c r="T67" s="23">
        <f>'GS &lt; 50 OLS Model'!$B$12*J67</f>
        <v>0</v>
      </c>
      <c r="U67" s="23">
        <f>'GS &lt; 50 OLS Model'!$B$13*K67</f>
        <v>0</v>
      </c>
      <c r="V67" s="23">
        <f t="shared" ca="1" si="6"/>
        <v>7202537.9946226478</v>
      </c>
    </row>
    <row r="68" spans="1:22" x14ac:dyDescent="0.25">
      <c r="A68" s="11">
        <v>41821</v>
      </c>
      <c r="B68" s="6">
        <f t="shared" si="8"/>
        <v>2014</v>
      </c>
      <c r="C68" s="30">
        <f>'Monthly Data'!E68</f>
        <v>7210633.4199000001</v>
      </c>
      <c r="D68">
        <f t="shared" ca="1" si="7"/>
        <v>5.01</v>
      </c>
      <c r="E68">
        <f t="shared" ca="1" si="7"/>
        <v>96.909999999999982</v>
      </c>
      <c r="F68" s="30">
        <f>'Monthly Data'!S68</f>
        <v>67</v>
      </c>
      <c r="G68" s="30">
        <f>'Monthly Data'!U68</f>
        <v>3066</v>
      </c>
      <c r="H68" s="30">
        <f>'Monthly Data'!Y68</f>
        <v>1</v>
      </c>
      <c r="I68" s="30">
        <f>'Monthly Data'!AE68</f>
        <v>0</v>
      </c>
      <c r="J68" s="30">
        <f>'Monthly Data'!AF68</f>
        <v>0</v>
      </c>
      <c r="K68" s="30">
        <f>'Monthly Data'!AG68</f>
        <v>0</v>
      </c>
      <c r="M68" s="23">
        <f>'GS &lt; 50 OLS Model'!$B$5</f>
        <v>-4820550.2123392904</v>
      </c>
      <c r="N68" s="23">
        <f ca="1">'GS &lt; 50 OLS Model'!$B$6*D68</f>
        <v>16151.666332390871</v>
      </c>
      <c r="O68" s="23">
        <f ca="1">'GS &lt; 50 OLS Model'!$B$7*E68</f>
        <v>1473342.9604625455</v>
      </c>
      <c r="P68" s="23">
        <f>'GS &lt; 50 OLS Model'!$B$8*F68</f>
        <v>-491961.97016521305</v>
      </c>
      <c r="Q68" s="23">
        <f>'GS &lt; 50 OLS Model'!$B$9*G68</f>
        <v>10802035.748345941</v>
      </c>
      <c r="R68" s="23">
        <f>'GS &lt; 50 OLS Model'!$B$10*H68</f>
        <v>893150.55620657699</v>
      </c>
      <c r="S68" s="23">
        <f>'GS &lt; 50 OLS Model'!$B$11*I68</f>
        <v>0</v>
      </c>
      <c r="T68" s="23">
        <f>'GS &lt; 50 OLS Model'!$B$12*J68</f>
        <v>0</v>
      </c>
      <c r="U68" s="23">
        <f>'GS &lt; 50 OLS Model'!$B$13*K68</f>
        <v>0</v>
      </c>
      <c r="V68" s="23">
        <f t="shared" ca="1" si="6"/>
        <v>7872168.7488429509</v>
      </c>
    </row>
    <row r="69" spans="1:22" x14ac:dyDescent="0.25">
      <c r="A69" s="11">
        <v>41852</v>
      </c>
      <c r="B69" s="6">
        <f t="shared" si="8"/>
        <v>2014</v>
      </c>
      <c r="C69" s="30">
        <f>'Monthly Data'!E69</f>
        <v>7172486.9500000002</v>
      </c>
      <c r="D69">
        <f t="shared" ca="1" si="7"/>
        <v>12.719999999999999</v>
      </c>
      <c r="E69">
        <f t="shared" ca="1" si="7"/>
        <v>77.22999999999999</v>
      </c>
      <c r="F69" s="30">
        <f>'Monthly Data'!S69</f>
        <v>68</v>
      </c>
      <c r="G69" s="30">
        <f>'Monthly Data'!U69</f>
        <v>3062</v>
      </c>
      <c r="H69" s="30">
        <f>'Monthly Data'!Y69</f>
        <v>1</v>
      </c>
      <c r="I69" s="30">
        <f>'Monthly Data'!AE69</f>
        <v>0</v>
      </c>
      <c r="J69" s="30">
        <f>'Monthly Data'!AF69</f>
        <v>0</v>
      </c>
      <c r="K69" s="30">
        <f>'Monthly Data'!AG69</f>
        <v>0</v>
      </c>
      <c r="M69" s="23">
        <f>'GS &lt; 50 OLS Model'!$B$5</f>
        <v>-4820550.2123392904</v>
      </c>
      <c r="N69" s="23">
        <f ca="1">'GS &lt; 50 OLS Model'!$B$6*D69</f>
        <v>41007.823502597181</v>
      </c>
      <c r="O69" s="23">
        <f ca="1">'GS &lt; 50 OLS Model'!$B$7*E69</f>
        <v>1174143.8121609988</v>
      </c>
      <c r="P69" s="23">
        <f>'GS &lt; 50 OLS Model'!$B$8*F69</f>
        <v>-499304.68613782816</v>
      </c>
      <c r="Q69" s="23">
        <f>'GS &lt; 50 OLS Model'!$B$9*G69</f>
        <v>10787943.07287517</v>
      </c>
      <c r="R69" s="23">
        <f>'GS &lt; 50 OLS Model'!$B$10*H69</f>
        <v>893150.55620657699</v>
      </c>
      <c r="S69" s="23">
        <f>'GS &lt; 50 OLS Model'!$B$11*I69</f>
        <v>0</v>
      </c>
      <c r="T69" s="23">
        <f>'GS &lt; 50 OLS Model'!$B$12*J69</f>
        <v>0</v>
      </c>
      <c r="U69" s="23">
        <f>'GS &lt; 50 OLS Model'!$B$13*K69</f>
        <v>0</v>
      </c>
      <c r="V69" s="23">
        <f t="shared" ca="1" si="6"/>
        <v>7576390.366268225</v>
      </c>
    </row>
    <row r="70" spans="1:22" x14ac:dyDescent="0.25">
      <c r="A70" s="11">
        <v>41883</v>
      </c>
      <c r="B70" s="6">
        <f t="shared" si="8"/>
        <v>2014</v>
      </c>
      <c r="C70" s="30">
        <f>'Monthly Data'!E70</f>
        <v>6683803.4541999996</v>
      </c>
      <c r="D70">
        <f t="shared" ca="1" si="7"/>
        <v>86.570000000000007</v>
      </c>
      <c r="E70">
        <f t="shared" ca="1" si="7"/>
        <v>19.899999999999999</v>
      </c>
      <c r="F70" s="30">
        <f>'Monthly Data'!S70</f>
        <v>69</v>
      </c>
      <c r="G70" s="30">
        <f>'Monthly Data'!U70</f>
        <v>2981</v>
      </c>
      <c r="H70" s="30">
        <f>'Monthly Data'!Y70</f>
        <v>1</v>
      </c>
      <c r="I70" s="30">
        <f>'Monthly Data'!AE70</f>
        <v>1</v>
      </c>
      <c r="J70" s="30">
        <f>'Monthly Data'!AF70</f>
        <v>0</v>
      </c>
      <c r="K70" s="30">
        <f>'Monthly Data'!AG70</f>
        <v>0</v>
      </c>
      <c r="M70" s="23">
        <f>'GS &lt; 50 OLS Model'!$B$5</f>
        <v>-4820550.2123392904</v>
      </c>
      <c r="N70" s="23">
        <f ca="1">'GS &lt; 50 OLS Model'!$B$6*D70</f>
        <v>279091.76734432695</v>
      </c>
      <c r="O70" s="23">
        <f ca="1">'GS &lt; 50 OLS Model'!$B$7*E70</f>
        <v>302543.85422768199</v>
      </c>
      <c r="P70" s="23">
        <f>'GS &lt; 50 OLS Model'!$B$8*F70</f>
        <v>-506647.40211044328</v>
      </c>
      <c r="Q70" s="23">
        <f>'GS &lt; 50 OLS Model'!$B$9*G70</f>
        <v>10502566.394592058</v>
      </c>
      <c r="R70" s="23">
        <f>'GS &lt; 50 OLS Model'!$B$10*H70</f>
        <v>893150.55620657699</v>
      </c>
      <c r="S70" s="23">
        <f>'GS &lt; 50 OLS Model'!$B$11*I70</f>
        <v>-173591.250541696</v>
      </c>
      <c r="T70" s="23">
        <f>'GS &lt; 50 OLS Model'!$B$12*J70</f>
        <v>0</v>
      </c>
      <c r="U70" s="23">
        <f>'GS &lt; 50 OLS Model'!$B$13*K70</f>
        <v>0</v>
      </c>
      <c r="V70" s="23">
        <f t="shared" ca="1" si="6"/>
        <v>6650154.9579209089</v>
      </c>
    </row>
    <row r="71" spans="1:22" x14ac:dyDescent="0.25">
      <c r="A71" s="11">
        <v>41913</v>
      </c>
      <c r="B71" s="6">
        <f t="shared" si="8"/>
        <v>2014</v>
      </c>
      <c r="C71" s="30">
        <f>'Monthly Data'!E71</f>
        <v>6719023.064100001</v>
      </c>
      <c r="D71">
        <f t="shared" ca="1" si="7"/>
        <v>270.3</v>
      </c>
      <c r="E71">
        <f t="shared" ca="1" si="7"/>
        <v>1.21</v>
      </c>
      <c r="F71" s="30">
        <f>'Monthly Data'!S71</f>
        <v>70</v>
      </c>
      <c r="G71" s="30">
        <f>'Monthly Data'!U71</f>
        <v>2984</v>
      </c>
      <c r="H71" s="30">
        <f>'Monthly Data'!Y71</f>
        <v>1</v>
      </c>
      <c r="I71" s="30">
        <f>'Monthly Data'!AE71</f>
        <v>1</v>
      </c>
      <c r="J71" s="30">
        <f>'Monthly Data'!AF71</f>
        <v>0</v>
      </c>
      <c r="K71" s="30">
        <f>'Monthly Data'!AG71</f>
        <v>0</v>
      </c>
      <c r="M71" s="23">
        <f>'GS &lt; 50 OLS Model'!$B$5</f>
        <v>-4820550.2123392904</v>
      </c>
      <c r="N71" s="23">
        <f ca="1">'GS &lt; 50 OLS Model'!$B$6*D71</f>
        <v>871416.24943019019</v>
      </c>
      <c r="O71" s="23">
        <f ca="1">'GS &lt; 50 OLS Model'!$B$7*E71</f>
        <v>18395.882593743478</v>
      </c>
      <c r="P71" s="23">
        <f>'GS &lt; 50 OLS Model'!$B$8*F71</f>
        <v>-513990.11808305845</v>
      </c>
      <c r="Q71" s="23">
        <f>'GS &lt; 50 OLS Model'!$B$9*G71</f>
        <v>10513135.901195137</v>
      </c>
      <c r="R71" s="23">
        <f>'GS &lt; 50 OLS Model'!$B$10*H71</f>
        <v>893150.55620657699</v>
      </c>
      <c r="S71" s="23">
        <f>'GS &lt; 50 OLS Model'!$B$11*I71</f>
        <v>-173591.250541696</v>
      </c>
      <c r="T71" s="23">
        <f>'GS &lt; 50 OLS Model'!$B$12*J71</f>
        <v>0</v>
      </c>
      <c r="U71" s="23">
        <f>'GS &lt; 50 OLS Model'!$B$13*K71</f>
        <v>0</v>
      </c>
      <c r="V71" s="23">
        <f t="shared" ca="1" si="6"/>
        <v>6961558.2590032984</v>
      </c>
    </row>
    <row r="72" spans="1:22" x14ac:dyDescent="0.25">
      <c r="A72" s="11">
        <v>41944</v>
      </c>
      <c r="B72" s="6">
        <f t="shared" si="8"/>
        <v>2014</v>
      </c>
      <c r="C72" s="30">
        <f>'Monthly Data'!E72</f>
        <v>7525140.5691000018</v>
      </c>
      <c r="D72">
        <f t="shared" ca="1" si="7"/>
        <v>444.05</v>
      </c>
      <c r="E72">
        <f t="shared" ca="1" si="7"/>
        <v>0</v>
      </c>
      <c r="F72" s="30">
        <f>'Monthly Data'!S72</f>
        <v>71</v>
      </c>
      <c r="G72" s="30">
        <f>'Monthly Data'!U72</f>
        <v>2985</v>
      </c>
      <c r="H72" s="30">
        <f>'Monthly Data'!Y72</f>
        <v>1</v>
      </c>
      <c r="I72" s="30">
        <f>'Monthly Data'!AE72</f>
        <v>1</v>
      </c>
      <c r="J72" s="30">
        <f>'Monthly Data'!AF72</f>
        <v>0</v>
      </c>
      <c r="K72" s="30">
        <f>'Monthly Data'!AG72</f>
        <v>0</v>
      </c>
      <c r="M72" s="23">
        <f>'GS &lt; 50 OLS Model'!$B$5</f>
        <v>-4820550.2123392904</v>
      </c>
      <c r="N72" s="23">
        <f ca="1">'GS &lt; 50 OLS Model'!$B$6*D72</f>
        <v>1431566.3542710911</v>
      </c>
      <c r="O72" s="23">
        <f ca="1">'GS &lt; 50 OLS Model'!$B$7*E72</f>
        <v>0</v>
      </c>
      <c r="P72" s="23">
        <f>'GS &lt; 50 OLS Model'!$B$8*F72</f>
        <v>-521332.83405567356</v>
      </c>
      <c r="Q72" s="23">
        <f>'GS &lt; 50 OLS Model'!$B$9*G72</f>
        <v>10516659.070062829</v>
      </c>
      <c r="R72" s="23">
        <f>'GS &lt; 50 OLS Model'!$B$10*H72</f>
        <v>893150.55620657699</v>
      </c>
      <c r="S72" s="23">
        <f>'GS &lt; 50 OLS Model'!$B$11*I72</f>
        <v>-173591.250541696</v>
      </c>
      <c r="T72" s="23">
        <f>'GS &lt; 50 OLS Model'!$B$12*J72</f>
        <v>0</v>
      </c>
      <c r="U72" s="23">
        <f>'GS &lt; 50 OLS Model'!$B$13*K72</f>
        <v>0</v>
      </c>
      <c r="V72" s="23">
        <f t="shared" ca="1" si="6"/>
        <v>7499492.9341455325</v>
      </c>
    </row>
    <row r="73" spans="1:22" x14ac:dyDescent="0.25">
      <c r="A73" s="11">
        <v>41974</v>
      </c>
      <c r="B73" s="6">
        <f t="shared" si="8"/>
        <v>2014</v>
      </c>
      <c r="C73" s="30">
        <f>'Monthly Data'!E73</f>
        <v>8312820.2866000012</v>
      </c>
      <c r="D73">
        <f t="shared" ca="1" si="7"/>
        <v>684.01</v>
      </c>
      <c r="E73">
        <f t="shared" ca="1" si="7"/>
        <v>0</v>
      </c>
      <c r="F73" s="30">
        <f>'Monthly Data'!S73</f>
        <v>72</v>
      </c>
      <c r="G73" s="30">
        <f>'Monthly Data'!U73</f>
        <v>2981</v>
      </c>
      <c r="H73" s="30">
        <f>'Monthly Data'!Y73</f>
        <v>1</v>
      </c>
      <c r="I73" s="30">
        <f>'Monthly Data'!AE73</f>
        <v>0</v>
      </c>
      <c r="J73" s="30">
        <f>'Monthly Data'!AF73</f>
        <v>0</v>
      </c>
      <c r="K73" s="30">
        <f>'Monthly Data'!AG73</f>
        <v>0</v>
      </c>
      <c r="M73" s="23">
        <f>'GS &lt; 50 OLS Model'!$B$5</f>
        <v>-4820550.2123392904</v>
      </c>
      <c r="N73" s="23">
        <f ca="1">'GS &lt; 50 OLS Model'!$B$6*D73</f>
        <v>2205169.9177681995</v>
      </c>
      <c r="O73" s="23">
        <f ca="1">'GS &lt; 50 OLS Model'!$B$7*E73</f>
        <v>0</v>
      </c>
      <c r="P73" s="23">
        <f>'GS &lt; 50 OLS Model'!$B$8*F73</f>
        <v>-528675.55002828862</v>
      </c>
      <c r="Q73" s="23">
        <f>'GS &lt; 50 OLS Model'!$B$9*G73</f>
        <v>10502566.394592058</v>
      </c>
      <c r="R73" s="23">
        <f>'GS &lt; 50 OLS Model'!$B$10*H73</f>
        <v>893150.55620657699</v>
      </c>
      <c r="S73" s="23">
        <f>'GS &lt; 50 OLS Model'!$B$11*I73</f>
        <v>0</v>
      </c>
      <c r="T73" s="23">
        <f>'GS &lt; 50 OLS Model'!$B$12*J73</f>
        <v>0</v>
      </c>
      <c r="U73" s="23">
        <f>'GS &lt; 50 OLS Model'!$B$13*K73</f>
        <v>0</v>
      </c>
      <c r="V73" s="23">
        <f t="shared" ca="1" si="6"/>
        <v>8251661.1061992552</v>
      </c>
    </row>
    <row r="74" spans="1:22" x14ac:dyDescent="0.25">
      <c r="A74" s="11">
        <v>42005</v>
      </c>
      <c r="B74" s="6">
        <f t="shared" si="8"/>
        <v>2015</v>
      </c>
      <c r="D74">
        <f t="shared" ca="1" si="7"/>
        <v>784.29</v>
      </c>
      <c r="E74">
        <f t="shared" ca="1" si="7"/>
        <v>0</v>
      </c>
      <c r="F74" s="30">
        <f>'Monthly Data'!S74</f>
        <v>0</v>
      </c>
      <c r="G74" s="82">
        <f>SUMIF('Connection count GS Adjusted '!B:B,B74,'Connection count GS Adjusted '!H:H)</f>
        <v>3000.3728711861681</v>
      </c>
      <c r="H74" s="30">
        <f t="shared" ref="H74:K93" si="9">H62</f>
        <v>1</v>
      </c>
      <c r="I74" s="30">
        <f t="shared" si="9"/>
        <v>0</v>
      </c>
      <c r="J74" s="30">
        <f t="shared" si="9"/>
        <v>0</v>
      </c>
      <c r="K74" s="30">
        <f t="shared" si="9"/>
        <v>0</v>
      </c>
      <c r="M74" s="23">
        <f>'GS &lt; 50 OLS Model'!$B$5</f>
        <v>-4820550.2123392904</v>
      </c>
      <c r="N74" s="23">
        <f ca="1">'GS &lt; 50 OLS Model'!$B$6*D74</f>
        <v>2528461.1552556558</v>
      </c>
      <c r="O74" s="23">
        <f ca="1">'GS &lt; 50 OLS Model'!$B$7*E74</f>
        <v>0</v>
      </c>
      <c r="P74" s="23">
        <f>'GS &lt; 50 OLS Model'!$B$8*F74</f>
        <v>0</v>
      </c>
      <c r="Q74" s="23">
        <f>'GS &lt; 50 OLS Model'!$B$9*G74</f>
        <v>10570820.291232988</v>
      </c>
      <c r="R74" s="23">
        <f>'GS &lt; 50 OLS Model'!$B$10*H74</f>
        <v>893150.55620657699</v>
      </c>
      <c r="S74" s="23">
        <f>'GS &lt; 50 OLS Model'!$B$11*I74</f>
        <v>0</v>
      </c>
      <c r="T74" s="23">
        <f>'GS &lt; 50 OLS Model'!$B$12*J74</f>
        <v>0</v>
      </c>
      <c r="U74" s="23">
        <f>'GS &lt; 50 OLS Model'!$B$13*K74</f>
        <v>0</v>
      </c>
      <c r="V74" s="23">
        <f t="shared" ca="1" si="6"/>
        <v>9171881.7903559301</v>
      </c>
    </row>
    <row r="75" spans="1:22" x14ac:dyDescent="0.25">
      <c r="A75" s="11">
        <v>42036</v>
      </c>
      <c r="B75" s="6">
        <f t="shared" si="8"/>
        <v>2015</v>
      </c>
      <c r="D75">
        <f t="shared" ca="1" si="7"/>
        <v>682.50999999999988</v>
      </c>
      <c r="E75">
        <f t="shared" ca="1" si="7"/>
        <v>0</v>
      </c>
      <c r="F75" s="30">
        <f>'Monthly Data'!S75</f>
        <v>0</v>
      </c>
      <c r="G75" s="82">
        <f>SUMIF('Connection count GS Adjusted '!B:B,B75,'Connection count GS Adjusted '!H:H)</f>
        <v>3000.3728711861681</v>
      </c>
      <c r="H75" s="30">
        <f t="shared" si="9"/>
        <v>1</v>
      </c>
      <c r="I75" s="30">
        <f t="shared" si="9"/>
        <v>0</v>
      </c>
      <c r="J75" s="30">
        <f t="shared" si="9"/>
        <v>1</v>
      </c>
      <c r="K75" s="30">
        <f t="shared" si="9"/>
        <v>0</v>
      </c>
      <c r="M75" s="23">
        <f>'GS &lt; 50 OLS Model'!$B$5</f>
        <v>-4820550.2123392904</v>
      </c>
      <c r="N75" s="23">
        <f ca="1">'GS &lt; 50 OLS Model'!$B$6*D75</f>
        <v>2200334.0895249685</v>
      </c>
      <c r="O75" s="23">
        <f ca="1">'GS &lt; 50 OLS Model'!$B$7*E75</f>
        <v>0</v>
      </c>
      <c r="P75" s="23">
        <f>'GS &lt; 50 OLS Model'!$B$8*F75</f>
        <v>0</v>
      </c>
      <c r="Q75" s="23">
        <f>'GS &lt; 50 OLS Model'!$B$9*G75</f>
        <v>10570820.291232988</v>
      </c>
      <c r="R75" s="23">
        <f>'GS &lt; 50 OLS Model'!$B$10*H75</f>
        <v>893150.55620657699</v>
      </c>
      <c r="S75" s="23">
        <f>'GS &lt; 50 OLS Model'!$B$11*I75</f>
        <v>0</v>
      </c>
      <c r="T75" s="23">
        <f>'GS &lt; 50 OLS Model'!$B$12*J75</f>
        <v>-323195.56340474403</v>
      </c>
      <c r="U75" s="23">
        <f>'GS &lt; 50 OLS Model'!$B$13*K75</f>
        <v>0</v>
      </c>
      <c r="V75" s="23">
        <f t="shared" ca="1" si="6"/>
        <v>8843754.7246252429</v>
      </c>
    </row>
    <row r="76" spans="1:22" x14ac:dyDescent="0.25">
      <c r="A76" s="11">
        <v>42064</v>
      </c>
      <c r="B76" s="6">
        <f t="shared" si="8"/>
        <v>2015</v>
      </c>
      <c r="D76">
        <f t="shared" ca="1" si="7"/>
        <v>556.99</v>
      </c>
      <c r="E76">
        <f t="shared" ca="1" si="7"/>
        <v>0</v>
      </c>
      <c r="F76" s="30">
        <f>'Monthly Data'!S76</f>
        <v>0</v>
      </c>
      <c r="G76" s="82">
        <f>SUMIF('Connection count GS Adjusted '!B:B,B76,'Connection count GS Adjusted '!H:H)</f>
        <v>3000.3728711861681</v>
      </c>
      <c r="H76" s="30">
        <f t="shared" si="9"/>
        <v>1</v>
      </c>
      <c r="I76" s="30">
        <f t="shared" si="9"/>
        <v>0</v>
      </c>
      <c r="J76" s="30">
        <f t="shared" si="9"/>
        <v>0</v>
      </c>
      <c r="K76" s="30">
        <f t="shared" si="9"/>
        <v>0</v>
      </c>
      <c r="M76" s="23">
        <f>'GS &lt; 50 OLS Model'!$B$5</f>
        <v>-4820550.2123392904</v>
      </c>
      <c r="N76" s="23">
        <f ca="1">'GS &lt; 50 OLS Model'!$B$6*D76</f>
        <v>1795671.9821314155</v>
      </c>
      <c r="O76" s="23">
        <f ca="1">'GS &lt; 50 OLS Model'!$B$7*E76</f>
        <v>0</v>
      </c>
      <c r="P76" s="23">
        <f>'GS &lt; 50 OLS Model'!$B$8*F76</f>
        <v>0</v>
      </c>
      <c r="Q76" s="23">
        <f>'GS &lt; 50 OLS Model'!$B$9*G76</f>
        <v>10570820.291232988</v>
      </c>
      <c r="R76" s="23">
        <f>'GS &lt; 50 OLS Model'!$B$10*H76</f>
        <v>893150.55620657699</v>
      </c>
      <c r="S76" s="23">
        <f>'GS &lt; 50 OLS Model'!$B$11*I76</f>
        <v>0</v>
      </c>
      <c r="T76" s="23">
        <f>'GS &lt; 50 OLS Model'!$B$12*J76</f>
        <v>0</v>
      </c>
      <c r="U76" s="23">
        <f>'GS &lt; 50 OLS Model'!$B$13*K76</f>
        <v>0</v>
      </c>
      <c r="V76" s="23">
        <f t="shared" ca="1" si="6"/>
        <v>8439092.6172316894</v>
      </c>
    </row>
    <row r="77" spans="1:22" x14ac:dyDescent="0.25">
      <c r="A77" s="11">
        <v>42095</v>
      </c>
      <c r="B77" s="6">
        <f t="shared" si="8"/>
        <v>2015</v>
      </c>
      <c r="D77">
        <f t="shared" ca="1" si="7"/>
        <v>326.58999999999997</v>
      </c>
      <c r="E77">
        <f t="shared" ca="1" si="7"/>
        <v>0.39</v>
      </c>
      <c r="F77" s="30">
        <f>'Monthly Data'!S77</f>
        <v>0</v>
      </c>
      <c r="G77" s="82">
        <f>SUMIF('Connection count GS Adjusted '!B:B,B77,'Connection count GS Adjusted '!H:H)</f>
        <v>3000.3728711861681</v>
      </c>
      <c r="H77" s="30">
        <f t="shared" si="9"/>
        <v>1</v>
      </c>
      <c r="I77" s="30">
        <f t="shared" si="9"/>
        <v>0</v>
      </c>
      <c r="J77" s="30">
        <f t="shared" si="9"/>
        <v>0</v>
      </c>
      <c r="K77" s="30">
        <f t="shared" si="9"/>
        <v>1</v>
      </c>
      <c r="M77" s="23">
        <f>'GS &lt; 50 OLS Model'!$B$5</f>
        <v>-4820550.2123392904</v>
      </c>
      <c r="N77" s="23">
        <f ca="1">'GS &lt; 50 OLS Model'!$B$6*D77</f>
        <v>1052888.7639711646</v>
      </c>
      <c r="O77" s="23">
        <f ca="1">'GS &lt; 50 OLS Model'!$B$7*E77</f>
        <v>5929.2514145123614</v>
      </c>
      <c r="P77" s="23">
        <f>'GS &lt; 50 OLS Model'!$B$8*F77</f>
        <v>0</v>
      </c>
      <c r="Q77" s="23">
        <f>'GS &lt; 50 OLS Model'!$B$9*G77</f>
        <v>10570820.291232988</v>
      </c>
      <c r="R77" s="23">
        <f>'GS &lt; 50 OLS Model'!$B$10*H77</f>
        <v>893150.55620657699</v>
      </c>
      <c r="S77" s="23">
        <f>'GS &lt; 50 OLS Model'!$B$11*I77</f>
        <v>0</v>
      </c>
      <c r="T77" s="23">
        <f>'GS &lt; 50 OLS Model'!$B$12*J77</f>
        <v>0</v>
      </c>
      <c r="U77" s="23">
        <f>'GS &lt; 50 OLS Model'!$B$13*K77</f>
        <v>-425159.68663676298</v>
      </c>
      <c r="V77" s="23">
        <f t="shared" ca="1" si="6"/>
        <v>7702238.6504859515</v>
      </c>
    </row>
    <row r="78" spans="1:22" x14ac:dyDescent="0.25">
      <c r="A78" s="11">
        <v>42125</v>
      </c>
      <c r="B78" s="6">
        <f t="shared" si="8"/>
        <v>2015</v>
      </c>
      <c r="D78">
        <f t="shared" ca="1" si="7"/>
        <v>144.96</v>
      </c>
      <c r="E78">
        <f t="shared" ca="1" si="7"/>
        <v>8.67</v>
      </c>
      <c r="F78" s="30">
        <f>'Monthly Data'!S78</f>
        <v>0</v>
      </c>
      <c r="G78" s="82">
        <f>SUMIF('Connection count GS Adjusted '!B:B,B78,'Connection count GS Adjusted '!H:H)</f>
        <v>3000.3728711861681</v>
      </c>
      <c r="H78" s="30">
        <f t="shared" si="9"/>
        <v>1</v>
      </c>
      <c r="I78" s="30">
        <f t="shared" si="9"/>
        <v>0</v>
      </c>
      <c r="J78" s="30">
        <f t="shared" si="9"/>
        <v>0</v>
      </c>
      <c r="K78" s="30">
        <f t="shared" si="9"/>
        <v>0</v>
      </c>
      <c r="M78" s="23">
        <f>'GS &lt; 50 OLS Model'!$B$5</f>
        <v>-4820550.2123392904</v>
      </c>
      <c r="N78" s="23">
        <f ca="1">'GS &lt; 50 OLS Model'!$B$6*D78</f>
        <v>467334.44142582454</v>
      </c>
      <c r="O78" s="23">
        <f ca="1">'GS &lt; 50 OLS Model'!$B$7*E78</f>
        <v>131811.81990723632</v>
      </c>
      <c r="P78" s="23">
        <f>'GS &lt; 50 OLS Model'!$B$8*F78</f>
        <v>0</v>
      </c>
      <c r="Q78" s="23">
        <f>'GS &lt; 50 OLS Model'!$B$9*G78</f>
        <v>10570820.291232988</v>
      </c>
      <c r="R78" s="23">
        <f>'GS &lt; 50 OLS Model'!$B$10*H78</f>
        <v>893150.55620657699</v>
      </c>
      <c r="S78" s="23">
        <f>'GS &lt; 50 OLS Model'!$B$11*I78</f>
        <v>0</v>
      </c>
      <c r="T78" s="23">
        <f>'GS &lt; 50 OLS Model'!$B$12*J78</f>
        <v>0</v>
      </c>
      <c r="U78" s="23">
        <f>'GS &lt; 50 OLS Model'!$B$13*K78</f>
        <v>0</v>
      </c>
      <c r="V78" s="23">
        <f t="shared" ca="1" si="6"/>
        <v>7242566.8964333348</v>
      </c>
    </row>
    <row r="79" spans="1:22" x14ac:dyDescent="0.25">
      <c r="A79" s="11">
        <v>42156</v>
      </c>
      <c r="B79" s="6">
        <f t="shared" si="8"/>
        <v>2015</v>
      </c>
      <c r="D79">
        <f t="shared" ref="D79:E94" ca="1" si="10">D67</f>
        <v>41.510000000000005</v>
      </c>
      <c r="E79">
        <f t="shared" ca="1" si="10"/>
        <v>44.41</v>
      </c>
      <c r="F79" s="30">
        <f>'Monthly Data'!S79</f>
        <v>0</v>
      </c>
      <c r="G79" s="82">
        <f>SUMIF('Connection count GS Adjusted '!B:B,B79,'Connection count GS Adjusted '!H:H)</f>
        <v>3000.3728711861681</v>
      </c>
      <c r="H79" s="30">
        <f t="shared" si="9"/>
        <v>1</v>
      </c>
      <c r="I79" s="30">
        <f t="shared" si="9"/>
        <v>0</v>
      </c>
      <c r="J79" s="30">
        <f t="shared" si="9"/>
        <v>0</v>
      </c>
      <c r="K79" s="30">
        <f t="shared" si="9"/>
        <v>0</v>
      </c>
      <c r="M79" s="23">
        <f>'GS &lt; 50 OLS Model'!$B$5</f>
        <v>-4820550.2123392904</v>
      </c>
      <c r="N79" s="23">
        <f ca="1">'GS &lt; 50 OLS Model'!$B$6*D79</f>
        <v>133823.4869176737</v>
      </c>
      <c r="O79" s="23">
        <f ca="1">'GS &lt; 50 OLS Model'!$B$7*E79</f>
        <v>675174.50081665104</v>
      </c>
      <c r="P79" s="23">
        <f>'GS &lt; 50 OLS Model'!$B$8*F79</f>
        <v>0</v>
      </c>
      <c r="Q79" s="23">
        <f>'GS &lt; 50 OLS Model'!$B$9*G79</f>
        <v>10570820.291232988</v>
      </c>
      <c r="R79" s="23">
        <f>'GS &lt; 50 OLS Model'!$B$10*H79</f>
        <v>893150.55620657699</v>
      </c>
      <c r="S79" s="23">
        <f>'GS &lt; 50 OLS Model'!$B$11*I79</f>
        <v>0</v>
      </c>
      <c r="T79" s="23">
        <f>'GS &lt; 50 OLS Model'!$B$12*J79</f>
        <v>0</v>
      </c>
      <c r="U79" s="23">
        <f>'GS &lt; 50 OLS Model'!$B$13*K79</f>
        <v>0</v>
      </c>
      <c r="V79" s="23">
        <f t="shared" ca="1" si="6"/>
        <v>7452418.6228345986</v>
      </c>
    </row>
    <row r="80" spans="1:22" x14ac:dyDescent="0.25">
      <c r="A80" s="11">
        <v>42186</v>
      </c>
      <c r="B80" s="6">
        <f t="shared" si="8"/>
        <v>2015</v>
      </c>
      <c r="D80">
        <f t="shared" ca="1" si="10"/>
        <v>5.01</v>
      </c>
      <c r="E80">
        <f t="shared" ca="1" si="10"/>
        <v>96.909999999999982</v>
      </c>
      <c r="F80" s="30">
        <f>'Monthly Data'!S80</f>
        <v>0</v>
      </c>
      <c r="G80" s="82">
        <f>SUMIF('Connection count GS Adjusted '!B:B,B80,'Connection count GS Adjusted '!H:H)</f>
        <v>3000.3728711861681</v>
      </c>
      <c r="H80" s="30">
        <f t="shared" si="9"/>
        <v>1</v>
      </c>
      <c r="I80" s="30">
        <f t="shared" si="9"/>
        <v>0</v>
      </c>
      <c r="J80" s="30">
        <f t="shared" si="9"/>
        <v>0</v>
      </c>
      <c r="K80" s="30">
        <f t="shared" si="9"/>
        <v>0</v>
      </c>
      <c r="M80" s="23">
        <f>'GS &lt; 50 OLS Model'!$B$5</f>
        <v>-4820550.2123392904</v>
      </c>
      <c r="N80" s="23">
        <f ca="1">'GS &lt; 50 OLS Model'!$B$6*D80</f>
        <v>16151.666332390871</v>
      </c>
      <c r="O80" s="23">
        <f ca="1">'GS &lt; 50 OLS Model'!$B$7*E80</f>
        <v>1473342.9604625455</v>
      </c>
      <c r="P80" s="23">
        <f>'GS &lt; 50 OLS Model'!$B$8*F80</f>
        <v>0</v>
      </c>
      <c r="Q80" s="23">
        <f>'GS &lt; 50 OLS Model'!$B$9*G80</f>
        <v>10570820.291232988</v>
      </c>
      <c r="R80" s="23">
        <f>'GS &lt; 50 OLS Model'!$B$10*H80</f>
        <v>893150.55620657699</v>
      </c>
      <c r="S80" s="23">
        <f>'GS &lt; 50 OLS Model'!$B$11*I80</f>
        <v>0</v>
      </c>
      <c r="T80" s="23">
        <f>'GS &lt; 50 OLS Model'!$B$12*J80</f>
        <v>0</v>
      </c>
      <c r="U80" s="23">
        <f>'GS &lt; 50 OLS Model'!$B$13*K80</f>
        <v>0</v>
      </c>
      <c r="V80" s="23">
        <f t="shared" ca="1" si="6"/>
        <v>8132915.2618952114</v>
      </c>
    </row>
    <row r="81" spans="1:22" x14ac:dyDescent="0.25">
      <c r="A81" s="11">
        <v>42217</v>
      </c>
      <c r="B81" s="6">
        <f t="shared" si="8"/>
        <v>2015</v>
      </c>
      <c r="D81">
        <f t="shared" ca="1" si="10"/>
        <v>12.719999999999999</v>
      </c>
      <c r="E81">
        <f t="shared" ca="1" si="10"/>
        <v>77.22999999999999</v>
      </c>
      <c r="F81" s="30">
        <f>'Monthly Data'!S81</f>
        <v>0</v>
      </c>
      <c r="G81" s="82">
        <f>SUMIF('Connection count GS Adjusted '!B:B,B81,'Connection count GS Adjusted '!H:H)</f>
        <v>3000.3728711861681</v>
      </c>
      <c r="H81" s="30">
        <f t="shared" si="9"/>
        <v>1</v>
      </c>
      <c r="I81" s="30">
        <f t="shared" si="9"/>
        <v>0</v>
      </c>
      <c r="J81" s="30">
        <f t="shared" si="9"/>
        <v>0</v>
      </c>
      <c r="K81" s="30">
        <f t="shared" si="9"/>
        <v>0</v>
      </c>
      <c r="M81" s="23">
        <f>'GS &lt; 50 OLS Model'!$B$5</f>
        <v>-4820550.2123392904</v>
      </c>
      <c r="N81" s="23">
        <f ca="1">'GS &lt; 50 OLS Model'!$B$6*D81</f>
        <v>41007.823502597181</v>
      </c>
      <c r="O81" s="23">
        <f ca="1">'GS &lt; 50 OLS Model'!$B$7*E81</f>
        <v>1174143.8121609988</v>
      </c>
      <c r="P81" s="23">
        <f>'GS &lt; 50 OLS Model'!$B$8*F81</f>
        <v>0</v>
      </c>
      <c r="Q81" s="23">
        <f>'GS &lt; 50 OLS Model'!$B$9*G81</f>
        <v>10570820.291232988</v>
      </c>
      <c r="R81" s="23">
        <f>'GS &lt; 50 OLS Model'!$B$10*H81</f>
        <v>893150.55620657699</v>
      </c>
      <c r="S81" s="23">
        <f>'GS &lt; 50 OLS Model'!$B$11*I81</f>
        <v>0</v>
      </c>
      <c r="T81" s="23">
        <f>'GS &lt; 50 OLS Model'!$B$12*J81</f>
        <v>0</v>
      </c>
      <c r="U81" s="23">
        <f>'GS &lt; 50 OLS Model'!$B$13*K81</f>
        <v>0</v>
      </c>
      <c r="V81" s="23">
        <f t="shared" ca="1" si="6"/>
        <v>7858572.2707638703</v>
      </c>
    </row>
    <row r="82" spans="1:22" x14ac:dyDescent="0.25">
      <c r="A82" s="11">
        <v>42248</v>
      </c>
      <c r="B82" s="6">
        <f t="shared" si="8"/>
        <v>2015</v>
      </c>
      <c r="D82">
        <f t="shared" ca="1" si="10"/>
        <v>86.570000000000007</v>
      </c>
      <c r="E82">
        <f t="shared" ca="1" si="10"/>
        <v>19.899999999999999</v>
      </c>
      <c r="F82" s="30">
        <f>'Monthly Data'!S82</f>
        <v>0</v>
      </c>
      <c r="G82" s="82">
        <f>SUMIF('Connection count GS Adjusted '!B:B,B82,'Connection count GS Adjusted '!H:H)</f>
        <v>3000.3728711861681</v>
      </c>
      <c r="H82" s="30">
        <f t="shared" si="9"/>
        <v>1</v>
      </c>
      <c r="I82" s="30">
        <f t="shared" si="9"/>
        <v>1</v>
      </c>
      <c r="J82" s="30">
        <f t="shared" si="9"/>
        <v>0</v>
      </c>
      <c r="K82" s="30">
        <f t="shared" si="9"/>
        <v>0</v>
      </c>
      <c r="M82" s="23">
        <f>'GS &lt; 50 OLS Model'!$B$5</f>
        <v>-4820550.2123392904</v>
      </c>
      <c r="N82" s="23">
        <f ca="1">'GS &lt; 50 OLS Model'!$B$6*D82</f>
        <v>279091.76734432695</v>
      </c>
      <c r="O82" s="23">
        <f ca="1">'GS &lt; 50 OLS Model'!$B$7*E82</f>
        <v>302543.85422768199</v>
      </c>
      <c r="P82" s="23">
        <f>'GS &lt; 50 OLS Model'!$B$8*F82</f>
        <v>0</v>
      </c>
      <c r="Q82" s="23">
        <f>'GS &lt; 50 OLS Model'!$B$9*G82</f>
        <v>10570820.291232988</v>
      </c>
      <c r="R82" s="23">
        <f>'GS &lt; 50 OLS Model'!$B$10*H82</f>
        <v>893150.55620657699</v>
      </c>
      <c r="S82" s="23">
        <f>'GS &lt; 50 OLS Model'!$B$11*I82</f>
        <v>-173591.250541696</v>
      </c>
      <c r="T82" s="23">
        <f>'GS &lt; 50 OLS Model'!$B$12*J82</f>
        <v>0</v>
      </c>
      <c r="U82" s="23">
        <f>'GS &lt; 50 OLS Model'!$B$13*K82</f>
        <v>0</v>
      </c>
      <c r="V82" s="23">
        <f t="shared" ca="1" si="6"/>
        <v>7225056.2566722836</v>
      </c>
    </row>
    <row r="83" spans="1:22" x14ac:dyDescent="0.25">
      <c r="A83" s="11">
        <v>42278</v>
      </c>
      <c r="B83" s="6">
        <f t="shared" si="8"/>
        <v>2015</v>
      </c>
      <c r="D83">
        <f t="shared" ca="1" si="10"/>
        <v>270.3</v>
      </c>
      <c r="E83">
        <f t="shared" ca="1" si="10"/>
        <v>1.21</v>
      </c>
      <c r="F83" s="30">
        <f>'Monthly Data'!S83</f>
        <v>0</v>
      </c>
      <c r="G83" s="82">
        <f>SUMIF('Connection count GS Adjusted '!B:B,B83,'Connection count GS Adjusted '!H:H)</f>
        <v>3000.3728711861681</v>
      </c>
      <c r="H83" s="30">
        <f t="shared" si="9"/>
        <v>1</v>
      </c>
      <c r="I83" s="30">
        <f t="shared" si="9"/>
        <v>1</v>
      </c>
      <c r="J83" s="30">
        <f t="shared" si="9"/>
        <v>0</v>
      </c>
      <c r="K83" s="30">
        <f t="shared" si="9"/>
        <v>0</v>
      </c>
      <c r="M83" s="23">
        <f>'GS &lt; 50 OLS Model'!$B$5</f>
        <v>-4820550.2123392904</v>
      </c>
      <c r="N83" s="23">
        <f ca="1">'GS &lt; 50 OLS Model'!$B$6*D83</f>
        <v>871416.24943019019</v>
      </c>
      <c r="O83" s="23">
        <f ca="1">'GS &lt; 50 OLS Model'!$B$7*E83</f>
        <v>18395.882593743478</v>
      </c>
      <c r="P83" s="23">
        <f>'GS &lt; 50 OLS Model'!$B$8*F83</f>
        <v>0</v>
      </c>
      <c r="Q83" s="23">
        <f>'GS &lt; 50 OLS Model'!$B$9*G83</f>
        <v>10570820.291232988</v>
      </c>
      <c r="R83" s="23">
        <f>'GS &lt; 50 OLS Model'!$B$10*H83</f>
        <v>893150.55620657699</v>
      </c>
      <c r="S83" s="23">
        <f>'GS &lt; 50 OLS Model'!$B$11*I83</f>
        <v>-173591.250541696</v>
      </c>
      <c r="T83" s="23">
        <f>'GS &lt; 50 OLS Model'!$B$12*J83</f>
        <v>0</v>
      </c>
      <c r="U83" s="23">
        <f>'GS &lt; 50 OLS Model'!$B$13*K83</f>
        <v>0</v>
      </c>
      <c r="V83" s="23">
        <f t="shared" ca="1" si="6"/>
        <v>7533232.7671242077</v>
      </c>
    </row>
    <row r="84" spans="1:22" x14ac:dyDescent="0.25">
      <c r="A84" s="11">
        <v>42309</v>
      </c>
      <c r="B84" s="6">
        <f t="shared" si="8"/>
        <v>2015</v>
      </c>
      <c r="D84">
        <f t="shared" ca="1" si="10"/>
        <v>444.05</v>
      </c>
      <c r="E84">
        <f t="shared" ca="1" si="10"/>
        <v>0</v>
      </c>
      <c r="F84" s="30">
        <f>'Monthly Data'!S84</f>
        <v>0</v>
      </c>
      <c r="G84" s="82">
        <f>SUMIF('Connection count GS Adjusted '!B:B,B84,'Connection count GS Adjusted '!H:H)</f>
        <v>3000.3728711861681</v>
      </c>
      <c r="H84" s="30">
        <f t="shared" si="9"/>
        <v>1</v>
      </c>
      <c r="I84" s="30">
        <f t="shared" si="9"/>
        <v>1</v>
      </c>
      <c r="J84" s="30">
        <f t="shared" si="9"/>
        <v>0</v>
      </c>
      <c r="K84" s="30">
        <f t="shared" si="9"/>
        <v>0</v>
      </c>
      <c r="M84" s="23">
        <f>'GS &lt; 50 OLS Model'!$B$5</f>
        <v>-4820550.2123392904</v>
      </c>
      <c r="N84" s="23">
        <f ca="1">'GS &lt; 50 OLS Model'!$B$6*D84</f>
        <v>1431566.3542710911</v>
      </c>
      <c r="O84" s="23">
        <f ca="1">'GS &lt; 50 OLS Model'!$B$7*E84</f>
        <v>0</v>
      </c>
      <c r="P84" s="23">
        <f>'GS &lt; 50 OLS Model'!$B$8*F84</f>
        <v>0</v>
      </c>
      <c r="Q84" s="23">
        <f>'GS &lt; 50 OLS Model'!$B$9*G84</f>
        <v>10570820.291232988</v>
      </c>
      <c r="R84" s="23">
        <f>'GS &lt; 50 OLS Model'!$B$10*H84</f>
        <v>893150.55620657699</v>
      </c>
      <c r="S84" s="23">
        <f>'GS &lt; 50 OLS Model'!$B$11*I84</f>
        <v>-173591.250541696</v>
      </c>
      <c r="T84" s="23">
        <f>'GS &lt; 50 OLS Model'!$B$12*J84</f>
        <v>0</v>
      </c>
      <c r="U84" s="23">
        <f>'GS &lt; 50 OLS Model'!$B$13*K84</f>
        <v>0</v>
      </c>
      <c r="V84" s="23">
        <f t="shared" ca="1" si="6"/>
        <v>8074986.9893713649</v>
      </c>
    </row>
    <row r="85" spans="1:22" x14ac:dyDescent="0.25">
      <c r="A85" s="11">
        <v>42339</v>
      </c>
      <c r="B85" s="6">
        <f t="shared" si="8"/>
        <v>2015</v>
      </c>
      <c r="D85">
        <f t="shared" ca="1" si="10"/>
        <v>684.01</v>
      </c>
      <c r="E85">
        <f t="shared" ca="1" si="10"/>
        <v>0</v>
      </c>
      <c r="F85" s="30">
        <f>'Monthly Data'!S85</f>
        <v>0</v>
      </c>
      <c r="G85" s="82">
        <f>SUMIF('Connection count GS Adjusted '!B:B,B85,'Connection count GS Adjusted '!H:H)</f>
        <v>3000.3728711861681</v>
      </c>
      <c r="H85" s="30">
        <f t="shared" si="9"/>
        <v>1</v>
      </c>
      <c r="I85" s="30">
        <f t="shared" si="9"/>
        <v>0</v>
      </c>
      <c r="J85" s="30">
        <f t="shared" si="9"/>
        <v>0</v>
      </c>
      <c r="K85" s="30">
        <f t="shared" si="9"/>
        <v>0</v>
      </c>
      <c r="M85" s="23">
        <f>'GS &lt; 50 OLS Model'!$B$5</f>
        <v>-4820550.2123392904</v>
      </c>
      <c r="N85" s="23">
        <f ca="1">'GS &lt; 50 OLS Model'!$B$6*D85</f>
        <v>2205169.9177681995</v>
      </c>
      <c r="O85" s="23">
        <f ca="1">'GS &lt; 50 OLS Model'!$B$7*E85</f>
        <v>0</v>
      </c>
      <c r="P85" s="23">
        <f>'GS &lt; 50 OLS Model'!$B$8*F85</f>
        <v>0</v>
      </c>
      <c r="Q85" s="23">
        <f>'GS &lt; 50 OLS Model'!$B$9*G85</f>
        <v>10570820.291232988</v>
      </c>
      <c r="R85" s="23">
        <f>'GS &lt; 50 OLS Model'!$B$10*H85</f>
        <v>893150.55620657699</v>
      </c>
      <c r="S85" s="23">
        <f>'GS &lt; 50 OLS Model'!$B$11*I85</f>
        <v>0</v>
      </c>
      <c r="T85" s="23">
        <f>'GS &lt; 50 OLS Model'!$B$12*J85</f>
        <v>0</v>
      </c>
      <c r="U85" s="23">
        <f>'GS &lt; 50 OLS Model'!$B$13*K85</f>
        <v>0</v>
      </c>
      <c r="V85" s="23">
        <f t="shared" ca="1" si="6"/>
        <v>8848590.5528684743</v>
      </c>
    </row>
    <row r="86" spans="1:22" x14ac:dyDescent="0.25">
      <c r="A86" s="11">
        <v>42370</v>
      </c>
      <c r="B86" s="6">
        <f t="shared" si="8"/>
        <v>2016</v>
      </c>
      <c r="D86">
        <f t="shared" ca="1" si="10"/>
        <v>784.29</v>
      </c>
      <c r="E86">
        <f t="shared" ca="1" si="10"/>
        <v>0</v>
      </c>
      <c r="F86" s="30">
        <f>'Monthly Data'!S86</f>
        <v>0</v>
      </c>
      <c r="G86" s="82">
        <f>SUMIF('Connection count GS Adjusted '!B:B,B86,'Connection count GS Adjusted '!H:H)</f>
        <v>2950.2635021247315</v>
      </c>
      <c r="H86" s="30">
        <f t="shared" si="9"/>
        <v>1</v>
      </c>
      <c r="I86" s="30">
        <f t="shared" si="9"/>
        <v>0</v>
      </c>
      <c r="J86" s="30">
        <f t="shared" si="9"/>
        <v>0</v>
      </c>
      <c r="K86" s="30">
        <f t="shared" si="9"/>
        <v>0</v>
      </c>
      <c r="M86" s="23">
        <f>'GS &lt; 50 OLS Model'!$B$5</f>
        <v>-4820550.2123392904</v>
      </c>
      <c r="N86" s="23">
        <f ca="1">'GS &lt; 50 OLS Model'!$B$6*D86</f>
        <v>2528461.1552556558</v>
      </c>
      <c r="O86" s="23">
        <f ca="1">'GS &lt; 50 OLS Model'!$B$7*E86</f>
        <v>0</v>
      </c>
      <c r="P86" s="23">
        <f>'GS &lt; 50 OLS Model'!$B$8*F86</f>
        <v>0</v>
      </c>
      <c r="Q86" s="23">
        <f>'GS &lt; 50 OLS Model'!$B$9*G86</f>
        <v>10394276.522176009</v>
      </c>
      <c r="R86" s="23">
        <f>'GS &lt; 50 OLS Model'!$B$10*H86</f>
        <v>893150.55620657699</v>
      </c>
      <c r="S86" s="23">
        <f>'GS &lt; 50 OLS Model'!$B$11*I86</f>
        <v>0</v>
      </c>
      <c r="T86" s="23">
        <f>'GS &lt; 50 OLS Model'!$B$12*J86</f>
        <v>0</v>
      </c>
      <c r="U86" s="23">
        <f>'GS &lt; 50 OLS Model'!$B$13*K86</f>
        <v>0</v>
      </c>
      <c r="V86" s="23">
        <f t="shared" ca="1" si="6"/>
        <v>8995338.0212989505</v>
      </c>
    </row>
    <row r="87" spans="1:22" x14ac:dyDescent="0.25">
      <c r="A87" s="11">
        <v>42401</v>
      </c>
      <c r="B87" s="6">
        <f t="shared" si="8"/>
        <v>2016</v>
      </c>
      <c r="D87">
        <f t="shared" ca="1" si="10"/>
        <v>682.50999999999988</v>
      </c>
      <c r="E87">
        <f t="shared" ca="1" si="10"/>
        <v>0</v>
      </c>
      <c r="F87" s="30">
        <f>'Monthly Data'!S87</f>
        <v>0</v>
      </c>
      <c r="G87" s="82">
        <f>SUMIF('Connection count GS Adjusted '!B:B,B87,'Connection count GS Adjusted '!H:H)</f>
        <v>2950.2635021247315</v>
      </c>
      <c r="H87" s="30">
        <f t="shared" si="9"/>
        <v>1</v>
      </c>
      <c r="I87" s="30">
        <f t="shared" si="9"/>
        <v>0</v>
      </c>
      <c r="J87" s="30">
        <f t="shared" si="9"/>
        <v>1</v>
      </c>
      <c r="K87" s="30">
        <f t="shared" si="9"/>
        <v>0</v>
      </c>
      <c r="M87" s="23">
        <f>'GS &lt; 50 OLS Model'!$B$5</f>
        <v>-4820550.2123392904</v>
      </c>
      <c r="N87" s="23">
        <f ca="1">'GS &lt; 50 OLS Model'!$B$6*D87</f>
        <v>2200334.0895249685</v>
      </c>
      <c r="O87" s="23">
        <f ca="1">'GS &lt; 50 OLS Model'!$B$7*E87</f>
        <v>0</v>
      </c>
      <c r="P87" s="23">
        <f>'GS &lt; 50 OLS Model'!$B$8*F87</f>
        <v>0</v>
      </c>
      <c r="Q87" s="23">
        <f>'GS &lt; 50 OLS Model'!$B$9*G87</f>
        <v>10394276.522176009</v>
      </c>
      <c r="R87" s="23">
        <f>'GS &lt; 50 OLS Model'!$B$10*H87</f>
        <v>893150.55620657699</v>
      </c>
      <c r="S87" s="23">
        <f>'GS &lt; 50 OLS Model'!$B$11*I87</f>
        <v>0</v>
      </c>
      <c r="T87" s="23">
        <f>'GS &lt; 50 OLS Model'!$B$12*J87</f>
        <v>-323195.56340474403</v>
      </c>
      <c r="U87" s="23">
        <f>'GS &lt; 50 OLS Model'!$B$13*K87</f>
        <v>0</v>
      </c>
      <c r="V87" s="23">
        <f t="shared" ca="1" si="6"/>
        <v>8667210.9555682633</v>
      </c>
    </row>
    <row r="88" spans="1:22" x14ac:dyDescent="0.25">
      <c r="A88" s="11">
        <v>42430</v>
      </c>
      <c r="B88" s="6">
        <f t="shared" si="8"/>
        <v>2016</v>
      </c>
      <c r="D88">
        <f t="shared" ca="1" si="10"/>
        <v>556.99</v>
      </c>
      <c r="E88">
        <f t="shared" ca="1" si="10"/>
        <v>0</v>
      </c>
      <c r="F88" s="30">
        <f>'Monthly Data'!S88</f>
        <v>0</v>
      </c>
      <c r="G88" s="82">
        <f>SUMIF('Connection count GS Adjusted '!B:B,B88,'Connection count GS Adjusted '!H:H)</f>
        <v>2950.2635021247315</v>
      </c>
      <c r="H88" s="30">
        <f t="shared" si="9"/>
        <v>1</v>
      </c>
      <c r="I88" s="30">
        <f t="shared" si="9"/>
        <v>0</v>
      </c>
      <c r="J88" s="30">
        <f t="shared" si="9"/>
        <v>0</v>
      </c>
      <c r="K88" s="30">
        <f t="shared" si="9"/>
        <v>0</v>
      </c>
      <c r="M88" s="23">
        <f>'GS &lt; 50 OLS Model'!$B$5</f>
        <v>-4820550.2123392904</v>
      </c>
      <c r="N88" s="23">
        <f ca="1">'GS &lt; 50 OLS Model'!$B$6*D88</f>
        <v>1795671.9821314155</v>
      </c>
      <c r="O88" s="23">
        <f ca="1">'GS &lt; 50 OLS Model'!$B$7*E88</f>
        <v>0</v>
      </c>
      <c r="P88" s="23">
        <f>'GS &lt; 50 OLS Model'!$B$8*F88</f>
        <v>0</v>
      </c>
      <c r="Q88" s="23">
        <f>'GS &lt; 50 OLS Model'!$B$9*G88</f>
        <v>10394276.522176009</v>
      </c>
      <c r="R88" s="23">
        <f>'GS &lt; 50 OLS Model'!$B$10*H88</f>
        <v>893150.55620657699</v>
      </c>
      <c r="S88" s="23">
        <f>'GS &lt; 50 OLS Model'!$B$11*I88</f>
        <v>0</v>
      </c>
      <c r="T88" s="23">
        <f>'GS &lt; 50 OLS Model'!$B$12*J88</f>
        <v>0</v>
      </c>
      <c r="U88" s="23">
        <f>'GS &lt; 50 OLS Model'!$B$13*K88</f>
        <v>0</v>
      </c>
      <c r="V88" s="23">
        <f t="shared" ca="1" si="6"/>
        <v>8262548.8481747098</v>
      </c>
    </row>
    <row r="89" spans="1:22" x14ac:dyDescent="0.25">
      <c r="A89" s="11">
        <v>42461</v>
      </c>
      <c r="B89" s="6">
        <f t="shared" si="8"/>
        <v>2016</v>
      </c>
      <c r="D89">
        <f t="shared" ca="1" si="10"/>
        <v>326.58999999999997</v>
      </c>
      <c r="E89">
        <f t="shared" ca="1" si="10"/>
        <v>0.39</v>
      </c>
      <c r="F89" s="30">
        <f>'Monthly Data'!S89</f>
        <v>0</v>
      </c>
      <c r="G89" s="82">
        <f>SUMIF('Connection count GS Adjusted '!B:B,B89,'Connection count GS Adjusted '!H:H)</f>
        <v>2950.2635021247315</v>
      </c>
      <c r="H89" s="30">
        <f t="shared" si="9"/>
        <v>1</v>
      </c>
      <c r="I89" s="30">
        <f t="shared" si="9"/>
        <v>0</v>
      </c>
      <c r="J89" s="30">
        <f t="shared" si="9"/>
        <v>0</v>
      </c>
      <c r="K89" s="30">
        <f t="shared" si="9"/>
        <v>1</v>
      </c>
      <c r="M89" s="23">
        <f>'GS &lt; 50 OLS Model'!$B$5</f>
        <v>-4820550.2123392904</v>
      </c>
      <c r="N89" s="23">
        <f ca="1">'GS &lt; 50 OLS Model'!$B$6*D89</f>
        <v>1052888.7639711646</v>
      </c>
      <c r="O89" s="23">
        <f ca="1">'GS &lt; 50 OLS Model'!$B$7*E89</f>
        <v>5929.2514145123614</v>
      </c>
      <c r="P89" s="23">
        <f>'GS &lt; 50 OLS Model'!$B$8*F89</f>
        <v>0</v>
      </c>
      <c r="Q89" s="23">
        <f>'GS &lt; 50 OLS Model'!$B$9*G89</f>
        <v>10394276.522176009</v>
      </c>
      <c r="R89" s="23">
        <f>'GS &lt; 50 OLS Model'!$B$10*H89</f>
        <v>893150.55620657699</v>
      </c>
      <c r="S89" s="23">
        <f>'GS &lt; 50 OLS Model'!$B$11*I89</f>
        <v>0</v>
      </c>
      <c r="T89" s="23">
        <f>'GS &lt; 50 OLS Model'!$B$12*J89</f>
        <v>0</v>
      </c>
      <c r="U89" s="23">
        <f>'GS &lt; 50 OLS Model'!$B$13*K89</f>
        <v>-425159.68663676298</v>
      </c>
      <c r="V89" s="23">
        <f t="shared" ca="1" si="6"/>
        <v>7525694.8814289719</v>
      </c>
    </row>
    <row r="90" spans="1:22" x14ac:dyDescent="0.25">
      <c r="A90" s="11">
        <v>42491</v>
      </c>
      <c r="B90" s="6">
        <f t="shared" si="8"/>
        <v>2016</v>
      </c>
      <c r="D90">
        <f t="shared" ca="1" si="10"/>
        <v>144.96</v>
      </c>
      <c r="E90">
        <f t="shared" ca="1" si="10"/>
        <v>8.67</v>
      </c>
      <c r="F90" s="30">
        <f>'Monthly Data'!S90</f>
        <v>0</v>
      </c>
      <c r="G90" s="82">
        <f>SUMIF('Connection count GS Adjusted '!B:B,B90,'Connection count GS Adjusted '!H:H)</f>
        <v>2950.2635021247315</v>
      </c>
      <c r="H90" s="30">
        <f t="shared" si="9"/>
        <v>1</v>
      </c>
      <c r="I90" s="30">
        <f t="shared" si="9"/>
        <v>0</v>
      </c>
      <c r="J90" s="30">
        <f t="shared" si="9"/>
        <v>0</v>
      </c>
      <c r="K90" s="30">
        <f t="shared" si="9"/>
        <v>0</v>
      </c>
      <c r="M90" s="23">
        <f>'GS &lt; 50 OLS Model'!$B$5</f>
        <v>-4820550.2123392904</v>
      </c>
      <c r="N90" s="23">
        <f ca="1">'GS &lt; 50 OLS Model'!$B$6*D90</f>
        <v>467334.44142582454</v>
      </c>
      <c r="O90" s="23">
        <f ca="1">'GS &lt; 50 OLS Model'!$B$7*E90</f>
        <v>131811.81990723632</v>
      </c>
      <c r="P90" s="23">
        <f>'GS &lt; 50 OLS Model'!$B$8*F90</f>
        <v>0</v>
      </c>
      <c r="Q90" s="23">
        <f>'GS &lt; 50 OLS Model'!$B$9*G90</f>
        <v>10394276.522176009</v>
      </c>
      <c r="R90" s="23">
        <f>'GS &lt; 50 OLS Model'!$B$10*H90</f>
        <v>893150.55620657699</v>
      </c>
      <c r="S90" s="23">
        <f>'GS &lt; 50 OLS Model'!$B$11*I90</f>
        <v>0</v>
      </c>
      <c r="T90" s="23">
        <f>'GS &lt; 50 OLS Model'!$B$12*J90</f>
        <v>0</v>
      </c>
      <c r="U90" s="23">
        <f>'GS &lt; 50 OLS Model'!$B$13*K90</f>
        <v>0</v>
      </c>
      <c r="V90" s="23">
        <f t="shared" ca="1" si="6"/>
        <v>7066023.1273763552</v>
      </c>
    </row>
    <row r="91" spans="1:22" x14ac:dyDescent="0.25">
      <c r="A91" s="11">
        <v>42522</v>
      </c>
      <c r="B91" s="6">
        <f t="shared" si="8"/>
        <v>2016</v>
      </c>
      <c r="D91">
        <f t="shared" ca="1" si="10"/>
        <v>41.510000000000005</v>
      </c>
      <c r="E91">
        <f t="shared" ca="1" si="10"/>
        <v>44.41</v>
      </c>
      <c r="F91" s="30">
        <f>'Monthly Data'!S91</f>
        <v>0</v>
      </c>
      <c r="G91" s="82">
        <f>SUMIF('Connection count GS Adjusted '!B:B,B91,'Connection count GS Adjusted '!H:H)</f>
        <v>2950.2635021247315</v>
      </c>
      <c r="H91" s="30">
        <f t="shared" si="9"/>
        <v>1</v>
      </c>
      <c r="I91" s="30">
        <f t="shared" si="9"/>
        <v>0</v>
      </c>
      <c r="J91" s="30">
        <f t="shared" si="9"/>
        <v>0</v>
      </c>
      <c r="K91" s="30">
        <f t="shared" si="9"/>
        <v>0</v>
      </c>
      <c r="M91" s="23">
        <f>'GS &lt; 50 OLS Model'!$B$5</f>
        <v>-4820550.2123392904</v>
      </c>
      <c r="N91" s="23">
        <f ca="1">'GS &lt; 50 OLS Model'!$B$6*D91</f>
        <v>133823.4869176737</v>
      </c>
      <c r="O91" s="23">
        <f ca="1">'GS &lt; 50 OLS Model'!$B$7*E91</f>
        <v>675174.50081665104</v>
      </c>
      <c r="P91" s="23">
        <f>'GS &lt; 50 OLS Model'!$B$8*F91</f>
        <v>0</v>
      </c>
      <c r="Q91" s="23">
        <f>'GS &lt; 50 OLS Model'!$B$9*G91</f>
        <v>10394276.522176009</v>
      </c>
      <c r="R91" s="23">
        <f>'GS &lt; 50 OLS Model'!$B$10*H91</f>
        <v>893150.55620657699</v>
      </c>
      <c r="S91" s="23">
        <f>'GS &lt; 50 OLS Model'!$B$11*I91</f>
        <v>0</v>
      </c>
      <c r="T91" s="23">
        <f>'GS &lt; 50 OLS Model'!$B$12*J91</f>
        <v>0</v>
      </c>
      <c r="U91" s="23">
        <f>'GS &lt; 50 OLS Model'!$B$13*K91</f>
        <v>0</v>
      </c>
      <c r="V91" s="23">
        <f t="shared" ca="1" si="6"/>
        <v>7275874.8537776191</v>
      </c>
    </row>
    <row r="92" spans="1:22" x14ac:dyDescent="0.25">
      <c r="A92" s="11">
        <v>42552</v>
      </c>
      <c r="B92" s="6">
        <f t="shared" si="8"/>
        <v>2016</v>
      </c>
      <c r="D92">
        <f t="shared" ca="1" si="10"/>
        <v>5.01</v>
      </c>
      <c r="E92">
        <f t="shared" ca="1" si="10"/>
        <v>96.909999999999982</v>
      </c>
      <c r="F92" s="30">
        <f>'Monthly Data'!S92</f>
        <v>0</v>
      </c>
      <c r="G92" s="82">
        <f>SUMIF('Connection count GS Adjusted '!B:B,B92,'Connection count GS Adjusted '!H:H)</f>
        <v>2950.2635021247315</v>
      </c>
      <c r="H92" s="30">
        <f t="shared" si="9"/>
        <v>1</v>
      </c>
      <c r="I92" s="30">
        <f t="shared" si="9"/>
        <v>0</v>
      </c>
      <c r="J92" s="30">
        <f t="shared" si="9"/>
        <v>0</v>
      </c>
      <c r="K92" s="30">
        <f t="shared" si="9"/>
        <v>0</v>
      </c>
      <c r="M92" s="23">
        <f>'GS &lt; 50 OLS Model'!$B$5</f>
        <v>-4820550.2123392904</v>
      </c>
      <c r="N92" s="23">
        <f ca="1">'GS &lt; 50 OLS Model'!$B$6*D92</f>
        <v>16151.666332390871</v>
      </c>
      <c r="O92" s="23">
        <f ca="1">'GS &lt; 50 OLS Model'!$B$7*E92</f>
        <v>1473342.9604625455</v>
      </c>
      <c r="P92" s="23">
        <f>'GS &lt; 50 OLS Model'!$B$8*F92</f>
        <v>0</v>
      </c>
      <c r="Q92" s="23">
        <f>'GS &lt; 50 OLS Model'!$B$9*G92</f>
        <v>10394276.522176009</v>
      </c>
      <c r="R92" s="23">
        <f>'GS &lt; 50 OLS Model'!$B$10*H92</f>
        <v>893150.55620657699</v>
      </c>
      <c r="S92" s="23">
        <f>'GS &lt; 50 OLS Model'!$B$11*I92</f>
        <v>0</v>
      </c>
      <c r="T92" s="23">
        <f>'GS &lt; 50 OLS Model'!$B$12*J92</f>
        <v>0</v>
      </c>
      <c r="U92" s="23">
        <f>'GS &lt; 50 OLS Model'!$B$13*K92</f>
        <v>0</v>
      </c>
      <c r="V92" s="23">
        <f t="shared" ca="1" si="6"/>
        <v>7956371.4928382318</v>
      </c>
    </row>
    <row r="93" spans="1:22" x14ac:dyDescent="0.25">
      <c r="A93" s="11">
        <v>42583</v>
      </c>
      <c r="B93" s="6">
        <f t="shared" si="8"/>
        <v>2016</v>
      </c>
      <c r="D93">
        <f t="shared" ca="1" si="10"/>
        <v>12.719999999999999</v>
      </c>
      <c r="E93">
        <f t="shared" ca="1" si="10"/>
        <v>77.22999999999999</v>
      </c>
      <c r="F93" s="30">
        <f>'Monthly Data'!S93</f>
        <v>0</v>
      </c>
      <c r="G93" s="82">
        <f>SUMIF('Connection count GS Adjusted '!B:B,B93,'Connection count GS Adjusted '!H:H)</f>
        <v>2950.2635021247315</v>
      </c>
      <c r="H93" s="30">
        <f t="shared" si="9"/>
        <v>1</v>
      </c>
      <c r="I93" s="30">
        <f t="shared" si="9"/>
        <v>0</v>
      </c>
      <c r="J93" s="30">
        <f t="shared" si="9"/>
        <v>0</v>
      </c>
      <c r="K93" s="30">
        <f t="shared" si="9"/>
        <v>0</v>
      </c>
      <c r="M93" s="23">
        <f>'GS &lt; 50 OLS Model'!$B$5</f>
        <v>-4820550.2123392904</v>
      </c>
      <c r="N93" s="23">
        <f ca="1">'GS &lt; 50 OLS Model'!$B$6*D93</f>
        <v>41007.823502597181</v>
      </c>
      <c r="O93" s="23">
        <f ca="1">'GS &lt; 50 OLS Model'!$B$7*E93</f>
        <v>1174143.8121609988</v>
      </c>
      <c r="P93" s="23">
        <f>'GS &lt; 50 OLS Model'!$B$8*F93</f>
        <v>0</v>
      </c>
      <c r="Q93" s="23">
        <f>'GS &lt; 50 OLS Model'!$B$9*G93</f>
        <v>10394276.522176009</v>
      </c>
      <c r="R93" s="23">
        <f>'GS &lt; 50 OLS Model'!$B$10*H93</f>
        <v>893150.55620657699</v>
      </c>
      <c r="S93" s="23">
        <f>'GS &lt; 50 OLS Model'!$B$11*I93</f>
        <v>0</v>
      </c>
      <c r="T93" s="23">
        <f>'GS &lt; 50 OLS Model'!$B$12*J93</f>
        <v>0</v>
      </c>
      <c r="U93" s="23">
        <f>'GS &lt; 50 OLS Model'!$B$13*K93</f>
        <v>0</v>
      </c>
      <c r="V93" s="23">
        <f t="shared" ca="1" si="6"/>
        <v>7682028.5017068908</v>
      </c>
    </row>
    <row r="94" spans="1:22" x14ac:dyDescent="0.25">
      <c r="A94" s="11">
        <v>42614</v>
      </c>
      <c r="B94" s="6">
        <f t="shared" si="8"/>
        <v>2016</v>
      </c>
      <c r="D94">
        <f t="shared" ca="1" si="10"/>
        <v>86.570000000000007</v>
      </c>
      <c r="E94">
        <f t="shared" ca="1" si="10"/>
        <v>19.899999999999999</v>
      </c>
      <c r="F94" s="30">
        <f>'Monthly Data'!S94</f>
        <v>0</v>
      </c>
      <c r="G94" s="82">
        <f>SUMIF('Connection count GS Adjusted '!B:B,B94,'Connection count GS Adjusted '!H:H)</f>
        <v>2950.2635021247315</v>
      </c>
      <c r="H94" s="30">
        <f t="shared" ref="H94:K113" si="11">H82</f>
        <v>1</v>
      </c>
      <c r="I94" s="30">
        <f t="shared" si="11"/>
        <v>1</v>
      </c>
      <c r="J94" s="30">
        <f t="shared" si="11"/>
        <v>0</v>
      </c>
      <c r="K94" s="30">
        <f t="shared" si="11"/>
        <v>0</v>
      </c>
      <c r="M94" s="23">
        <f>'GS &lt; 50 OLS Model'!$B$5</f>
        <v>-4820550.2123392904</v>
      </c>
      <c r="N94" s="23">
        <f ca="1">'GS &lt; 50 OLS Model'!$B$6*D94</f>
        <v>279091.76734432695</v>
      </c>
      <c r="O94" s="23">
        <f ca="1">'GS &lt; 50 OLS Model'!$B$7*E94</f>
        <v>302543.85422768199</v>
      </c>
      <c r="P94" s="23">
        <f>'GS &lt; 50 OLS Model'!$B$8*F94</f>
        <v>0</v>
      </c>
      <c r="Q94" s="23">
        <f>'GS &lt; 50 OLS Model'!$B$9*G94</f>
        <v>10394276.522176009</v>
      </c>
      <c r="R94" s="23">
        <f>'GS &lt; 50 OLS Model'!$B$10*H94</f>
        <v>893150.55620657699</v>
      </c>
      <c r="S94" s="23">
        <f>'GS &lt; 50 OLS Model'!$B$11*I94</f>
        <v>-173591.250541696</v>
      </c>
      <c r="T94" s="23">
        <f>'GS &lt; 50 OLS Model'!$B$12*J94</f>
        <v>0</v>
      </c>
      <c r="U94" s="23">
        <f>'GS &lt; 50 OLS Model'!$B$13*K94</f>
        <v>0</v>
      </c>
      <c r="V94" s="23">
        <f t="shared" ca="1" si="6"/>
        <v>7048512.4876153041</v>
      </c>
    </row>
    <row r="95" spans="1:22" x14ac:dyDescent="0.25">
      <c r="A95" s="11">
        <v>42644</v>
      </c>
      <c r="B95" s="6">
        <f t="shared" si="8"/>
        <v>2016</v>
      </c>
      <c r="D95">
        <f t="shared" ref="D95:E97" ca="1" si="12">D83</f>
        <v>270.3</v>
      </c>
      <c r="E95">
        <f t="shared" ca="1" si="12"/>
        <v>1.21</v>
      </c>
      <c r="F95" s="30">
        <f>'Monthly Data'!S95</f>
        <v>0</v>
      </c>
      <c r="G95" s="82">
        <f>SUMIF('Connection count GS Adjusted '!B:B,B95,'Connection count GS Adjusted '!H:H)</f>
        <v>2950.2635021247315</v>
      </c>
      <c r="H95" s="30">
        <f t="shared" si="11"/>
        <v>1</v>
      </c>
      <c r="I95" s="30">
        <f t="shared" si="11"/>
        <v>1</v>
      </c>
      <c r="J95" s="30">
        <f t="shared" si="11"/>
        <v>0</v>
      </c>
      <c r="K95" s="30">
        <f t="shared" si="11"/>
        <v>0</v>
      </c>
      <c r="M95" s="23">
        <f>'GS &lt; 50 OLS Model'!$B$5</f>
        <v>-4820550.2123392904</v>
      </c>
      <c r="N95" s="23">
        <f ca="1">'GS &lt; 50 OLS Model'!$B$6*D95</f>
        <v>871416.24943019019</v>
      </c>
      <c r="O95" s="23">
        <f ca="1">'GS &lt; 50 OLS Model'!$B$7*E95</f>
        <v>18395.882593743478</v>
      </c>
      <c r="P95" s="23">
        <f>'GS &lt; 50 OLS Model'!$B$8*F95</f>
        <v>0</v>
      </c>
      <c r="Q95" s="23">
        <f>'GS &lt; 50 OLS Model'!$B$9*G95</f>
        <v>10394276.522176009</v>
      </c>
      <c r="R95" s="23">
        <f>'GS &lt; 50 OLS Model'!$B$10*H95</f>
        <v>893150.55620657699</v>
      </c>
      <c r="S95" s="23">
        <f>'GS &lt; 50 OLS Model'!$B$11*I95</f>
        <v>-173591.250541696</v>
      </c>
      <c r="T95" s="23">
        <f>'GS &lt; 50 OLS Model'!$B$12*J95</f>
        <v>0</v>
      </c>
      <c r="U95" s="23">
        <f>'GS &lt; 50 OLS Model'!$B$13*K95</f>
        <v>0</v>
      </c>
      <c r="V95" s="23">
        <f t="shared" ca="1" si="6"/>
        <v>7356688.9980672281</v>
      </c>
    </row>
    <row r="96" spans="1:22" x14ac:dyDescent="0.25">
      <c r="A96" s="11">
        <v>42675</v>
      </c>
      <c r="B96" s="6">
        <f t="shared" si="8"/>
        <v>2016</v>
      </c>
      <c r="D96">
        <f t="shared" ca="1" si="12"/>
        <v>444.05</v>
      </c>
      <c r="E96">
        <f t="shared" ca="1" si="12"/>
        <v>0</v>
      </c>
      <c r="F96" s="30">
        <f>'Monthly Data'!S96</f>
        <v>0</v>
      </c>
      <c r="G96" s="82">
        <f>SUMIF('Connection count GS Adjusted '!B:B,B96,'Connection count GS Adjusted '!H:H)</f>
        <v>2950.2635021247315</v>
      </c>
      <c r="H96" s="30">
        <f t="shared" si="11"/>
        <v>1</v>
      </c>
      <c r="I96" s="30">
        <f t="shared" si="11"/>
        <v>1</v>
      </c>
      <c r="J96" s="30">
        <f t="shared" si="11"/>
        <v>0</v>
      </c>
      <c r="K96" s="30">
        <f t="shared" si="11"/>
        <v>0</v>
      </c>
      <c r="M96" s="23">
        <f>'GS &lt; 50 OLS Model'!$B$5</f>
        <v>-4820550.2123392904</v>
      </c>
      <c r="N96" s="23">
        <f ca="1">'GS &lt; 50 OLS Model'!$B$6*D96</f>
        <v>1431566.3542710911</v>
      </c>
      <c r="O96" s="23">
        <f ca="1">'GS &lt; 50 OLS Model'!$B$7*E96</f>
        <v>0</v>
      </c>
      <c r="P96" s="23">
        <f>'GS &lt; 50 OLS Model'!$B$8*F96</f>
        <v>0</v>
      </c>
      <c r="Q96" s="23">
        <f>'GS &lt; 50 OLS Model'!$B$9*G96</f>
        <v>10394276.522176009</v>
      </c>
      <c r="R96" s="23">
        <f>'GS &lt; 50 OLS Model'!$B$10*H96</f>
        <v>893150.55620657699</v>
      </c>
      <c r="S96" s="23">
        <f>'GS &lt; 50 OLS Model'!$B$11*I96</f>
        <v>-173591.250541696</v>
      </c>
      <c r="T96" s="23">
        <f>'GS &lt; 50 OLS Model'!$B$12*J96</f>
        <v>0</v>
      </c>
      <c r="U96" s="23">
        <f>'GS &lt; 50 OLS Model'!$B$13*K96</f>
        <v>0</v>
      </c>
      <c r="V96" s="23">
        <f t="shared" ca="1" si="6"/>
        <v>7898443.2203143854</v>
      </c>
    </row>
    <row r="97" spans="1:22" x14ac:dyDescent="0.25">
      <c r="A97" s="11">
        <v>42705</v>
      </c>
      <c r="B97" s="6">
        <f t="shared" si="8"/>
        <v>2016</v>
      </c>
      <c r="D97">
        <f t="shared" ca="1" si="12"/>
        <v>684.01</v>
      </c>
      <c r="E97">
        <f t="shared" ca="1" si="12"/>
        <v>0</v>
      </c>
      <c r="F97" s="30">
        <f>'Monthly Data'!S97</f>
        <v>0</v>
      </c>
      <c r="G97" s="82">
        <f>SUMIF('Connection count GS Adjusted '!B:B,B97,'Connection count GS Adjusted '!H:H)</f>
        <v>2950.2635021247315</v>
      </c>
      <c r="H97" s="30">
        <f t="shared" si="11"/>
        <v>1</v>
      </c>
      <c r="I97" s="30">
        <f t="shared" si="11"/>
        <v>0</v>
      </c>
      <c r="J97" s="30">
        <f t="shared" si="11"/>
        <v>0</v>
      </c>
      <c r="K97" s="30">
        <f t="shared" si="11"/>
        <v>0</v>
      </c>
      <c r="M97" s="23">
        <f>'GS &lt; 50 OLS Model'!$B$5</f>
        <v>-4820550.2123392904</v>
      </c>
      <c r="N97" s="23">
        <f ca="1">'GS &lt; 50 OLS Model'!$B$6*D97</f>
        <v>2205169.9177681995</v>
      </c>
      <c r="O97" s="23">
        <f ca="1">'GS &lt; 50 OLS Model'!$B$7*E97</f>
        <v>0</v>
      </c>
      <c r="P97" s="23">
        <f>'GS &lt; 50 OLS Model'!$B$8*F97</f>
        <v>0</v>
      </c>
      <c r="Q97" s="23">
        <f>'GS &lt; 50 OLS Model'!$B$9*G97</f>
        <v>10394276.522176009</v>
      </c>
      <c r="R97" s="23">
        <f>'GS &lt; 50 OLS Model'!$B$10*H97</f>
        <v>893150.55620657699</v>
      </c>
      <c r="S97" s="23">
        <f>'GS &lt; 50 OLS Model'!$B$11*I97</f>
        <v>0</v>
      </c>
      <c r="T97" s="23">
        <f>'GS &lt; 50 OLS Model'!$B$12*J97</f>
        <v>0</v>
      </c>
      <c r="U97" s="23">
        <f>'GS &lt; 50 OLS Model'!$B$13*K97</f>
        <v>0</v>
      </c>
      <c r="V97" s="23">
        <f t="shared" ca="1" si="6"/>
        <v>8672046.7838114947</v>
      </c>
    </row>
    <row r="98" spans="1:22" x14ac:dyDescent="0.25">
      <c r="A98" s="11">
        <v>42736</v>
      </c>
      <c r="B98" s="6">
        <f t="shared" ref="B98:B145" si="13">YEAR(A98)</f>
        <v>2017</v>
      </c>
      <c r="D98">
        <f t="shared" ref="D98:E117" ca="1" si="14">D86</f>
        <v>784.29</v>
      </c>
      <c r="E98">
        <f t="shared" ca="1" si="14"/>
        <v>0</v>
      </c>
      <c r="F98" s="30">
        <f>'Monthly Data'!S98</f>
        <v>0</v>
      </c>
      <c r="G98" s="82">
        <f>SUMIF('Connection count GS Adjusted '!B:B,B98,'Connection count GS Adjusted '!H:H)</f>
        <v>2900.9910120031923</v>
      </c>
      <c r="H98" s="30">
        <f t="shared" si="11"/>
        <v>1</v>
      </c>
      <c r="I98" s="30">
        <f t="shared" si="11"/>
        <v>0</v>
      </c>
      <c r="J98" s="30">
        <f t="shared" si="11"/>
        <v>0</v>
      </c>
      <c r="K98" s="30">
        <f t="shared" si="11"/>
        <v>0</v>
      </c>
      <c r="M98" s="23">
        <f>'GS &lt; 50 OLS Model'!$B$5</f>
        <v>-4820550.2123392904</v>
      </c>
      <c r="N98" s="23">
        <f ca="1">'GS &lt; 50 OLS Model'!$B$6*D98</f>
        <v>2528461.1552556558</v>
      </c>
      <c r="O98" s="23">
        <f ca="1">'GS &lt; 50 OLS Model'!$B$7*E98</f>
        <v>0</v>
      </c>
      <c r="P98" s="23">
        <f>'GS &lt; 50 OLS Model'!$B$8*F98</f>
        <v>0</v>
      </c>
      <c r="Q98" s="23">
        <f>'GS &lt; 50 OLS Model'!$B$9*G98</f>
        <v>10220681.218946103</v>
      </c>
      <c r="R98" s="23">
        <f>'GS &lt; 50 OLS Model'!$B$10*H98</f>
        <v>893150.55620657699</v>
      </c>
      <c r="S98" s="23">
        <f>'GS &lt; 50 OLS Model'!$B$11*I98</f>
        <v>0</v>
      </c>
      <c r="T98" s="23">
        <f>'GS &lt; 50 OLS Model'!$B$12*J98</f>
        <v>0</v>
      </c>
      <c r="U98" s="23">
        <f>'GS &lt; 50 OLS Model'!$B$13*K98</f>
        <v>0</v>
      </c>
      <c r="V98" s="23">
        <f t="shared" ref="V98:V145" ca="1" si="15">SUM(M98:R98)</f>
        <v>8821742.7180690449</v>
      </c>
    </row>
    <row r="99" spans="1:22" x14ac:dyDescent="0.25">
      <c r="A99" s="11">
        <v>42767</v>
      </c>
      <c r="B99" s="6">
        <f t="shared" si="13"/>
        <v>2017</v>
      </c>
      <c r="D99">
        <f t="shared" ca="1" si="14"/>
        <v>682.50999999999988</v>
      </c>
      <c r="E99">
        <f t="shared" ca="1" si="14"/>
        <v>0</v>
      </c>
      <c r="F99" s="30">
        <f>'Monthly Data'!S99</f>
        <v>0</v>
      </c>
      <c r="G99" s="82">
        <f>SUMIF('Connection count GS Adjusted '!B:B,B99,'Connection count GS Adjusted '!H:H)</f>
        <v>2900.9910120031923</v>
      </c>
      <c r="H99" s="30">
        <f t="shared" si="11"/>
        <v>1</v>
      </c>
      <c r="I99" s="30">
        <f t="shared" si="11"/>
        <v>0</v>
      </c>
      <c r="J99" s="30">
        <f t="shared" si="11"/>
        <v>1</v>
      </c>
      <c r="K99" s="30">
        <f t="shared" si="11"/>
        <v>0</v>
      </c>
      <c r="M99" s="23">
        <f>'GS &lt; 50 OLS Model'!$B$5</f>
        <v>-4820550.2123392904</v>
      </c>
      <c r="N99" s="23">
        <f ca="1">'GS &lt; 50 OLS Model'!$B$6*D99</f>
        <v>2200334.0895249685</v>
      </c>
      <c r="O99" s="23">
        <f ca="1">'GS &lt; 50 OLS Model'!$B$7*E99</f>
        <v>0</v>
      </c>
      <c r="P99" s="23">
        <f>'GS &lt; 50 OLS Model'!$B$8*F99</f>
        <v>0</v>
      </c>
      <c r="Q99" s="23">
        <f>'GS &lt; 50 OLS Model'!$B$9*G99</f>
        <v>10220681.218946103</v>
      </c>
      <c r="R99" s="23">
        <f>'GS &lt; 50 OLS Model'!$B$10*H99</f>
        <v>893150.55620657699</v>
      </c>
      <c r="S99" s="23">
        <f>'GS &lt; 50 OLS Model'!$B$11*I99</f>
        <v>0</v>
      </c>
      <c r="T99" s="23">
        <f>'GS &lt; 50 OLS Model'!$B$12*J99</f>
        <v>-323195.56340474403</v>
      </c>
      <c r="U99" s="23">
        <f>'GS &lt; 50 OLS Model'!$B$13*K99</f>
        <v>0</v>
      </c>
      <c r="V99" s="23">
        <f t="shared" ca="1" si="15"/>
        <v>8493615.6523383576</v>
      </c>
    </row>
    <row r="100" spans="1:22" x14ac:dyDescent="0.25">
      <c r="A100" s="11">
        <v>42795</v>
      </c>
      <c r="B100" s="6">
        <f t="shared" si="13"/>
        <v>2017</v>
      </c>
      <c r="D100">
        <f t="shared" ca="1" si="14"/>
        <v>556.99</v>
      </c>
      <c r="E100">
        <f t="shared" ca="1" si="14"/>
        <v>0</v>
      </c>
      <c r="F100" s="30">
        <f>'Monthly Data'!S100</f>
        <v>0</v>
      </c>
      <c r="G100" s="82">
        <f>SUMIF('Connection count GS Adjusted '!B:B,B100,'Connection count GS Adjusted '!H:H)</f>
        <v>2900.9910120031923</v>
      </c>
      <c r="H100" s="30">
        <f t="shared" si="11"/>
        <v>1</v>
      </c>
      <c r="I100" s="30">
        <f t="shared" si="11"/>
        <v>0</v>
      </c>
      <c r="J100" s="30">
        <f t="shared" si="11"/>
        <v>0</v>
      </c>
      <c r="K100" s="30">
        <f t="shared" si="11"/>
        <v>0</v>
      </c>
      <c r="M100" s="23">
        <f>'GS &lt; 50 OLS Model'!$B$5</f>
        <v>-4820550.2123392904</v>
      </c>
      <c r="N100" s="23">
        <f ca="1">'GS &lt; 50 OLS Model'!$B$6*D100</f>
        <v>1795671.9821314155</v>
      </c>
      <c r="O100" s="23">
        <f ca="1">'GS &lt; 50 OLS Model'!$B$7*E100</f>
        <v>0</v>
      </c>
      <c r="P100" s="23">
        <f>'GS &lt; 50 OLS Model'!$B$8*F100</f>
        <v>0</v>
      </c>
      <c r="Q100" s="23">
        <f>'GS &lt; 50 OLS Model'!$B$9*G100</f>
        <v>10220681.218946103</v>
      </c>
      <c r="R100" s="23">
        <f>'GS &lt; 50 OLS Model'!$B$10*H100</f>
        <v>893150.55620657699</v>
      </c>
      <c r="S100" s="23">
        <f>'GS &lt; 50 OLS Model'!$B$11*I100</f>
        <v>0</v>
      </c>
      <c r="T100" s="23">
        <f>'GS &lt; 50 OLS Model'!$B$12*J100</f>
        <v>0</v>
      </c>
      <c r="U100" s="23">
        <f>'GS &lt; 50 OLS Model'!$B$13*K100</f>
        <v>0</v>
      </c>
      <c r="V100" s="23">
        <f t="shared" ca="1" si="15"/>
        <v>8088953.5449448042</v>
      </c>
    </row>
    <row r="101" spans="1:22" x14ac:dyDescent="0.25">
      <c r="A101" s="11">
        <v>42826</v>
      </c>
      <c r="B101" s="6">
        <f t="shared" si="13"/>
        <v>2017</v>
      </c>
      <c r="D101">
        <f t="shared" ca="1" si="14"/>
        <v>326.58999999999997</v>
      </c>
      <c r="E101">
        <f t="shared" ca="1" si="14"/>
        <v>0.39</v>
      </c>
      <c r="F101" s="30">
        <f>'Monthly Data'!S101</f>
        <v>0</v>
      </c>
      <c r="G101" s="82">
        <f>SUMIF('Connection count GS Adjusted '!B:B,B101,'Connection count GS Adjusted '!H:H)</f>
        <v>2900.9910120031923</v>
      </c>
      <c r="H101" s="30">
        <f t="shared" si="11"/>
        <v>1</v>
      </c>
      <c r="I101" s="30">
        <f t="shared" si="11"/>
        <v>0</v>
      </c>
      <c r="J101" s="30">
        <f t="shared" si="11"/>
        <v>0</v>
      </c>
      <c r="K101" s="30">
        <f t="shared" si="11"/>
        <v>1</v>
      </c>
      <c r="M101" s="23">
        <f>'GS &lt; 50 OLS Model'!$B$5</f>
        <v>-4820550.2123392904</v>
      </c>
      <c r="N101" s="23">
        <f ca="1">'GS &lt; 50 OLS Model'!$B$6*D101</f>
        <v>1052888.7639711646</v>
      </c>
      <c r="O101" s="23">
        <f ca="1">'GS &lt; 50 OLS Model'!$B$7*E101</f>
        <v>5929.2514145123614</v>
      </c>
      <c r="P101" s="23">
        <f>'GS &lt; 50 OLS Model'!$B$8*F101</f>
        <v>0</v>
      </c>
      <c r="Q101" s="23">
        <f>'GS &lt; 50 OLS Model'!$B$9*G101</f>
        <v>10220681.218946103</v>
      </c>
      <c r="R101" s="23">
        <f>'GS &lt; 50 OLS Model'!$B$10*H101</f>
        <v>893150.55620657699</v>
      </c>
      <c r="S101" s="23">
        <f>'GS &lt; 50 OLS Model'!$B$11*I101</f>
        <v>0</v>
      </c>
      <c r="T101" s="23">
        <f>'GS &lt; 50 OLS Model'!$B$12*J101</f>
        <v>0</v>
      </c>
      <c r="U101" s="23">
        <f>'GS &lt; 50 OLS Model'!$B$13*K101</f>
        <v>-425159.68663676298</v>
      </c>
      <c r="V101" s="23">
        <f t="shared" ca="1" si="15"/>
        <v>7352099.5781990662</v>
      </c>
    </row>
    <row r="102" spans="1:22" x14ac:dyDescent="0.25">
      <c r="A102" s="11">
        <v>42856</v>
      </c>
      <c r="B102" s="6">
        <f t="shared" si="13"/>
        <v>2017</v>
      </c>
      <c r="D102">
        <f t="shared" ca="1" si="14"/>
        <v>144.96</v>
      </c>
      <c r="E102">
        <f t="shared" ca="1" si="14"/>
        <v>8.67</v>
      </c>
      <c r="F102" s="30">
        <f>'Monthly Data'!S102</f>
        <v>0</v>
      </c>
      <c r="G102" s="82">
        <f>SUMIF('Connection count GS Adjusted '!B:B,B102,'Connection count GS Adjusted '!H:H)</f>
        <v>2900.9910120031923</v>
      </c>
      <c r="H102" s="30">
        <f t="shared" si="11"/>
        <v>1</v>
      </c>
      <c r="I102" s="30">
        <f t="shared" si="11"/>
        <v>0</v>
      </c>
      <c r="J102" s="30">
        <f t="shared" si="11"/>
        <v>0</v>
      </c>
      <c r="K102" s="30">
        <f t="shared" si="11"/>
        <v>0</v>
      </c>
      <c r="M102" s="23">
        <f>'GS &lt; 50 OLS Model'!$B$5</f>
        <v>-4820550.2123392904</v>
      </c>
      <c r="N102" s="23">
        <f ca="1">'GS &lt; 50 OLS Model'!$B$6*D102</f>
        <v>467334.44142582454</v>
      </c>
      <c r="O102" s="23">
        <f ca="1">'GS &lt; 50 OLS Model'!$B$7*E102</f>
        <v>131811.81990723632</v>
      </c>
      <c r="P102" s="23">
        <f>'GS &lt; 50 OLS Model'!$B$8*F102</f>
        <v>0</v>
      </c>
      <c r="Q102" s="23">
        <f>'GS &lt; 50 OLS Model'!$B$9*G102</f>
        <v>10220681.218946103</v>
      </c>
      <c r="R102" s="23">
        <f>'GS &lt; 50 OLS Model'!$B$10*H102</f>
        <v>893150.55620657699</v>
      </c>
      <c r="S102" s="23">
        <f>'GS &lt; 50 OLS Model'!$B$11*I102</f>
        <v>0</v>
      </c>
      <c r="T102" s="23">
        <f>'GS &lt; 50 OLS Model'!$B$12*J102</f>
        <v>0</v>
      </c>
      <c r="U102" s="23">
        <f>'GS &lt; 50 OLS Model'!$B$13*K102</f>
        <v>0</v>
      </c>
      <c r="V102" s="23">
        <f t="shared" ca="1" si="15"/>
        <v>6892427.8241464496</v>
      </c>
    </row>
    <row r="103" spans="1:22" x14ac:dyDescent="0.25">
      <c r="A103" s="11">
        <v>42887</v>
      </c>
      <c r="B103" s="6">
        <f t="shared" si="13"/>
        <v>2017</v>
      </c>
      <c r="D103">
        <f t="shared" ca="1" si="14"/>
        <v>41.510000000000005</v>
      </c>
      <c r="E103">
        <f t="shared" ca="1" si="14"/>
        <v>44.41</v>
      </c>
      <c r="F103" s="30">
        <f>'Monthly Data'!S103</f>
        <v>0</v>
      </c>
      <c r="G103" s="82">
        <f>SUMIF('Connection count GS Adjusted '!B:B,B103,'Connection count GS Adjusted '!H:H)</f>
        <v>2900.9910120031923</v>
      </c>
      <c r="H103" s="30">
        <f t="shared" si="11"/>
        <v>1</v>
      </c>
      <c r="I103" s="30">
        <f t="shared" si="11"/>
        <v>0</v>
      </c>
      <c r="J103" s="30">
        <f t="shared" si="11"/>
        <v>0</v>
      </c>
      <c r="K103" s="30">
        <f t="shared" si="11"/>
        <v>0</v>
      </c>
      <c r="M103" s="23">
        <f>'GS &lt; 50 OLS Model'!$B$5</f>
        <v>-4820550.2123392904</v>
      </c>
      <c r="N103" s="23">
        <f ca="1">'GS &lt; 50 OLS Model'!$B$6*D103</f>
        <v>133823.4869176737</v>
      </c>
      <c r="O103" s="23">
        <f ca="1">'GS &lt; 50 OLS Model'!$B$7*E103</f>
        <v>675174.50081665104</v>
      </c>
      <c r="P103" s="23">
        <f>'GS &lt; 50 OLS Model'!$B$8*F103</f>
        <v>0</v>
      </c>
      <c r="Q103" s="23">
        <f>'GS &lt; 50 OLS Model'!$B$9*G103</f>
        <v>10220681.218946103</v>
      </c>
      <c r="R103" s="23">
        <f>'GS &lt; 50 OLS Model'!$B$10*H103</f>
        <v>893150.55620657699</v>
      </c>
      <c r="S103" s="23">
        <f>'GS &lt; 50 OLS Model'!$B$11*I103</f>
        <v>0</v>
      </c>
      <c r="T103" s="23">
        <f>'GS &lt; 50 OLS Model'!$B$12*J103</f>
        <v>0</v>
      </c>
      <c r="U103" s="23">
        <f>'GS &lt; 50 OLS Model'!$B$13*K103</f>
        <v>0</v>
      </c>
      <c r="V103" s="23">
        <f t="shared" ca="1" si="15"/>
        <v>7102279.5505477134</v>
      </c>
    </row>
    <row r="104" spans="1:22" x14ac:dyDescent="0.25">
      <c r="A104" s="11">
        <v>42917</v>
      </c>
      <c r="B104" s="6">
        <f t="shared" si="13"/>
        <v>2017</v>
      </c>
      <c r="D104">
        <f t="shared" ca="1" si="14"/>
        <v>5.01</v>
      </c>
      <c r="E104">
        <f t="shared" ca="1" si="14"/>
        <v>96.909999999999982</v>
      </c>
      <c r="F104" s="30">
        <f>'Monthly Data'!S104</f>
        <v>0</v>
      </c>
      <c r="G104" s="82">
        <f>SUMIF('Connection count GS Adjusted '!B:B,B104,'Connection count GS Adjusted '!H:H)</f>
        <v>2900.9910120031923</v>
      </c>
      <c r="H104" s="30">
        <f t="shared" si="11"/>
        <v>1</v>
      </c>
      <c r="I104" s="30">
        <f t="shared" si="11"/>
        <v>0</v>
      </c>
      <c r="J104" s="30">
        <f t="shared" si="11"/>
        <v>0</v>
      </c>
      <c r="K104" s="30">
        <f t="shared" si="11"/>
        <v>0</v>
      </c>
      <c r="M104" s="23">
        <f>'GS &lt; 50 OLS Model'!$B$5</f>
        <v>-4820550.2123392904</v>
      </c>
      <c r="N104" s="23">
        <f ca="1">'GS &lt; 50 OLS Model'!$B$6*D104</f>
        <v>16151.666332390871</v>
      </c>
      <c r="O104" s="23">
        <f ca="1">'GS &lt; 50 OLS Model'!$B$7*E104</f>
        <v>1473342.9604625455</v>
      </c>
      <c r="P104" s="23">
        <f>'GS &lt; 50 OLS Model'!$B$8*F104</f>
        <v>0</v>
      </c>
      <c r="Q104" s="23">
        <f>'GS &lt; 50 OLS Model'!$B$9*G104</f>
        <v>10220681.218946103</v>
      </c>
      <c r="R104" s="23">
        <f>'GS &lt; 50 OLS Model'!$B$10*H104</f>
        <v>893150.55620657699</v>
      </c>
      <c r="S104" s="23">
        <f>'GS &lt; 50 OLS Model'!$B$11*I104</f>
        <v>0</v>
      </c>
      <c r="T104" s="23">
        <f>'GS &lt; 50 OLS Model'!$B$12*J104</f>
        <v>0</v>
      </c>
      <c r="U104" s="23">
        <f>'GS &lt; 50 OLS Model'!$B$13*K104</f>
        <v>0</v>
      </c>
      <c r="V104" s="23">
        <f t="shared" ca="1" si="15"/>
        <v>7782776.1896083262</v>
      </c>
    </row>
    <row r="105" spans="1:22" x14ac:dyDescent="0.25">
      <c r="A105" s="11">
        <v>42948</v>
      </c>
      <c r="B105" s="6">
        <f t="shared" si="13"/>
        <v>2017</v>
      </c>
      <c r="D105">
        <f t="shared" ca="1" si="14"/>
        <v>12.719999999999999</v>
      </c>
      <c r="E105">
        <f t="shared" ca="1" si="14"/>
        <v>77.22999999999999</v>
      </c>
      <c r="F105" s="30">
        <f>'Monthly Data'!S105</f>
        <v>0</v>
      </c>
      <c r="G105" s="82">
        <f>SUMIF('Connection count GS Adjusted '!B:B,B105,'Connection count GS Adjusted '!H:H)</f>
        <v>2900.9910120031923</v>
      </c>
      <c r="H105" s="30">
        <f t="shared" si="11"/>
        <v>1</v>
      </c>
      <c r="I105" s="30">
        <f t="shared" si="11"/>
        <v>0</v>
      </c>
      <c r="J105" s="30">
        <f t="shared" si="11"/>
        <v>0</v>
      </c>
      <c r="K105" s="30">
        <f t="shared" si="11"/>
        <v>0</v>
      </c>
      <c r="M105" s="23">
        <f>'GS &lt; 50 OLS Model'!$B$5</f>
        <v>-4820550.2123392904</v>
      </c>
      <c r="N105" s="23">
        <f ca="1">'GS &lt; 50 OLS Model'!$B$6*D105</f>
        <v>41007.823502597181</v>
      </c>
      <c r="O105" s="23">
        <f ca="1">'GS &lt; 50 OLS Model'!$B$7*E105</f>
        <v>1174143.8121609988</v>
      </c>
      <c r="P105" s="23">
        <f>'GS &lt; 50 OLS Model'!$B$8*F105</f>
        <v>0</v>
      </c>
      <c r="Q105" s="23">
        <f>'GS &lt; 50 OLS Model'!$B$9*G105</f>
        <v>10220681.218946103</v>
      </c>
      <c r="R105" s="23">
        <f>'GS &lt; 50 OLS Model'!$B$10*H105</f>
        <v>893150.55620657699</v>
      </c>
      <c r="S105" s="23">
        <f>'GS &lt; 50 OLS Model'!$B$11*I105</f>
        <v>0</v>
      </c>
      <c r="T105" s="23">
        <f>'GS &lt; 50 OLS Model'!$B$12*J105</f>
        <v>0</v>
      </c>
      <c r="U105" s="23">
        <f>'GS &lt; 50 OLS Model'!$B$13*K105</f>
        <v>0</v>
      </c>
      <c r="V105" s="23">
        <f t="shared" ca="1" si="15"/>
        <v>7508433.1984769851</v>
      </c>
    </row>
    <row r="106" spans="1:22" x14ac:dyDescent="0.25">
      <c r="A106" s="11">
        <v>42979</v>
      </c>
      <c r="B106" s="6">
        <f t="shared" si="13"/>
        <v>2017</v>
      </c>
      <c r="D106">
        <f t="shared" ca="1" si="14"/>
        <v>86.570000000000007</v>
      </c>
      <c r="E106">
        <f t="shared" ca="1" si="14"/>
        <v>19.899999999999999</v>
      </c>
      <c r="F106" s="30">
        <f>'Monthly Data'!S106</f>
        <v>0</v>
      </c>
      <c r="G106" s="82">
        <f>SUMIF('Connection count GS Adjusted '!B:B,B106,'Connection count GS Adjusted '!H:H)</f>
        <v>2900.9910120031923</v>
      </c>
      <c r="H106" s="30">
        <f t="shared" si="11"/>
        <v>1</v>
      </c>
      <c r="I106" s="30">
        <f t="shared" si="11"/>
        <v>1</v>
      </c>
      <c r="J106" s="30">
        <f t="shared" si="11"/>
        <v>0</v>
      </c>
      <c r="K106" s="30">
        <f t="shared" si="11"/>
        <v>0</v>
      </c>
      <c r="M106" s="23">
        <f>'GS &lt; 50 OLS Model'!$B$5</f>
        <v>-4820550.2123392904</v>
      </c>
      <c r="N106" s="23">
        <f ca="1">'GS &lt; 50 OLS Model'!$B$6*D106</f>
        <v>279091.76734432695</v>
      </c>
      <c r="O106" s="23">
        <f ca="1">'GS &lt; 50 OLS Model'!$B$7*E106</f>
        <v>302543.85422768199</v>
      </c>
      <c r="P106" s="23">
        <f>'GS &lt; 50 OLS Model'!$B$8*F106</f>
        <v>0</v>
      </c>
      <c r="Q106" s="23">
        <f>'GS &lt; 50 OLS Model'!$B$9*G106</f>
        <v>10220681.218946103</v>
      </c>
      <c r="R106" s="23">
        <f>'GS &lt; 50 OLS Model'!$B$10*H106</f>
        <v>893150.55620657699</v>
      </c>
      <c r="S106" s="23">
        <f>'GS &lt; 50 OLS Model'!$B$11*I106</f>
        <v>-173591.250541696</v>
      </c>
      <c r="T106" s="23">
        <f>'GS &lt; 50 OLS Model'!$B$12*J106</f>
        <v>0</v>
      </c>
      <c r="U106" s="23">
        <f>'GS &lt; 50 OLS Model'!$B$13*K106</f>
        <v>0</v>
      </c>
      <c r="V106" s="23">
        <f t="shared" ca="1" si="15"/>
        <v>6874917.1843853984</v>
      </c>
    </row>
    <row r="107" spans="1:22" x14ac:dyDescent="0.25">
      <c r="A107" s="11">
        <v>43009</v>
      </c>
      <c r="B107" s="6">
        <f t="shared" si="13"/>
        <v>2017</v>
      </c>
      <c r="D107">
        <f t="shared" ca="1" si="14"/>
        <v>270.3</v>
      </c>
      <c r="E107">
        <f t="shared" ca="1" si="14"/>
        <v>1.21</v>
      </c>
      <c r="F107" s="30">
        <f>'Monthly Data'!S107</f>
        <v>0</v>
      </c>
      <c r="G107" s="82">
        <f>SUMIF('Connection count GS Adjusted '!B:B,B107,'Connection count GS Adjusted '!H:H)</f>
        <v>2900.9910120031923</v>
      </c>
      <c r="H107" s="30">
        <f t="shared" si="11"/>
        <v>1</v>
      </c>
      <c r="I107" s="30">
        <f t="shared" si="11"/>
        <v>1</v>
      </c>
      <c r="J107" s="30">
        <f t="shared" si="11"/>
        <v>0</v>
      </c>
      <c r="K107" s="30">
        <f t="shared" si="11"/>
        <v>0</v>
      </c>
      <c r="M107" s="23">
        <f>'GS &lt; 50 OLS Model'!$B$5</f>
        <v>-4820550.2123392904</v>
      </c>
      <c r="N107" s="23">
        <f ca="1">'GS &lt; 50 OLS Model'!$B$6*D107</f>
        <v>871416.24943019019</v>
      </c>
      <c r="O107" s="23">
        <f ca="1">'GS &lt; 50 OLS Model'!$B$7*E107</f>
        <v>18395.882593743478</v>
      </c>
      <c r="P107" s="23">
        <f>'GS &lt; 50 OLS Model'!$B$8*F107</f>
        <v>0</v>
      </c>
      <c r="Q107" s="23">
        <f>'GS &lt; 50 OLS Model'!$B$9*G107</f>
        <v>10220681.218946103</v>
      </c>
      <c r="R107" s="23">
        <f>'GS &lt; 50 OLS Model'!$B$10*H107</f>
        <v>893150.55620657699</v>
      </c>
      <c r="S107" s="23">
        <f>'GS &lt; 50 OLS Model'!$B$11*I107</f>
        <v>-173591.250541696</v>
      </c>
      <c r="T107" s="23">
        <f>'GS &lt; 50 OLS Model'!$B$12*J107</f>
        <v>0</v>
      </c>
      <c r="U107" s="23">
        <f>'GS &lt; 50 OLS Model'!$B$13*K107</f>
        <v>0</v>
      </c>
      <c r="V107" s="23">
        <f t="shared" ca="1" si="15"/>
        <v>7183093.6948373225</v>
      </c>
    </row>
    <row r="108" spans="1:22" x14ac:dyDescent="0.25">
      <c r="A108" s="11">
        <v>43040</v>
      </c>
      <c r="B108" s="6">
        <f t="shared" si="13"/>
        <v>2017</v>
      </c>
      <c r="D108">
        <f t="shared" ca="1" si="14"/>
        <v>444.05</v>
      </c>
      <c r="E108">
        <f t="shared" ca="1" si="14"/>
        <v>0</v>
      </c>
      <c r="F108" s="30">
        <f>'Monthly Data'!S108</f>
        <v>0</v>
      </c>
      <c r="G108" s="82">
        <f>SUMIF('Connection count GS Adjusted '!B:B,B108,'Connection count GS Adjusted '!H:H)</f>
        <v>2900.9910120031923</v>
      </c>
      <c r="H108" s="30">
        <f t="shared" si="11"/>
        <v>1</v>
      </c>
      <c r="I108" s="30">
        <f t="shared" si="11"/>
        <v>1</v>
      </c>
      <c r="J108" s="30">
        <f t="shared" si="11"/>
        <v>0</v>
      </c>
      <c r="K108" s="30">
        <f t="shared" si="11"/>
        <v>0</v>
      </c>
      <c r="M108" s="23">
        <f>'GS &lt; 50 OLS Model'!$B$5</f>
        <v>-4820550.2123392904</v>
      </c>
      <c r="N108" s="23">
        <f ca="1">'GS &lt; 50 OLS Model'!$B$6*D108</f>
        <v>1431566.3542710911</v>
      </c>
      <c r="O108" s="23">
        <f ca="1">'GS &lt; 50 OLS Model'!$B$7*E108</f>
        <v>0</v>
      </c>
      <c r="P108" s="23">
        <f>'GS &lt; 50 OLS Model'!$B$8*F108</f>
        <v>0</v>
      </c>
      <c r="Q108" s="23">
        <f>'GS &lt; 50 OLS Model'!$B$9*G108</f>
        <v>10220681.218946103</v>
      </c>
      <c r="R108" s="23">
        <f>'GS &lt; 50 OLS Model'!$B$10*H108</f>
        <v>893150.55620657699</v>
      </c>
      <c r="S108" s="23">
        <f>'GS &lt; 50 OLS Model'!$B$11*I108</f>
        <v>-173591.250541696</v>
      </c>
      <c r="T108" s="23">
        <f>'GS &lt; 50 OLS Model'!$B$12*J108</f>
        <v>0</v>
      </c>
      <c r="U108" s="23">
        <f>'GS &lt; 50 OLS Model'!$B$13*K108</f>
        <v>0</v>
      </c>
      <c r="V108" s="23">
        <f t="shared" ca="1" si="15"/>
        <v>7724847.9170844797</v>
      </c>
    </row>
    <row r="109" spans="1:22" x14ac:dyDescent="0.25">
      <c r="A109" s="11">
        <v>43070</v>
      </c>
      <c r="B109" s="6">
        <f t="shared" si="13"/>
        <v>2017</v>
      </c>
      <c r="D109">
        <f t="shared" ca="1" si="14"/>
        <v>684.01</v>
      </c>
      <c r="E109">
        <f t="shared" ca="1" si="14"/>
        <v>0</v>
      </c>
      <c r="F109" s="30">
        <f>'Monthly Data'!S109</f>
        <v>0</v>
      </c>
      <c r="G109" s="82">
        <f>SUMIF('Connection count GS Adjusted '!B:B,B109,'Connection count GS Adjusted '!H:H)</f>
        <v>2900.9910120031923</v>
      </c>
      <c r="H109" s="30">
        <f t="shared" si="11"/>
        <v>1</v>
      </c>
      <c r="I109" s="30">
        <f t="shared" si="11"/>
        <v>0</v>
      </c>
      <c r="J109" s="30">
        <f t="shared" si="11"/>
        <v>0</v>
      </c>
      <c r="K109" s="30">
        <f t="shared" si="11"/>
        <v>0</v>
      </c>
      <c r="M109" s="23">
        <f>'GS &lt; 50 OLS Model'!$B$5</f>
        <v>-4820550.2123392904</v>
      </c>
      <c r="N109" s="23">
        <f ca="1">'GS &lt; 50 OLS Model'!$B$6*D109</f>
        <v>2205169.9177681995</v>
      </c>
      <c r="O109" s="23">
        <f ca="1">'GS &lt; 50 OLS Model'!$B$7*E109</f>
        <v>0</v>
      </c>
      <c r="P109" s="23">
        <f>'GS &lt; 50 OLS Model'!$B$8*F109</f>
        <v>0</v>
      </c>
      <c r="Q109" s="23">
        <f>'GS &lt; 50 OLS Model'!$B$9*G109</f>
        <v>10220681.218946103</v>
      </c>
      <c r="R109" s="23">
        <f>'GS &lt; 50 OLS Model'!$B$10*H109</f>
        <v>893150.55620657699</v>
      </c>
      <c r="S109" s="23">
        <f>'GS &lt; 50 OLS Model'!$B$11*I109</f>
        <v>0</v>
      </c>
      <c r="T109" s="23">
        <f>'GS &lt; 50 OLS Model'!$B$12*J109</f>
        <v>0</v>
      </c>
      <c r="U109" s="23">
        <f>'GS &lt; 50 OLS Model'!$B$13*K109</f>
        <v>0</v>
      </c>
      <c r="V109" s="23">
        <f t="shared" ca="1" si="15"/>
        <v>8498451.480581589</v>
      </c>
    </row>
    <row r="110" spans="1:22" x14ac:dyDescent="0.25">
      <c r="A110" s="11">
        <v>43101</v>
      </c>
      <c r="B110" s="6">
        <f t="shared" si="13"/>
        <v>2018</v>
      </c>
      <c r="D110">
        <f t="shared" ca="1" si="14"/>
        <v>784.29</v>
      </c>
      <c r="E110">
        <f t="shared" ca="1" si="14"/>
        <v>0</v>
      </c>
      <c r="F110" s="30">
        <f>'Monthly Data'!S110</f>
        <v>0</v>
      </c>
      <c r="G110" s="82">
        <f>SUMIF('Connection count GS Adjusted '!B:B,B110,'Connection count GS Adjusted '!H:H)</f>
        <v>2852.5414240668401</v>
      </c>
      <c r="H110" s="30">
        <f t="shared" si="11"/>
        <v>1</v>
      </c>
      <c r="I110" s="30">
        <f t="shared" si="11"/>
        <v>0</v>
      </c>
      <c r="J110" s="30">
        <f t="shared" si="11"/>
        <v>0</v>
      </c>
      <c r="K110" s="30">
        <f t="shared" si="11"/>
        <v>0</v>
      </c>
      <c r="M110" s="23">
        <f>'GS &lt; 50 OLS Model'!$B$5</f>
        <v>-4820550.2123392904</v>
      </c>
      <c r="N110" s="23">
        <f ca="1">'GS &lt; 50 OLS Model'!$B$6*D110</f>
        <v>2528461.1552556558</v>
      </c>
      <c r="O110" s="23">
        <f ca="1">'GS &lt; 50 OLS Model'!$B$7*E110</f>
        <v>0</v>
      </c>
      <c r="P110" s="23">
        <f>'GS &lt; 50 OLS Model'!$B$8*F110</f>
        <v>0</v>
      </c>
      <c r="Q110" s="23">
        <f>'GS &lt; 50 OLS Model'!$B$9*G110</f>
        <v>10049985.139076205</v>
      </c>
      <c r="R110" s="23">
        <f>'GS &lt; 50 OLS Model'!$B$10*H110</f>
        <v>893150.55620657699</v>
      </c>
      <c r="S110" s="23">
        <f>'GS &lt; 50 OLS Model'!$B$11*I110</f>
        <v>0</v>
      </c>
      <c r="T110" s="23">
        <f>'GS &lt; 50 OLS Model'!$B$12*J110</f>
        <v>0</v>
      </c>
      <c r="U110" s="23">
        <f>'GS &lt; 50 OLS Model'!$B$13*K110</f>
        <v>0</v>
      </c>
      <c r="V110" s="23">
        <f t="shared" ca="1" si="15"/>
        <v>8651046.6381991468</v>
      </c>
    </row>
    <row r="111" spans="1:22" x14ac:dyDescent="0.25">
      <c r="A111" s="11">
        <v>43132</v>
      </c>
      <c r="B111" s="6">
        <f t="shared" si="13"/>
        <v>2018</v>
      </c>
      <c r="D111">
        <f t="shared" ca="1" si="14"/>
        <v>682.50999999999988</v>
      </c>
      <c r="E111">
        <f t="shared" ca="1" si="14"/>
        <v>0</v>
      </c>
      <c r="F111" s="30">
        <f>'Monthly Data'!S111</f>
        <v>0</v>
      </c>
      <c r="G111" s="82">
        <f>SUMIF('Connection count GS Adjusted '!B:B,B111,'Connection count GS Adjusted '!H:H)</f>
        <v>2852.5414240668401</v>
      </c>
      <c r="H111" s="30">
        <f t="shared" si="11"/>
        <v>1</v>
      </c>
      <c r="I111" s="30">
        <f t="shared" si="11"/>
        <v>0</v>
      </c>
      <c r="J111" s="30">
        <f t="shared" si="11"/>
        <v>1</v>
      </c>
      <c r="K111" s="30">
        <f t="shared" si="11"/>
        <v>0</v>
      </c>
      <c r="M111" s="23">
        <f>'GS &lt; 50 OLS Model'!$B$5</f>
        <v>-4820550.2123392904</v>
      </c>
      <c r="N111" s="23">
        <f ca="1">'GS &lt; 50 OLS Model'!$B$6*D111</f>
        <v>2200334.0895249685</v>
      </c>
      <c r="O111" s="23">
        <f ca="1">'GS &lt; 50 OLS Model'!$B$7*E111</f>
        <v>0</v>
      </c>
      <c r="P111" s="23">
        <f>'GS &lt; 50 OLS Model'!$B$8*F111</f>
        <v>0</v>
      </c>
      <c r="Q111" s="23">
        <f>'GS &lt; 50 OLS Model'!$B$9*G111</f>
        <v>10049985.139076205</v>
      </c>
      <c r="R111" s="23">
        <f>'GS &lt; 50 OLS Model'!$B$10*H111</f>
        <v>893150.55620657699</v>
      </c>
      <c r="S111" s="23">
        <f>'GS &lt; 50 OLS Model'!$B$11*I111</f>
        <v>0</v>
      </c>
      <c r="T111" s="23">
        <f>'GS &lt; 50 OLS Model'!$B$12*J111</f>
        <v>-323195.56340474403</v>
      </c>
      <c r="U111" s="23">
        <f>'GS &lt; 50 OLS Model'!$B$13*K111</f>
        <v>0</v>
      </c>
      <c r="V111" s="23">
        <f t="shared" ca="1" si="15"/>
        <v>8322919.5724684596</v>
      </c>
    </row>
    <row r="112" spans="1:22" x14ac:dyDescent="0.25">
      <c r="A112" s="11">
        <v>43160</v>
      </c>
      <c r="B112" s="6">
        <f t="shared" si="13"/>
        <v>2018</v>
      </c>
      <c r="D112">
        <f t="shared" ca="1" si="14"/>
        <v>556.99</v>
      </c>
      <c r="E112">
        <f t="shared" ca="1" si="14"/>
        <v>0</v>
      </c>
      <c r="F112" s="30">
        <f>'Monthly Data'!S112</f>
        <v>0</v>
      </c>
      <c r="G112" s="82">
        <f>SUMIF('Connection count GS Adjusted '!B:B,B112,'Connection count GS Adjusted '!H:H)</f>
        <v>2852.5414240668401</v>
      </c>
      <c r="H112" s="30">
        <f t="shared" si="11"/>
        <v>1</v>
      </c>
      <c r="I112" s="30">
        <f t="shared" si="11"/>
        <v>0</v>
      </c>
      <c r="J112" s="30">
        <f t="shared" si="11"/>
        <v>0</v>
      </c>
      <c r="K112" s="30">
        <f t="shared" si="11"/>
        <v>0</v>
      </c>
      <c r="M112" s="23">
        <f>'GS &lt; 50 OLS Model'!$B$5</f>
        <v>-4820550.2123392904</v>
      </c>
      <c r="N112" s="23">
        <f ca="1">'GS &lt; 50 OLS Model'!$B$6*D112</f>
        <v>1795671.9821314155</v>
      </c>
      <c r="O112" s="23">
        <f ca="1">'GS &lt; 50 OLS Model'!$B$7*E112</f>
        <v>0</v>
      </c>
      <c r="P112" s="23">
        <f>'GS &lt; 50 OLS Model'!$B$8*F112</f>
        <v>0</v>
      </c>
      <c r="Q112" s="23">
        <f>'GS &lt; 50 OLS Model'!$B$9*G112</f>
        <v>10049985.139076205</v>
      </c>
      <c r="R112" s="23">
        <f>'GS &lt; 50 OLS Model'!$B$10*H112</f>
        <v>893150.55620657699</v>
      </c>
      <c r="S112" s="23">
        <f>'GS &lt; 50 OLS Model'!$B$11*I112</f>
        <v>0</v>
      </c>
      <c r="T112" s="23">
        <f>'GS &lt; 50 OLS Model'!$B$12*J112</f>
        <v>0</v>
      </c>
      <c r="U112" s="23">
        <f>'GS &lt; 50 OLS Model'!$B$13*K112</f>
        <v>0</v>
      </c>
      <c r="V112" s="23">
        <f t="shared" ca="1" si="15"/>
        <v>7918257.4650749061</v>
      </c>
    </row>
    <row r="113" spans="1:22" x14ac:dyDescent="0.25">
      <c r="A113" s="11">
        <v>43191</v>
      </c>
      <c r="B113" s="6">
        <f t="shared" si="13"/>
        <v>2018</v>
      </c>
      <c r="D113">
        <f t="shared" ca="1" si="14"/>
        <v>326.58999999999997</v>
      </c>
      <c r="E113">
        <f t="shared" ca="1" si="14"/>
        <v>0.39</v>
      </c>
      <c r="F113" s="30">
        <f>'Monthly Data'!S113</f>
        <v>0</v>
      </c>
      <c r="G113" s="82">
        <f>SUMIF('Connection count GS Adjusted '!B:B,B113,'Connection count GS Adjusted '!H:H)</f>
        <v>2852.5414240668401</v>
      </c>
      <c r="H113" s="30">
        <f t="shared" si="11"/>
        <v>1</v>
      </c>
      <c r="I113" s="30">
        <f t="shared" si="11"/>
        <v>0</v>
      </c>
      <c r="J113" s="30">
        <f t="shared" si="11"/>
        <v>0</v>
      </c>
      <c r="K113" s="30">
        <f t="shared" si="11"/>
        <v>1</v>
      </c>
      <c r="M113" s="23">
        <f>'GS &lt; 50 OLS Model'!$B$5</f>
        <v>-4820550.2123392904</v>
      </c>
      <c r="N113" s="23">
        <f ca="1">'GS &lt; 50 OLS Model'!$B$6*D113</f>
        <v>1052888.7639711646</v>
      </c>
      <c r="O113" s="23">
        <f ca="1">'GS &lt; 50 OLS Model'!$B$7*E113</f>
        <v>5929.2514145123614</v>
      </c>
      <c r="P113" s="23">
        <f>'GS &lt; 50 OLS Model'!$B$8*F113</f>
        <v>0</v>
      </c>
      <c r="Q113" s="23">
        <f>'GS &lt; 50 OLS Model'!$B$9*G113</f>
        <v>10049985.139076205</v>
      </c>
      <c r="R113" s="23">
        <f>'GS &lt; 50 OLS Model'!$B$10*H113</f>
        <v>893150.55620657699</v>
      </c>
      <c r="S113" s="23">
        <f>'GS &lt; 50 OLS Model'!$B$11*I113</f>
        <v>0</v>
      </c>
      <c r="T113" s="23">
        <f>'GS &lt; 50 OLS Model'!$B$12*J113</f>
        <v>0</v>
      </c>
      <c r="U113" s="23">
        <f>'GS &lt; 50 OLS Model'!$B$13*K113</f>
        <v>-425159.68663676298</v>
      </c>
      <c r="V113" s="23">
        <f t="shared" ca="1" si="15"/>
        <v>7181403.4983291682</v>
      </c>
    </row>
    <row r="114" spans="1:22" x14ac:dyDescent="0.25">
      <c r="A114" s="11">
        <v>43221</v>
      </c>
      <c r="B114" s="6">
        <f t="shared" si="13"/>
        <v>2018</v>
      </c>
      <c r="D114">
        <f t="shared" ca="1" si="14"/>
        <v>144.96</v>
      </c>
      <c r="E114">
        <f t="shared" ca="1" si="14"/>
        <v>8.67</v>
      </c>
      <c r="F114" s="30">
        <f>'Monthly Data'!S114</f>
        <v>0</v>
      </c>
      <c r="G114" s="82">
        <f>SUMIF('Connection count GS Adjusted '!B:B,B114,'Connection count GS Adjusted '!H:H)</f>
        <v>2852.5414240668401</v>
      </c>
      <c r="H114" s="30">
        <f t="shared" ref="H114:K133" si="16">H102</f>
        <v>1</v>
      </c>
      <c r="I114" s="30">
        <f t="shared" si="16"/>
        <v>0</v>
      </c>
      <c r="J114" s="30">
        <f t="shared" si="16"/>
        <v>0</v>
      </c>
      <c r="K114" s="30">
        <f t="shared" si="16"/>
        <v>0</v>
      </c>
      <c r="M114" s="23">
        <f>'GS &lt; 50 OLS Model'!$B$5</f>
        <v>-4820550.2123392904</v>
      </c>
      <c r="N114" s="23">
        <f ca="1">'GS &lt; 50 OLS Model'!$B$6*D114</f>
        <v>467334.44142582454</v>
      </c>
      <c r="O114" s="23">
        <f ca="1">'GS &lt; 50 OLS Model'!$B$7*E114</f>
        <v>131811.81990723632</v>
      </c>
      <c r="P114" s="23">
        <f>'GS &lt; 50 OLS Model'!$B$8*F114</f>
        <v>0</v>
      </c>
      <c r="Q114" s="23">
        <f>'GS &lt; 50 OLS Model'!$B$9*G114</f>
        <v>10049985.139076205</v>
      </c>
      <c r="R114" s="23">
        <f>'GS &lt; 50 OLS Model'!$B$10*H114</f>
        <v>893150.55620657699</v>
      </c>
      <c r="S114" s="23">
        <f>'GS &lt; 50 OLS Model'!$B$11*I114</f>
        <v>0</v>
      </c>
      <c r="T114" s="23">
        <f>'GS &lt; 50 OLS Model'!$B$12*J114</f>
        <v>0</v>
      </c>
      <c r="U114" s="23">
        <f>'GS &lt; 50 OLS Model'!$B$13*K114</f>
        <v>0</v>
      </c>
      <c r="V114" s="23">
        <f t="shared" ca="1" si="15"/>
        <v>6721731.7442765515</v>
      </c>
    </row>
    <row r="115" spans="1:22" x14ac:dyDescent="0.25">
      <c r="A115" s="11">
        <v>43252</v>
      </c>
      <c r="B115" s="6">
        <f t="shared" si="13"/>
        <v>2018</v>
      </c>
      <c r="D115">
        <f t="shared" ca="1" si="14"/>
        <v>41.510000000000005</v>
      </c>
      <c r="E115">
        <f t="shared" ca="1" si="14"/>
        <v>44.41</v>
      </c>
      <c r="F115" s="30">
        <f>'Monthly Data'!S115</f>
        <v>0</v>
      </c>
      <c r="G115" s="82">
        <f>SUMIF('Connection count GS Adjusted '!B:B,B115,'Connection count GS Adjusted '!H:H)</f>
        <v>2852.5414240668401</v>
      </c>
      <c r="H115" s="30">
        <f t="shared" si="16"/>
        <v>1</v>
      </c>
      <c r="I115" s="30">
        <f t="shared" si="16"/>
        <v>0</v>
      </c>
      <c r="J115" s="30">
        <f t="shared" si="16"/>
        <v>0</v>
      </c>
      <c r="K115" s="30">
        <f t="shared" si="16"/>
        <v>0</v>
      </c>
      <c r="M115" s="23">
        <f>'GS &lt; 50 OLS Model'!$B$5</f>
        <v>-4820550.2123392904</v>
      </c>
      <c r="N115" s="23">
        <f ca="1">'GS &lt; 50 OLS Model'!$B$6*D115</f>
        <v>133823.4869176737</v>
      </c>
      <c r="O115" s="23">
        <f ca="1">'GS &lt; 50 OLS Model'!$B$7*E115</f>
        <v>675174.50081665104</v>
      </c>
      <c r="P115" s="23">
        <f>'GS &lt; 50 OLS Model'!$B$8*F115</f>
        <v>0</v>
      </c>
      <c r="Q115" s="23">
        <f>'GS &lt; 50 OLS Model'!$B$9*G115</f>
        <v>10049985.139076205</v>
      </c>
      <c r="R115" s="23">
        <f>'GS &lt; 50 OLS Model'!$B$10*H115</f>
        <v>893150.55620657699</v>
      </c>
      <c r="S115" s="23">
        <f>'GS &lt; 50 OLS Model'!$B$11*I115</f>
        <v>0</v>
      </c>
      <c r="T115" s="23">
        <f>'GS &lt; 50 OLS Model'!$B$12*J115</f>
        <v>0</v>
      </c>
      <c r="U115" s="23">
        <f>'GS &lt; 50 OLS Model'!$B$13*K115</f>
        <v>0</v>
      </c>
      <c r="V115" s="23">
        <f t="shared" ca="1" si="15"/>
        <v>6931583.4706778154</v>
      </c>
    </row>
    <row r="116" spans="1:22" x14ac:dyDescent="0.25">
      <c r="A116" s="11">
        <v>43282</v>
      </c>
      <c r="B116" s="6">
        <f t="shared" si="13"/>
        <v>2018</v>
      </c>
      <c r="D116">
        <f t="shared" ca="1" si="14"/>
        <v>5.01</v>
      </c>
      <c r="E116">
        <f t="shared" ca="1" si="14"/>
        <v>96.909999999999982</v>
      </c>
      <c r="F116" s="30">
        <f>'Monthly Data'!S116</f>
        <v>0</v>
      </c>
      <c r="G116" s="82">
        <f>SUMIF('Connection count GS Adjusted '!B:B,B116,'Connection count GS Adjusted '!H:H)</f>
        <v>2852.5414240668401</v>
      </c>
      <c r="H116" s="30">
        <f t="shared" si="16"/>
        <v>1</v>
      </c>
      <c r="I116" s="30">
        <f t="shared" si="16"/>
        <v>0</v>
      </c>
      <c r="J116" s="30">
        <f t="shared" si="16"/>
        <v>0</v>
      </c>
      <c r="K116" s="30">
        <f t="shared" si="16"/>
        <v>0</v>
      </c>
      <c r="M116" s="23">
        <f>'GS &lt; 50 OLS Model'!$B$5</f>
        <v>-4820550.2123392904</v>
      </c>
      <c r="N116" s="23">
        <f ca="1">'GS &lt; 50 OLS Model'!$B$6*D116</f>
        <v>16151.666332390871</v>
      </c>
      <c r="O116" s="23">
        <f ca="1">'GS &lt; 50 OLS Model'!$B$7*E116</f>
        <v>1473342.9604625455</v>
      </c>
      <c r="P116" s="23">
        <f>'GS &lt; 50 OLS Model'!$B$8*F116</f>
        <v>0</v>
      </c>
      <c r="Q116" s="23">
        <f>'GS &lt; 50 OLS Model'!$B$9*G116</f>
        <v>10049985.139076205</v>
      </c>
      <c r="R116" s="23">
        <f>'GS &lt; 50 OLS Model'!$B$10*H116</f>
        <v>893150.55620657699</v>
      </c>
      <c r="S116" s="23">
        <f>'GS &lt; 50 OLS Model'!$B$11*I116</f>
        <v>0</v>
      </c>
      <c r="T116" s="23">
        <f>'GS &lt; 50 OLS Model'!$B$12*J116</f>
        <v>0</v>
      </c>
      <c r="U116" s="23">
        <f>'GS &lt; 50 OLS Model'!$B$13*K116</f>
        <v>0</v>
      </c>
      <c r="V116" s="23">
        <f t="shared" ca="1" si="15"/>
        <v>7612080.1097384281</v>
      </c>
    </row>
    <row r="117" spans="1:22" x14ac:dyDescent="0.25">
      <c r="A117" s="11">
        <v>43313</v>
      </c>
      <c r="B117" s="6">
        <f t="shared" si="13"/>
        <v>2018</v>
      </c>
      <c r="D117">
        <f t="shared" ca="1" si="14"/>
        <v>12.719999999999999</v>
      </c>
      <c r="E117">
        <f t="shared" ca="1" si="14"/>
        <v>77.22999999999999</v>
      </c>
      <c r="F117" s="30">
        <f>'Monthly Data'!S117</f>
        <v>0</v>
      </c>
      <c r="G117" s="82">
        <f>SUMIF('Connection count GS Adjusted '!B:B,B117,'Connection count GS Adjusted '!H:H)</f>
        <v>2852.5414240668401</v>
      </c>
      <c r="H117" s="30">
        <f t="shared" si="16"/>
        <v>1</v>
      </c>
      <c r="I117" s="30">
        <f t="shared" si="16"/>
        <v>0</v>
      </c>
      <c r="J117" s="30">
        <f t="shared" si="16"/>
        <v>0</v>
      </c>
      <c r="K117" s="30">
        <f t="shared" si="16"/>
        <v>0</v>
      </c>
      <c r="M117" s="23">
        <f>'GS &lt; 50 OLS Model'!$B$5</f>
        <v>-4820550.2123392904</v>
      </c>
      <c r="N117" s="23">
        <f ca="1">'GS &lt; 50 OLS Model'!$B$6*D117</f>
        <v>41007.823502597181</v>
      </c>
      <c r="O117" s="23">
        <f ca="1">'GS &lt; 50 OLS Model'!$B$7*E117</f>
        <v>1174143.8121609988</v>
      </c>
      <c r="P117" s="23">
        <f>'GS &lt; 50 OLS Model'!$B$8*F117</f>
        <v>0</v>
      </c>
      <c r="Q117" s="23">
        <f>'GS &lt; 50 OLS Model'!$B$9*G117</f>
        <v>10049985.139076205</v>
      </c>
      <c r="R117" s="23">
        <f>'GS &lt; 50 OLS Model'!$B$10*H117</f>
        <v>893150.55620657699</v>
      </c>
      <c r="S117" s="23">
        <f>'GS &lt; 50 OLS Model'!$B$11*I117</f>
        <v>0</v>
      </c>
      <c r="T117" s="23">
        <f>'GS &lt; 50 OLS Model'!$B$12*J117</f>
        <v>0</v>
      </c>
      <c r="U117" s="23">
        <f>'GS &lt; 50 OLS Model'!$B$13*K117</f>
        <v>0</v>
      </c>
      <c r="V117" s="23">
        <f t="shared" ca="1" si="15"/>
        <v>7337737.1186070871</v>
      </c>
    </row>
    <row r="118" spans="1:22" x14ac:dyDescent="0.25">
      <c r="A118" s="11">
        <v>43344</v>
      </c>
      <c r="B118" s="6">
        <f t="shared" si="13"/>
        <v>2018</v>
      </c>
      <c r="D118">
        <f t="shared" ref="D118:E137" ca="1" si="17">D106</f>
        <v>86.570000000000007</v>
      </c>
      <c r="E118">
        <f t="shared" ca="1" si="17"/>
        <v>19.899999999999999</v>
      </c>
      <c r="F118" s="30">
        <f>'Monthly Data'!S118</f>
        <v>0</v>
      </c>
      <c r="G118" s="82">
        <f>SUMIF('Connection count GS Adjusted '!B:B,B118,'Connection count GS Adjusted '!H:H)</f>
        <v>2852.5414240668401</v>
      </c>
      <c r="H118" s="30">
        <f t="shared" si="16"/>
        <v>1</v>
      </c>
      <c r="I118" s="30">
        <f t="shared" si="16"/>
        <v>1</v>
      </c>
      <c r="J118" s="30">
        <f t="shared" si="16"/>
        <v>0</v>
      </c>
      <c r="K118" s="30">
        <f t="shared" si="16"/>
        <v>0</v>
      </c>
      <c r="M118" s="23">
        <f>'GS &lt; 50 OLS Model'!$B$5</f>
        <v>-4820550.2123392904</v>
      </c>
      <c r="N118" s="23">
        <f ca="1">'GS &lt; 50 OLS Model'!$B$6*D118</f>
        <v>279091.76734432695</v>
      </c>
      <c r="O118" s="23">
        <f ca="1">'GS &lt; 50 OLS Model'!$B$7*E118</f>
        <v>302543.85422768199</v>
      </c>
      <c r="P118" s="23">
        <f>'GS &lt; 50 OLS Model'!$B$8*F118</f>
        <v>0</v>
      </c>
      <c r="Q118" s="23">
        <f>'GS &lt; 50 OLS Model'!$B$9*G118</f>
        <v>10049985.139076205</v>
      </c>
      <c r="R118" s="23">
        <f>'GS &lt; 50 OLS Model'!$B$10*H118</f>
        <v>893150.55620657699</v>
      </c>
      <c r="S118" s="23">
        <f>'GS &lt; 50 OLS Model'!$B$11*I118</f>
        <v>-173591.250541696</v>
      </c>
      <c r="T118" s="23">
        <f>'GS &lt; 50 OLS Model'!$B$12*J118</f>
        <v>0</v>
      </c>
      <c r="U118" s="23">
        <f>'GS &lt; 50 OLS Model'!$B$13*K118</f>
        <v>0</v>
      </c>
      <c r="V118" s="23">
        <f t="shared" ca="1" si="15"/>
        <v>6704221.1045155004</v>
      </c>
    </row>
    <row r="119" spans="1:22" x14ac:dyDescent="0.25">
      <c r="A119" s="11">
        <v>43374</v>
      </c>
      <c r="B119" s="6">
        <f t="shared" si="13"/>
        <v>2018</v>
      </c>
      <c r="D119">
        <f t="shared" ca="1" si="17"/>
        <v>270.3</v>
      </c>
      <c r="E119">
        <f t="shared" ca="1" si="17"/>
        <v>1.21</v>
      </c>
      <c r="F119" s="30">
        <f>'Monthly Data'!S119</f>
        <v>0</v>
      </c>
      <c r="G119" s="82">
        <f>SUMIF('Connection count GS Adjusted '!B:B,B119,'Connection count GS Adjusted '!H:H)</f>
        <v>2852.5414240668401</v>
      </c>
      <c r="H119" s="30">
        <f t="shared" si="16"/>
        <v>1</v>
      </c>
      <c r="I119" s="30">
        <f t="shared" si="16"/>
        <v>1</v>
      </c>
      <c r="J119" s="30">
        <f t="shared" si="16"/>
        <v>0</v>
      </c>
      <c r="K119" s="30">
        <f t="shared" si="16"/>
        <v>0</v>
      </c>
      <c r="M119" s="23">
        <f>'GS &lt; 50 OLS Model'!$B$5</f>
        <v>-4820550.2123392904</v>
      </c>
      <c r="N119" s="23">
        <f ca="1">'GS &lt; 50 OLS Model'!$B$6*D119</f>
        <v>871416.24943019019</v>
      </c>
      <c r="O119" s="23">
        <f ca="1">'GS &lt; 50 OLS Model'!$B$7*E119</f>
        <v>18395.882593743478</v>
      </c>
      <c r="P119" s="23">
        <f>'GS &lt; 50 OLS Model'!$B$8*F119</f>
        <v>0</v>
      </c>
      <c r="Q119" s="23">
        <f>'GS &lt; 50 OLS Model'!$B$9*G119</f>
        <v>10049985.139076205</v>
      </c>
      <c r="R119" s="23">
        <f>'GS &lt; 50 OLS Model'!$B$10*H119</f>
        <v>893150.55620657699</v>
      </c>
      <c r="S119" s="23">
        <f>'GS &lt; 50 OLS Model'!$B$11*I119</f>
        <v>-173591.250541696</v>
      </c>
      <c r="T119" s="23">
        <f>'GS &lt; 50 OLS Model'!$B$12*J119</f>
        <v>0</v>
      </c>
      <c r="U119" s="23">
        <f>'GS &lt; 50 OLS Model'!$B$13*K119</f>
        <v>0</v>
      </c>
      <c r="V119" s="23">
        <f t="shared" ca="1" si="15"/>
        <v>7012397.6149674244</v>
      </c>
    </row>
    <row r="120" spans="1:22" x14ac:dyDescent="0.25">
      <c r="A120" s="11">
        <v>43405</v>
      </c>
      <c r="B120" s="6">
        <f t="shared" si="13"/>
        <v>2018</v>
      </c>
      <c r="D120">
        <f t="shared" ca="1" si="17"/>
        <v>444.05</v>
      </c>
      <c r="E120">
        <f t="shared" ca="1" si="17"/>
        <v>0</v>
      </c>
      <c r="F120" s="30">
        <f>'Monthly Data'!S120</f>
        <v>0</v>
      </c>
      <c r="G120" s="82">
        <f>SUMIF('Connection count GS Adjusted '!B:B,B120,'Connection count GS Adjusted '!H:H)</f>
        <v>2852.5414240668401</v>
      </c>
      <c r="H120" s="30">
        <f t="shared" si="16"/>
        <v>1</v>
      </c>
      <c r="I120" s="30">
        <f t="shared" si="16"/>
        <v>1</v>
      </c>
      <c r="J120" s="30">
        <f t="shared" si="16"/>
        <v>0</v>
      </c>
      <c r="K120" s="30">
        <f t="shared" si="16"/>
        <v>0</v>
      </c>
      <c r="M120" s="23">
        <f>'GS &lt; 50 OLS Model'!$B$5</f>
        <v>-4820550.2123392904</v>
      </c>
      <c r="N120" s="23">
        <f ca="1">'GS &lt; 50 OLS Model'!$B$6*D120</f>
        <v>1431566.3542710911</v>
      </c>
      <c r="O120" s="23">
        <f ca="1">'GS &lt; 50 OLS Model'!$B$7*E120</f>
        <v>0</v>
      </c>
      <c r="P120" s="23">
        <f>'GS &lt; 50 OLS Model'!$B$8*F120</f>
        <v>0</v>
      </c>
      <c r="Q120" s="23">
        <f>'GS &lt; 50 OLS Model'!$B$9*G120</f>
        <v>10049985.139076205</v>
      </c>
      <c r="R120" s="23">
        <f>'GS &lt; 50 OLS Model'!$B$10*H120</f>
        <v>893150.55620657699</v>
      </c>
      <c r="S120" s="23">
        <f>'GS &lt; 50 OLS Model'!$B$11*I120</f>
        <v>-173591.250541696</v>
      </c>
      <c r="T120" s="23">
        <f>'GS &lt; 50 OLS Model'!$B$12*J120</f>
        <v>0</v>
      </c>
      <c r="U120" s="23">
        <f>'GS &lt; 50 OLS Model'!$B$13*K120</f>
        <v>0</v>
      </c>
      <c r="V120" s="23">
        <f t="shared" ca="1" si="15"/>
        <v>7554151.8372145817</v>
      </c>
    </row>
    <row r="121" spans="1:22" x14ac:dyDescent="0.25">
      <c r="A121" s="11">
        <v>43435</v>
      </c>
      <c r="B121" s="6">
        <f t="shared" si="13"/>
        <v>2018</v>
      </c>
      <c r="D121">
        <f t="shared" ca="1" si="17"/>
        <v>684.01</v>
      </c>
      <c r="E121">
        <f t="shared" ca="1" si="17"/>
        <v>0</v>
      </c>
      <c r="F121" s="30">
        <f>'Monthly Data'!S121</f>
        <v>0</v>
      </c>
      <c r="G121" s="82">
        <f>SUMIF('Connection count GS Adjusted '!B:B,B121,'Connection count GS Adjusted '!H:H)</f>
        <v>2852.5414240668401</v>
      </c>
      <c r="H121" s="30">
        <f t="shared" si="16"/>
        <v>1</v>
      </c>
      <c r="I121" s="30">
        <f t="shared" si="16"/>
        <v>0</v>
      </c>
      <c r="J121" s="30">
        <f t="shared" si="16"/>
        <v>0</v>
      </c>
      <c r="K121" s="30">
        <f t="shared" si="16"/>
        <v>0</v>
      </c>
      <c r="M121" s="23">
        <f>'GS &lt; 50 OLS Model'!$B$5</f>
        <v>-4820550.2123392904</v>
      </c>
      <c r="N121" s="23">
        <f ca="1">'GS &lt; 50 OLS Model'!$B$6*D121</f>
        <v>2205169.9177681995</v>
      </c>
      <c r="O121" s="23">
        <f ca="1">'GS &lt; 50 OLS Model'!$B$7*E121</f>
        <v>0</v>
      </c>
      <c r="P121" s="23">
        <f>'GS &lt; 50 OLS Model'!$B$8*F121</f>
        <v>0</v>
      </c>
      <c r="Q121" s="23">
        <f>'GS &lt; 50 OLS Model'!$B$9*G121</f>
        <v>10049985.139076205</v>
      </c>
      <c r="R121" s="23">
        <f>'GS &lt; 50 OLS Model'!$B$10*H121</f>
        <v>893150.55620657699</v>
      </c>
      <c r="S121" s="23">
        <f>'GS &lt; 50 OLS Model'!$B$11*I121</f>
        <v>0</v>
      </c>
      <c r="T121" s="23">
        <f>'GS &lt; 50 OLS Model'!$B$12*J121</f>
        <v>0</v>
      </c>
      <c r="U121" s="23">
        <f>'GS &lt; 50 OLS Model'!$B$13*K121</f>
        <v>0</v>
      </c>
      <c r="V121" s="23">
        <f t="shared" ca="1" si="15"/>
        <v>8327755.400711691</v>
      </c>
    </row>
    <row r="122" spans="1:22" x14ac:dyDescent="0.25">
      <c r="A122" s="11">
        <v>43466</v>
      </c>
      <c r="B122" s="6">
        <f t="shared" si="13"/>
        <v>2019</v>
      </c>
      <c r="D122">
        <f t="shared" ca="1" si="17"/>
        <v>784.29</v>
      </c>
      <c r="E122">
        <f t="shared" ca="1" si="17"/>
        <v>0</v>
      </c>
      <c r="F122" s="30">
        <f>'Monthly Data'!S122</f>
        <v>0</v>
      </c>
      <c r="G122" s="82">
        <f>SUMIF('Connection count GS Adjusted '!B:B,B122,'Connection count GS Adjusted '!H:H)</f>
        <v>2804.9009949874062</v>
      </c>
      <c r="H122" s="30">
        <f t="shared" si="16"/>
        <v>1</v>
      </c>
      <c r="I122" s="30">
        <f t="shared" si="16"/>
        <v>0</v>
      </c>
      <c r="J122" s="30">
        <f t="shared" si="16"/>
        <v>0</v>
      </c>
      <c r="K122" s="30">
        <f t="shared" si="16"/>
        <v>0</v>
      </c>
      <c r="M122" s="23">
        <f>'GS &lt; 50 OLS Model'!$B$5</f>
        <v>-4820550.2123392904</v>
      </c>
      <c r="N122" s="23">
        <f ca="1">'GS &lt; 50 OLS Model'!$B$6*D122</f>
        <v>2528461.1552556558</v>
      </c>
      <c r="O122" s="23">
        <f ca="1">'GS &lt; 50 OLS Model'!$B$7*E122</f>
        <v>0</v>
      </c>
      <c r="P122" s="23">
        <f>'GS &lt; 50 OLS Model'!$B$8*F122</f>
        <v>0</v>
      </c>
      <c r="Q122" s="23">
        <f>'GS &lt; 50 OLS Model'!$B$9*G122</f>
        <v>9882139.8625000194</v>
      </c>
      <c r="R122" s="23">
        <f>'GS &lt; 50 OLS Model'!$B$10*H122</f>
        <v>893150.55620657699</v>
      </c>
      <c r="S122" s="23">
        <f>'GS &lt; 50 OLS Model'!$B$11*I122</f>
        <v>0</v>
      </c>
      <c r="T122" s="23">
        <f>'GS &lt; 50 OLS Model'!$B$12*J122</f>
        <v>0</v>
      </c>
      <c r="U122" s="23">
        <f>'GS &lt; 50 OLS Model'!$B$13*K122</f>
        <v>0</v>
      </c>
      <c r="V122" s="23">
        <f t="shared" ca="1" si="15"/>
        <v>8483201.3616229612</v>
      </c>
    </row>
    <row r="123" spans="1:22" x14ac:dyDescent="0.25">
      <c r="A123" s="11">
        <v>43497</v>
      </c>
      <c r="B123" s="6">
        <f t="shared" si="13"/>
        <v>2019</v>
      </c>
      <c r="D123">
        <f t="shared" ca="1" si="17"/>
        <v>682.50999999999988</v>
      </c>
      <c r="E123">
        <f t="shared" ca="1" si="17"/>
        <v>0</v>
      </c>
      <c r="F123" s="30">
        <f>'Monthly Data'!S123</f>
        <v>0</v>
      </c>
      <c r="G123" s="82">
        <f>SUMIF('Connection count GS Adjusted '!B:B,B123,'Connection count GS Adjusted '!H:H)</f>
        <v>2804.9009949874062</v>
      </c>
      <c r="H123" s="30">
        <f t="shared" si="16"/>
        <v>1</v>
      </c>
      <c r="I123" s="30">
        <f t="shared" si="16"/>
        <v>0</v>
      </c>
      <c r="J123" s="30">
        <f t="shared" si="16"/>
        <v>1</v>
      </c>
      <c r="K123" s="30">
        <f t="shared" si="16"/>
        <v>0</v>
      </c>
      <c r="M123" s="23">
        <f>'GS &lt; 50 OLS Model'!$B$5</f>
        <v>-4820550.2123392904</v>
      </c>
      <c r="N123" s="23">
        <f ca="1">'GS &lt; 50 OLS Model'!$B$6*D123</f>
        <v>2200334.0895249685</v>
      </c>
      <c r="O123" s="23">
        <f ca="1">'GS &lt; 50 OLS Model'!$B$7*E123</f>
        <v>0</v>
      </c>
      <c r="P123" s="23">
        <f>'GS &lt; 50 OLS Model'!$B$8*F123</f>
        <v>0</v>
      </c>
      <c r="Q123" s="23">
        <f>'GS &lt; 50 OLS Model'!$B$9*G123</f>
        <v>9882139.8625000194</v>
      </c>
      <c r="R123" s="23">
        <f>'GS &lt; 50 OLS Model'!$B$10*H123</f>
        <v>893150.55620657699</v>
      </c>
      <c r="S123" s="23">
        <f>'GS &lt; 50 OLS Model'!$B$11*I123</f>
        <v>0</v>
      </c>
      <c r="T123" s="23">
        <f>'GS &lt; 50 OLS Model'!$B$12*J123</f>
        <v>-323195.56340474403</v>
      </c>
      <c r="U123" s="23">
        <f>'GS &lt; 50 OLS Model'!$B$13*K123</f>
        <v>0</v>
      </c>
      <c r="V123" s="23">
        <f t="shared" ca="1" si="15"/>
        <v>8155074.295892274</v>
      </c>
    </row>
    <row r="124" spans="1:22" x14ac:dyDescent="0.25">
      <c r="A124" s="11">
        <v>43525</v>
      </c>
      <c r="B124" s="6">
        <f t="shared" si="13"/>
        <v>2019</v>
      </c>
      <c r="D124">
        <f t="shared" ca="1" si="17"/>
        <v>556.99</v>
      </c>
      <c r="E124">
        <f t="shared" ca="1" si="17"/>
        <v>0</v>
      </c>
      <c r="F124" s="30">
        <f>'Monthly Data'!S124</f>
        <v>0</v>
      </c>
      <c r="G124" s="82">
        <f>SUMIF('Connection count GS Adjusted '!B:B,B124,'Connection count GS Adjusted '!H:H)</f>
        <v>2804.9009949874062</v>
      </c>
      <c r="H124" s="30">
        <f t="shared" si="16"/>
        <v>1</v>
      </c>
      <c r="I124" s="30">
        <f t="shared" si="16"/>
        <v>0</v>
      </c>
      <c r="J124" s="30">
        <f t="shared" si="16"/>
        <v>0</v>
      </c>
      <c r="K124" s="30">
        <f t="shared" si="16"/>
        <v>0</v>
      </c>
      <c r="M124" s="23">
        <f>'GS &lt; 50 OLS Model'!$B$5</f>
        <v>-4820550.2123392904</v>
      </c>
      <c r="N124" s="23">
        <f ca="1">'GS &lt; 50 OLS Model'!$B$6*D124</f>
        <v>1795671.9821314155</v>
      </c>
      <c r="O124" s="23">
        <f ca="1">'GS &lt; 50 OLS Model'!$B$7*E124</f>
        <v>0</v>
      </c>
      <c r="P124" s="23">
        <f>'GS &lt; 50 OLS Model'!$B$8*F124</f>
        <v>0</v>
      </c>
      <c r="Q124" s="23">
        <f>'GS &lt; 50 OLS Model'!$B$9*G124</f>
        <v>9882139.8625000194</v>
      </c>
      <c r="R124" s="23">
        <f>'GS &lt; 50 OLS Model'!$B$10*H124</f>
        <v>893150.55620657699</v>
      </c>
      <c r="S124" s="23">
        <f>'GS &lt; 50 OLS Model'!$B$11*I124</f>
        <v>0</v>
      </c>
      <c r="T124" s="23">
        <f>'GS &lt; 50 OLS Model'!$B$12*J124</f>
        <v>0</v>
      </c>
      <c r="U124" s="23">
        <f>'GS &lt; 50 OLS Model'!$B$13*K124</f>
        <v>0</v>
      </c>
      <c r="V124" s="23">
        <f t="shared" ca="1" si="15"/>
        <v>7750412.1884987205</v>
      </c>
    </row>
    <row r="125" spans="1:22" x14ac:dyDescent="0.25">
      <c r="A125" s="11">
        <v>43556</v>
      </c>
      <c r="B125" s="6">
        <f t="shared" si="13"/>
        <v>2019</v>
      </c>
      <c r="D125">
        <f t="shared" ca="1" si="17"/>
        <v>326.58999999999997</v>
      </c>
      <c r="E125">
        <f t="shared" ca="1" si="17"/>
        <v>0.39</v>
      </c>
      <c r="F125" s="30">
        <f>'Monthly Data'!S125</f>
        <v>0</v>
      </c>
      <c r="G125" s="82">
        <f>SUMIF('Connection count GS Adjusted '!B:B,B125,'Connection count GS Adjusted '!H:H)</f>
        <v>2804.9009949874062</v>
      </c>
      <c r="H125" s="30">
        <f t="shared" si="16"/>
        <v>1</v>
      </c>
      <c r="I125" s="30">
        <f t="shared" si="16"/>
        <v>0</v>
      </c>
      <c r="J125" s="30">
        <f t="shared" si="16"/>
        <v>0</v>
      </c>
      <c r="K125" s="30">
        <f t="shared" si="16"/>
        <v>1</v>
      </c>
      <c r="M125" s="23">
        <f>'GS &lt; 50 OLS Model'!$B$5</f>
        <v>-4820550.2123392904</v>
      </c>
      <c r="N125" s="23">
        <f ca="1">'GS &lt; 50 OLS Model'!$B$6*D125</f>
        <v>1052888.7639711646</v>
      </c>
      <c r="O125" s="23">
        <f ca="1">'GS &lt; 50 OLS Model'!$B$7*E125</f>
        <v>5929.2514145123614</v>
      </c>
      <c r="P125" s="23">
        <f>'GS &lt; 50 OLS Model'!$B$8*F125</f>
        <v>0</v>
      </c>
      <c r="Q125" s="23">
        <f>'GS &lt; 50 OLS Model'!$B$9*G125</f>
        <v>9882139.8625000194</v>
      </c>
      <c r="R125" s="23">
        <f>'GS &lt; 50 OLS Model'!$B$10*H125</f>
        <v>893150.55620657699</v>
      </c>
      <c r="S125" s="23">
        <f>'GS &lt; 50 OLS Model'!$B$11*I125</f>
        <v>0</v>
      </c>
      <c r="T125" s="23">
        <f>'GS &lt; 50 OLS Model'!$B$12*J125</f>
        <v>0</v>
      </c>
      <c r="U125" s="23">
        <f>'GS &lt; 50 OLS Model'!$B$13*K125</f>
        <v>-425159.68663676298</v>
      </c>
      <c r="V125" s="23">
        <f t="shared" ca="1" si="15"/>
        <v>7013558.2217529826</v>
      </c>
    </row>
    <row r="126" spans="1:22" x14ac:dyDescent="0.25">
      <c r="A126" s="11">
        <v>43586</v>
      </c>
      <c r="B126" s="6">
        <f t="shared" si="13"/>
        <v>2019</v>
      </c>
      <c r="D126">
        <f t="shared" ca="1" si="17"/>
        <v>144.96</v>
      </c>
      <c r="E126">
        <f t="shared" ca="1" si="17"/>
        <v>8.67</v>
      </c>
      <c r="F126" s="30">
        <f>'Monthly Data'!S126</f>
        <v>0</v>
      </c>
      <c r="G126" s="82">
        <f>SUMIF('Connection count GS Adjusted '!B:B,B126,'Connection count GS Adjusted '!H:H)</f>
        <v>2804.9009949874062</v>
      </c>
      <c r="H126" s="30">
        <f t="shared" si="16"/>
        <v>1</v>
      </c>
      <c r="I126" s="30">
        <f t="shared" si="16"/>
        <v>0</v>
      </c>
      <c r="J126" s="30">
        <f t="shared" si="16"/>
        <v>0</v>
      </c>
      <c r="K126" s="30">
        <f t="shared" si="16"/>
        <v>0</v>
      </c>
      <c r="M126" s="23">
        <f>'GS &lt; 50 OLS Model'!$B$5</f>
        <v>-4820550.2123392904</v>
      </c>
      <c r="N126" s="23">
        <f ca="1">'GS &lt; 50 OLS Model'!$B$6*D126</f>
        <v>467334.44142582454</v>
      </c>
      <c r="O126" s="23">
        <f ca="1">'GS &lt; 50 OLS Model'!$B$7*E126</f>
        <v>131811.81990723632</v>
      </c>
      <c r="P126" s="23">
        <f>'GS &lt; 50 OLS Model'!$B$8*F126</f>
        <v>0</v>
      </c>
      <c r="Q126" s="23">
        <f>'GS &lt; 50 OLS Model'!$B$9*G126</f>
        <v>9882139.8625000194</v>
      </c>
      <c r="R126" s="23">
        <f>'GS &lt; 50 OLS Model'!$B$10*H126</f>
        <v>893150.55620657699</v>
      </c>
      <c r="S126" s="23">
        <f>'GS &lt; 50 OLS Model'!$B$11*I126</f>
        <v>0</v>
      </c>
      <c r="T126" s="23">
        <f>'GS &lt; 50 OLS Model'!$B$12*J126</f>
        <v>0</v>
      </c>
      <c r="U126" s="23">
        <f>'GS &lt; 50 OLS Model'!$B$13*K126</f>
        <v>0</v>
      </c>
      <c r="V126" s="23">
        <f t="shared" ca="1" si="15"/>
        <v>6553886.4677003659</v>
      </c>
    </row>
    <row r="127" spans="1:22" x14ac:dyDescent="0.25">
      <c r="A127" s="11">
        <v>43617</v>
      </c>
      <c r="B127" s="6">
        <f t="shared" si="13"/>
        <v>2019</v>
      </c>
      <c r="D127">
        <f t="shared" ca="1" si="17"/>
        <v>41.510000000000005</v>
      </c>
      <c r="E127">
        <f t="shared" ca="1" si="17"/>
        <v>44.41</v>
      </c>
      <c r="F127" s="30">
        <f>'Monthly Data'!S127</f>
        <v>0</v>
      </c>
      <c r="G127" s="82">
        <f>SUMIF('Connection count GS Adjusted '!B:B,B127,'Connection count GS Adjusted '!H:H)</f>
        <v>2804.9009949874062</v>
      </c>
      <c r="H127" s="30">
        <f t="shared" si="16"/>
        <v>1</v>
      </c>
      <c r="I127" s="30">
        <f t="shared" si="16"/>
        <v>0</v>
      </c>
      <c r="J127" s="30">
        <f t="shared" si="16"/>
        <v>0</v>
      </c>
      <c r="K127" s="30">
        <f t="shared" si="16"/>
        <v>0</v>
      </c>
      <c r="M127" s="23">
        <f>'GS &lt; 50 OLS Model'!$B$5</f>
        <v>-4820550.2123392904</v>
      </c>
      <c r="N127" s="23">
        <f ca="1">'GS &lt; 50 OLS Model'!$B$6*D127</f>
        <v>133823.4869176737</v>
      </c>
      <c r="O127" s="23">
        <f ca="1">'GS &lt; 50 OLS Model'!$B$7*E127</f>
        <v>675174.50081665104</v>
      </c>
      <c r="P127" s="23">
        <f>'GS &lt; 50 OLS Model'!$B$8*F127</f>
        <v>0</v>
      </c>
      <c r="Q127" s="23">
        <f>'GS &lt; 50 OLS Model'!$B$9*G127</f>
        <v>9882139.8625000194</v>
      </c>
      <c r="R127" s="23">
        <f>'GS &lt; 50 OLS Model'!$B$10*H127</f>
        <v>893150.55620657699</v>
      </c>
      <c r="S127" s="23">
        <f>'GS &lt; 50 OLS Model'!$B$11*I127</f>
        <v>0</v>
      </c>
      <c r="T127" s="23">
        <f>'GS &lt; 50 OLS Model'!$B$12*J127</f>
        <v>0</v>
      </c>
      <c r="U127" s="23">
        <f>'GS &lt; 50 OLS Model'!$B$13*K127</f>
        <v>0</v>
      </c>
      <c r="V127" s="23">
        <f t="shared" ca="1" si="15"/>
        <v>6763738.1941016298</v>
      </c>
    </row>
    <row r="128" spans="1:22" x14ac:dyDescent="0.25">
      <c r="A128" s="11">
        <v>43647</v>
      </c>
      <c r="B128" s="6">
        <f t="shared" si="13"/>
        <v>2019</v>
      </c>
      <c r="D128">
        <f t="shared" ca="1" si="17"/>
        <v>5.01</v>
      </c>
      <c r="E128">
        <f t="shared" ca="1" si="17"/>
        <v>96.909999999999982</v>
      </c>
      <c r="F128" s="30">
        <f>'Monthly Data'!S128</f>
        <v>0</v>
      </c>
      <c r="G128" s="82">
        <f>SUMIF('Connection count GS Adjusted '!B:B,B128,'Connection count GS Adjusted '!H:H)</f>
        <v>2804.9009949874062</v>
      </c>
      <c r="H128" s="30">
        <f t="shared" si="16"/>
        <v>1</v>
      </c>
      <c r="I128" s="30">
        <f t="shared" si="16"/>
        <v>0</v>
      </c>
      <c r="J128" s="30">
        <f t="shared" si="16"/>
        <v>0</v>
      </c>
      <c r="K128" s="30">
        <f t="shared" si="16"/>
        <v>0</v>
      </c>
      <c r="M128" s="23">
        <f>'GS &lt; 50 OLS Model'!$B$5</f>
        <v>-4820550.2123392904</v>
      </c>
      <c r="N128" s="23">
        <f ca="1">'GS &lt; 50 OLS Model'!$B$6*D128</f>
        <v>16151.666332390871</v>
      </c>
      <c r="O128" s="23">
        <f ca="1">'GS &lt; 50 OLS Model'!$B$7*E128</f>
        <v>1473342.9604625455</v>
      </c>
      <c r="P128" s="23">
        <f>'GS &lt; 50 OLS Model'!$B$8*F128</f>
        <v>0</v>
      </c>
      <c r="Q128" s="23">
        <f>'GS &lt; 50 OLS Model'!$B$9*G128</f>
        <v>9882139.8625000194</v>
      </c>
      <c r="R128" s="23">
        <f>'GS &lt; 50 OLS Model'!$B$10*H128</f>
        <v>893150.55620657699</v>
      </c>
      <c r="S128" s="23">
        <f>'GS &lt; 50 OLS Model'!$B$11*I128</f>
        <v>0</v>
      </c>
      <c r="T128" s="23">
        <f>'GS &lt; 50 OLS Model'!$B$12*J128</f>
        <v>0</v>
      </c>
      <c r="U128" s="23">
        <f>'GS &lt; 50 OLS Model'!$B$13*K128</f>
        <v>0</v>
      </c>
      <c r="V128" s="23">
        <f t="shared" ca="1" si="15"/>
        <v>7444234.8331622425</v>
      </c>
    </row>
    <row r="129" spans="1:22" x14ac:dyDescent="0.25">
      <c r="A129" s="11">
        <v>43678</v>
      </c>
      <c r="B129" s="6">
        <f t="shared" si="13"/>
        <v>2019</v>
      </c>
      <c r="D129">
        <f t="shared" ca="1" si="17"/>
        <v>12.719999999999999</v>
      </c>
      <c r="E129">
        <f t="shared" ca="1" si="17"/>
        <v>77.22999999999999</v>
      </c>
      <c r="F129" s="30">
        <f>'Monthly Data'!S129</f>
        <v>0</v>
      </c>
      <c r="G129" s="82">
        <f>SUMIF('Connection count GS Adjusted '!B:B,B129,'Connection count GS Adjusted '!H:H)</f>
        <v>2804.9009949874062</v>
      </c>
      <c r="H129" s="30">
        <f t="shared" si="16"/>
        <v>1</v>
      </c>
      <c r="I129" s="30">
        <f t="shared" si="16"/>
        <v>0</v>
      </c>
      <c r="J129" s="30">
        <f t="shared" si="16"/>
        <v>0</v>
      </c>
      <c r="K129" s="30">
        <f t="shared" si="16"/>
        <v>0</v>
      </c>
      <c r="M129" s="23">
        <f>'GS &lt; 50 OLS Model'!$B$5</f>
        <v>-4820550.2123392904</v>
      </c>
      <c r="N129" s="23">
        <f ca="1">'GS &lt; 50 OLS Model'!$B$6*D129</f>
        <v>41007.823502597181</v>
      </c>
      <c r="O129" s="23">
        <f ca="1">'GS &lt; 50 OLS Model'!$B$7*E129</f>
        <v>1174143.8121609988</v>
      </c>
      <c r="P129" s="23">
        <f>'GS &lt; 50 OLS Model'!$B$8*F129</f>
        <v>0</v>
      </c>
      <c r="Q129" s="23">
        <f>'GS &lt; 50 OLS Model'!$B$9*G129</f>
        <v>9882139.8625000194</v>
      </c>
      <c r="R129" s="23">
        <f>'GS &lt; 50 OLS Model'!$B$10*H129</f>
        <v>893150.55620657699</v>
      </c>
      <c r="S129" s="23">
        <f>'GS &lt; 50 OLS Model'!$B$11*I129</f>
        <v>0</v>
      </c>
      <c r="T129" s="23">
        <f>'GS &lt; 50 OLS Model'!$B$12*J129</f>
        <v>0</v>
      </c>
      <c r="U129" s="23">
        <f>'GS &lt; 50 OLS Model'!$B$13*K129</f>
        <v>0</v>
      </c>
      <c r="V129" s="23">
        <f t="shared" ca="1" si="15"/>
        <v>7169891.8420309015</v>
      </c>
    </row>
    <row r="130" spans="1:22" x14ac:dyDescent="0.25">
      <c r="A130" s="11">
        <v>43709</v>
      </c>
      <c r="B130" s="6">
        <f t="shared" si="13"/>
        <v>2019</v>
      </c>
      <c r="D130">
        <f t="shared" ca="1" si="17"/>
        <v>86.570000000000007</v>
      </c>
      <c r="E130">
        <f t="shared" ca="1" si="17"/>
        <v>19.899999999999999</v>
      </c>
      <c r="F130" s="30">
        <f>'Monthly Data'!S130</f>
        <v>0</v>
      </c>
      <c r="G130" s="82">
        <f>SUMIF('Connection count GS Adjusted '!B:B,B130,'Connection count GS Adjusted '!H:H)</f>
        <v>2804.9009949874062</v>
      </c>
      <c r="H130" s="30">
        <f t="shared" si="16"/>
        <v>1</v>
      </c>
      <c r="I130" s="30">
        <f t="shared" si="16"/>
        <v>1</v>
      </c>
      <c r="J130" s="30">
        <f t="shared" si="16"/>
        <v>0</v>
      </c>
      <c r="K130" s="30">
        <f t="shared" si="16"/>
        <v>0</v>
      </c>
      <c r="M130" s="23">
        <f>'GS &lt; 50 OLS Model'!$B$5</f>
        <v>-4820550.2123392904</v>
      </c>
      <c r="N130" s="23">
        <f ca="1">'GS &lt; 50 OLS Model'!$B$6*D130</f>
        <v>279091.76734432695</v>
      </c>
      <c r="O130" s="23">
        <f ca="1">'GS &lt; 50 OLS Model'!$B$7*E130</f>
        <v>302543.85422768199</v>
      </c>
      <c r="P130" s="23">
        <f>'GS &lt; 50 OLS Model'!$B$8*F130</f>
        <v>0</v>
      </c>
      <c r="Q130" s="23">
        <f>'GS &lt; 50 OLS Model'!$B$9*G130</f>
        <v>9882139.8625000194</v>
      </c>
      <c r="R130" s="23">
        <f>'GS &lt; 50 OLS Model'!$B$10*H130</f>
        <v>893150.55620657699</v>
      </c>
      <c r="S130" s="23">
        <f>'GS &lt; 50 OLS Model'!$B$11*I130</f>
        <v>-173591.250541696</v>
      </c>
      <c r="T130" s="23">
        <f>'GS &lt; 50 OLS Model'!$B$12*J130</f>
        <v>0</v>
      </c>
      <c r="U130" s="23">
        <f>'GS &lt; 50 OLS Model'!$B$13*K130</f>
        <v>0</v>
      </c>
      <c r="V130" s="23">
        <f t="shared" ca="1" si="15"/>
        <v>6536375.8279393148</v>
      </c>
    </row>
    <row r="131" spans="1:22" x14ac:dyDescent="0.25">
      <c r="A131" s="11">
        <v>43739</v>
      </c>
      <c r="B131" s="6">
        <f t="shared" si="13"/>
        <v>2019</v>
      </c>
      <c r="D131">
        <f t="shared" ca="1" si="17"/>
        <v>270.3</v>
      </c>
      <c r="E131">
        <f t="shared" ca="1" si="17"/>
        <v>1.21</v>
      </c>
      <c r="F131" s="30">
        <f>'Monthly Data'!S131</f>
        <v>0</v>
      </c>
      <c r="G131" s="82">
        <f>SUMIF('Connection count GS Adjusted '!B:B,B131,'Connection count GS Adjusted '!H:H)</f>
        <v>2804.9009949874062</v>
      </c>
      <c r="H131" s="30">
        <f t="shared" si="16"/>
        <v>1</v>
      </c>
      <c r="I131" s="30">
        <f t="shared" si="16"/>
        <v>1</v>
      </c>
      <c r="J131" s="30">
        <f t="shared" si="16"/>
        <v>0</v>
      </c>
      <c r="K131" s="30">
        <f t="shared" si="16"/>
        <v>0</v>
      </c>
      <c r="M131" s="23">
        <f>'GS &lt; 50 OLS Model'!$B$5</f>
        <v>-4820550.2123392904</v>
      </c>
      <c r="N131" s="23">
        <f ca="1">'GS &lt; 50 OLS Model'!$B$6*D131</f>
        <v>871416.24943019019</v>
      </c>
      <c r="O131" s="23">
        <f ca="1">'GS &lt; 50 OLS Model'!$B$7*E131</f>
        <v>18395.882593743478</v>
      </c>
      <c r="P131" s="23">
        <f>'GS &lt; 50 OLS Model'!$B$8*F131</f>
        <v>0</v>
      </c>
      <c r="Q131" s="23">
        <f>'GS &lt; 50 OLS Model'!$B$9*G131</f>
        <v>9882139.8625000194</v>
      </c>
      <c r="R131" s="23">
        <f>'GS &lt; 50 OLS Model'!$B$10*H131</f>
        <v>893150.55620657699</v>
      </c>
      <c r="S131" s="23">
        <f>'GS &lt; 50 OLS Model'!$B$11*I131</f>
        <v>-173591.250541696</v>
      </c>
      <c r="T131" s="23">
        <f>'GS &lt; 50 OLS Model'!$B$12*J131</f>
        <v>0</v>
      </c>
      <c r="U131" s="23">
        <f>'GS &lt; 50 OLS Model'!$B$13*K131</f>
        <v>0</v>
      </c>
      <c r="V131" s="23">
        <f t="shared" ca="1" si="15"/>
        <v>6844552.3383912388</v>
      </c>
    </row>
    <row r="132" spans="1:22" x14ac:dyDescent="0.25">
      <c r="A132" s="11">
        <v>43770</v>
      </c>
      <c r="B132" s="6">
        <f t="shared" si="13"/>
        <v>2019</v>
      </c>
      <c r="D132">
        <f t="shared" ca="1" si="17"/>
        <v>444.05</v>
      </c>
      <c r="E132">
        <f t="shared" ca="1" si="17"/>
        <v>0</v>
      </c>
      <c r="F132" s="30">
        <f>'Monthly Data'!S132</f>
        <v>0</v>
      </c>
      <c r="G132" s="82">
        <f>SUMIF('Connection count GS Adjusted '!B:B,B132,'Connection count GS Adjusted '!H:H)</f>
        <v>2804.9009949874062</v>
      </c>
      <c r="H132" s="30">
        <f t="shared" si="16"/>
        <v>1</v>
      </c>
      <c r="I132" s="30">
        <f t="shared" si="16"/>
        <v>1</v>
      </c>
      <c r="J132" s="30">
        <f t="shared" si="16"/>
        <v>0</v>
      </c>
      <c r="K132" s="30">
        <f t="shared" si="16"/>
        <v>0</v>
      </c>
      <c r="M132" s="23">
        <f>'GS &lt; 50 OLS Model'!$B$5</f>
        <v>-4820550.2123392904</v>
      </c>
      <c r="N132" s="23">
        <f ca="1">'GS &lt; 50 OLS Model'!$B$6*D132</f>
        <v>1431566.3542710911</v>
      </c>
      <c r="O132" s="23">
        <f ca="1">'GS &lt; 50 OLS Model'!$B$7*E132</f>
        <v>0</v>
      </c>
      <c r="P132" s="23">
        <f>'GS &lt; 50 OLS Model'!$B$8*F132</f>
        <v>0</v>
      </c>
      <c r="Q132" s="23">
        <f>'GS &lt; 50 OLS Model'!$B$9*G132</f>
        <v>9882139.8625000194</v>
      </c>
      <c r="R132" s="23">
        <f>'GS &lt; 50 OLS Model'!$B$10*H132</f>
        <v>893150.55620657699</v>
      </c>
      <c r="S132" s="23">
        <f>'GS &lt; 50 OLS Model'!$B$11*I132</f>
        <v>-173591.250541696</v>
      </c>
      <c r="T132" s="23">
        <f>'GS &lt; 50 OLS Model'!$B$12*J132</f>
        <v>0</v>
      </c>
      <c r="U132" s="23">
        <f>'GS &lt; 50 OLS Model'!$B$13*K132</f>
        <v>0</v>
      </c>
      <c r="V132" s="23">
        <f t="shared" ca="1" si="15"/>
        <v>7386306.5606383961</v>
      </c>
    </row>
    <row r="133" spans="1:22" x14ac:dyDescent="0.25">
      <c r="A133" s="11">
        <v>43800</v>
      </c>
      <c r="B133" s="6">
        <f t="shared" si="13"/>
        <v>2019</v>
      </c>
      <c r="D133">
        <f t="shared" ca="1" si="17"/>
        <v>684.01</v>
      </c>
      <c r="E133">
        <f t="shared" ca="1" si="17"/>
        <v>0</v>
      </c>
      <c r="F133" s="30">
        <f>'Monthly Data'!S133</f>
        <v>0</v>
      </c>
      <c r="G133" s="82">
        <f>SUMIF('Connection count GS Adjusted '!B:B,B133,'Connection count GS Adjusted '!H:H)</f>
        <v>2804.9009949874062</v>
      </c>
      <c r="H133" s="30">
        <f t="shared" si="16"/>
        <v>1</v>
      </c>
      <c r="I133" s="30">
        <f t="shared" si="16"/>
        <v>0</v>
      </c>
      <c r="J133" s="30">
        <f t="shared" si="16"/>
        <v>0</v>
      </c>
      <c r="K133" s="30">
        <f t="shared" si="16"/>
        <v>0</v>
      </c>
      <c r="M133" s="23">
        <f>'GS &lt; 50 OLS Model'!$B$5</f>
        <v>-4820550.2123392904</v>
      </c>
      <c r="N133" s="23">
        <f ca="1">'GS &lt; 50 OLS Model'!$B$6*D133</f>
        <v>2205169.9177681995</v>
      </c>
      <c r="O133" s="23">
        <f ca="1">'GS &lt; 50 OLS Model'!$B$7*E133</f>
        <v>0</v>
      </c>
      <c r="P133" s="23">
        <f>'GS &lt; 50 OLS Model'!$B$8*F133</f>
        <v>0</v>
      </c>
      <c r="Q133" s="23">
        <f>'GS &lt; 50 OLS Model'!$B$9*G133</f>
        <v>9882139.8625000194</v>
      </c>
      <c r="R133" s="23">
        <f>'GS &lt; 50 OLS Model'!$B$10*H133</f>
        <v>893150.55620657699</v>
      </c>
      <c r="S133" s="23">
        <f>'GS &lt; 50 OLS Model'!$B$11*I133</f>
        <v>0</v>
      </c>
      <c r="T133" s="23">
        <f>'GS &lt; 50 OLS Model'!$B$12*J133</f>
        <v>0</v>
      </c>
      <c r="U133" s="23">
        <f>'GS &lt; 50 OLS Model'!$B$13*K133</f>
        <v>0</v>
      </c>
      <c r="V133" s="23">
        <f t="shared" ca="1" si="15"/>
        <v>8159910.1241355054</v>
      </c>
    </row>
    <row r="134" spans="1:22" x14ac:dyDescent="0.25">
      <c r="A134" s="11">
        <v>43831</v>
      </c>
      <c r="B134" s="6">
        <f t="shared" si="13"/>
        <v>2020</v>
      </c>
      <c r="D134">
        <f t="shared" ca="1" si="17"/>
        <v>784.29</v>
      </c>
      <c r="E134">
        <f t="shared" ca="1" si="17"/>
        <v>0</v>
      </c>
      <c r="F134" s="30">
        <f>'Monthly Data'!S134</f>
        <v>0</v>
      </c>
      <c r="G134" s="82">
        <f>SUMIF('Connection count GS Adjusted '!B:B,B134,'Connection count GS Adjusted '!H:H)</f>
        <v>2758.0562109645957</v>
      </c>
      <c r="H134" s="30">
        <f t="shared" ref="H134:K145" si="18">H122</f>
        <v>1</v>
      </c>
      <c r="I134" s="30">
        <f t="shared" si="18"/>
        <v>0</v>
      </c>
      <c r="J134" s="30">
        <f t="shared" si="18"/>
        <v>0</v>
      </c>
      <c r="K134" s="30">
        <f t="shared" si="18"/>
        <v>0</v>
      </c>
      <c r="M134" s="23">
        <f>'GS &lt; 50 OLS Model'!$B$5</f>
        <v>-4820550.2123392904</v>
      </c>
      <c r="N134" s="23">
        <f ca="1">'GS &lt; 50 OLS Model'!$B$6*D134</f>
        <v>2528461.1552556558</v>
      </c>
      <c r="O134" s="23">
        <f ca="1">'GS &lt; 50 OLS Model'!$B$7*E134</f>
        <v>0</v>
      </c>
      <c r="P134" s="23">
        <f>'GS &lt; 50 OLS Model'!$B$8*F134</f>
        <v>0</v>
      </c>
      <c r="Q134" s="23">
        <f>'GS &lt; 50 OLS Model'!$B$9*G134</f>
        <v>9717097.777817063</v>
      </c>
      <c r="R134" s="23">
        <f>'GS &lt; 50 OLS Model'!$B$10*H134</f>
        <v>893150.55620657699</v>
      </c>
      <c r="S134" s="23">
        <f>'GS &lt; 50 OLS Model'!$B$11*I134</f>
        <v>0</v>
      </c>
      <c r="T134" s="23">
        <f>'GS &lt; 50 OLS Model'!$B$12*J134</f>
        <v>0</v>
      </c>
      <c r="U134" s="23">
        <f>'GS &lt; 50 OLS Model'!$B$13*K134</f>
        <v>0</v>
      </c>
      <c r="V134" s="23">
        <f t="shared" ca="1" si="15"/>
        <v>8318159.2769400049</v>
      </c>
    </row>
    <row r="135" spans="1:22" x14ac:dyDescent="0.25">
      <c r="A135" s="11">
        <v>43862</v>
      </c>
      <c r="B135" s="6">
        <f t="shared" si="13"/>
        <v>2020</v>
      </c>
      <c r="D135">
        <f t="shared" ca="1" si="17"/>
        <v>682.50999999999988</v>
      </c>
      <c r="E135">
        <f t="shared" ca="1" si="17"/>
        <v>0</v>
      </c>
      <c r="F135" s="30">
        <f>'Monthly Data'!S135</f>
        <v>0</v>
      </c>
      <c r="G135" s="82">
        <f>SUMIF('Connection count GS Adjusted '!B:B,B135,'Connection count GS Adjusted '!H:H)</f>
        <v>2758.0562109645957</v>
      </c>
      <c r="H135" s="30">
        <f t="shared" si="18"/>
        <v>1</v>
      </c>
      <c r="I135" s="30">
        <f t="shared" si="18"/>
        <v>0</v>
      </c>
      <c r="J135" s="30">
        <f t="shared" si="18"/>
        <v>1</v>
      </c>
      <c r="K135" s="30">
        <f t="shared" si="18"/>
        <v>0</v>
      </c>
      <c r="M135" s="23">
        <f>'GS &lt; 50 OLS Model'!$B$5</f>
        <v>-4820550.2123392904</v>
      </c>
      <c r="N135" s="23">
        <f ca="1">'GS &lt; 50 OLS Model'!$B$6*D135</f>
        <v>2200334.0895249685</v>
      </c>
      <c r="O135" s="23">
        <f ca="1">'GS &lt; 50 OLS Model'!$B$7*E135</f>
        <v>0</v>
      </c>
      <c r="P135" s="23">
        <f>'GS &lt; 50 OLS Model'!$B$8*F135</f>
        <v>0</v>
      </c>
      <c r="Q135" s="23">
        <f>'GS &lt; 50 OLS Model'!$B$9*G135</f>
        <v>9717097.777817063</v>
      </c>
      <c r="R135" s="23">
        <f>'GS &lt; 50 OLS Model'!$B$10*H135</f>
        <v>893150.55620657699</v>
      </c>
      <c r="S135" s="23">
        <f>'GS &lt; 50 OLS Model'!$B$11*I135</f>
        <v>0</v>
      </c>
      <c r="T135" s="23">
        <f>'GS &lt; 50 OLS Model'!$B$12*J135</f>
        <v>-323195.56340474403</v>
      </c>
      <c r="U135" s="23">
        <f>'GS &lt; 50 OLS Model'!$B$13*K135</f>
        <v>0</v>
      </c>
      <c r="V135" s="23">
        <f t="shared" ca="1" si="15"/>
        <v>7990032.2112093177</v>
      </c>
    </row>
    <row r="136" spans="1:22" x14ac:dyDescent="0.25">
      <c r="A136" s="11">
        <v>43891</v>
      </c>
      <c r="B136" s="6">
        <f t="shared" si="13"/>
        <v>2020</v>
      </c>
      <c r="D136">
        <f t="shared" ca="1" si="17"/>
        <v>556.99</v>
      </c>
      <c r="E136">
        <f t="shared" ca="1" si="17"/>
        <v>0</v>
      </c>
      <c r="F136" s="30">
        <f>'Monthly Data'!S136</f>
        <v>0</v>
      </c>
      <c r="G136" s="82">
        <f>SUMIF('Connection count GS Adjusted '!B:B,B136,'Connection count GS Adjusted '!H:H)</f>
        <v>2758.0562109645957</v>
      </c>
      <c r="H136" s="30">
        <f t="shared" si="18"/>
        <v>1</v>
      </c>
      <c r="I136" s="30">
        <f t="shared" si="18"/>
        <v>0</v>
      </c>
      <c r="J136" s="30">
        <f t="shared" si="18"/>
        <v>0</v>
      </c>
      <c r="K136" s="30">
        <f t="shared" si="18"/>
        <v>0</v>
      </c>
      <c r="M136" s="23">
        <f>'GS &lt; 50 OLS Model'!$B$5</f>
        <v>-4820550.2123392904</v>
      </c>
      <c r="N136" s="23">
        <f ca="1">'GS &lt; 50 OLS Model'!$B$6*D136</f>
        <v>1795671.9821314155</v>
      </c>
      <c r="O136" s="23">
        <f ca="1">'GS &lt; 50 OLS Model'!$B$7*E136</f>
        <v>0</v>
      </c>
      <c r="P136" s="23">
        <f>'GS &lt; 50 OLS Model'!$B$8*F136</f>
        <v>0</v>
      </c>
      <c r="Q136" s="23">
        <f>'GS &lt; 50 OLS Model'!$B$9*G136</f>
        <v>9717097.777817063</v>
      </c>
      <c r="R136" s="23">
        <f>'GS &lt; 50 OLS Model'!$B$10*H136</f>
        <v>893150.55620657699</v>
      </c>
      <c r="S136" s="23">
        <f>'GS &lt; 50 OLS Model'!$B$11*I136</f>
        <v>0</v>
      </c>
      <c r="T136" s="23">
        <f>'GS &lt; 50 OLS Model'!$B$12*J136</f>
        <v>0</v>
      </c>
      <c r="U136" s="23">
        <f>'GS &lt; 50 OLS Model'!$B$13*K136</f>
        <v>0</v>
      </c>
      <c r="V136" s="23">
        <f t="shared" ca="1" si="15"/>
        <v>7585370.1038157642</v>
      </c>
    </row>
    <row r="137" spans="1:22" x14ac:dyDescent="0.25">
      <c r="A137" s="11">
        <v>43922</v>
      </c>
      <c r="B137" s="6">
        <f t="shared" si="13"/>
        <v>2020</v>
      </c>
      <c r="D137">
        <f t="shared" ca="1" si="17"/>
        <v>326.58999999999997</v>
      </c>
      <c r="E137">
        <f t="shared" ca="1" si="17"/>
        <v>0.39</v>
      </c>
      <c r="F137" s="30">
        <f>'Monthly Data'!S137</f>
        <v>0</v>
      </c>
      <c r="G137" s="82">
        <f>SUMIF('Connection count GS Adjusted '!B:B,B137,'Connection count GS Adjusted '!H:H)</f>
        <v>2758.0562109645957</v>
      </c>
      <c r="H137" s="30">
        <f t="shared" si="18"/>
        <v>1</v>
      </c>
      <c r="I137" s="30">
        <f t="shared" si="18"/>
        <v>0</v>
      </c>
      <c r="J137" s="30">
        <f t="shared" si="18"/>
        <v>0</v>
      </c>
      <c r="K137" s="30">
        <f t="shared" si="18"/>
        <v>1</v>
      </c>
      <c r="M137" s="23">
        <f>'GS &lt; 50 OLS Model'!$B$5</f>
        <v>-4820550.2123392904</v>
      </c>
      <c r="N137" s="23">
        <f ca="1">'GS &lt; 50 OLS Model'!$B$6*D137</f>
        <v>1052888.7639711646</v>
      </c>
      <c r="O137" s="23">
        <f ca="1">'GS &lt; 50 OLS Model'!$B$7*E137</f>
        <v>5929.2514145123614</v>
      </c>
      <c r="P137" s="23">
        <f>'GS &lt; 50 OLS Model'!$B$8*F137</f>
        <v>0</v>
      </c>
      <c r="Q137" s="23">
        <f>'GS &lt; 50 OLS Model'!$B$9*G137</f>
        <v>9717097.777817063</v>
      </c>
      <c r="R137" s="23">
        <f>'GS &lt; 50 OLS Model'!$B$10*H137</f>
        <v>893150.55620657699</v>
      </c>
      <c r="S137" s="23">
        <f>'GS &lt; 50 OLS Model'!$B$11*I137</f>
        <v>0</v>
      </c>
      <c r="T137" s="23">
        <f>'GS &lt; 50 OLS Model'!$B$12*J137</f>
        <v>0</v>
      </c>
      <c r="U137" s="23">
        <f>'GS &lt; 50 OLS Model'!$B$13*K137</f>
        <v>-425159.68663676298</v>
      </c>
      <c r="V137" s="23">
        <f t="shared" ca="1" si="15"/>
        <v>6848516.1370700262</v>
      </c>
    </row>
    <row r="138" spans="1:22" x14ac:dyDescent="0.25">
      <c r="A138" s="11">
        <v>43952</v>
      </c>
      <c r="B138" s="6">
        <f t="shared" si="13"/>
        <v>2020</v>
      </c>
      <c r="D138">
        <f t="shared" ref="D138:E145" ca="1" si="19">D126</f>
        <v>144.96</v>
      </c>
      <c r="E138">
        <f t="shared" ca="1" si="19"/>
        <v>8.67</v>
      </c>
      <c r="F138" s="30">
        <f>'Monthly Data'!S138</f>
        <v>0</v>
      </c>
      <c r="G138" s="82">
        <f>SUMIF('Connection count GS Adjusted '!B:B,B138,'Connection count GS Adjusted '!H:H)</f>
        <v>2758.0562109645957</v>
      </c>
      <c r="H138" s="30">
        <f t="shared" si="18"/>
        <v>1</v>
      </c>
      <c r="I138" s="30">
        <f t="shared" si="18"/>
        <v>0</v>
      </c>
      <c r="J138" s="30">
        <f t="shared" si="18"/>
        <v>0</v>
      </c>
      <c r="K138" s="30">
        <f t="shared" si="18"/>
        <v>0</v>
      </c>
      <c r="M138" s="23">
        <f>'GS &lt; 50 OLS Model'!$B$5</f>
        <v>-4820550.2123392904</v>
      </c>
      <c r="N138" s="23">
        <f ca="1">'GS &lt; 50 OLS Model'!$B$6*D138</f>
        <v>467334.44142582454</v>
      </c>
      <c r="O138" s="23">
        <f ca="1">'GS &lt; 50 OLS Model'!$B$7*E138</f>
        <v>131811.81990723632</v>
      </c>
      <c r="P138" s="23">
        <f>'GS &lt; 50 OLS Model'!$B$8*F138</f>
        <v>0</v>
      </c>
      <c r="Q138" s="23">
        <f>'GS &lt; 50 OLS Model'!$B$9*G138</f>
        <v>9717097.777817063</v>
      </c>
      <c r="R138" s="23">
        <f>'GS &lt; 50 OLS Model'!$B$10*H138</f>
        <v>893150.55620657699</v>
      </c>
      <c r="S138" s="23">
        <f>'GS &lt; 50 OLS Model'!$B$11*I138</f>
        <v>0</v>
      </c>
      <c r="T138" s="23">
        <f>'GS &lt; 50 OLS Model'!$B$12*J138</f>
        <v>0</v>
      </c>
      <c r="U138" s="23">
        <f>'GS &lt; 50 OLS Model'!$B$13*K138</f>
        <v>0</v>
      </c>
      <c r="V138" s="23">
        <f t="shared" ca="1" si="15"/>
        <v>6388844.3830174096</v>
      </c>
    </row>
    <row r="139" spans="1:22" x14ac:dyDescent="0.25">
      <c r="A139" s="11">
        <v>43983</v>
      </c>
      <c r="B139" s="6">
        <f t="shared" si="13"/>
        <v>2020</v>
      </c>
      <c r="D139">
        <f t="shared" ca="1" si="19"/>
        <v>41.510000000000005</v>
      </c>
      <c r="E139">
        <f t="shared" ca="1" si="19"/>
        <v>44.41</v>
      </c>
      <c r="F139" s="30">
        <f>'Monthly Data'!S139</f>
        <v>0</v>
      </c>
      <c r="G139" s="82">
        <f>SUMIF('Connection count GS Adjusted '!B:B,B139,'Connection count GS Adjusted '!H:H)</f>
        <v>2758.0562109645957</v>
      </c>
      <c r="H139" s="30">
        <f t="shared" si="18"/>
        <v>1</v>
      </c>
      <c r="I139" s="30">
        <f t="shared" si="18"/>
        <v>0</v>
      </c>
      <c r="J139" s="30">
        <f t="shared" si="18"/>
        <v>0</v>
      </c>
      <c r="K139" s="30">
        <f t="shared" si="18"/>
        <v>0</v>
      </c>
      <c r="M139" s="23">
        <f>'GS &lt; 50 OLS Model'!$B$5</f>
        <v>-4820550.2123392904</v>
      </c>
      <c r="N139" s="23">
        <f ca="1">'GS &lt; 50 OLS Model'!$B$6*D139</f>
        <v>133823.4869176737</v>
      </c>
      <c r="O139" s="23">
        <f ca="1">'GS &lt; 50 OLS Model'!$B$7*E139</f>
        <v>675174.50081665104</v>
      </c>
      <c r="P139" s="23">
        <f>'GS &lt; 50 OLS Model'!$B$8*F139</f>
        <v>0</v>
      </c>
      <c r="Q139" s="23">
        <f>'GS &lt; 50 OLS Model'!$B$9*G139</f>
        <v>9717097.777817063</v>
      </c>
      <c r="R139" s="23">
        <f>'GS &lt; 50 OLS Model'!$B$10*H139</f>
        <v>893150.55620657699</v>
      </c>
      <c r="S139" s="23">
        <f>'GS &lt; 50 OLS Model'!$B$11*I139</f>
        <v>0</v>
      </c>
      <c r="T139" s="23">
        <f>'GS &lt; 50 OLS Model'!$B$12*J139</f>
        <v>0</v>
      </c>
      <c r="U139" s="23">
        <f>'GS &lt; 50 OLS Model'!$B$13*K139</f>
        <v>0</v>
      </c>
      <c r="V139" s="23">
        <f t="shared" ca="1" si="15"/>
        <v>6598696.1094186734</v>
      </c>
    </row>
    <row r="140" spans="1:22" x14ac:dyDescent="0.25">
      <c r="A140" s="11">
        <v>44013</v>
      </c>
      <c r="B140" s="6">
        <f t="shared" si="13"/>
        <v>2020</v>
      </c>
      <c r="D140">
        <f t="shared" ca="1" si="19"/>
        <v>5.01</v>
      </c>
      <c r="E140">
        <f t="shared" ca="1" si="19"/>
        <v>96.909999999999982</v>
      </c>
      <c r="F140" s="30">
        <f>'Monthly Data'!S140</f>
        <v>0</v>
      </c>
      <c r="G140" s="82">
        <f>SUMIF('Connection count GS Adjusted '!B:B,B140,'Connection count GS Adjusted '!H:H)</f>
        <v>2758.0562109645957</v>
      </c>
      <c r="H140" s="30">
        <f t="shared" si="18"/>
        <v>1</v>
      </c>
      <c r="I140" s="30">
        <f t="shared" si="18"/>
        <v>0</v>
      </c>
      <c r="J140" s="30">
        <f t="shared" si="18"/>
        <v>0</v>
      </c>
      <c r="K140" s="30">
        <f t="shared" si="18"/>
        <v>0</v>
      </c>
      <c r="M140" s="23">
        <f>'GS &lt; 50 OLS Model'!$B$5</f>
        <v>-4820550.2123392904</v>
      </c>
      <c r="N140" s="23">
        <f ca="1">'GS &lt; 50 OLS Model'!$B$6*D140</f>
        <v>16151.666332390871</v>
      </c>
      <c r="O140" s="23">
        <f ca="1">'GS &lt; 50 OLS Model'!$B$7*E140</f>
        <v>1473342.9604625455</v>
      </c>
      <c r="P140" s="23">
        <f>'GS &lt; 50 OLS Model'!$B$8*F140</f>
        <v>0</v>
      </c>
      <c r="Q140" s="23">
        <f>'GS &lt; 50 OLS Model'!$B$9*G140</f>
        <v>9717097.777817063</v>
      </c>
      <c r="R140" s="23">
        <f>'GS &lt; 50 OLS Model'!$B$10*H140</f>
        <v>893150.55620657699</v>
      </c>
      <c r="S140" s="23">
        <f>'GS &lt; 50 OLS Model'!$B$11*I140</f>
        <v>0</v>
      </c>
      <c r="T140" s="23">
        <f>'GS &lt; 50 OLS Model'!$B$12*J140</f>
        <v>0</v>
      </c>
      <c r="U140" s="23">
        <f>'GS &lt; 50 OLS Model'!$B$13*K140</f>
        <v>0</v>
      </c>
      <c r="V140" s="23">
        <f t="shared" ca="1" si="15"/>
        <v>7279192.7484792862</v>
      </c>
    </row>
    <row r="141" spans="1:22" x14ac:dyDescent="0.25">
      <c r="A141" s="11">
        <v>44044</v>
      </c>
      <c r="B141" s="6">
        <f t="shared" si="13"/>
        <v>2020</v>
      </c>
      <c r="D141">
        <f t="shared" ca="1" si="19"/>
        <v>12.719999999999999</v>
      </c>
      <c r="E141">
        <f t="shared" ca="1" si="19"/>
        <v>77.22999999999999</v>
      </c>
      <c r="F141" s="30">
        <f>'Monthly Data'!S141</f>
        <v>0</v>
      </c>
      <c r="G141" s="82">
        <f>SUMIF('Connection count GS Adjusted '!B:B,B141,'Connection count GS Adjusted '!H:H)</f>
        <v>2758.0562109645957</v>
      </c>
      <c r="H141" s="30">
        <f t="shared" si="18"/>
        <v>1</v>
      </c>
      <c r="I141" s="30">
        <f t="shared" si="18"/>
        <v>0</v>
      </c>
      <c r="J141" s="30">
        <f t="shared" si="18"/>
        <v>0</v>
      </c>
      <c r="K141" s="30">
        <f t="shared" si="18"/>
        <v>0</v>
      </c>
      <c r="M141" s="23">
        <f>'GS &lt; 50 OLS Model'!$B$5</f>
        <v>-4820550.2123392904</v>
      </c>
      <c r="N141" s="23">
        <f ca="1">'GS &lt; 50 OLS Model'!$B$6*D141</f>
        <v>41007.823502597181</v>
      </c>
      <c r="O141" s="23">
        <f ca="1">'GS &lt; 50 OLS Model'!$B$7*E141</f>
        <v>1174143.8121609988</v>
      </c>
      <c r="P141" s="23">
        <f>'GS &lt; 50 OLS Model'!$B$8*F141</f>
        <v>0</v>
      </c>
      <c r="Q141" s="23">
        <f>'GS &lt; 50 OLS Model'!$B$9*G141</f>
        <v>9717097.777817063</v>
      </c>
      <c r="R141" s="23">
        <f>'GS &lt; 50 OLS Model'!$B$10*H141</f>
        <v>893150.55620657699</v>
      </c>
      <c r="S141" s="23">
        <f>'GS &lt; 50 OLS Model'!$B$11*I141</f>
        <v>0</v>
      </c>
      <c r="T141" s="23">
        <f>'GS &lt; 50 OLS Model'!$B$12*J141</f>
        <v>0</v>
      </c>
      <c r="U141" s="23">
        <f>'GS &lt; 50 OLS Model'!$B$13*K141</f>
        <v>0</v>
      </c>
      <c r="V141" s="23">
        <f t="shared" ca="1" si="15"/>
        <v>7004849.7573479451</v>
      </c>
    </row>
    <row r="142" spans="1:22" x14ac:dyDescent="0.25">
      <c r="A142" s="11">
        <v>44075</v>
      </c>
      <c r="B142" s="6">
        <f t="shared" si="13"/>
        <v>2020</v>
      </c>
      <c r="D142">
        <f t="shared" ca="1" si="19"/>
        <v>86.570000000000007</v>
      </c>
      <c r="E142">
        <f t="shared" ca="1" si="19"/>
        <v>19.899999999999999</v>
      </c>
      <c r="F142" s="30">
        <f>'Monthly Data'!S142</f>
        <v>0</v>
      </c>
      <c r="G142" s="82">
        <f>SUMIF('Connection count GS Adjusted '!B:B,B142,'Connection count GS Adjusted '!H:H)</f>
        <v>2758.0562109645957</v>
      </c>
      <c r="H142" s="30">
        <f t="shared" si="18"/>
        <v>1</v>
      </c>
      <c r="I142" s="30">
        <f t="shared" si="18"/>
        <v>1</v>
      </c>
      <c r="J142" s="30">
        <f t="shared" si="18"/>
        <v>0</v>
      </c>
      <c r="K142" s="30">
        <f t="shared" si="18"/>
        <v>0</v>
      </c>
      <c r="M142" s="23">
        <f>'GS &lt; 50 OLS Model'!$B$5</f>
        <v>-4820550.2123392904</v>
      </c>
      <c r="N142" s="23">
        <f ca="1">'GS &lt; 50 OLS Model'!$B$6*D142</f>
        <v>279091.76734432695</v>
      </c>
      <c r="O142" s="23">
        <f ca="1">'GS &lt; 50 OLS Model'!$B$7*E142</f>
        <v>302543.85422768199</v>
      </c>
      <c r="P142" s="23">
        <f>'GS &lt; 50 OLS Model'!$B$8*F142</f>
        <v>0</v>
      </c>
      <c r="Q142" s="23">
        <f>'GS &lt; 50 OLS Model'!$B$9*G142</f>
        <v>9717097.777817063</v>
      </c>
      <c r="R142" s="23">
        <f>'GS &lt; 50 OLS Model'!$B$10*H142</f>
        <v>893150.55620657699</v>
      </c>
      <c r="S142" s="23">
        <f>'GS &lt; 50 OLS Model'!$B$11*I142</f>
        <v>-173591.250541696</v>
      </c>
      <c r="T142" s="23">
        <f>'GS &lt; 50 OLS Model'!$B$12*J142</f>
        <v>0</v>
      </c>
      <c r="U142" s="23">
        <f>'GS &lt; 50 OLS Model'!$B$13*K142</f>
        <v>0</v>
      </c>
      <c r="V142" s="23">
        <f t="shared" ca="1" si="15"/>
        <v>6371333.7432563584</v>
      </c>
    </row>
    <row r="143" spans="1:22" x14ac:dyDescent="0.25">
      <c r="A143" s="11">
        <v>44105</v>
      </c>
      <c r="B143" s="6">
        <f t="shared" si="13"/>
        <v>2020</v>
      </c>
      <c r="D143">
        <f t="shared" ca="1" si="19"/>
        <v>270.3</v>
      </c>
      <c r="E143">
        <f t="shared" ca="1" si="19"/>
        <v>1.21</v>
      </c>
      <c r="F143" s="30">
        <f>'Monthly Data'!S143</f>
        <v>0</v>
      </c>
      <c r="G143" s="82">
        <f>SUMIF('Connection count GS Adjusted '!B:B,B143,'Connection count GS Adjusted '!H:H)</f>
        <v>2758.0562109645957</v>
      </c>
      <c r="H143" s="30">
        <f t="shared" si="18"/>
        <v>1</v>
      </c>
      <c r="I143" s="30">
        <f t="shared" si="18"/>
        <v>1</v>
      </c>
      <c r="J143" s="30">
        <f t="shared" si="18"/>
        <v>0</v>
      </c>
      <c r="K143" s="30">
        <f t="shared" si="18"/>
        <v>0</v>
      </c>
      <c r="M143" s="23">
        <f>'GS &lt; 50 OLS Model'!$B$5</f>
        <v>-4820550.2123392904</v>
      </c>
      <c r="N143" s="23">
        <f ca="1">'GS &lt; 50 OLS Model'!$B$6*D143</f>
        <v>871416.24943019019</v>
      </c>
      <c r="O143" s="23">
        <f ca="1">'GS &lt; 50 OLS Model'!$B$7*E143</f>
        <v>18395.882593743478</v>
      </c>
      <c r="P143" s="23">
        <f>'GS &lt; 50 OLS Model'!$B$8*F143</f>
        <v>0</v>
      </c>
      <c r="Q143" s="23">
        <f>'GS &lt; 50 OLS Model'!$B$9*G143</f>
        <v>9717097.777817063</v>
      </c>
      <c r="R143" s="23">
        <f>'GS &lt; 50 OLS Model'!$B$10*H143</f>
        <v>893150.55620657699</v>
      </c>
      <c r="S143" s="23">
        <f>'GS &lt; 50 OLS Model'!$B$11*I143</f>
        <v>-173591.250541696</v>
      </c>
      <c r="T143" s="23">
        <f>'GS &lt; 50 OLS Model'!$B$12*J143</f>
        <v>0</v>
      </c>
      <c r="U143" s="23">
        <f>'GS &lt; 50 OLS Model'!$B$13*K143</f>
        <v>0</v>
      </c>
      <c r="V143" s="23">
        <f t="shared" ca="1" si="15"/>
        <v>6679510.2537082825</v>
      </c>
    </row>
    <row r="144" spans="1:22" x14ac:dyDescent="0.25">
      <c r="A144" s="11">
        <v>44136</v>
      </c>
      <c r="B144" s="6">
        <f t="shared" si="13"/>
        <v>2020</v>
      </c>
      <c r="D144">
        <f t="shared" ca="1" si="19"/>
        <v>444.05</v>
      </c>
      <c r="E144">
        <f t="shared" ca="1" si="19"/>
        <v>0</v>
      </c>
      <c r="F144" s="30">
        <f>'Monthly Data'!S144</f>
        <v>0</v>
      </c>
      <c r="G144" s="82">
        <f>SUMIF('Connection count GS Adjusted '!B:B,B144,'Connection count GS Adjusted '!H:H)</f>
        <v>2758.0562109645957</v>
      </c>
      <c r="H144" s="30">
        <f t="shared" si="18"/>
        <v>1</v>
      </c>
      <c r="I144" s="30">
        <f t="shared" si="18"/>
        <v>1</v>
      </c>
      <c r="J144" s="30">
        <f t="shared" si="18"/>
        <v>0</v>
      </c>
      <c r="K144" s="30">
        <f t="shared" si="18"/>
        <v>0</v>
      </c>
      <c r="M144" s="23">
        <f>'GS &lt; 50 OLS Model'!$B$5</f>
        <v>-4820550.2123392904</v>
      </c>
      <c r="N144" s="23">
        <f ca="1">'GS &lt; 50 OLS Model'!$B$6*D144</f>
        <v>1431566.3542710911</v>
      </c>
      <c r="O144" s="23">
        <f ca="1">'GS &lt; 50 OLS Model'!$B$7*E144</f>
        <v>0</v>
      </c>
      <c r="P144" s="23">
        <f>'GS &lt; 50 OLS Model'!$B$8*F144</f>
        <v>0</v>
      </c>
      <c r="Q144" s="23">
        <f>'GS &lt; 50 OLS Model'!$B$9*G144</f>
        <v>9717097.777817063</v>
      </c>
      <c r="R144" s="23">
        <f>'GS &lt; 50 OLS Model'!$B$10*H144</f>
        <v>893150.55620657699</v>
      </c>
      <c r="S144" s="23">
        <f>'GS &lt; 50 OLS Model'!$B$11*I144</f>
        <v>-173591.250541696</v>
      </c>
      <c r="T144" s="23">
        <f>'GS &lt; 50 OLS Model'!$B$12*J144</f>
        <v>0</v>
      </c>
      <c r="U144" s="23">
        <f>'GS &lt; 50 OLS Model'!$B$13*K144</f>
        <v>0</v>
      </c>
      <c r="V144" s="23">
        <f t="shared" ca="1" si="15"/>
        <v>7221264.4759554397</v>
      </c>
    </row>
    <row r="145" spans="1:22" x14ac:dyDescent="0.25">
      <c r="A145" s="11">
        <v>44166</v>
      </c>
      <c r="B145" s="6">
        <f t="shared" si="13"/>
        <v>2020</v>
      </c>
      <c r="D145">
        <f t="shared" ca="1" si="19"/>
        <v>684.01</v>
      </c>
      <c r="E145">
        <f t="shared" ca="1" si="19"/>
        <v>0</v>
      </c>
      <c r="F145" s="30">
        <f>'Monthly Data'!S145</f>
        <v>0</v>
      </c>
      <c r="G145" s="82">
        <f>SUMIF('Connection count GS Adjusted '!B:B,B145,'Connection count GS Adjusted '!H:H)</f>
        <v>2758.0562109645957</v>
      </c>
      <c r="H145" s="30">
        <f t="shared" si="18"/>
        <v>1</v>
      </c>
      <c r="I145" s="30">
        <f t="shared" si="18"/>
        <v>0</v>
      </c>
      <c r="J145" s="30">
        <f t="shared" si="18"/>
        <v>0</v>
      </c>
      <c r="K145" s="30">
        <f t="shared" si="18"/>
        <v>0</v>
      </c>
      <c r="M145" s="23">
        <f>'GS &lt; 50 OLS Model'!$B$5</f>
        <v>-4820550.2123392904</v>
      </c>
      <c r="N145" s="23">
        <f ca="1">'GS &lt; 50 OLS Model'!$B$6*D145</f>
        <v>2205169.9177681995</v>
      </c>
      <c r="O145" s="23">
        <f ca="1">'GS &lt; 50 OLS Model'!$B$7*E145</f>
        <v>0</v>
      </c>
      <c r="P145" s="23">
        <f>'GS &lt; 50 OLS Model'!$B$8*F145</f>
        <v>0</v>
      </c>
      <c r="Q145" s="23">
        <f>'GS &lt; 50 OLS Model'!$B$9*G145</f>
        <v>9717097.777817063</v>
      </c>
      <c r="R145" s="23">
        <f>'GS &lt; 50 OLS Model'!$B$10*H145</f>
        <v>893150.55620657699</v>
      </c>
      <c r="S145" s="23">
        <f>'GS &lt; 50 OLS Model'!$B$11*I145</f>
        <v>0</v>
      </c>
      <c r="T145" s="23">
        <f>'GS &lt; 50 OLS Model'!$B$12*J145</f>
        <v>0</v>
      </c>
      <c r="U145" s="23">
        <f>'GS &lt; 50 OLS Model'!$B$13*K145</f>
        <v>0</v>
      </c>
      <c r="V145" s="23">
        <f t="shared" ca="1" si="15"/>
        <v>7994868.0394525491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7.44140625" bestFit="1" customWidth="1"/>
    <col min="7" max="7" width="5.5546875" bestFit="1" customWidth="1"/>
    <col min="8" max="8" width="14.109375" bestFit="1" customWidth="1"/>
    <col min="9" max="9" width="4" bestFit="1" customWidth="1"/>
    <col min="10" max="10" width="6" bestFit="1" customWidth="1"/>
    <col min="11" max="12" width="6.109375" style="30" customWidth="1"/>
    <col min="13" max="13" width="14.5546875" style="30" bestFit="1" customWidth="1"/>
    <col min="15" max="15" width="11.33203125" style="23" bestFit="1" customWidth="1"/>
    <col min="16" max="17" width="10.33203125" style="23" bestFit="1" customWidth="1"/>
    <col min="18" max="18" width="11.33203125" style="23" bestFit="1" customWidth="1"/>
    <col min="19" max="19" width="10.33203125" style="23" bestFit="1" customWidth="1"/>
    <col min="20" max="20" width="15.33203125" style="23" bestFit="1" customWidth="1"/>
    <col min="21" max="24" width="10.33203125" style="23" bestFit="1" customWidth="1"/>
    <col min="25" max="25" width="15.6640625" style="23" bestFit="1" customWidth="1"/>
    <col min="26" max="26" width="15.44140625" style="23" bestFit="1" customWidth="1"/>
  </cols>
  <sheetData>
    <row r="1" spans="1:26" x14ac:dyDescent="0.25">
      <c r="A1" s="11" t="str">
        <f>'Monthly Data'!A1</f>
        <v>Date</v>
      </c>
      <c r="B1" s="15" t="s">
        <v>33</v>
      </c>
      <c r="C1" t="str">
        <f>'Monthly Data'!H1</f>
        <v>GSgt50kWh</v>
      </c>
      <c r="D1" s="30" t="str">
        <f>'Monthly Data'!M1</f>
        <v>HDD</v>
      </c>
      <c r="E1" s="30" t="str">
        <f>'Monthly Data'!N1</f>
        <v>CDD</v>
      </c>
      <c r="F1" s="30" t="str">
        <f>'Monthly Data'!Q1</f>
        <v>OntFTE</v>
      </c>
      <c r="G1" s="30" t="str">
        <f>'Monthly Data'!S1</f>
        <v>Trend</v>
      </c>
      <c r="H1" s="30" t="str">
        <f>'Monthly Data'!Y1</f>
        <v>Reclassification</v>
      </c>
      <c r="I1" s="30" t="str">
        <f>'Monthly Data'!AE1</f>
        <v>Fall</v>
      </c>
      <c r="J1" s="30" t="str">
        <f>'Monthly Data'!AF1</f>
        <v>DFEB</v>
      </c>
      <c r="K1" s="30" t="str">
        <f>'Monthly Data'!AG1</f>
        <v>DAPR</v>
      </c>
      <c r="L1" s="30" t="str">
        <f>'Monthly Data'!AH1</f>
        <v>DDEC</v>
      </c>
      <c r="M1" s="30" t="str">
        <f>'Monthly Data'!AI1</f>
        <v>QueensSummer</v>
      </c>
      <c r="O1" s="23" t="str">
        <f>'GS &gt; 50 OLS Model'!$A$5</f>
        <v>const</v>
      </c>
      <c r="P1" s="23" t="str">
        <f>D1</f>
        <v>HDD</v>
      </c>
      <c r="Q1" s="23" t="str">
        <f t="shared" ref="Q1:V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Reclassification</v>
      </c>
      <c r="U1" s="23" t="str">
        <f t="shared" si="0"/>
        <v>Fall</v>
      </c>
      <c r="V1" s="23" t="str">
        <f t="shared" si="0"/>
        <v>DFEB</v>
      </c>
      <c r="W1" s="23" t="str">
        <f>K1</f>
        <v>DAPR</v>
      </c>
      <c r="X1" s="23" t="str">
        <f>L1</f>
        <v>DDEC</v>
      </c>
      <c r="Y1" s="23" t="str">
        <f>M1</f>
        <v>QueensSummer</v>
      </c>
      <c r="Z1" s="80" t="s">
        <v>60</v>
      </c>
    </row>
    <row r="2" spans="1:26" x14ac:dyDescent="0.25">
      <c r="A2" s="11">
        <f>'Monthly Data'!A2</f>
        <v>39814</v>
      </c>
      <c r="B2" s="6">
        <f>YEAR(A2)</f>
        <v>2009</v>
      </c>
      <c r="C2">
        <f>'Monthly Data'!H2</f>
        <v>27533756.625</v>
      </c>
      <c r="D2">
        <f ca="1">'Weather Data'!G66</f>
        <v>784.29</v>
      </c>
      <c r="E2" s="30">
        <f ca="1">'Weather Data'!H66</f>
        <v>0</v>
      </c>
      <c r="F2" s="30">
        <f>'Monthly Data'!Q2</f>
        <v>6506.5</v>
      </c>
      <c r="G2" s="30">
        <f>'Monthly Data'!S2</f>
        <v>1</v>
      </c>
      <c r="H2" s="30">
        <f>'Monthly Data'!Y2</f>
        <v>0</v>
      </c>
      <c r="I2" s="30">
        <f>'Monthly Data'!AE2</f>
        <v>0</v>
      </c>
      <c r="J2" s="30">
        <f>'Monthly Data'!AF2</f>
        <v>0</v>
      </c>
      <c r="K2" s="30">
        <f>'Monthly Data'!AG2</f>
        <v>0</v>
      </c>
      <c r="L2" s="30">
        <f>'Monthly Data'!AH2</f>
        <v>0</v>
      </c>
      <c r="M2" s="30">
        <f>'Monthly Data'!AI2</f>
        <v>0</v>
      </c>
      <c r="O2" s="23">
        <f>'GS &gt; 50 OLS Model'!$B$5</f>
        <v>-14985611.9194983</v>
      </c>
      <c r="P2" s="23">
        <f ca="1">'GS &gt; 50 OLS Model'!$B$6*D2</f>
        <v>6047201.8102548849</v>
      </c>
      <c r="Q2" s="23">
        <f ca="1">'GS &gt; 50 OLS Model'!$B$7*E2</f>
        <v>0</v>
      </c>
      <c r="R2" s="23">
        <f>'GS &gt; 50 OLS Model'!$B$8*F2</f>
        <v>36071788.295500852</v>
      </c>
      <c r="S2" s="23">
        <f>'GS &gt; 50 OLS Model'!$B$9*G2</f>
        <v>-31159.123316906302</v>
      </c>
      <c r="T2" s="23">
        <f>'GS &gt; 50 OLS Model'!$B$10*H2</f>
        <v>0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 ca="1">SUM(O2:Y2)</f>
        <v>27102219.06294053</v>
      </c>
    </row>
    <row r="3" spans="1:26" x14ac:dyDescent="0.25">
      <c r="A3" s="11">
        <f>'Monthly Data'!A3</f>
        <v>39845</v>
      </c>
      <c r="B3" s="6">
        <f t="shared" ref="B3:B66" si="1">YEAR(A3)</f>
        <v>2009</v>
      </c>
      <c r="C3">
        <f>'Monthly Data'!H3</f>
        <v>24291631.503800005</v>
      </c>
      <c r="D3" s="30">
        <f ca="1">'Weather Data'!G67</f>
        <v>682.50999999999988</v>
      </c>
      <c r="E3" s="30">
        <f ca="1">'Weather Data'!H67</f>
        <v>0</v>
      </c>
      <c r="F3" s="30">
        <f>'Monthly Data'!Q3</f>
        <v>6436.2</v>
      </c>
      <c r="G3" s="30">
        <f>'Monthly Data'!S3</f>
        <v>2</v>
      </c>
      <c r="H3" s="30">
        <f>'Monthly Data'!Y3</f>
        <v>0</v>
      </c>
      <c r="I3" s="30">
        <f>'Monthly Data'!AE3</f>
        <v>0</v>
      </c>
      <c r="J3" s="30">
        <f>'Monthly Data'!AF3</f>
        <v>1</v>
      </c>
      <c r="K3" s="30">
        <f>'Monthly Data'!AG3</f>
        <v>0</v>
      </c>
      <c r="L3" s="30">
        <f>'Monthly Data'!AH3</f>
        <v>0</v>
      </c>
      <c r="M3" s="30">
        <f>'Monthly Data'!AI3</f>
        <v>0</v>
      </c>
      <c r="O3" s="23">
        <f>'GS &gt; 50 OLS Model'!$B$5</f>
        <v>-14985611.9194983</v>
      </c>
      <c r="P3" s="23">
        <f ca="1">'GS &gt; 50 OLS Model'!$B$6*D3</f>
        <v>5262435.7157646548</v>
      </c>
      <c r="Q3" s="23">
        <f ca="1">'GS &gt; 50 OLS Model'!$B$7*E3</f>
        <v>0</v>
      </c>
      <c r="R3" s="23">
        <f>'GS &gt; 50 OLS Model'!$B$8*F3</f>
        <v>35682047.77184394</v>
      </c>
      <c r="S3" s="23">
        <f>'GS &gt; 50 OLS Model'!$B$9*G3</f>
        <v>-62318.246633812603</v>
      </c>
      <c r="T3" s="23">
        <f>'GS &gt; 50 OLS Model'!$B$10*H3</f>
        <v>0</v>
      </c>
      <c r="U3" s="23">
        <f>'GS &gt; 50 OLS Model'!$B$11*I3</f>
        <v>0</v>
      </c>
      <c r="V3" s="23">
        <f>'GS &gt; 50 OLS Model'!$B$12*J3</f>
        <v>-1507735.557816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ca="1" si="2">SUM(O3:Y3)</f>
        <v>24388817.763660483</v>
      </c>
    </row>
    <row r="4" spans="1:26" x14ac:dyDescent="0.25">
      <c r="A4" s="11">
        <f>'Monthly Data'!A4</f>
        <v>39873</v>
      </c>
      <c r="B4" s="6">
        <f t="shared" si="1"/>
        <v>2009</v>
      </c>
      <c r="C4">
        <f>'Monthly Data'!H4</f>
        <v>24586605.8006</v>
      </c>
      <c r="D4" s="30">
        <f ca="1">'Weather Data'!G68</f>
        <v>556.99</v>
      </c>
      <c r="E4" s="30">
        <f ca="1">'Weather Data'!H68</f>
        <v>0</v>
      </c>
      <c r="F4" s="30">
        <f>'Monthly Data'!Q4</f>
        <v>6363.8</v>
      </c>
      <c r="G4" s="30">
        <f>'Monthly Data'!S4</f>
        <v>3</v>
      </c>
      <c r="H4" s="30">
        <f>'Monthly Data'!Y4</f>
        <v>0</v>
      </c>
      <c r="I4" s="30">
        <f>'Monthly Data'!AE4</f>
        <v>0</v>
      </c>
      <c r="J4" s="30">
        <f>'Monthly Data'!AF4</f>
        <v>0</v>
      </c>
      <c r="K4" s="30">
        <f>'Monthly Data'!AG4</f>
        <v>0</v>
      </c>
      <c r="L4" s="30">
        <f>'Monthly Data'!AH4</f>
        <v>0</v>
      </c>
      <c r="M4" s="30">
        <f>'Monthly Data'!AI4</f>
        <v>0</v>
      </c>
      <c r="O4" s="23">
        <f>'GS &gt; 50 OLS Model'!$B$5</f>
        <v>-14985611.9194983</v>
      </c>
      <c r="P4" s="23">
        <f ca="1">'GS &gt; 50 OLS Model'!$B$6*D4</f>
        <v>4294624.3561614566</v>
      </c>
      <c r="Q4" s="23">
        <f ca="1">'GS &gt; 50 OLS Model'!$B$7*E4</f>
        <v>0</v>
      </c>
      <c r="R4" s="23">
        <f>'GS &gt; 50 OLS Model'!$B$8*F4</f>
        <v>35280664.928134687</v>
      </c>
      <c r="S4" s="23">
        <f>'GS &gt; 50 OLS Model'!$B$9*G4</f>
        <v>-93477.369950718901</v>
      </c>
      <c r="T4" s="23">
        <f>'GS &gt; 50 OLS Model'!$B$10*H4</f>
        <v>0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ca="1" si="2"/>
        <v>24496199.994847126</v>
      </c>
    </row>
    <row r="5" spans="1:26" x14ac:dyDescent="0.25">
      <c r="A5" s="11">
        <f>'Monthly Data'!A5</f>
        <v>39904</v>
      </c>
      <c r="B5" s="6">
        <f t="shared" si="1"/>
        <v>2009</v>
      </c>
      <c r="C5">
        <f>'Monthly Data'!H5</f>
        <v>21089323.380000003</v>
      </c>
      <c r="D5" s="30">
        <f ca="1">'Weather Data'!G69</f>
        <v>326.58999999999997</v>
      </c>
      <c r="E5" s="30">
        <f ca="1">'Weather Data'!H69</f>
        <v>0.39</v>
      </c>
      <c r="F5" s="30">
        <f>'Monthly Data'!Q5</f>
        <v>6359.6</v>
      </c>
      <c r="G5" s="30">
        <f>'Monthly Data'!S5</f>
        <v>4</v>
      </c>
      <c r="H5" s="30">
        <f>'Monthly Data'!Y5</f>
        <v>0</v>
      </c>
      <c r="I5" s="30">
        <f>'Monthly Data'!AE5</f>
        <v>0</v>
      </c>
      <c r="J5" s="30">
        <f>'Monthly Data'!AF5</f>
        <v>0</v>
      </c>
      <c r="K5" s="30">
        <f>'Monthly Data'!AG5</f>
        <v>1</v>
      </c>
      <c r="L5" s="30">
        <f>'Monthly Data'!AH5</f>
        <v>0</v>
      </c>
      <c r="M5" s="30">
        <f>'Monthly Data'!AI5</f>
        <v>0</v>
      </c>
      <c r="O5" s="23">
        <f>'GS &gt; 50 OLS Model'!$B$5</f>
        <v>-14985611.9194983</v>
      </c>
      <c r="P5" s="23">
        <f ca="1">'GS &gt; 50 OLS Model'!$B$6*D5</f>
        <v>2518144.6138687767</v>
      </c>
      <c r="Q5" s="23">
        <f ca="1">'GS &gt; 50 OLS Model'!$B$7*E5</f>
        <v>12644.188669786166</v>
      </c>
      <c r="R5" s="23">
        <f>'GS &gt; 50 OLS Model'!$B$8*F5</f>
        <v>35257380.288030006</v>
      </c>
      <c r="S5" s="23">
        <f>'GS &gt; 50 OLS Model'!$B$9*G5</f>
        <v>-124636.49326762521</v>
      </c>
      <c r="T5" s="23">
        <f>'GS &gt; 50 OLS Model'!$B$10*H5</f>
        <v>0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-1602103.9965178701</v>
      </c>
      <c r="X5" s="23">
        <f>'GS &gt; 50 OLS Model'!$B$14*L5</f>
        <v>0</v>
      </c>
      <c r="Y5" s="23">
        <f>'GS &gt; 50 OLS Model'!$B$15*M5</f>
        <v>0</v>
      </c>
      <c r="Z5" s="23">
        <f t="shared" ca="1" si="2"/>
        <v>21075816.681284774</v>
      </c>
    </row>
    <row r="6" spans="1:26" x14ac:dyDescent="0.25">
      <c r="A6" s="11">
        <f>'Monthly Data'!A6</f>
        <v>39934</v>
      </c>
      <c r="B6" s="6">
        <f t="shared" si="1"/>
        <v>2009</v>
      </c>
      <c r="C6">
        <f>'Monthly Data'!H6</f>
        <v>19975230.055300001</v>
      </c>
      <c r="D6" s="30">
        <f ca="1">'Weather Data'!G70</f>
        <v>144.96</v>
      </c>
      <c r="E6" s="30">
        <f ca="1">'Weather Data'!H70</f>
        <v>8.67</v>
      </c>
      <c r="F6" s="30">
        <f>'Monthly Data'!Q6</f>
        <v>6382.1</v>
      </c>
      <c r="G6" s="30">
        <f>'Monthly Data'!S6</f>
        <v>5</v>
      </c>
      <c r="H6" s="30">
        <f>'Monthly Data'!Y6</f>
        <v>0</v>
      </c>
      <c r="I6" s="30">
        <f>'Monthly Data'!AE6</f>
        <v>0</v>
      </c>
      <c r="J6" s="30">
        <f>'Monthly Data'!AF6</f>
        <v>0</v>
      </c>
      <c r="K6" s="30">
        <f>'Monthly Data'!AG6</f>
        <v>0</v>
      </c>
      <c r="L6" s="30">
        <f>'Monthly Data'!AH6</f>
        <v>0</v>
      </c>
      <c r="M6" s="30">
        <f>'Monthly Data'!AI6</f>
        <v>1</v>
      </c>
      <c r="O6" s="23">
        <f>'GS &gt; 50 OLS Model'!$B$5</f>
        <v>-14985611.9194983</v>
      </c>
      <c r="P6" s="23">
        <f ca="1">'GS &gt; 50 OLS Model'!$B$6*D6</f>
        <v>1117701.8378591442</v>
      </c>
      <c r="Q6" s="23">
        <f ca="1">'GS &gt; 50 OLS Model'!$B$7*E6</f>
        <v>281090.04042832326</v>
      </c>
      <c r="R6" s="23">
        <f>'GS &gt; 50 OLS Model'!$B$8*F6</f>
        <v>35382119.431447938</v>
      </c>
      <c r="S6" s="23">
        <f>'GS &gt; 50 OLS Model'!$B$9*G6</f>
        <v>-155795.6165845315</v>
      </c>
      <c r="T6" s="23">
        <f>'GS &gt; 50 OLS Model'!$B$10*H6</f>
        <v>0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-1248171.7663678101</v>
      </c>
      <c r="Z6" s="23">
        <f t="shared" ca="1" si="2"/>
        <v>20391332.007284764</v>
      </c>
    </row>
    <row r="7" spans="1:26" x14ac:dyDescent="0.25">
      <c r="A7" s="11">
        <f>'Monthly Data'!A7</f>
        <v>39965</v>
      </c>
      <c r="B7" s="6">
        <f t="shared" si="1"/>
        <v>2009</v>
      </c>
      <c r="C7">
        <f>'Monthly Data'!H7</f>
        <v>20048133.696800001</v>
      </c>
      <c r="D7" s="30">
        <f ca="1">'Weather Data'!G71</f>
        <v>41.510000000000005</v>
      </c>
      <c r="E7" s="30">
        <f ca="1">'Weather Data'!H71</f>
        <v>44.41</v>
      </c>
      <c r="F7" s="30">
        <f>'Monthly Data'!Q7</f>
        <v>6429.4</v>
      </c>
      <c r="G7" s="30">
        <f>'Monthly Data'!S7</f>
        <v>6</v>
      </c>
      <c r="H7" s="30">
        <f>'Monthly Data'!Y7</f>
        <v>0</v>
      </c>
      <c r="I7" s="30">
        <f>'Monthly Data'!AE7</f>
        <v>0</v>
      </c>
      <c r="J7" s="30">
        <f>'Monthly Data'!AF7</f>
        <v>0</v>
      </c>
      <c r="K7" s="30">
        <f>'Monthly Data'!AG7</f>
        <v>0</v>
      </c>
      <c r="L7" s="30">
        <f>'Monthly Data'!AH7</f>
        <v>0</v>
      </c>
      <c r="M7" s="30">
        <f>'Monthly Data'!AI7</f>
        <v>1</v>
      </c>
      <c r="O7" s="23">
        <f>'GS &gt; 50 OLS Model'!$B$5</f>
        <v>-14985611.9194983</v>
      </c>
      <c r="P7" s="23">
        <f ca="1">'GS &gt; 50 OLS Model'!$B$6*D7</f>
        <v>320059.34940351185</v>
      </c>
      <c r="Q7" s="23">
        <f ca="1">'GS &gt; 50 OLS Model'!$B$7*E7</f>
        <v>1439816.4585261631</v>
      </c>
      <c r="R7" s="23">
        <f>'GS &gt; 50 OLS Model'!$B$8*F7</f>
        <v>35644348.830722071</v>
      </c>
      <c r="S7" s="23">
        <f>'GS &gt; 50 OLS Model'!$B$9*G7</f>
        <v>-186954.7399014378</v>
      </c>
      <c r="T7" s="23">
        <f>'GS &gt; 50 OLS Model'!$B$10*H7</f>
        <v>0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-1248171.7663678101</v>
      </c>
      <c r="Z7" s="23">
        <f t="shared" ca="1" si="2"/>
        <v>20983486.212884195</v>
      </c>
    </row>
    <row r="8" spans="1:26" x14ac:dyDescent="0.25">
      <c r="A8" s="11">
        <f>'Monthly Data'!A8</f>
        <v>39995</v>
      </c>
      <c r="B8" s="6">
        <f t="shared" si="1"/>
        <v>2009</v>
      </c>
      <c r="C8">
        <f>'Monthly Data'!H8</f>
        <v>21499529.221799999</v>
      </c>
      <c r="D8" s="30">
        <f ca="1">'Weather Data'!G72</f>
        <v>5.01</v>
      </c>
      <c r="E8" s="30">
        <f ca="1">'Weather Data'!H72</f>
        <v>96.909999999999982</v>
      </c>
      <c r="F8" s="30">
        <f>'Monthly Data'!Q8</f>
        <v>6467</v>
      </c>
      <c r="G8" s="30">
        <f>'Monthly Data'!S8</f>
        <v>7</v>
      </c>
      <c r="H8" s="30">
        <f>'Monthly Data'!Y8</f>
        <v>0</v>
      </c>
      <c r="I8" s="30">
        <f>'Monthly Data'!AE8</f>
        <v>0</v>
      </c>
      <c r="J8" s="30">
        <f>'Monthly Data'!AF8</f>
        <v>0</v>
      </c>
      <c r="K8" s="30">
        <f>'Monthly Data'!AG8</f>
        <v>0</v>
      </c>
      <c r="L8" s="30">
        <f>'Monthly Data'!AH8</f>
        <v>0</v>
      </c>
      <c r="M8" s="30">
        <f>'Monthly Data'!AI8</f>
        <v>1</v>
      </c>
      <c r="O8" s="23">
        <f>'GS &gt; 50 OLS Model'!$B$5</f>
        <v>-14985611.9194983</v>
      </c>
      <c r="P8" s="23">
        <f ca="1">'GS &gt; 50 OLS Model'!$B$6*D8</f>
        <v>38629.181896208</v>
      </c>
      <c r="Q8" s="23">
        <f ca="1">'GS &gt; 50 OLS Model'!$B$7*E8</f>
        <v>3141918.7794589158</v>
      </c>
      <c r="R8" s="23">
        <f>'GS &gt; 50 OLS Model'!$B$8*F8</f>
        <v>35852801.799278259</v>
      </c>
      <c r="S8" s="23">
        <f>'GS &gt; 50 OLS Model'!$B$9*G8</f>
        <v>-218113.86321834411</v>
      </c>
      <c r="T8" s="23">
        <f>'GS &gt; 50 OLS Model'!$B$10*H8</f>
        <v>0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-1248171.7663678101</v>
      </c>
      <c r="Z8" s="23">
        <f t="shared" ca="1" si="2"/>
        <v>22581452.211548928</v>
      </c>
    </row>
    <row r="9" spans="1:26" x14ac:dyDescent="0.25">
      <c r="A9" s="11">
        <f>'Monthly Data'!A9</f>
        <v>40026</v>
      </c>
      <c r="B9" s="6">
        <f t="shared" si="1"/>
        <v>2009</v>
      </c>
      <c r="C9">
        <f>'Monthly Data'!H9</f>
        <v>22275252.256499998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Data'!Q9</f>
        <v>6487.6</v>
      </c>
      <c r="G9" s="30">
        <f>'Monthly Data'!S9</f>
        <v>8</v>
      </c>
      <c r="H9" s="30">
        <f>'Monthly Data'!Y9</f>
        <v>0</v>
      </c>
      <c r="I9" s="30">
        <f>'Monthly Data'!AE9</f>
        <v>0</v>
      </c>
      <c r="J9" s="30">
        <f>'Monthly Data'!AF9</f>
        <v>0</v>
      </c>
      <c r="K9" s="30">
        <f>'Monthly Data'!AG9</f>
        <v>0</v>
      </c>
      <c r="L9" s="30">
        <f>'Monthly Data'!AH9</f>
        <v>0</v>
      </c>
      <c r="M9" s="30">
        <f>'Monthly Data'!AI9</f>
        <v>1</v>
      </c>
      <c r="O9" s="23">
        <f>'GS &gt; 50 OLS Model'!$B$5</f>
        <v>-14985611.9194983</v>
      </c>
      <c r="P9" s="23">
        <f ca="1">'GS &gt; 50 OLS Model'!$B$6*D9</f>
        <v>98076.485772408327</v>
      </c>
      <c r="Q9" s="23">
        <f ca="1">'GS &gt; 50 OLS Model'!$B$7*E9</f>
        <v>2503873.5665835529</v>
      </c>
      <c r="R9" s="23">
        <f>'GS &gt; 50 OLS Model'!$B$8*F9</f>
        <v>35967007.415029794</v>
      </c>
      <c r="S9" s="23">
        <f>'GS &gt; 50 OLS Model'!$B$9*G9</f>
        <v>-249272.98653525041</v>
      </c>
      <c r="T9" s="23">
        <f>'GS &gt; 50 OLS Model'!$B$10*H9</f>
        <v>0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-1248171.7663678101</v>
      </c>
      <c r="Z9" s="23">
        <f t="shared" ca="1" si="2"/>
        <v>22085900.794984393</v>
      </c>
    </row>
    <row r="10" spans="1:26" x14ac:dyDescent="0.25">
      <c r="A10" s="11">
        <f>'Monthly Data'!A10</f>
        <v>40057</v>
      </c>
      <c r="B10" s="6">
        <f t="shared" si="1"/>
        <v>2009</v>
      </c>
      <c r="C10">
        <f>'Monthly Data'!H10</f>
        <v>20599806.352499999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Data'!Q10</f>
        <v>6470.2</v>
      </c>
      <c r="G10" s="30">
        <f>'Monthly Data'!S10</f>
        <v>9</v>
      </c>
      <c r="H10" s="30">
        <f>'Monthly Data'!Y10</f>
        <v>0</v>
      </c>
      <c r="I10" s="30">
        <f>'Monthly Data'!AE10</f>
        <v>1</v>
      </c>
      <c r="J10" s="30">
        <f>'Monthly Data'!AF10</f>
        <v>0</v>
      </c>
      <c r="K10" s="30">
        <f>'Monthly Data'!AG10</f>
        <v>0</v>
      </c>
      <c r="L10" s="30">
        <f>'Monthly Data'!AH10</f>
        <v>0</v>
      </c>
      <c r="M10" s="30">
        <f>'Monthly Data'!AI10</f>
        <v>0</v>
      </c>
      <c r="O10" s="23">
        <f>'GS &gt; 50 OLS Model'!$B$5</f>
        <v>-14985611.9194983</v>
      </c>
      <c r="P10" s="23">
        <f ca="1">'GS &gt; 50 OLS Model'!$B$6*D10</f>
        <v>667490.67400293949</v>
      </c>
      <c r="Q10" s="23">
        <f ca="1">'GS &gt; 50 OLS Model'!$B$7*E10</f>
        <v>645177.83212498645</v>
      </c>
      <c r="R10" s="23">
        <f>'GS &gt; 50 OLS Model'!$B$8*F10</f>
        <v>35870542.477453254</v>
      </c>
      <c r="S10" s="23">
        <f>'GS &gt; 50 OLS Model'!$B$9*G10</f>
        <v>-280432.10985215672</v>
      </c>
      <c r="T10" s="23">
        <f>'GS &gt; 50 OLS Model'!$B$10*H10</f>
        <v>0</v>
      </c>
      <c r="U10" s="23">
        <f>'GS &gt; 50 OLS Model'!$B$11*I10</f>
        <v>-1629695.87956432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ca="1" si="2"/>
        <v>20287471.074666403</v>
      </c>
    </row>
    <row r="11" spans="1:26" x14ac:dyDescent="0.25">
      <c r="A11" s="11">
        <f>'Monthly Data'!A11</f>
        <v>40087</v>
      </c>
      <c r="B11" s="6">
        <f t="shared" si="1"/>
        <v>2009</v>
      </c>
      <c r="C11">
        <f>'Monthly Data'!H11</f>
        <v>21874263.0603</v>
      </c>
      <c r="D11" s="30">
        <f ca="1">'Weather Data'!G75</f>
        <v>270.3</v>
      </c>
      <c r="E11" s="30">
        <f ca="1">'Weather Data'!H75</f>
        <v>1.21</v>
      </c>
      <c r="F11" s="30">
        <f>'Monthly Data'!Q11</f>
        <v>6472.1</v>
      </c>
      <c r="G11" s="30">
        <f>'Monthly Data'!S11</f>
        <v>10</v>
      </c>
      <c r="H11" s="30">
        <f>'Monthly Data'!Y11</f>
        <v>0</v>
      </c>
      <c r="I11" s="30">
        <f>'Monthly Data'!AE11</f>
        <v>1</v>
      </c>
      <c r="J11" s="30">
        <f>'Monthly Data'!AF11</f>
        <v>0</v>
      </c>
      <c r="K11" s="30">
        <f>'Monthly Data'!AG11</f>
        <v>0</v>
      </c>
      <c r="L11" s="30">
        <f>'Monthly Data'!AH11</f>
        <v>0</v>
      </c>
      <c r="M11" s="30">
        <f>'Monthly Data'!AI11</f>
        <v>0</v>
      </c>
      <c r="O11" s="23">
        <f>'GS &gt; 50 OLS Model'!$B$5</f>
        <v>-14985611.9194983</v>
      </c>
      <c r="P11" s="23">
        <f ca="1">'GS &gt; 50 OLS Model'!$B$6*D11</f>
        <v>2084125.3226636774</v>
      </c>
      <c r="Q11" s="23">
        <f ca="1">'GS &gt; 50 OLS Model'!$B$7*E11</f>
        <v>39229.405872926312</v>
      </c>
      <c r="R11" s="23">
        <f>'GS &gt; 50 OLS Model'!$B$8*F11</f>
        <v>35881076.005119659</v>
      </c>
      <c r="S11" s="23">
        <f>'GS &gt; 50 OLS Model'!$B$9*G11</f>
        <v>-311591.23316906299</v>
      </c>
      <c r="T11" s="23">
        <f>'GS &gt; 50 OLS Model'!$B$10*H11</f>
        <v>0</v>
      </c>
      <c r="U11" s="23">
        <f>'GS &gt; 50 OLS Model'!$B$11*I11</f>
        <v>-1629695.87956432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ca="1" si="2"/>
        <v>21077531.70142458</v>
      </c>
    </row>
    <row r="12" spans="1:26" x14ac:dyDescent="0.25">
      <c r="A12" s="11">
        <f>'Monthly Data'!A12</f>
        <v>40118</v>
      </c>
      <c r="B12" s="6">
        <f t="shared" si="1"/>
        <v>2009</v>
      </c>
      <c r="C12">
        <f>'Monthly Data'!H12</f>
        <v>22191761.7973</v>
      </c>
      <c r="D12" s="30">
        <f ca="1">'Weather Data'!G76</f>
        <v>444.05</v>
      </c>
      <c r="E12" s="30">
        <f ca="1">'Weather Data'!H76</f>
        <v>0</v>
      </c>
      <c r="F12" s="30">
        <f>'Monthly Data'!Q12</f>
        <v>6465.6</v>
      </c>
      <c r="G12" s="30">
        <f>'Monthly Data'!S12</f>
        <v>11</v>
      </c>
      <c r="H12" s="30">
        <f>'Monthly Data'!Y12</f>
        <v>0</v>
      </c>
      <c r="I12" s="30">
        <f>'Monthly Data'!AE12</f>
        <v>1</v>
      </c>
      <c r="J12" s="30">
        <f>'Monthly Data'!AF12</f>
        <v>0</v>
      </c>
      <c r="K12" s="30">
        <f>'Monthly Data'!AG12</f>
        <v>0</v>
      </c>
      <c r="L12" s="30">
        <f>'Monthly Data'!AH12</f>
        <v>0</v>
      </c>
      <c r="M12" s="30">
        <f>'Monthly Data'!AI12</f>
        <v>0</v>
      </c>
      <c r="O12" s="23">
        <f>'GS &gt; 50 OLS Model'!$B$5</f>
        <v>-14985611.9194983</v>
      </c>
      <c r="P12" s="23">
        <f ca="1">'GS &gt; 50 OLS Model'!$B$6*D12</f>
        <v>3423810.024153925</v>
      </c>
      <c r="Q12" s="23">
        <f ca="1">'GS &gt; 50 OLS Model'!$B$7*E12</f>
        <v>0</v>
      </c>
      <c r="R12" s="23">
        <f>'GS &gt; 50 OLS Model'!$B$8*F12</f>
        <v>35845040.252576701</v>
      </c>
      <c r="S12" s="23">
        <f>'GS &gt; 50 OLS Model'!$B$9*G12</f>
        <v>-342750.35648596933</v>
      </c>
      <c r="T12" s="23">
        <f>'GS &gt; 50 OLS Model'!$B$10*H12</f>
        <v>0</v>
      </c>
      <c r="U12" s="23">
        <f>'GS &gt; 50 OLS Model'!$B$11*I12</f>
        <v>-1629695.87956432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ca="1" si="2"/>
        <v>22310792.121182036</v>
      </c>
    </row>
    <row r="13" spans="1:26" x14ac:dyDescent="0.25">
      <c r="A13" s="11">
        <f>'Monthly Data'!A13</f>
        <v>40148</v>
      </c>
      <c r="B13" s="6">
        <f t="shared" si="1"/>
        <v>2009</v>
      </c>
      <c r="C13">
        <f>'Monthly Data'!H13</f>
        <v>24151995.9263</v>
      </c>
      <c r="D13" s="30">
        <f ca="1">'Weather Data'!G77</f>
        <v>684.01</v>
      </c>
      <c r="E13" s="30">
        <f ca="1">'Weather Data'!H77</f>
        <v>0</v>
      </c>
      <c r="F13" s="30">
        <f>'Monthly Data'!Q13</f>
        <v>6467.5</v>
      </c>
      <c r="G13" s="30">
        <f>'Monthly Data'!S13</f>
        <v>12</v>
      </c>
      <c r="H13" s="30">
        <f>'Monthly Data'!Y13</f>
        <v>0</v>
      </c>
      <c r="I13" s="30">
        <f>'Monthly Data'!AE13</f>
        <v>0</v>
      </c>
      <c r="J13" s="30">
        <f>'Monthly Data'!AF13</f>
        <v>0</v>
      </c>
      <c r="K13" s="30">
        <f>'Monthly Data'!AG13</f>
        <v>0</v>
      </c>
      <c r="L13" s="30">
        <f>'Monthly Data'!AH13</f>
        <v>1</v>
      </c>
      <c r="M13" s="30">
        <f>'Monthly Data'!AI13</f>
        <v>0</v>
      </c>
      <c r="O13" s="23">
        <f>'GS &gt; 50 OLS Model'!$B$5</f>
        <v>-14985611.9194983</v>
      </c>
      <c r="P13" s="23">
        <f ca="1">'GS &gt; 50 OLS Model'!$B$6*D13</f>
        <v>5274001.3390868735</v>
      </c>
      <c r="Q13" s="23">
        <f ca="1">'GS &gt; 50 OLS Model'!$B$7*E13</f>
        <v>0</v>
      </c>
      <c r="R13" s="23">
        <f>'GS &gt; 50 OLS Model'!$B$8*F13</f>
        <v>35855573.780243106</v>
      </c>
      <c r="S13" s="23">
        <f>'GS &gt; 50 OLS Model'!$B$9*G13</f>
        <v>-373909.4798028756</v>
      </c>
      <c r="T13" s="23">
        <f>'GS &gt; 50 OLS Model'!$B$10*H13</f>
        <v>0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-1130663.3851056299</v>
      </c>
      <c r="Y13" s="23">
        <f>'GS &gt; 50 OLS Model'!$B$15*M13</f>
        <v>0</v>
      </c>
      <c r="Z13" s="23">
        <f t="shared" ca="1" si="2"/>
        <v>24639390.334923174</v>
      </c>
    </row>
    <row r="14" spans="1:26" x14ac:dyDescent="0.25">
      <c r="A14" s="11">
        <f>'Monthly Data'!A14</f>
        <v>40179</v>
      </c>
      <c r="B14" s="6">
        <f t="shared" si="1"/>
        <v>2010</v>
      </c>
      <c r="C14">
        <f>'Monthly Data'!H14</f>
        <v>27078016.2597</v>
      </c>
      <c r="D14">
        <f ca="1">D2</f>
        <v>784.29</v>
      </c>
      <c r="E14">
        <f ca="1">E2</f>
        <v>0</v>
      </c>
      <c r="F14" s="30">
        <f>'Monthly Data'!Q14</f>
        <v>6434.5</v>
      </c>
      <c r="G14" s="30">
        <f>'Monthly Data'!S14</f>
        <v>13</v>
      </c>
      <c r="H14" s="30">
        <f>'Monthly Data'!Y14</f>
        <v>0</v>
      </c>
      <c r="I14" s="30">
        <f>'Monthly Data'!AE14</f>
        <v>0</v>
      </c>
      <c r="J14" s="30">
        <f>'Monthly Data'!AF14</f>
        <v>0</v>
      </c>
      <c r="K14" s="30">
        <f>'Monthly Data'!AG14</f>
        <v>0</v>
      </c>
      <c r="L14" s="30">
        <f>'Monthly Data'!AH14</f>
        <v>0</v>
      </c>
      <c r="M14" s="30">
        <f>'Monthly Data'!AI14</f>
        <v>0</v>
      </c>
      <c r="O14" s="23">
        <f>'GS &gt; 50 OLS Model'!$B$5</f>
        <v>-14985611.9194983</v>
      </c>
      <c r="P14" s="23">
        <f ca="1">'GS &gt; 50 OLS Model'!$B$6*D14</f>
        <v>6047201.8102548849</v>
      </c>
      <c r="Q14" s="23">
        <f ca="1">'GS &gt; 50 OLS Model'!$B$7*E14</f>
        <v>0</v>
      </c>
      <c r="R14" s="23">
        <f>'GS &gt; 50 OLS Model'!$B$8*F14</f>
        <v>35672623.036563471</v>
      </c>
      <c r="S14" s="23">
        <f>'GS &gt; 50 OLS Model'!$B$9*G14</f>
        <v>-405068.60311978194</v>
      </c>
      <c r="T14" s="23">
        <f>'GS &gt; 50 OLS Model'!$B$10*H14</f>
        <v>0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ca="1" si="2"/>
        <v>26329144.324200273</v>
      </c>
    </row>
    <row r="15" spans="1:26" x14ac:dyDescent="0.25">
      <c r="A15" s="11">
        <f>'Monthly Data'!A15</f>
        <v>40210</v>
      </c>
      <c r="B15" s="6">
        <f t="shared" si="1"/>
        <v>2010</v>
      </c>
      <c r="C15">
        <f>'Monthly Data'!H15</f>
        <v>23463051.8583</v>
      </c>
      <c r="D15">
        <f t="shared" ref="D15:E30" ca="1" si="3">D3</f>
        <v>682.50999999999988</v>
      </c>
      <c r="E15">
        <f t="shared" ca="1" si="3"/>
        <v>0</v>
      </c>
      <c r="F15" s="30">
        <f>'Monthly Data'!Q15</f>
        <v>6404.1</v>
      </c>
      <c r="G15" s="30">
        <f>'Monthly Data'!S15</f>
        <v>14</v>
      </c>
      <c r="H15" s="30">
        <f>'Monthly Data'!Y15</f>
        <v>0</v>
      </c>
      <c r="I15" s="30">
        <f>'Monthly Data'!AE15</f>
        <v>0</v>
      </c>
      <c r="J15" s="30">
        <f>'Monthly Data'!AF15</f>
        <v>1</v>
      </c>
      <c r="K15" s="30">
        <f>'Monthly Data'!AG15</f>
        <v>0</v>
      </c>
      <c r="L15" s="30">
        <f>'Monthly Data'!AH15</f>
        <v>0</v>
      </c>
      <c r="M15" s="30">
        <f>'Monthly Data'!AI15</f>
        <v>0</v>
      </c>
      <c r="O15" s="23">
        <f>'GS &gt; 50 OLS Model'!$B$5</f>
        <v>-14985611.9194983</v>
      </c>
      <c r="P15" s="23">
        <f ca="1">'GS &gt; 50 OLS Model'!$B$6*D15</f>
        <v>5262435.7157646548</v>
      </c>
      <c r="Q15" s="23">
        <f ca="1">'GS &gt; 50 OLS Model'!$B$7*E15</f>
        <v>0</v>
      </c>
      <c r="R15" s="23">
        <f>'GS &gt; 50 OLS Model'!$B$8*F15</f>
        <v>35504086.593901023</v>
      </c>
      <c r="S15" s="23">
        <f>'GS &gt; 50 OLS Model'!$B$9*G15</f>
        <v>-436227.72643668822</v>
      </c>
      <c r="T15" s="23">
        <f>'GS &gt; 50 OLS Model'!$B$10*H15</f>
        <v>0</v>
      </c>
      <c r="U15" s="23">
        <f>'GS &gt; 50 OLS Model'!$B$11*I15</f>
        <v>0</v>
      </c>
      <c r="V15" s="23">
        <f>'GS &gt; 50 OLS Model'!$B$12*J15</f>
        <v>-1507735.557816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ca="1" si="2"/>
        <v>23836947.10591469</v>
      </c>
    </row>
    <row r="16" spans="1:26" x14ac:dyDescent="0.25">
      <c r="A16" s="11">
        <f>'Monthly Data'!A16</f>
        <v>40238</v>
      </c>
      <c r="B16" s="6">
        <f t="shared" si="1"/>
        <v>2010</v>
      </c>
      <c r="C16">
        <f>'Monthly Data'!H16</f>
        <v>23312331.343999997</v>
      </c>
      <c r="D16">
        <f t="shared" ca="1" si="3"/>
        <v>556.99</v>
      </c>
      <c r="E16">
        <f t="shared" ca="1" si="3"/>
        <v>0</v>
      </c>
      <c r="F16" s="30">
        <f>'Monthly Data'!Q16</f>
        <v>6377.2</v>
      </c>
      <c r="G16" s="30">
        <f>'Monthly Data'!S16</f>
        <v>15</v>
      </c>
      <c r="H16" s="30">
        <f>'Monthly Data'!Y16</f>
        <v>0</v>
      </c>
      <c r="I16" s="30">
        <f>'Monthly Data'!AE16</f>
        <v>0</v>
      </c>
      <c r="J16" s="30">
        <f>'Monthly Data'!AF16</f>
        <v>0</v>
      </c>
      <c r="K16" s="30">
        <f>'Monthly Data'!AG16</f>
        <v>0</v>
      </c>
      <c r="L16" s="30">
        <f>'Monthly Data'!AH16</f>
        <v>0</v>
      </c>
      <c r="M16" s="30">
        <f>'Monthly Data'!AI16</f>
        <v>0</v>
      </c>
      <c r="O16" s="23">
        <f>'GS &gt; 50 OLS Model'!$B$5</f>
        <v>-14985611.9194983</v>
      </c>
      <c r="P16" s="23">
        <f ca="1">'GS &gt; 50 OLS Model'!$B$6*D16</f>
        <v>4294624.3561614566</v>
      </c>
      <c r="Q16" s="23">
        <f ca="1">'GS &gt; 50 OLS Model'!$B$7*E16</f>
        <v>0</v>
      </c>
      <c r="R16" s="23">
        <f>'GS &gt; 50 OLS Model'!$B$8*F16</f>
        <v>35354954.017992474</v>
      </c>
      <c r="S16" s="23">
        <f>'GS &gt; 50 OLS Model'!$B$9*G16</f>
        <v>-467386.84975359455</v>
      </c>
      <c r="T16" s="23">
        <f>'GS &gt; 50 OLS Model'!$B$10*H16</f>
        <v>0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ca="1" si="2"/>
        <v>24196579.604902036</v>
      </c>
    </row>
    <row r="17" spans="1:26" x14ac:dyDescent="0.25">
      <c r="A17" s="11">
        <f>'Monthly Data'!A17</f>
        <v>40269</v>
      </c>
      <c r="B17" s="6">
        <f t="shared" si="1"/>
        <v>2010</v>
      </c>
      <c r="C17">
        <f>'Monthly Data'!H17</f>
        <v>20685922.196199998</v>
      </c>
      <c r="D17">
        <f t="shared" ca="1" si="3"/>
        <v>326.58999999999997</v>
      </c>
      <c r="E17">
        <f t="shared" ca="1" si="3"/>
        <v>0.39</v>
      </c>
      <c r="F17" s="30">
        <f>'Monthly Data'!Q17</f>
        <v>6401.7</v>
      </c>
      <c r="G17" s="30">
        <f>'Monthly Data'!S17</f>
        <v>16</v>
      </c>
      <c r="H17" s="30">
        <f>'Monthly Data'!Y17</f>
        <v>0</v>
      </c>
      <c r="I17" s="30">
        <f>'Monthly Data'!AE17</f>
        <v>0</v>
      </c>
      <c r="J17" s="30">
        <f>'Monthly Data'!AF17</f>
        <v>0</v>
      </c>
      <c r="K17" s="30">
        <f>'Monthly Data'!AG17</f>
        <v>1</v>
      </c>
      <c r="L17" s="30">
        <f>'Monthly Data'!AH17</f>
        <v>0</v>
      </c>
      <c r="M17" s="30">
        <f>'Monthly Data'!AI17</f>
        <v>0</v>
      </c>
      <c r="O17" s="23">
        <f>'GS &gt; 50 OLS Model'!$B$5</f>
        <v>-14985611.9194983</v>
      </c>
      <c r="P17" s="23">
        <f ca="1">'GS &gt; 50 OLS Model'!$B$6*D17</f>
        <v>2518144.6138687767</v>
      </c>
      <c r="Q17" s="23">
        <f ca="1">'GS &gt; 50 OLS Model'!$B$7*E17</f>
        <v>12644.188669786166</v>
      </c>
      <c r="R17" s="23">
        <f>'GS &gt; 50 OLS Model'!$B$8*F17</f>
        <v>35490781.085269779</v>
      </c>
      <c r="S17" s="23">
        <f>'GS &gt; 50 OLS Model'!$B$9*G17</f>
        <v>-498545.97307050083</v>
      </c>
      <c r="T17" s="23">
        <f>'GS &gt; 50 OLS Model'!$B$10*H17</f>
        <v>0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-1602103.9965178701</v>
      </c>
      <c r="X17" s="23">
        <f>'GS &gt; 50 OLS Model'!$B$14*L17</f>
        <v>0</v>
      </c>
      <c r="Y17" s="23">
        <f>'GS &gt; 50 OLS Model'!$B$15*M17</f>
        <v>0</v>
      </c>
      <c r="Z17" s="23">
        <f t="shared" ca="1" si="2"/>
        <v>20935307.99872167</v>
      </c>
    </row>
    <row r="18" spans="1:26" x14ac:dyDescent="0.25">
      <c r="A18" s="11">
        <f>'Monthly Data'!A18</f>
        <v>40299</v>
      </c>
      <c r="B18" s="6">
        <f t="shared" si="1"/>
        <v>2010</v>
      </c>
      <c r="C18">
        <f>'Monthly Data'!H18</f>
        <v>21075021.926799998</v>
      </c>
      <c r="D18">
        <f t="shared" ca="1" si="3"/>
        <v>144.96</v>
      </c>
      <c r="E18">
        <f t="shared" ca="1" si="3"/>
        <v>8.67</v>
      </c>
      <c r="F18" s="30">
        <f>'Monthly Data'!Q18</f>
        <v>6468.9</v>
      </c>
      <c r="G18" s="30">
        <f>'Monthly Data'!S18</f>
        <v>17</v>
      </c>
      <c r="H18" s="30">
        <f>'Monthly Data'!Y18</f>
        <v>0</v>
      </c>
      <c r="I18" s="30">
        <f>'Monthly Data'!AE18</f>
        <v>0</v>
      </c>
      <c r="J18" s="30">
        <f>'Monthly Data'!AF18</f>
        <v>0</v>
      </c>
      <c r="K18" s="30">
        <f>'Monthly Data'!AG18</f>
        <v>0</v>
      </c>
      <c r="L18" s="30">
        <f>'Monthly Data'!AH18</f>
        <v>0</v>
      </c>
      <c r="M18" s="30">
        <f>'Monthly Data'!AI18</f>
        <v>1</v>
      </c>
      <c r="O18" s="23">
        <f>'GS &gt; 50 OLS Model'!$B$5</f>
        <v>-14985611.9194983</v>
      </c>
      <c r="P18" s="23">
        <f ca="1">'GS &gt; 50 OLS Model'!$B$6*D18</f>
        <v>1117701.8378591442</v>
      </c>
      <c r="Q18" s="23">
        <f ca="1">'GS &gt; 50 OLS Model'!$B$7*E18</f>
        <v>281090.04042832326</v>
      </c>
      <c r="R18" s="23">
        <f>'GS &gt; 50 OLS Model'!$B$8*F18</f>
        <v>35863335.326944664</v>
      </c>
      <c r="S18" s="23">
        <f>'GS &gt; 50 OLS Model'!$B$9*G18</f>
        <v>-529705.09638740716</v>
      </c>
      <c r="T18" s="23">
        <f>'GS &gt; 50 OLS Model'!$B$10*H18</f>
        <v>0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-1248171.7663678101</v>
      </c>
      <c r="Z18" s="23">
        <f t="shared" ca="1" si="2"/>
        <v>20498638.422978614</v>
      </c>
    </row>
    <row r="19" spans="1:26" x14ac:dyDescent="0.25">
      <c r="A19" s="11">
        <f>'Monthly Data'!A19</f>
        <v>40330</v>
      </c>
      <c r="B19" s="6">
        <f t="shared" si="1"/>
        <v>2010</v>
      </c>
      <c r="C19">
        <f>'Monthly Data'!H19</f>
        <v>21210428.387199998</v>
      </c>
      <c r="D19">
        <f t="shared" ca="1" si="3"/>
        <v>41.510000000000005</v>
      </c>
      <c r="E19">
        <f t="shared" ca="1" si="3"/>
        <v>44.41</v>
      </c>
      <c r="F19" s="30">
        <f>'Monthly Data'!Q19</f>
        <v>6578.9</v>
      </c>
      <c r="G19" s="30">
        <f>'Monthly Data'!S19</f>
        <v>18</v>
      </c>
      <c r="H19" s="30">
        <f>'Monthly Data'!Y19</f>
        <v>0</v>
      </c>
      <c r="I19" s="30">
        <f>'Monthly Data'!AE19</f>
        <v>0</v>
      </c>
      <c r="J19" s="30">
        <f>'Monthly Data'!AF19</f>
        <v>0</v>
      </c>
      <c r="K19" s="30">
        <f>'Monthly Data'!AG19</f>
        <v>0</v>
      </c>
      <c r="L19" s="30">
        <f>'Monthly Data'!AH19</f>
        <v>0</v>
      </c>
      <c r="M19" s="30">
        <f>'Monthly Data'!AI19</f>
        <v>1</v>
      </c>
      <c r="O19" s="23">
        <f>'GS &gt; 50 OLS Model'!$B$5</f>
        <v>-14985611.9194983</v>
      </c>
      <c r="P19" s="23">
        <f ca="1">'GS &gt; 50 OLS Model'!$B$6*D19</f>
        <v>320059.34940351185</v>
      </c>
      <c r="Q19" s="23">
        <f ca="1">'GS &gt; 50 OLS Model'!$B$7*E19</f>
        <v>1439816.4585261631</v>
      </c>
      <c r="R19" s="23">
        <f>'GS &gt; 50 OLS Model'!$B$8*F19</f>
        <v>36473171.139210105</v>
      </c>
      <c r="S19" s="23">
        <f>'GS &gt; 50 OLS Model'!$B$9*G19</f>
        <v>-560864.21970431344</v>
      </c>
      <c r="T19" s="23">
        <f>'GS &gt; 50 OLS Model'!$B$10*H19</f>
        <v>0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-1248171.7663678101</v>
      </c>
      <c r="Z19" s="23">
        <f t="shared" ca="1" si="2"/>
        <v>21438399.041569352</v>
      </c>
    </row>
    <row r="20" spans="1:26" x14ac:dyDescent="0.25">
      <c r="A20" s="11">
        <f>'Monthly Data'!A20</f>
        <v>40360</v>
      </c>
      <c r="B20" s="6">
        <f t="shared" si="1"/>
        <v>2010</v>
      </c>
      <c r="C20">
        <f>'Monthly Data'!H20</f>
        <v>24170485.458300002</v>
      </c>
      <c r="D20">
        <f t="shared" ca="1" si="3"/>
        <v>5.01</v>
      </c>
      <c r="E20">
        <f t="shared" ca="1" si="3"/>
        <v>96.909999999999982</v>
      </c>
      <c r="F20" s="30">
        <f>'Monthly Data'!Q20</f>
        <v>6640.9</v>
      </c>
      <c r="G20" s="30">
        <f>'Monthly Data'!S20</f>
        <v>19</v>
      </c>
      <c r="H20" s="30">
        <f>'Monthly Data'!Y20</f>
        <v>0</v>
      </c>
      <c r="I20" s="30">
        <f>'Monthly Data'!AE20</f>
        <v>0</v>
      </c>
      <c r="J20" s="30">
        <f>'Monthly Data'!AF20</f>
        <v>0</v>
      </c>
      <c r="K20" s="30">
        <f>'Monthly Data'!AG20</f>
        <v>0</v>
      </c>
      <c r="L20" s="30">
        <f>'Monthly Data'!AH20</f>
        <v>0</v>
      </c>
      <c r="M20" s="30">
        <f>'Monthly Data'!AI20</f>
        <v>1</v>
      </c>
      <c r="O20" s="23">
        <f>'GS &gt; 50 OLS Model'!$B$5</f>
        <v>-14985611.9194983</v>
      </c>
      <c r="P20" s="23">
        <f ca="1">'GS &gt; 50 OLS Model'!$B$6*D20</f>
        <v>38629.181896208</v>
      </c>
      <c r="Q20" s="23">
        <f ca="1">'GS &gt; 50 OLS Model'!$B$7*E20</f>
        <v>3141918.7794589158</v>
      </c>
      <c r="R20" s="23">
        <f>'GS &gt; 50 OLS Model'!$B$8*F20</f>
        <v>36816896.77885063</v>
      </c>
      <c r="S20" s="23">
        <f>'GS &gt; 50 OLS Model'!$B$9*G20</f>
        <v>-592023.34302121971</v>
      </c>
      <c r="T20" s="23">
        <f>'GS &gt; 50 OLS Model'!$B$10*H20</f>
        <v>0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-1248171.7663678101</v>
      </c>
      <c r="Z20" s="23">
        <f t="shared" ca="1" si="2"/>
        <v>23171637.711318422</v>
      </c>
    </row>
    <row r="21" spans="1:26" x14ac:dyDescent="0.25">
      <c r="A21" s="11">
        <f>'Monthly Data'!A21</f>
        <v>40391</v>
      </c>
      <c r="B21" s="6">
        <f t="shared" si="1"/>
        <v>2010</v>
      </c>
      <c r="C21">
        <f>'Monthly Data'!H21</f>
        <v>23341072.185600001</v>
      </c>
      <c r="D21">
        <f t="shared" ca="1" si="3"/>
        <v>12.719999999999999</v>
      </c>
      <c r="E21">
        <f t="shared" ca="1" si="3"/>
        <v>77.22999999999999</v>
      </c>
      <c r="F21" s="30">
        <f>'Monthly Data'!Q21</f>
        <v>6662.6</v>
      </c>
      <c r="G21" s="30">
        <f>'Monthly Data'!S21</f>
        <v>20</v>
      </c>
      <c r="H21" s="30">
        <f>'Monthly Data'!Y21</f>
        <v>0</v>
      </c>
      <c r="I21" s="30">
        <f>'Monthly Data'!AE21</f>
        <v>0</v>
      </c>
      <c r="J21" s="30">
        <f>'Monthly Data'!AF21</f>
        <v>0</v>
      </c>
      <c r="K21" s="30">
        <f>'Monthly Data'!AG21</f>
        <v>0</v>
      </c>
      <c r="L21" s="30">
        <f>'Monthly Data'!AH21</f>
        <v>0</v>
      </c>
      <c r="M21" s="30">
        <f>'Monthly Data'!AI21</f>
        <v>1</v>
      </c>
      <c r="O21" s="23">
        <f>'GS &gt; 50 OLS Model'!$B$5</f>
        <v>-14985611.9194983</v>
      </c>
      <c r="P21" s="23">
        <f ca="1">'GS &gt; 50 OLS Model'!$B$6*D21</f>
        <v>98076.485772408327</v>
      </c>
      <c r="Q21" s="23">
        <f ca="1">'GS &gt; 50 OLS Model'!$B$7*E21</f>
        <v>2503873.5665835529</v>
      </c>
      <c r="R21" s="23">
        <f>'GS &gt; 50 OLS Model'!$B$8*F21</f>
        <v>36937200.752724811</v>
      </c>
      <c r="S21" s="23">
        <f>'GS &gt; 50 OLS Model'!$B$9*G21</f>
        <v>-623182.46633812599</v>
      </c>
      <c r="T21" s="23">
        <f>'GS &gt; 50 OLS Model'!$B$10*H21</f>
        <v>0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-1248171.7663678101</v>
      </c>
      <c r="Z21" s="23">
        <f t="shared" ca="1" si="2"/>
        <v>22682184.652876537</v>
      </c>
    </row>
    <row r="22" spans="1:26" x14ac:dyDescent="0.25">
      <c r="A22" s="11">
        <f>'Monthly Data'!A22</f>
        <v>40422</v>
      </c>
      <c r="B22" s="6">
        <f t="shared" si="1"/>
        <v>2010</v>
      </c>
      <c r="C22">
        <f>'Monthly Data'!H22</f>
        <v>20619864.412799999</v>
      </c>
      <c r="D22">
        <f t="shared" ca="1" si="3"/>
        <v>86.570000000000007</v>
      </c>
      <c r="E22">
        <f t="shared" ca="1" si="3"/>
        <v>19.899999999999999</v>
      </c>
      <c r="F22" s="30">
        <f>'Monthly Data'!Q22</f>
        <v>6611.2</v>
      </c>
      <c r="G22" s="30">
        <f>'Monthly Data'!S22</f>
        <v>21</v>
      </c>
      <c r="H22" s="30">
        <f>'Monthly Data'!Y22</f>
        <v>0</v>
      </c>
      <c r="I22" s="30">
        <f>'Monthly Data'!AE22</f>
        <v>1</v>
      </c>
      <c r="J22" s="30">
        <f>'Monthly Data'!AF22</f>
        <v>0</v>
      </c>
      <c r="K22" s="30">
        <f>'Monthly Data'!AG22</f>
        <v>0</v>
      </c>
      <c r="L22" s="30">
        <f>'Monthly Data'!AH22</f>
        <v>0</v>
      </c>
      <c r="M22" s="30">
        <f>'Monthly Data'!AI22</f>
        <v>0</v>
      </c>
      <c r="O22" s="23">
        <f>'GS &gt; 50 OLS Model'!$B$5</f>
        <v>-14985611.9194983</v>
      </c>
      <c r="P22" s="23">
        <f ca="1">'GS &gt; 50 OLS Model'!$B$6*D22</f>
        <v>667490.67400293949</v>
      </c>
      <c r="Q22" s="23">
        <f ca="1">'GS &gt; 50 OLS Model'!$B$7*E22</f>
        <v>645177.83212498645</v>
      </c>
      <c r="R22" s="23">
        <f>'GS &gt; 50 OLS Model'!$B$8*F22</f>
        <v>36652241.109538957</v>
      </c>
      <c r="S22" s="23">
        <f>'GS &gt; 50 OLS Model'!$B$9*G22</f>
        <v>-654341.58965503238</v>
      </c>
      <c r="T22" s="23">
        <f>'GS &gt; 50 OLS Model'!$B$10*H22</f>
        <v>0</v>
      </c>
      <c r="U22" s="23">
        <f>'GS &gt; 50 OLS Model'!$B$11*I22</f>
        <v>-1629695.87956432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ca="1" si="2"/>
        <v>20695260.226949234</v>
      </c>
    </row>
    <row r="23" spans="1:26" x14ac:dyDescent="0.25">
      <c r="A23" s="11">
        <f>'Monthly Data'!A23</f>
        <v>40452</v>
      </c>
      <c r="B23" s="6">
        <f t="shared" si="1"/>
        <v>2010</v>
      </c>
      <c r="C23">
        <f>'Monthly Data'!H23</f>
        <v>21162272.6325</v>
      </c>
      <c r="D23">
        <f t="shared" ca="1" si="3"/>
        <v>270.3</v>
      </c>
      <c r="E23">
        <f t="shared" ca="1" si="3"/>
        <v>1.21</v>
      </c>
      <c r="F23" s="30">
        <f>'Monthly Data'!Q23</f>
        <v>6587.1</v>
      </c>
      <c r="G23" s="30">
        <f>'Monthly Data'!S23</f>
        <v>22</v>
      </c>
      <c r="H23" s="30">
        <f>'Monthly Data'!Y23</f>
        <v>0</v>
      </c>
      <c r="I23" s="30">
        <f>'Monthly Data'!AE23</f>
        <v>1</v>
      </c>
      <c r="J23" s="30">
        <f>'Monthly Data'!AF23</f>
        <v>0</v>
      </c>
      <c r="K23" s="30">
        <f>'Monthly Data'!AG23</f>
        <v>0</v>
      </c>
      <c r="L23" s="30">
        <f>'Monthly Data'!AH23</f>
        <v>0</v>
      </c>
      <c r="M23" s="30">
        <f>'Monthly Data'!AI23</f>
        <v>0</v>
      </c>
      <c r="O23" s="23">
        <f>'GS &gt; 50 OLS Model'!$B$5</f>
        <v>-14985611.9194983</v>
      </c>
      <c r="P23" s="23">
        <f ca="1">'GS &gt; 50 OLS Model'!$B$6*D23</f>
        <v>2084125.3226636774</v>
      </c>
      <c r="Q23" s="23">
        <f ca="1">'GS &gt; 50 OLS Model'!$B$7*E23</f>
        <v>39229.405872926312</v>
      </c>
      <c r="R23" s="23">
        <f>'GS &gt; 50 OLS Model'!$B$8*F23</f>
        <v>36518631.627033532</v>
      </c>
      <c r="S23" s="23">
        <f>'GS &gt; 50 OLS Model'!$B$9*G23</f>
        <v>-685500.71297193866</v>
      </c>
      <c r="T23" s="23">
        <f>'GS &gt; 50 OLS Model'!$B$10*H23</f>
        <v>0</v>
      </c>
      <c r="U23" s="23">
        <f>'GS &gt; 50 OLS Model'!$B$11*I23</f>
        <v>-1629695.87956432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ca="1" si="2"/>
        <v>21341177.84353558</v>
      </c>
    </row>
    <row r="24" spans="1:26" x14ac:dyDescent="0.25">
      <c r="A24" s="11">
        <f>'Monthly Data'!A24</f>
        <v>40483</v>
      </c>
      <c r="B24" s="6">
        <f t="shared" si="1"/>
        <v>2010</v>
      </c>
      <c r="C24">
        <f>'Monthly Data'!H24</f>
        <v>22484948.883300003</v>
      </c>
      <c r="D24">
        <f t="shared" ca="1" si="3"/>
        <v>444.05</v>
      </c>
      <c r="E24">
        <f t="shared" ca="1" si="3"/>
        <v>0</v>
      </c>
      <c r="F24" s="30">
        <f>'Monthly Data'!Q24</f>
        <v>6566.6</v>
      </c>
      <c r="G24" s="30">
        <f>'Monthly Data'!S24</f>
        <v>23</v>
      </c>
      <c r="H24" s="30">
        <f>'Monthly Data'!Y24</f>
        <v>0</v>
      </c>
      <c r="I24" s="30">
        <f>'Monthly Data'!AE24</f>
        <v>1</v>
      </c>
      <c r="J24" s="30">
        <f>'Monthly Data'!AF24</f>
        <v>0</v>
      </c>
      <c r="K24" s="30">
        <f>'Monthly Data'!AG24</f>
        <v>0</v>
      </c>
      <c r="L24" s="30">
        <f>'Monthly Data'!AH24</f>
        <v>0</v>
      </c>
      <c r="M24" s="30">
        <f>'Monthly Data'!AI24</f>
        <v>0</v>
      </c>
      <c r="O24" s="23">
        <f>'GS &gt; 50 OLS Model'!$B$5</f>
        <v>-14985611.9194983</v>
      </c>
      <c r="P24" s="23">
        <f ca="1">'GS &gt; 50 OLS Model'!$B$6*D24</f>
        <v>3423810.024153925</v>
      </c>
      <c r="Q24" s="23">
        <f ca="1">'GS &gt; 50 OLS Model'!$B$7*E24</f>
        <v>0</v>
      </c>
      <c r="R24" s="23">
        <f>'GS &gt; 50 OLS Model'!$B$8*F24</f>
        <v>36404980.407474972</v>
      </c>
      <c r="S24" s="23">
        <f>'GS &gt; 50 OLS Model'!$B$9*G24</f>
        <v>-716659.83628884493</v>
      </c>
      <c r="T24" s="23">
        <f>'GS &gt; 50 OLS Model'!$B$10*H24</f>
        <v>0</v>
      </c>
      <c r="U24" s="23">
        <f>'GS &gt; 50 OLS Model'!$B$11*I24</f>
        <v>-1629695.87956432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ca="1" si="2"/>
        <v>22496822.796277434</v>
      </c>
    </row>
    <row r="25" spans="1:26" x14ac:dyDescent="0.25">
      <c r="A25" s="11">
        <f>'Monthly Data'!A25</f>
        <v>40513</v>
      </c>
      <c r="B25" s="6">
        <f t="shared" si="1"/>
        <v>2010</v>
      </c>
      <c r="C25">
        <f>'Monthly Data'!H25</f>
        <v>25202682.410200004</v>
      </c>
      <c r="D25">
        <f t="shared" ca="1" si="3"/>
        <v>684.01</v>
      </c>
      <c r="E25">
        <f t="shared" ca="1" si="3"/>
        <v>0</v>
      </c>
      <c r="F25" s="30">
        <f>'Monthly Data'!Q25</f>
        <v>6584.1</v>
      </c>
      <c r="G25" s="30">
        <f>'Monthly Data'!S25</f>
        <v>24</v>
      </c>
      <c r="H25" s="30">
        <f>'Monthly Data'!Y25</f>
        <v>0</v>
      </c>
      <c r="I25" s="30">
        <f>'Monthly Data'!AE25</f>
        <v>0</v>
      </c>
      <c r="J25" s="30">
        <f>'Monthly Data'!AF25</f>
        <v>0</v>
      </c>
      <c r="K25" s="30">
        <f>'Monthly Data'!AG25</f>
        <v>0</v>
      </c>
      <c r="L25" s="30">
        <f>'Monthly Data'!AH25</f>
        <v>1</v>
      </c>
      <c r="M25" s="30">
        <f>'Monthly Data'!AI25</f>
        <v>0</v>
      </c>
      <c r="O25" s="23">
        <f>'GS &gt; 50 OLS Model'!$B$5</f>
        <v>-14985611.9194983</v>
      </c>
      <c r="P25" s="23">
        <f ca="1">'GS &gt; 50 OLS Model'!$B$6*D25</f>
        <v>5274001.3390868735</v>
      </c>
      <c r="Q25" s="23">
        <f ca="1">'GS &gt; 50 OLS Model'!$B$7*E25</f>
        <v>0</v>
      </c>
      <c r="R25" s="23">
        <f>'GS &gt; 50 OLS Model'!$B$8*F25</f>
        <v>36501999.741244473</v>
      </c>
      <c r="S25" s="23">
        <f>'GS &gt; 50 OLS Model'!$B$9*G25</f>
        <v>-747818.95960575121</v>
      </c>
      <c r="T25" s="23">
        <f>'GS &gt; 50 OLS Model'!$B$10*H25</f>
        <v>0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-1130663.3851056299</v>
      </c>
      <c r="Y25" s="23">
        <f>'GS &gt; 50 OLS Model'!$B$15*M25</f>
        <v>0</v>
      </c>
      <c r="Z25" s="23">
        <f t="shared" ca="1" si="2"/>
        <v>24911906.816121668</v>
      </c>
    </row>
    <row r="26" spans="1:26" x14ac:dyDescent="0.25">
      <c r="A26" s="11">
        <f>'Monthly Data'!A26</f>
        <v>40544</v>
      </c>
      <c r="B26" s="6">
        <f t="shared" si="1"/>
        <v>2011</v>
      </c>
      <c r="C26">
        <f>'Monthly Data'!H26</f>
        <v>26719422.829099998</v>
      </c>
      <c r="D26">
        <f t="shared" ca="1" si="3"/>
        <v>784.29</v>
      </c>
      <c r="E26">
        <f t="shared" ca="1" si="3"/>
        <v>0</v>
      </c>
      <c r="F26" s="30">
        <f>'Monthly Data'!Q26</f>
        <v>6571.2</v>
      </c>
      <c r="G26" s="30">
        <f>'Monthly Data'!S26</f>
        <v>25</v>
      </c>
      <c r="H26" s="30">
        <f>'Monthly Data'!Y26</f>
        <v>0</v>
      </c>
      <c r="I26" s="30">
        <f>'Monthly Data'!AE26</f>
        <v>0</v>
      </c>
      <c r="J26" s="30">
        <f>'Monthly Data'!AF26</f>
        <v>0</v>
      </c>
      <c r="K26" s="30">
        <f>'Monthly Data'!AG26</f>
        <v>0</v>
      </c>
      <c r="L26" s="30">
        <f>'Monthly Data'!AH26</f>
        <v>0</v>
      </c>
      <c r="M26" s="30">
        <f>'Monthly Data'!AI26</f>
        <v>0</v>
      </c>
      <c r="O26" s="23">
        <f>'GS &gt; 50 OLS Model'!$B$5</f>
        <v>-14985611.9194983</v>
      </c>
      <c r="P26" s="23">
        <f ca="1">'GS &gt; 50 OLS Model'!$B$6*D26</f>
        <v>6047201.8102548849</v>
      </c>
      <c r="Q26" s="23">
        <f ca="1">'GS &gt; 50 OLS Model'!$B$7*E26</f>
        <v>0</v>
      </c>
      <c r="R26" s="23">
        <f>'GS &gt; 50 OLS Model'!$B$8*F26</f>
        <v>36430482.632351525</v>
      </c>
      <c r="S26" s="23">
        <f>'GS &gt; 50 OLS Model'!$B$9*G26</f>
        <v>-778978.08292265749</v>
      </c>
      <c r="T26" s="23">
        <f>'GS &gt; 50 OLS Model'!$B$10*H26</f>
        <v>0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ca="1" si="2"/>
        <v>26713094.440185454</v>
      </c>
    </row>
    <row r="27" spans="1:26" x14ac:dyDescent="0.25">
      <c r="A27" s="11">
        <f>'Monthly Data'!A27</f>
        <v>40575</v>
      </c>
      <c r="B27" s="6">
        <f t="shared" si="1"/>
        <v>2011</v>
      </c>
      <c r="C27">
        <f>'Monthly Data'!H27</f>
        <v>24134565.637199998</v>
      </c>
      <c r="D27">
        <f t="shared" ca="1" si="3"/>
        <v>682.50999999999988</v>
      </c>
      <c r="E27">
        <f t="shared" ca="1" si="3"/>
        <v>0</v>
      </c>
      <c r="F27" s="30">
        <f>'Monthly Data'!Q27</f>
        <v>6548.1</v>
      </c>
      <c r="G27" s="30">
        <f>'Monthly Data'!S27</f>
        <v>26</v>
      </c>
      <c r="H27" s="30">
        <f>'Monthly Data'!Y27</f>
        <v>0</v>
      </c>
      <c r="I27" s="30">
        <f>'Monthly Data'!AE27</f>
        <v>0</v>
      </c>
      <c r="J27" s="30">
        <f>'Monthly Data'!AF27</f>
        <v>1</v>
      </c>
      <c r="K27" s="30">
        <f>'Monthly Data'!AG27</f>
        <v>0</v>
      </c>
      <c r="L27" s="30">
        <f>'Monthly Data'!AH27</f>
        <v>0</v>
      </c>
      <c r="M27" s="30">
        <f>'Monthly Data'!AI27</f>
        <v>0</v>
      </c>
      <c r="O27" s="23">
        <f>'GS &gt; 50 OLS Model'!$B$5</f>
        <v>-14985611.9194983</v>
      </c>
      <c r="P27" s="23">
        <f ca="1">'GS &gt; 50 OLS Model'!$B$6*D27</f>
        <v>5262435.7157646548</v>
      </c>
      <c r="Q27" s="23">
        <f ca="1">'GS &gt; 50 OLS Model'!$B$7*E27</f>
        <v>0</v>
      </c>
      <c r="R27" s="23">
        <f>'GS &gt; 50 OLS Model'!$B$8*F27</f>
        <v>36302417.111775786</v>
      </c>
      <c r="S27" s="23">
        <f>'GS &gt; 50 OLS Model'!$B$9*G27</f>
        <v>-810137.20623956388</v>
      </c>
      <c r="T27" s="23">
        <f>'GS &gt; 50 OLS Model'!$B$10*H27</f>
        <v>0</v>
      </c>
      <c r="U27" s="23">
        <f>'GS &gt; 50 OLS Model'!$B$11*I27</f>
        <v>0</v>
      </c>
      <c r="V27" s="23">
        <f>'GS &gt; 50 OLS Model'!$B$12*J27</f>
        <v>-1507735.557816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ca="1" si="2"/>
        <v>24261368.143986579</v>
      </c>
    </row>
    <row r="28" spans="1:26" x14ac:dyDescent="0.25">
      <c r="A28" s="11">
        <f>'Monthly Data'!A28</f>
        <v>40603</v>
      </c>
      <c r="B28" s="6">
        <f t="shared" si="1"/>
        <v>2011</v>
      </c>
      <c r="C28">
        <f>'Monthly Data'!H28</f>
        <v>24768007.689200003</v>
      </c>
      <c r="D28">
        <f t="shared" ca="1" si="3"/>
        <v>556.99</v>
      </c>
      <c r="E28">
        <f t="shared" ca="1" si="3"/>
        <v>0</v>
      </c>
      <c r="F28" s="30">
        <f>'Monthly Data'!Q28</f>
        <v>6523.7</v>
      </c>
      <c r="G28" s="30">
        <f>'Monthly Data'!S28</f>
        <v>27</v>
      </c>
      <c r="H28" s="30">
        <f>'Monthly Data'!Y28</f>
        <v>0</v>
      </c>
      <c r="I28" s="30">
        <f>'Monthly Data'!AE28</f>
        <v>0</v>
      </c>
      <c r="J28" s="30">
        <f>'Monthly Data'!AF28</f>
        <v>0</v>
      </c>
      <c r="K28" s="30">
        <f>'Monthly Data'!AG28</f>
        <v>0</v>
      </c>
      <c r="L28" s="30">
        <f>'Monthly Data'!AH28</f>
        <v>0</v>
      </c>
      <c r="M28" s="30">
        <f>'Monthly Data'!AI28</f>
        <v>0</v>
      </c>
      <c r="O28" s="23">
        <f>'GS &gt; 50 OLS Model'!$B$5</f>
        <v>-14985611.9194983</v>
      </c>
      <c r="P28" s="23">
        <f ca="1">'GS &gt; 50 OLS Model'!$B$6*D28</f>
        <v>4294624.3561614566</v>
      </c>
      <c r="Q28" s="23">
        <f ca="1">'GS &gt; 50 OLS Model'!$B$7*E28</f>
        <v>0</v>
      </c>
      <c r="R28" s="23">
        <f>'GS &gt; 50 OLS Model'!$B$8*F28</f>
        <v>36167144.440691449</v>
      </c>
      <c r="S28" s="23">
        <f>'GS &gt; 50 OLS Model'!$B$9*G28</f>
        <v>-841296.32955647015</v>
      </c>
      <c r="T28" s="23">
        <f>'GS &gt; 50 OLS Model'!$B$10*H28</f>
        <v>0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ca="1" si="2"/>
        <v>24634860.547798138</v>
      </c>
    </row>
    <row r="29" spans="1:26" x14ac:dyDescent="0.25">
      <c r="A29" s="11">
        <f>'Monthly Data'!A29</f>
        <v>40634</v>
      </c>
      <c r="B29" s="6">
        <f t="shared" si="1"/>
        <v>2011</v>
      </c>
      <c r="C29">
        <f>'Monthly Data'!H29</f>
        <v>21428998.341600001</v>
      </c>
      <c r="D29">
        <f t="shared" ca="1" si="3"/>
        <v>326.58999999999997</v>
      </c>
      <c r="E29">
        <f t="shared" ca="1" si="3"/>
        <v>0.39</v>
      </c>
      <c r="F29" s="30">
        <f>'Monthly Data'!Q29</f>
        <v>6550</v>
      </c>
      <c r="G29" s="30">
        <f>'Monthly Data'!S29</f>
        <v>28</v>
      </c>
      <c r="H29" s="30">
        <f>'Monthly Data'!Y29</f>
        <v>0</v>
      </c>
      <c r="I29" s="30">
        <f>'Monthly Data'!AE29</f>
        <v>0</v>
      </c>
      <c r="J29" s="30">
        <f>'Monthly Data'!AF29</f>
        <v>0</v>
      </c>
      <c r="K29" s="30">
        <f>'Monthly Data'!AG29</f>
        <v>1</v>
      </c>
      <c r="L29" s="30">
        <f>'Monthly Data'!AH29</f>
        <v>0</v>
      </c>
      <c r="M29" s="30">
        <f>'Monthly Data'!AI29</f>
        <v>0</v>
      </c>
      <c r="O29" s="23">
        <f>'GS &gt; 50 OLS Model'!$B$5</f>
        <v>-14985611.9194983</v>
      </c>
      <c r="P29" s="23">
        <f ca="1">'GS &gt; 50 OLS Model'!$B$6*D29</f>
        <v>2518144.6138687767</v>
      </c>
      <c r="Q29" s="23">
        <f ca="1">'GS &gt; 50 OLS Model'!$B$7*E29</f>
        <v>12644.188669786166</v>
      </c>
      <c r="R29" s="23">
        <f>'GS &gt; 50 OLS Model'!$B$8*F29</f>
        <v>36312950.639442183</v>
      </c>
      <c r="S29" s="23">
        <f>'GS &gt; 50 OLS Model'!$B$9*G29</f>
        <v>-872455.45287337643</v>
      </c>
      <c r="T29" s="23">
        <f>'GS &gt; 50 OLS Model'!$B$10*H29</f>
        <v>0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-1602103.9965178701</v>
      </c>
      <c r="X29" s="23">
        <f>'GS &gt; 50 OLS Model'!$B$14*L29</f>
        <v>0</v>
      </c>
      <c r="Y29" s="23">
        <f>'GS &gt; 50 OLS Model'!$B$15*M29</f>
        <v>0</v>
      </c>
      <c r="Z29" s="23">
        <f t="shared" ca="1" si="2"/>
        <v>21383568.073091201</v>
      </c>
    </row>
    <row r="30" spans="1:26" x14ac:dyDescent="0.25">
      <c r="A30" s="11">
        <f>'Monthly Data'!A30</f>
        <v>40664</v>
      </c>
      <c r="B30" s="6">
        <f t="shared" si="1"/>
        <v>2011</v>
      </c>
      <c r="C30">
        <f>'Monthly Data'!H30</f>
        <v>20975723.055199999</v>
      </c>
      <c r="D30">
        <f t="shared" ca="1" si="3"/>
        <v>144.96</v>
      </c>
      <c r="E30">
        <f t="shared" ca="1" si="3"/>
        <v>8.67</v>
      </c>
      <c r="F30" s="30">
        <f>'Monthly Data'!Q30</f>
        <v>6612</v>
      </c>
      <c r="G30" s="30">
        <f>'Monthly Data'!S30</f>
        <v>29</v>
      </c>
      <c r="H30" s="30">
        <f>'Monthly Data'!Y30</f>
        <v>0</v>
      </c>
      <c r="I30" s="30">
        <f>'Monthly Data'!AE30</f>
        <v>0</v>
      </c>
      <c r="J30" s="30">
        <f>'Monthly Data'!AF30</f>
        <v>0</v>
      </c>
      <c r="K30" s="30">
        <f>'Monthly Data'!AG30</f>
        <v>0</v>
      </c>
      <c r="L30" s="30">
        <f>'Monthly Data'!AH30</f>
        <v>0</v>
      </c>
      <c r="M30" s="30">
        <f>'Monthly Data'!AI30</f>
        <v>1</v>
      </c>
      <c r="O30" s="23">
        <f>'GS &gt; 50 OLS Model'!$B$5</f>
        <v>-14985611.9194983</v>
      </c>
      <c r="P30" s="23">
        <f ca="1">'GS &gt; 50 OLS Model'!$B$6*D30</f>
        <v>1117701.8378591442</v>
      </c>
      <c r="Q30" s="23">
        <f ca="1">'GS &gt; 50 OLS Model'!$B$7*E30</f>
        <v>281090.04042832326</v>
      </c>
      <c r="R30" s="23">
        <f>'GS &gt; 50 OLS Model'!$B$8*F30</f>
        <v>36656676.279082708</v>
      </c>
      <c r="S30" s="23">
        <f>'GS &gt; 50 OLS Model'!$B$9*G30</f>
        <v>-903614.57619028271</v>
      </c>
      <c r="T30" s="23">
        <f>'GS &gt; 50 OLS Model'!$B$10*H30</f>
        <v>0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-1248171.7663678101</v>
      </c>
      <c r="Z30" s="23">
        <f t="shared" ca="1" si="2"/>
        <v>20918069.895313784</v>
      </c>
    </row>
    <row r="31" spans="1:26" x14ac:dyDescent="0.25">
      <c r="A31" s="11">
        <f>'Monthly Data'!A31</f>
        <v>40695</v>
      </c>
      <c r="B31" s="6">
        <f t="shared" si="1"/>
        <v>2011</v>
      </c>
      <c r="C31">
        <f>'Monthly Data'!H31</f>
        <v>21081698.477299999</v>
      </c>
      <c r="D31">
        <f t="shared" ref="D31:E46" ca="1" si="4">D19</f>
        <v>41.510000000000005</v>
      </c>
      <c r="E31">
        <f t="shared" ca="1" si="4"/>
        <v>44.41</v>
      </c>
      <c r="F31" s="30">
        <f>'Monthly Data'!Q31</f>
        <v>6706.8</v>
      </c>
      <c r="G31" s="30">
        <f>'Monthly Data'!S31</f>
        <v>30</v>
      </c>
      <c r="H31" s="30">
        <f>'Monthly Data'!Y31</f>
        <v>0</v>
      </c>
      <c r="I31" s="30">
        <f>'Monthly Data'!AE31</f>
        <v>0</v>
      </c>
      <c r="J31" s="30">
        <f>'Monthly Data'!AF31</f>
        <v>0</v>
      </c>
      <c r="K31" s="30">
        <f>'Monthly Data'!AG31</f>
        <v>0</v>
      </c>
      <c r="L31" s="30">
        <f>'Monthly Data'!AH31</f>
        <v>0</v>
      </c>
      <c r="M31" s="30">
        <f>'Monthly Data'!AI31</f>
        <v>1</v>
      </c>
      <c r="O31" s="23">
        <f>'GS &gt; 50 OLS Model'!$B$5</f>
        <v>-14985611.9194983</v>
      </c>
      <c r="P31" s="23">
        <f ca="1">'GS &gt; 50 OLS Model'!$B$6*D31</f>
        <v>320059.34940351185</v>
      </c>
      <c r="Q31" s="23">
        <f ca="1">'GS &gt; 50 OLS Model'!$B$7*E31</f>
        <v>1439816.4585261631</v>
      </c>
      <c r="R31" s="23">
        <f>'GS &gt; 50 OLS Model'!$B$8*F31</f>
        <v>37182243.870016925</v>
      </c>
      <c r="S31" s="23">
        <f>'GS &gt; 50 OLS Model'!$B$9*G31</f>
        <v>-934773.6995071891</v>
      </c>
      <c r="T31" s="23">
        <f>'GS &gt; 50 OLS Model'!$B$10*H31</f>
        <v>0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-1248171.7663678101</v>
      </c>
      <c r="Z31" s="23">
        <f t="shared" ca="1" si="2"/>
        <v>21773562.292573299</v>
      </c>
    </row>
    <row r="32" spans="1:26" x14ac:dyDescent="0.25">
      <c r="A32" s="11">
        <f>'Monthly Data'!A32</f>
        <v>40725</v>
      </c>
      <c r="B32" s="6">
        <f t="shared" si="1"/>
        <v>2011</v>
      </c>
      <c r="C32">
        <f>'Monthly Data'!H32</f>
        <v>23454116.069599997</v>
      </c>
      <c r="D32">
        <f t="shared" ca="1" si="4"/>
        <v>5.01</v>
      </c>
      <c r="E32">
        <f t="shared" ca="1" si="4"/>
        <v>96.909999999999982</v>
      </c>
      <c r="F32" s="30">
        <f>'Monthly Data'!Q32</f>
        <v>6755.3</v>
      </c>
      <c r="G32" s="30">
        <f>'Monthly Data'!S32</f>
        <v>31</v>
      </c>
      <c r="H32" s="30">
        <f>'Monthly Data'!Y32</f>
        <v>0</v>
      </c>
      <c r="I32" s="30">
        <f>'Monthly Data'!AE32</f>
        <v>0</v>
      </c>
      <c r="J32" s="30">
        <f>'Monthly Data'!AF32</f>
        <v>0</v>
      </c>
      <c r="K32" s="30">
        <f>'Monthly Data'!AG32</f>
        <v>0</v>
      </c>
      <c r="L32" s="30">
        <f>'Monthly Data'!AH32</f>
        <v>0</v>
      </c>
      <c r="M32" s="30">
        <f>'Monthly Data'!AI32</f>
        <v>1</v>
      </c>
      <c r="O32" s="23">
        <f>'GS &gt; 50 OLS Model'!$B$5</f>
        <v>-14985611.9194983</v>
      </c>
      <c r="P32" s="23">
        <f ca="1">'GS &gt; 50 OLS Model'!$B$6*D32</f>
        <v>38629.181896208</v>
      </c>
      <c r="Q32" s="23">
        <f ca="1">'GS &gt; 50 OLS Model'!$B$7*E32</f>
        <v>3141918.7794589158</v>
      </c>
      <c r="R32" s="23">
        <f>'GS &gt; 50 OLS Model'!$B$8*F32</f>
        <v>37451126.023606688</v>
      </c>
      <c r="S32" s="23">
        <f>'GS &gt; 50 OLS Model'!$B$9*G32</f>
        <v>-965932.82282409538</v>
      </c>
      <c r="T32" s="23">
        <f>'GS &gt; 50 OLS Model'!$B$10*H32</f>
        <v>0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-1248171.7663678101</v>
      </c>
      <c r="Z32" s="23">
        <f t="shared" ca="1" si="2"/>
        <v>23431957.476271607</v>
      </c>
    </row>
    <row r="33" spans="1:26" x14ac:dyDescent="0.25">
      <c r="A33" s="11">
        <f>'Monthly Data'!A33</f>
        <v>40756</v>
      </c>
      <c r="B33" s="6">
        <f t="shared" si="1"/>
        <v>2011</v>
      </c>
      <c r="C33">
        <f>'Monthly Data'!H33</f>
        <v>22777142.470799997</v>
      </c>
      <c r="D33">
        <f t="shared" ca="1" si="4"/>
        <v>12.719999999999999</v>
      </c>
      <c r="E33">
        <f t="shared" ca="1" si="4"/>
        <v>77.22999999999999</v>
      </c>
      <c r="F33" s="30">
        <f>'Monthly Data'!Q33</f>
        <v>6778</v>
      </c>
      <c r="G33" s="30">
        <f>'Monthly Data'!S33</f>
        <v>32</v>
      </c>
      <c r="H33" s="30">
        <f>'Monthly Data'!Y33</f>
        <v>0</v>
      </c>
      <c r="I33" s="30">
        <f>'Monthly Data'!AE33</f>
        <v>0</v>
      </c>
      <c r="J33" s="30">
        <f>'Monthly Data'!AF33</f>
        <v>0</v>
      </c>
      <c r="K33" s="30">
        <f>'Monthly Data'!AG33</f>
        <v>0</v>
      </c>
      <c r="L33" s="30">
        <f>'Monthly Data'!AH33</f>
        <v>0</v>
      </c>
      <c r="M33" s="30">
        <f>'Monthly Data'!AI33</f>
        <v>1</v>
      </c>
      <c r="O33" s="23">
        <f>'GS &gt; 50 OLS Model'!$B$5</f>
        <v>-14985611.9194983</v>
      </c>
      <c r="P33" s="23">
        <f ca="1">'GS &gt; 50 OLS Model'!$B$6*D33</f>
        <v>98076.485772408327</v>
      </c>
      <c r="Q33" s="23">
        <f ca="1">'GS &gt; 50 OLS Model'!$B$7*E33</f>
        <v>2503873.5665835529</v>
      </c>
      <c r="R33" s="23">
        <f>'GS &gt; 50 OLS Model'!$B$8*F33</f>
        <v>37576973.959410556</v>
      </c>
      <c r="S33" s="23">
        <f>'GS &gt; 50 OLS Model'!$B$9*G33</f>
        <v>-997091.94614100165</v>
      </c>
      <c r="T33" s="23">
        <f>'GS &gt; 50 OLS Model'!$B$10*H33</f>
        <v>0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-1248171.7663678101</v>
      </c>
      <c r="Z33" s="23">
        <f t="shared" ca="1" si="2"/>
        <v>22948048.379759405</v>
      </c>
    </row>
    <row r="34" spans="1:26" x14ac:dyDescent="0.25">
      <c r="A34" s="11">
        <f>'Monthly Data'!A34</f>
        <v>40787</v>
      </c>
      <c r="B34" s="6">
        <f t="shared" si="1"/>
        <v>2011</v>
      </c>
      <c r="C34">
        <f>'Monthly Data'!H34</f>
        <v>21103919.222400002</v>
      </c>
      <c r="D34">
        <f t="shared" ca="1" si="4"/>
        <v>86.570000000000007</v>
      </c>
      <c r="E34">
        <f t="shared" ca="1" si="4"/>
        <v>19.899999999999999</v>
      </c>
      <c r="F34" s="30">
        <f>'Monthly Data'!Q34</f>
        <v>6734.6</v>
      </c>
      <c r="G34" s="30">
        <f>'Monthly Data'!S34</f>
        <v>33</v>
      </c>
      <c r="H34" s="30">
        <f>'Monthly Data'!Y34</f>
        <v>0</v>
      </c>
      <c r="I34" s="30">
        <f>'Monthly Data'!AE34</f>
        <v>1</v>
      </c>
      <c r="J34" s="30">
        <f>'Monthly Data'!AF34</f>
        <v>0</v>
      </c>
      <c r="K34" s="30">
        <f>'Monthly Data'!AG34</f>
        <v>0</v>
      </c>
      <c r="L34" s="30">
        <f>'Monthly Data'!AH34</f>
        <v>0</v>
      </c>
      <c r="M34" s="30">
        <f>'Monthly Data'!AI34</f>
        <v>0</v>
      </c>
      <c r="O34" s="23">
        <f>'GS &gt; 50 OLS Model'!$B$5</f>
        <v>-14985611.9194983</v>
      </c>
      <c r="P34" s="23">
        <f ca="1">'GS &gt; 50 OLS Model'!$B$6*D34</f>
        <v>667490.67400293949</v>
      </c>
      <c r="Q34" s="23">
        <f ca="1">'GS &gt; 50 OLS Model'!$B$7*E34</f>
        <v>645177.83212498645</v>
      </c>
      <c r="R34" s="23">
        <f>'GS &gt; 50 OLS Model'!$B$8*F34</f>
        <v>37336366.011662193</v>
      </c>
      <c r="S34" s="23">
        <f>'GS &gt; 50 OLS Model'!$B$9*G34</f>
        <v>-1028251.0694579079</v>
      </c>
      <c r="T34" s="23">
        <f>'GS &gt; 50 OLS Model'!$B$10*H34</f>
        <v>0</v>
      </c>
      <c r="U34" s="23">
        <f>'GS &gt; 50 OLS Model'!$B$11*I34</f>
        <v>-1629695.87956432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ca="1" si="2"/>
        <v>21005475.649269592</v>
      </c>
    </row>
    <row r="35" spans="1:26" x14ac:dyDescent="0.25">
      <c r="A35" s="11">
        <f>'Monthly Data'!A35</f>
        <v>40817</v>
      </c>
      <c r="B35" s="6">
        <f t="shared" si="1"/>
        <v>2011</v>
      </c>
      <c r="C35">
        <f>'Monthly Data'!H35</f>
        <v>21513172.633600004</v>
      </c>
      <c r="D35">
        <f t="shared" ca="1" si="4"/>
        <v>270.3</v>
      </c>
      <c r="E35">
        <f t="shared" ca="1" si="4"/>
        <v>1.21</v>
      </c>
      <c r="F35" s="30">
        <f>'Monthly Data'!Q35</f>
        <v>6702.2</v>
      </c>
      <c r="G35" s="30">
        <f>'Monthly Data'!S35</f>
        <v>34</v>
      </c>
      <c r="H35" s="30">
        <f>'Monthly Data'!Y35</f>
        <v>0</v>
      </c>
      <c r="I35" s="30">
        <f>'Monthly Data'!AE35</f>
        <v>1</v>
      </c>
      <c r="J35" s="30">
        <f>'Monthly Data'!AF35</f>
        <v>0</v>
      </c>
      <c r="K35" s="30">
        <f>'Monthly Data'!AG35</f>
        <v>0</v>
      </c>
      <c r="L35" s="30">
        <f>'Monthly Data'!AH35</f>
        <v>0</v>
      </c>
      <c r="M35" s="30">
        <f>'Monthly Data'!AI35</f>
        <v>0</v>
      </c>
      <c r="O35" s="23">
        <f>'GS &gt; 50 OLS Model'!$B$5</f>
        <v>-14985611.9194983</v>
      </c>
      <c r="P35" s="23">
        <f ca="1">'GS &gt; 50 OLS Model'!$B$6*D35</f>
        <v>2084125.3226636774</v>
      </c>
      <c r="Q35" s="23">
        <f ca="1">'GS &gt; 50 OLS Model'!$B$7*E35</f>
        <v>39229.405872926312</v>
      </c>
      <c r="R35" s="23">
        <f>'GS &gt; 50 OLS Model'!$B$8*F35</f>
        <v>37156741.645140372</v>
      </c>
      <c r="S35" s="23">
        <f>'GS &gt; 50 OLS Model'!$B$9*G35</f>
        <v>-1059410.1927748143</v>
      </c>
      <c r="T35" s="23">
        <f>'GS &gt; 50 OLS Model'!$B$10*H35</f>
        <v>0</v>
      </c>
      <c r="U35" s="23">
        <f>'GS &gt; 50 OLS Model'!$B$11*I35</f>
        <v>-1629695.87956432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ca="1" si="2"/>
        <v>21605378.381839544</v>
      </c>
    </row>
    <row r="36" spans="1:26" x14ac:dyDescent="0.25">
      <c r="A36" s="11">
        <f>'Monthly Data'!A36</f>
        <v>40848</v>
      </c>
      <c r="B36" s="6">
        <f t="shared" si="1"/>
        <v>2011</v>
      </c>
      <c r="C36">
        <f>'Monthly Data'!H36</f>
        <v>21850936.435900003</v>
      </c>
      <c r="D36">
        <f t="shared" ca="1" si="4"/>
        <v>444.05</v>
      </c>
      <c r="E36">
        <f t="shared" ca="1" si="4"/>
        <v>0</v>
      </c>
      <c r="F36" s="30">
        <f>'Monthly Data'!Q36</f>
        <v>6669.4</v>
      </c>
      <c r="G36" s="30">
        <f>'Monthly Data'!S36</f>
        <v>35</v>
      </c>
      <c r="H36" s="30">
        <f>'Monthly Data'!Y36</f>
        <v>0</v>
      </c>
      <c r="I36" s="30">
        <f>'Monthly Data'!AE36</f>
        <v>1</v>
      </c>
      <c r="J36" s="30">
        <f>'Monthly Data'!AF36</f>
        <v>0</v>
      </c>
      <c r="K36" s="30">
        <f>'Monthly Data'!AG36</f>
        <v>0</v>
      </c>
      <c r="L36" s="30">
        <f>'Monthly Data'!AH36</f>
        <v>0</v>
      </c>
      <c r="M36" s="30">
        <f>'Monthly Data'!AI36</f>
        <v>0</v>
      </c>
      <c r="O36" s="23">
        <f>'GS &gt; 50 OLS Model'!$B$5</f>
        <v>-14985611.9194983</v>
      </c>
      <c r="P36" s="23">
        <f ca="1">'GS &gt; 50 OLS Model'!$B$6*D36</f>
        <v>3423810.024153925</v>
      </c>
      <c r="Q36" s="23">
        <f ca="1">'GS &gt; 50 OLS Model'!$B$7*E36</f>
        <v>0</v>
      </c>
      <c r="R36" s="23">
        <f>'GS &gt; 50 OLS Model'!$B$8*F36</f>
        <v>36974899.693846673</v>
      </c>
      <c r="S36" s="23">
        <f>'GS &gt; 50 OLS Model'!$B$9*G36</f>
        <v>-1090569.3160917205</v>
      </c>
      <c r="T36" s="23">
        <f>'GS &gt; 50 OLS Model'!$B$10*H36</f>
        <v>0</v>
      </c>
      <c r="U36" s="23">
        <f>'GS &gt; 50 OLS Model'!$B$11*I36</f>
        <v>-1629695.87956432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ca="1" si="2"/>
        <v>22692832.602846257</v>
      </c>
    </row>
    <row r="37" spans="1:26" x14ac:dyDescent="0.25">
      <c r="A37" s="11">
        <f>'Monthly Data'!A37</f>
        <v>40878</v>
      </c>
      <c r="B37" s="6">
        <f t="shared" si="1"/>
        <v>2011</v>
      </c>
      <c r="C37">
        <f>'Monthly Data'!H37</f>
        <v>23904881.2892</v>
      </c>
      <c r="D37">
        <f t="shared" ca="1" si="4"/>
        <v>684.01</v>
      </c>
      <c r="E37">
        <f t="shared" ca="1" si="4"/>
        <v>0</v>
      </c>
      <c r="F37" s="30">
        <f>'Monthly Data'!Q37</f>
        <v>6668.3</v>
      </c>
      <c r="G37" s="30">
        <f>'Monthly Data'!S37</f>
        <v>36</v>
      </c>
      <c r="H37" s="30">
        <f>'Monthly Data'!Y37</f>
        <v>0</v>
      </c>
      <c r="I37" s="30">
        <f>'Monthly Data'!AE37</f>
        <v>0</v>
      </c>
      <c r="J37" s="30">
        <f>'Monthly Data'!AF37</f>
        <v>0</v>
      </c>
      <c r="K37" s="30">
        <f>'Monthly Data'!AG37</f>
        <v>0</v>
      </c>
      <c r="L37" s="30">
        <f>'Monthly Data'!AH37</f>
        <v>1</v>
      </c>
      <c r="M37" s="30">
        <f>'Monthly Data'!AI37</f>
        <v>0</v>
      </c>
      <c r="O37" s="23">
        <f>'GS &gt; 50 OLS Model'!$B$5</f>
        <v>-14985611.9194983</v>
      </c>
      <c r="P37" s="23">
        <f ca="1">'GS &gt; 50 OLS Model'!$B$6*D37</f>
        <v>5274001.3390868735</v>
      </c>
      <c r="Q37" s="23">
        <f ca="1">'GS &gt; 50 OLS Model'!$B$7*E37</f>
        <v>0</v>
      </c>
      <c r="R37" s="23">
        <f>'GS &gt; 50 OLS Model'!$B$8*F37</f>
        <v>36968801.335724019</v>
      </c>
      <c r="S37" s="23">
        <f>'GS &gt; 50 OLS Model'!$B$9*G37</f>
        <v>-1121728.4394086269</v>
      </c>
      <c r="T37" s="23">
        <f>'GS &gt; 50 OLS Model'!$B$10*H37</f>
        <v>0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-1130663.3851056299</v>
      </c>
      <c r="Y37" s="23">
        <f>'GS &gt; 50 OLS Model'!$B$15*M37</f>
        <v>0</v>
      </c>
      <c r="Z37" s="23">
        <f t="shared" ca="1" si="2"/>
        <v>25004798.930798337</v>
      </c>
    </row>
    <row r="38" spans="1:26" x14ac:dyDescent="0.25">
      <c r="A38" s="11">
        <f>'Monthly Data'!A38</f>
        <v>40909</v>
      </c>
      <c r="B38" s="6">
        <f t="shared" si="1"/>
        <v>2012</v>
      </c>
      <c r="C38">
        <f>'Monthly Data'!H38</f>
        <v>25676776.359000001</v>
      </c>
      <c r="D38">
        <f t="shared" ca="1" si="4"/>
        <v>784.29</v>
      </c>
      <c r="E38">
        <f t="shared" ca="1" si="4"/>
        <v>0</v>
      </c>
      <c r="F38" s="30">
        <f>'Monthly Data'!Q38</f>
        <v>6635.9</v>
      </c>
      <c r="G38" s="30">
        <f>'Monthly Data'!S38</f>
        <v>37</v>
      </c>
      <c r="H38" s="30">
        <f>'Monthly Data'!Y38</f>
        <v>0</v>
      </c>
      <c r="I38" s="30">
        <f>'Monthly Data'!AE38</f>
        <v>0</v>
      </c>
      <c r="J38" s="30">
        <f>'Monthly Data'!AF38</f>
        <v>0</v>
      </c>
      <c r="K38" s="30">
        <f>'Monthly Data'!AG38</f>
        <v>0</v>
      </c>
      <c r="L38" s="30">
        <f>'Monthly Data'!AH38</f>
        <v>0</v>
      </c>
      <c r="M38" s="30">
        <f>'Monthly Data'!AI38</f>
        <v>0</v>
      </c>
      <c r="O38" s="23">
        <f>'GS &gt; 50 OLS Model'!$B$5</f>
        <v>-14985611.9194983</v>
      </c>
      <c r="P38" s="23">
        <f ca="1">'GS &gt; 50 OLS Model'!$B$6*D38</f>
        <v>6047201.8102548849</v>
      </c>
      <c r="Q38" s="23">
        <f ca="1">'GS &gt; 50 OLS Model'!$B$7*E38</f>
        <v>0</v>
      </c>
      <c r="R38" s="23">
        <f>'GS &gt; 50 OLS Model'!$B$8*F38</f>
        <v>36789176.969202198</v>
      </c>
      <c r="S38" s="23">
        <f>'GS &gt; 50 OLS Model'!$B$9*G38</f>
        <v>-1152887.5627255333</v>
      </c>
      <c r="T38" s="23">
        <f>'GS &gt; 50 OLS Model'!$B$10*H38</f>
        <v>0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ca="1" si="2"/>
        <v>26697879.29723325</v>
      </c>
    </row>
    <row r="39" spans="1:26" x14ac:dyDescent="0.25">
      <c r="A39" s="11">
        <f>'Monthly Data'!A39</f>
        <v>40940</v>
      </c>
      <c r="B39" s="6">
        <f t="shared" si="1"/>
        <v>2012</v>
      </c>
      <c r="C39">
        <f>'Monthly Data'!H39</f>
        <v>23619151.4311</v>
      </c>
      <c r="D39">
        <f t="shared" ca="1" si="4"/>
        <v>682.50999999999988</v>
      </c>
      <c r="E39">
        <f t="shared" ca="1" si="4"/>
        <v>0</v>
      </c>
      <c r="F39" s="30">
        <f>'Monthly Data'!Q39</f>
        <v>6598</v>
      </c>
      <c r="G39" s="30">
        <f>'Monthly Data'!S39</f>
        <v>38</v>
      </c>
      <c r="H39" s="30">
        <f>'Monthly Data'!Y39</f>
        <v>0</v>
      </c>
      <c r="I39" s="30">
        <f>'Monthly Data'!AE39</f>
        <v>0</v>
      </c>
      <c r="J39" s="30">
        <f>'Monthly Data'!AF39</f>
        <v>1</v>
      </c>
      <c r="K39" s="30">
        <f>'Monthly Data'!AG39</f>
        <v>0</v>
      </c>
      <c r="L39" s="30">
        <f>'Monthly Data'!AH39</f>
        <v>0</v>
      </c>
      <c r="M39" s="30">
        <f>'Monthly Data'!AI39</f>
        <v>0</v>
      </c>
      <c r="O39" s="23">
        <f>'GS &gt; 50 OLS Model'!$B$5</f>
        <v>-14985611.9194983</v>
      </c>
      <c r="P39" s="23">
        <f ca="1">'GS &gt; 50 OLS Model'!$B$6*D39</f>
        <v>5262435.7157646548</v>
      </c>
      <c r="Q39" s="23">
        <f ca="1">'GS &gt; 50 OLS Model'!$B$7*E39</f>
        <v>0</v>
      </c>
      <c r="R39" s="23">
        <f>'GS &gt; 50 OLS Model'!$B$8*F39</f>
        <v>36579060.812067106</v>
      </c>
      <c r="S39" s="23">
        <f>'GS &gt; 50 OLS Model'!$B$9*G39</f>
        <v>-1184046.6860424394</v>
      </c>
      <c r="T39" s="23">
        <f>'GS &gt; 50 OLS Model'!$B$10*H39</f>
        <v>0</v>
      </c>
      <c r="U39" s="23">
        <f>'GS &gt; 50 OLS Model'!$B$11*I39</f>
        <v>0</v>
      </c>
      <c r="V39" s="23">
        <f>'GS &gt; 50 OLS Model'!$B$12*J39</f>
        <v>-1507735.557816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ca="1" si="2"/>
        <v>24164102.364475023</v>
      </c>
    </row>
    <row r="40" spans="1:26" x14ac:dyDescent="0.25">
      <c r="A40" s="11">
        <f>'Monthly Data'!A40</f>
        <v>40969</v>
      </c>
      <c r="B40" s="6">
        <f t="shared" si="1"/>
        <v>2012</v>
      </c>
      <c r="C40">
        <f>'Monthly Data'!H40</f>
        <v>23091329.537699997</v>
      </c>
      <c r="D40">
        <f t="shared" ca="1" si="4"/>
        <v>556.99</v>
      </c>
      <c r="E40">
        <f t="shared" ca="1" si="4"/>
        <v>0</v>
      </c>
      <c r="F40" s="30">
        <f>'Monthly Data'!Q40</f>
        <v>6569.8</v>
      </c>
      <c r="G40" s="30">
        <f>'Monthly Data'!S40</f>
        <v>39</v>
      </c>
      <c r="H40" s="30">
        <f>'Monthly Data'!Y40</f>
        <v>0</v>
      </c>
      <c r="I40" s="30">
        <f>'Monthly Data'!AE40</f>
        <v>0</v>
      </c>
      <c r="J40" s="30">
        <f>'Monthly Data'!AF40</f>
        <v>0</v>
      </c>
      <c r="K40" s="30">
        <f>'Monthly Data'!AG40</f>
        <v>0</v>
      </c>
      <c r="L40" s="30">
        <f>'Monthly Data'!AH40</f>
        <v>0</v>
      </c>
      <c r="M40" s="30">
        <f>'Monthly Data'!AI40</f>
        <v>0</v>
      </c>
      <c r="O40" s="23">
        <f>'GS &gt; 50 OLS Model'!$B$5</f>
        <v>-14985611.9194983</v>
      </c>
      <c r="P40" s="23">
        <f ca="1">'GS &gt; 50 OLS Model'!$B$6*D40</f>
        <v>4294624.3561614566</v>
      </c>
      <c r="Q40" s="23">
        <f ca="1">'GS &gt; 50 OLS Model'!$B$7*E40</f>
        <v>0</v>
      </c>
      <c r="R40" s="23">
        <f>'GS &gt; 50 OLS Model'!$B$8*F40</f>
        <v>36422721.085649967</v>
      </c>
      <c r="S40" s="23">
        <f>'GS &gt; 50 OLS Model'!$B$9*G40</f>
        <v>-1215205.8093593458</v>
      </c>
      <c r="T40" s="23">
        <f>'GS &gt; 50 OLS Model'!$B$10*H40</f>
        <v>0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ca="1" si="2"/>
        <v>24516527.71295378</v>
      </c>
    </row>
    <row r="41" spans="1:26" x14ac:dyDescent="0.25">
      <c r="A41" s="11">
        <f>'Monthly Data'!A41</f>
        <v>41000</v>
      </c>
      <c r="B41" s="6">
        <f t="shared" si="1"/>
        <v>2012</v>
      </c>
      <c r="C41">
        <f>'Monthly Data'!H41</f>
        <v>20776077.264199998</v>
      </c>
      <c r="D41">
        <f t="shared" ca="1" si="4"/>
        <v>326.58999999999997</v>
      </c>
      <c r="E41">
        <f t="shared" ca="1" si="4"/>
        <v>0.39</v>
      </c>
      <c r="F41" s="30">
        <f>'Monthly Data'!Q41</f>
        <v>6603.3</v>
      </c>
      <c r="G41" s="30">
        <f>'Monthly Data'!S41</f>
        <v>40</v>
      </c>
      <c r="H41" s="30">
        <f>'Monthly Data'!Y41</f>
        <v>0</v>
      </c>
      <c r="I41" s="30">
        <f>'Monthly Data'!AE41</f>
        <v>0</v>
      </c>
      <c r="J41" s="30">
        <f>'Monthly Data'!AF41</f>
        <v>0</v>
      </c>
      <c r="K41" s="30">
        <f>'Monthly Data'!AG41</f>
        <v>1</v>
      </c>
      <c r="L41" s="30">
        <f>'Monthly Data'!AH41</f>
        <v>0</v>
      </c>
      <c r="M41" s="30">
        <f>'Monthly Data'!AI41</f>
        <v>0</v>
      </c>
      <c r="O41" s="23">
        <f>'GS &gt; 50 OLS Model'!$B$5</f>
        <v>-14985611.9194983</v>
      </c>
      <c r="P41" s="23">
        <f ca="1">'GS &gt; 50 OLS Model'!$B$6*D41</f>
        <v>2518144.6138687767</v>
      </c>
      <c r="Q41" s="23">
        <f ca="1">'GS &gt; 50 OLS Model'!$B$7*E41</f>
        <v>12644.188669786166</v>
      </c>
      <c r="R41" s="23">
        <f>'GS &gt; 50 OLS Model'!$B$8*F41</f>
        <v>36608443.810294442</v>
      </c>
      <c r="S41" s="23">
        <f>'GS &gt; 50 OLS Model'!$B$9*G41</f>
        <v>-1246364.932676252</v>
      </c>
      <c r="T41" s="23">
        <f>'GS &gt; 50 OLS Model'!$B$10*H41</f>
        <v>0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-1602103.9965178701</v>
      </c>
      <c r="X41" s="23">
        <f>'GS &gt; 50 OLS Model'!$B$14*L41</f>
        <v>0</v>
      </c>
      <c r="Y41" s="23">
        <f>'GS &gt; 50 OLS Model'!$B$15*M41</f>
        <v>0</v>
      </c>
      <c r="Z41" s="23">
        <f t="shared" ca="1" si="2"/>
        <v>21305151.764140584</v>
      </c>
    </row>
    <row r="42" spans="1:26" x14ac:dyDescent="0.25">
      <c r="A42" s="11">
        <f>'Monthly Data'!A42</f>
        <v>41030</v>
      </c>
      <c r="B42" s="6">
        <f t="shared" si="1"/>
        <v>2012</v>
      </c>
      <c r="C42">
        <f>'Monthly Data'!H42</f>
        <v>20837523.118300002</v>
      </c>
      <c r="D42">
        <f t="shared" ca="1" si="4"/>
        <v>144.96</v>
      </c>
      <c r="E42">
        <f t="shared" ca="1" si="4"/>
        <v>8.67</v>
      </c>
      <c r="F42" s="30">
        <f>'Monthly Data'!Q42</f>
        <v>6658.1</v>
      </c>
      <c r="G42" s="30">
        <f>'Monthly Data'!S42</f>
        <v>41</v>
      </c>
      <c r="H42" s="30">
        <f>'Monthly Data'!Y42</f>
        <v>0</v>
      </c>
      <c r="I42" s="30">
        <f>'Monthly Data'!AE42</f>
        <v>0</v>
      </c>
      <c r="J42" s="30">
        <f>'Monthly Data'!AF42</f>
        <v>0</v>
      </c>
      <c r="K42" s="30">
        <f>'Monthly Data'!AG42</f>
        <v>0</v>
      </c>
      <c r="L42" s="30">
        <f>'Monthly Data'!AH42</f>
        <v>0</v>
      </c>
      <c r="M42" s="30">
        <f>'Monthly Data'!AI42</f>
        <v>1</v>
      </c>
      <c r="O42" s="23">
        <f>'GS &gt; 50 OLS Model'!$B$5</f>
        <v>-14985611.9194983</v>
      </c>
      <c r="P42" s="23">
        <f ca="1">'GS &gt; 50 OLS Model'!$B$6*D42</f>
        <v>1117701.8378591442</v>
      </c>
      <c r="Q42" s="23">
        <f ca="1">'GS &gt; 50 OLS Model'!$B$7*E42</f>
        <v>281090.04042832326</v>
      </c>
      <c r="R42" s="23">
        <f>'GS &gt; 50 OLS Model'!$B$8*F42</f>
        <v>36912252.924041227</v>
      </c>
      <c r="S42" s="23">
        <f>'GS &gt; 50 OLS Model'!$B$9*G42</f>
        <v>-1277524.0559931584</v>
      </c>
      <c r="T42" s="23">
        <f>'GS &gt; 50 OLS Model'!$B$10*H42</f>
        <v>0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-1248171.7663678101</v>
      </c>
      <c r="Z42" s="23">
        <f t="shared" ca="1" si="2"/>
        <v>20799737.060469426</v>
      </c>
    </row>
    <row r="43" spans="1:26" x14ac:dyDescent="0.25">
      <c r="A43" s="11">
        <f>'Monthly Data'!A43</f>
        <v>41061</v>
      </c>
      <c r="B43" s="6">
        <f t="shared" si="1"/>
        <v>2012</v>
      </c>
      <c r="C43">
        <f>'Monthly Data'!H43</f>
        <v>21707404.059699997</v>
      </c>
      <c r="D43">
        <f t="shared" ca="1" si="4"/>
        <v>41.510000000000005</v>
      </c>
      <c r="E43">
        <f t="shared" ca="1" si="4"/>
        <v>44.41</v>
      </c>
      <c r="F43" s="30">
        <f>'Monthly Data'!Q43</f>
        <v>6737.2</v>
      </c>
      <c r="G43" s="30">
        <f>'Monthly Data'!S43</f>
        <v>42</v>
      </c>
      <c r="H43" s="30">
        <f>'Monthly Data'!Y43</f>
        <v>0</v>
      </c>
      <c r="I43" s="30">
        <f>'Monthly Data'!AE43</f>
        <v>0</v>
      </c>
      <c r="J43" s="30">
        <f>'Monthly Data'!AF43</f>
        <v>0</v>
      </c>
      <c r="K43" s="30">
        <f>'Monthly Data'!AG43</f>
        <v>0</v>
      </c>
      <c r="L43" s="30">
        <f>'Monthly Data'!AH43</f>
        <v>0</v>
      </c>
      <c r="M43" s="30">
        <f>'Monthly Data'!AI43</f>
        <v>1</v>
      </c>
      <c r="O43" s="23">
        <f>'GS &gt; 50 OLS Model'!$B$5</f>
        <v>-14985611.9194983</v>
      </c>
      <c r="P43" s="23">
        <f ca="1">'GS &gt; 50 OLS Model'!$B$6*D43</f>
        <v>320059.34940351185</v>
      </c>
      <c r="Q43" s="23">
        <f ca="1">'GS &gt; 50 OLS Model'!$B$7*E43</f>
        <v>1439816.4585261631</v>
      </c>
      <c r="R43" s="23">
        <f>'GS &gt; 50 OLS Model'!$B$8*F43</f>
        <v>37350780.312679373</v>
      </c>
      <c r="S43" s="23">
        <f>'GS &gt; 50 OLS Model'!$B$9*G43</f>
        <v>-1308683.1793100648</v>
      </c>
      <c r="T43" s="23">
        <f>'GS &gt; 50 OLS Model'!$B$10*H43</f>
        <v>0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-1248171.7663678101</v>
      </c>
      <c r="Z43" s="23">
        <f t="shared" ca="1" si="2"/>
        <v>21568189.25543287</v>
      </c>
    </row>
    <row r="44" spans="1:26" x14ac:dyDescent="0.25">
      <c r="A44" s="11">
        <f>'Monthly Data'!A44</f>
        <v>41091</v>
      </c>
      <c r="B44" s="6">
        <f t="shared" si="1"/>
        <v>2012</v>
      </c>
      <c r="C44">
        <f>'Monthly Data'!H44</f>
        <v>24001087.441299997</v>
      </c>
      <c r="D44">
        <f t="shared" ca="1" si="4"/>
        <v>5.01</v>
      </c>
      <c r="E44">
        <f t="shared" ca="1" si="4"/>
        <v>96.909999999999982</v>
      </c>
      <c r="F44" s="30">
        <f>'Monthly Data'!Q44</f>
        <v>6778.6</v>
      </c>
      <c r="G44" s="30">
        <f>'Monthly Data'!S44</f>
        <v>43</v>
      </c>
      <c r="H44" s="30">
        <f>'Monthly Data'!Y44</f>
        <v>0</v>
      </c>
      <c r="I44" s="30">
        <f>'Monthly Data'!AE44</f>
        <v>0</v>
      </c>
      <c r="J44" s="30">
        <f>'Monthly Data'!AF44</f>
        <v>0</v>
      </c>
      <c r="K44" s="30">
        <f>'Monthly Data'!AG44</f>
        <v>0</v>
      </c>
      <c r="L44" s="30">
        <f>'Monthly Data'!AH44</f>
        <v>0</v>
      </c>
      <c r="M44" s="30">
        <f>'Monthly Data'!AI44</f>
        <v>1</v>
      </c>
      <c r="O44" s="23">
        <f>'GS &gt; 50 OLS Model'!$B$5</f>
        <v>-14985611.9194983</v>
      </c>
      <c r="P44" s="23">
        <f ca="1">'GS &gt; 50 OLS Model'!$B$6*D44</f>
        <v>38629.181896208</v>
      </c>
      <c r="Q44" s="23">
        <f ca="1">'GS &gt; 50 OLS Model'!$B$7*E44</f>
        <v>3141918.7794589158</v>
      </c>
      <c r="R44" s="23">
        <f>'GS &gt; 50 OLS Model'!$B$8*F44</f>
        <v>37580300.33656837</v>
      </c>
      <c r="S44" s="23">
        <f>'GS &gt; 50 OLS Model'!$B$9*G44</f>
        <v>-1339842.3026269709</v>
      </c>
      <c r="T44" s="23">
        <f>'GS &gt; 50 OLS Model'!$B$10*H44</f>
        <v>0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-1248171.7663678101</v>
      </c>
      <c r="Z44" s="23">
        <f t="shared" ca="1" si="2"/>
        <v>23187222.309430413</v>
      </c>
    </row>
    <row r="45" spans="1:26" x14ac:dyDescent="0.25">
      <c r="A45" s="11">
        <f>'Monthly Data'!A45</f>
        <v>41122</v>
      </c>
      <c r="B45" s="6">
        <f t="shared" si="1"/>
        <v>2012</v>
      </c>
      <c r="C45">
        <f>'Monthly Data'!H45</f>
        <v>23568098.964500003</v>
      </c>
      <c r="D45">
        <f t="shared" ca="1" si="4"/>
        <v>12.719999999999999</v>
      </c>
      <c r="E45">
        <f t="shared" ca="1" si="4"/>
        <v>77.22999999999999</v>
      </c>
      <c r="F45" s="30">
        <f>'Monthly Data'!Q45</f>
        <v>6797.9</v>
      </c>
      <c r="G45" s="30">
        <f>'Monthly Data'!S45</f>
        <v>44</v>
      </c>
      <c r="H45" s="30">
        <f>'Monthly Data'!Y45</f>
        <v>0</v>
      </c>
      <c r="I45" s="30">
        <f>'Monthly Data'!AE45</f>
        <v>0</v>
      </c>
      <c r="J45" s="30">
        <f>'Monthly Data'!AF45</f>
        <v>0</v>
      </c>
      <c r="K45" s="30">
        <f>'Monthly Data'!AG45</f>
        <v>0</v>
      </c>
      <c r="L45" s="30">
        <f>'Monthly Data'!AH45</f>
        <v>0</v>
      </c>
      <c r="M45" s="30">
        <f>'Monthly Data'!AI45</f>
        <v>1</v>
      </c>
      <c r="O45" s="23">
        <f>'GS &gt; 50 OLS Model'!$B$5</f>
        <v>-14985611.9194983</v>
      </c>
      <c r="P45" s="23">
        <f ca="1">'GS &gt; 50 OLS Model'!$B$6*D45</f>
        <v>98076.485772408327</v>
      </c>
      <c r="Q45" s="23">
        <f ca="1">'GS &gt; 50 OLS Model'!$B$7*E45</f>
        <v>2503873.5665835529</v>
      </c>
      <c r="R45" s="23">
        <f>'GS &gt; 50 OLS Model'!$B$8*F45</f>
        <v>37687298.8018113</v>
      </c>
      <c r="S45" s="23">
        <f>'GS &gt; 50 OLS Model'!$B$9*G45</f>
        <v>-1371001.4259438773</v>
      </c>
      <c r="T45" s="23">
        <f>'GS &gt; 50 OLS Model'!$B$10*H45</f>
        <v>0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-1248171.7663678101</v>
      </c>
      <c r="Z45" s="23">
        <f t="shared" ca="1" si="2"/>
        <v>22684463.742357273</v>
      </c>
    </row>
    <row r="46" spans="1:26" x14ac:dyDescent="0.25">
      <c r="A46" s="11">
        <f>'Monthly Data'!A46</f>
        <v>41153</v>
      </c>
      <c r="B46" s="6">
        <f t="shared" si="1"/>
        <v>2012</v>
      </c>
      <c r="C46">
        <f>'Monthly Data'!H46</f>
        <v>21326862.559</v>
      </c>
      <c r="D46">
        <f t="shared" ca="1" si="4"/>
        <v>86.570000000000007</v>
      </c>
      <c r="E46">
        <f t="shared" ca="1" si="4"/>
        <v>19.899999999999999</v>
      </c>
      <c r="F46" s="30">
        <f>'Monthly Data'!Q46</f>
        <v>6763.1</v>
      </c>
      <c r="G46" s="30">
        <f>'Monthly Data'!S46</f>
        <v>45</v>
      </c>
      <c r="H46" s="30">
        <f>'Monthly Data'!Y46</f>
        <v>0</v>
      </c>
      <c r="I46" s="30">
        <f>'Monthly Data'!AE46</f>
        <v>1</v>
      </c>
      <c r="J46" s="30">
        <f>'Monthly Data'!AF46</f>
        <v>0</v>
      </c>
      <c r="K46" s="30">
        <f>'Monthly Data'!AG46</f>
        <v>0</v>
      </c>
      <c r="L46" s="30">
        <f>'Monthly Data'!AH46</f>
        <v>0</v>
      </c>
      <c r="M46" s="30">
        <f>'Monthly Data'!AI46</f>
        <v>0</v>
      </c>
      <c r="O46" s="23">
        <f>'GS &gt; 50 OLS Model'!$B$5</f>
        <v>-14985611.9194983</v>
      </c>
      <c r="P46" s="23">
        <f ca="1">'GS &gt; 50 OLS Model'!$B$6*D46</f>
        <v>667490.67400293949</v>
      </c>
      <c r="Q46" s="23">
        <f ca="1">'GS &gt; 50 OLS Model'!$B$7*E46</f>
        <v>645177.83212498645</v>
      </c>
      <c r="R46" s="23">
        <f>'GS &gt; 50 OLS Model'!$B$8*F46</f>
        <v>37494368.926658235</v>
      </c>
      <c r="S46" s="23">
        <f>'GS &gt; 50 OLS Model'!$B$9*G46</f>
        <v>-1402160.5492607835</v>
      </c>
      <c r="T46" s="23">
        <f>'GS &gt; 50 OLS Model'!$B$10*H46</f>
        <v>0</v>
      </c>
      <c r="U46" s="23">
        <f>'GS &gt; 50 OLS Model'!$B$11*I46</f>
        <v>-1629695.87956432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ca="1" si="2"/>
        <v>20789569.084462758</v>
      </c>
    </row>
    <row r="47" spans="1:26" x14ac:dyDescent="0.25">
      <c r="A47" s="11">
        <f>'Monthly Data'!A47</f>
        <v>41183</v>
      </c>
      <c r="B47" s="6">
        <f t="shared" si="1"/>
        <v>2012</v>
      </c>
      <c r="C47">
        <f>'Monthly Data'!H47</f>
        <v>21490324.533200003</v>
      </c>
      <c r="D47">
        <f t="shared" ref="D47:E62" ca="1" si="5">D35</f>
        <v>270.3</v>
      </c>
      <c r="E47">
        <f t="shared" ca="1" si="5"/>
        <v>1.21</v>
      </c>
      <c r="F47" s="30">
        <f>'Monthly Data'!Q47</f>
        <v>6740.9</v>
      </c>
      <c r="G47" s="30">
        <f>'Monthly Data'!S47</f>
        <v>46</v>
      </c>
      <c r="H47" s="30">
        <f>'Monthly Data'!Y47</f>
        <v>0</v>
      </c>
      <c r="I47" s="30">
        <f>'Monthly Data'!AE47</f>
        <v>1</v>
      </c>
      <c r="J47" s="30">
        <f>'Monthly Data'!AF47</f>
        <v>0</v>
      </c>
      <c r="K47" s="30">
        <f>'Monthly Data'!AG47</f>
        <v>0</v>
      </c>
      <c r="L47" s="30">
        <f>'Monthly Data'!AH47</f>
        <v>0</v>
      </c>
      <c r="M47" s="30">
        <f>'Monthly Data'!AI47</f>
        <v>0</v>
      </c>
      <c r="O47" s="23">
        <f>'GS &gt; 50 OLS Model'!$B$5</f>
        <v>-14985611.9194983</v>
      </c>
      <c r="P47" s="23">
        <f ca="1">'GS &gt; 50 OLS Model'!$B$6*D47</f>
        <v>2084125.3226636774</v>
      </c>
      <c r="Q47" s="23">
        <f ca="1">'GS &gt; 50 OLS Model'!$B$7*E47</f>
        <v>39229.405872926312</v>
      </c>
      <c r="R47" s="23">
        <f>'GS &gt; 50 OLS Model'!$B$8*F47</f>
        <v>37371292.971819207</v>
      </c>
      <c r="S47" s="23">
        <f>'GS &gt; 50 OLS Model'!$B$9*G47</f>
        <v>-1433319.6725776899</v>
      </c>
      <c r="T47" s="23">
        <f>'GS &gt; 50 OLS Model'!$B$10*H47</f>
        <v>0</v>
      </c>
      <c r="U47" s="23">
        <f>'GS &gt; 50 OLS Model'!$B$11*I47</f>
        <v>-1629695.87956432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ca="1" si="2"/>
        <v>21446020.228715502</v>
      </c>
    </row>
    <row r="48" spans="1:26" x14ac:dyDescent="0.25">
      <c r="A48" s="11">
        <f>'Monthly Data'!A48</f>
        <v>41214</v>
      </c>
      <c r="B48" s="6">
        <f t="shared" si="1"/>
        <v>2012</v>
      </c>
      <c r="C48">
        <f>'Monthly Data'!H48</f>
        <v>23484747.608399998</v>
      </c>
      <c r="D48">
        <f t="shared" ca="1" si="5"/>
        <v>444.05</v>
      </c>
      <c r="E48">
        <f t="shared" ca="1" si="5"/>
        <v>0</v>
      </c>
      <c r="F48" s="30">
        <f>'Monthly Data'!Q48</f>
        <v>6727.4</v>
      </c>
      <c r="G48" s="30">
        <f>'Monthly Data'!S48</f>
        <v>47</v>
      </c>
      <c r="H48" s="30">
        <f>'Monthly Data'!Y48</f>
        <v>0</v>
      </c>
      <c r="I48" s="30">
        <f>'Monthly Data'!AE48</f>
        <v>1</v>
      </c>
      <c r="J48" s="30">
        <f>'Monthly Data'!AF48</f>
        <v>0</v>
      </c>
      <c r="K48" s="30">
        <f>'Monthly Data'!AG48</f>
        <v>0</v>
      </c>
      <c r="L48" s="30">
        <f>'Monthly Data'!AH48</f>
        <v>0</v>
      </c>
      <c r="M48" s="30">
        <f>'Monthly Data'!AI48</f>
        <v>0</v>
      </c>
      <c r="O48" s="23">
        <f>'GS &gt; 50 OLS Model'!$B$5</f>
        <v>-14985611.9194983</v>
      </c>
      <c r="P48" s="23">
        <f ca="1">'GS &gt; 50 OLS Model'!$B$6*D48</f>
        <v>3423810.024153925</v>
      </c>
      <c r="Q48" s="23">
        <f ca="1">'GS &gt; 50 OLS Model'!$B$7*E48</f>
        <v>0</v>
      </c>
      <c r="R48" s="23">
        <f>'GS &gt; 50 OLS Model'!$B$8*F48</f>
        <v>37296449.485768452</v>
      </c>
      <c r="S48" s="23">
        <f>'GS &gt; 50 OLS Model'!$B$9*G48</f>
        <v>-1464478.7958945963</v>
      </c>
      <c r="T48" s="23">
        <f>'GS &gt; 50 OLS Model'!$B$10*H48</f>
        <v>0</v>
      </c>
      <c r="U48" s="23">
        <f>'GS &gt; 50 OLS Model'!$B$11*I48</f>
        <v>-1629695.87956432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ca="1" si="2"/>
        <v>22640472.91496516</v>
      </c>
    </row>
    <row r="49" spans="1:26" x14ac:dyDescent="0.25">
      <c r="A49" s="11">
        <f>'Monthly Data'!A49</f>
        <v>41244</v>
      </c>
      <c r="B49" s="6">
        <f t="shared" si="1"/>
        <v>2012</v>
      </c>
      <c r="C49">
        <f>'Monthly Data'!H49</f>
        <v>24894285.0704</v>
      </c>
      <c r="D49">
        <f t="shared" ca="1" si="5"/>
        <v>684.01</v>
      </c>
      <c r="E49">
        <f t="shared" ca="1" si="5"/>
        <v>0</v>
      </c>
      <c r="F49" s="30">
        <f>'Monthly Data'!Q49</f>
        <v>6740.2</v>
      </c>
      <c r="G49" s="30">
        <f>'Monthly Data'!S49</f>
        <v>48</v>
      </c>
      <c r="H49" s="30">
        <f>'Monthly Data'!Y49</f>
        <v>0</v>
      </c>
      <c r="I49" s="30">
        <f>'Monthly Data'!AE49</f>
        <v>0</v>
      </c>
      <c r="J49" s="30">
        <f>'Monthly Data'!AF49</f>
        <v>0</v>
      </c>
      <c r="K49" s="30">
        <f>'Monthly Data'!AG49</f>
        <v>0</v>
      </c>
      <c r="L49" s="30">
        <f>'Monthly Data'!AH49</f>
        <v>1</v>
      </c>
      <c r="M49" s="30">
        <f>'Monthly Data'!AI49</f>
        <v>0</v>
      </c>
      <c r="O49" s="23">
        <f>'GS &gt; 50 OLS Model'!$B$5</f>
        <v>-14985611.9194983</v>
      </c>
      <c r="P49" s="23">
        <f ca="1">'GS &gt; 50 OLS Model'!$B$6*D49</f>
        <v>5274001.3390868735</v>
      </c>
      <c r="Q49" s="23">
        <f ca="1">'GS &gt; 50 OLS Model'!$B$7*E49</f>
        <v>0</v>
      </c>
      <c r="R49" s="23">
        <f>'GS &gt; 50 OLS Model'!$B$8*F49</f>
        <v>37367412.198468432</v>
      </c>
      <c r="S49" s="23">
        <f>'GS &gt; 50 OLS Model'!$B$9*G49</f>
        <v>-1495637.9192115024</v>
      </c>
      <c r="T49" s="23">
        <f>'GS &gt; 50 OLS Model'!$B$10*H49</f>
        <v>0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-1130663.3851056299</v>
      </c>
      <c r="Y49" s="23">
        <f>'GS &gt; 50 OLS Model'!$B$15*M49</f>
        <v>0</v>
      </c>
      <c r="Z49" s="23">
        <f t="shared" ca="1" si="2"/>
        <v>25029500.313739873</v>
      </c>
    </row>
    <row r="50" spans="1:26" x14ac:dyDescent="0.25">
      <c r="A50" s="11">
        <f>'Monthly Data'!A50</f>
        <v>41275</v>
      </c>
      <c r="B50" s="6">
        <f t="shared" si="1"/>
        <v>2013</v>
      </c>
      <c r="C50">
        <f>'Monthly Data'!H50</f>
        <v>26810651.434600003</v>
      </c>
      <c r="D50">
        <f t="shared" ca="1" si="5"/>
        <v>784.29</v>
      </c>
      <c r="E50">
        <f t="shared" ca="1" si="5"/>
        <v>0</v>
      </c>
      <c r="F50" s="30">
        <f>'Monthly Data'!Q50</f>
        <v>6721.7</v>
      </c>
      <c r="G50" s="30">
        <f>'Monthly Data'!S50</f>
        <v>49</v>
      </c>
      <c r="H50" s="30">
        <f>'Monthly Data'!Y50</f>
        <v>0</v>
      </c>
      <c r="I50" s="30">
        <f>'Monthly Data'!AE50</f>
        <v>0</v>
      </c>
      <c r="J50" s="30">
        <f>'Monthly Data'!AF50</f>
        <v>0</v>
      </c>
      <c r="K50" s="30">
        <f>'Monthly Data'!AG50</f>
        <v>0</v>
      </c>
      <c r="L50" s="30">
        <f>'Monthly Data'!AH50</f>
        <v>0</v>
      </c>
      <c r="M50" s="30">
        <f>'Monthly Data'!AI50</f>
        <v>0</v>
      </c>
      <c r="O50" s="23">
        <f>'GS &gt; 50 OLS Model'!$B$5</f>
        <v>-14985611.9194983</v>
      </c>
      <c r="P50" s="23">
        <f ca="1">'GS &gt; 50 OLS Model'!$B$6*D50</f>
        <v>6047201.8102548849</v>
      </c>
      <c r="Q50" s="23">
        <f ca="1">'GS &gt; 50 OLS Model'!$B$7*E50</f>
        <v>0</v>
      </c>
      <c r="R50" s="23">
        <f>'GS &gt; 50 OLS Model'!$B$8*F50</f>
        <v>37264848.902769245</v>
      </c>
      <c r="S50" s="23">
        <f>'GS &gt; 50 OLS Model'!$B$9*G50</f>
        <v>-1526797.0425284088</v>
      </c>
      <c r="T50" s="23">
        <f>'GS &gt; 50 OLS Model'!$B$10*H50</f>
        <v>0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ca="1" si="2"/>
        <v>26799641.75099742</v>
      </c>
    </row>
    <row r="51" spans="1:26" x14ac:dyDescent="0.25">
      <c r="A51" s="11">
        <f>'Monthly Data'!A51</f>
        <v>41306</v>
      </c>
      <c r="B51" s="6">
        <f t="shared" si="1"/>
        <v>2013</v>
      </c>
      <c r="C51">
        <f>'Monthly Data'!H51</f>
        <v>24213515.8378</v>
      </c>
      <c r="D51">
        <f t="shared" ca="1" si="5"/>
        <v>682.50999999999988</v>
      </c>
      <c r="E51">
        <f t="shared" ca="1" si="5"/>
        <v>0</v>
      </c>
      <c r="F51" s="30">
        <f>'Monthly Data'!Q51</f>
        <v>6702</v>
      </c>
      <c r="G51" s="30">
        <f>'Monthly Data'!S51</f>
        <v>50</v>
      </c>
      <c r="H51" s="30">
        <f>'Monthly Data'!Y51</f>
        <v>0</v>
      </c>
      <c r="I51" s="30">
        <f>'Monthly Data'!AE51</f>
        <v>0</v>
      </c>
      <c r="J51" s="30">
        <f>'Monthly Data'!AF51</f>
        <v>1</v>
      </c>
      <c r="K51" s="30">
        <f>'Monthly Data'!AG51</f>
        <v>0</v>
      </c>
      <c r="L51" s="30">
        <f>'Monthly Data'!AH51</f>
        <v>0</v>
      </c>
      <c r="M51" s="30">
        <f>'Monthly Data'!AI51</f>
        <v>0</v>
      </c>
      <c r="O51" s="23">
        <f>'GS &gt; 50 OLS Model'!$B$5</f>
        <v>-14985611.9194983</v>
      </c>
      <c r="P51" s="23">
        <f ca="1">'GS &gt; 50 OLS Model'!$B$6*D51</f>
        <v>5262435.7157646548</v>
      </c>
      <c r="Q51" s="23">
        <f ca="1">'GS &gt; 50 OLS Model'!$B$7*E51</f>
        <v>0</v>
      </c>
      <c r="R51" s="23">
        <f>'GS &gt; 50 OLS Model'!$B$8*F51</f>
        <v>37155632.852754429</v>
      </c>
      <c r="S51" s="23">
        <f>'GS &gt; 50 OLS Model'!$B$9*G51</f>
        <v>-1557956.165845315</v>
      </c>
      <c r="T51" s="23">
        <f>'GS &gt; 50 OLS Model'!$B$10*H51</f>
        <v>0</v>
      </c>
      <c r="U51" s="23">
        <f>'GS &gt; 50 OLS Model'!$B$11*I51</f>
        <v>0</v>
      </c>
      <c r="V51" s="23">
        <f>'GS &gt; 50 OLS Model'!$B$12*J51</f>
        <v>-1507735.557816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ca="1" si="2"/>
        <v>24366764.925359469</v>
      </c>
    </row>
    <row r="52" spans="1:26" x14ac:dyDescent="0.25">
      <c r="A52" s="11">
        <f>'Monthly Data'!A52</f>
        <v>41334</v>
      </c>
      <c r="B52" s="6">
        <f t="shared" si="1"/>
        <v>2013</v>
      </c>
      <c r="C52">
        <f>'Monthly Data'!H52</f>
        <v>24696912.8497</v>
      </c>
      <c r="D52">
        <f t="shared" ca="1" si="5"/>
        <v>556.99</v>
      </c>
      <c r="E52">
        <f t="shared" ca="1" si="5"/>
        <v>0</v>
      </c>
      <c r="F52" s="30">
        <f>'Monthly Data'!Q52</f>
        <v>6675.8</v>
      </c>
      <c r="G52" s="30">
        <f>'Monthly Data'!S52</f>
        <v>51</v>
      </c>
      <c r="H52" s="30">
        <f>'Monthly Data'!Y52</f>
        <v>0</v>
      </c>
      <c r="I52" s="30">
        <f>'Monthly Data'!AE52</f>
        <v>0</v>
      </c>
      <c r="J52" s="30">
        <f>'Monthly Data'!AF52</f>
        <v>0</v>
      </c>
      <c r="K52" s="30">
        <f>'Monthly Data'!AG52</f>
        <v>0</v>
      </c>
      <c r="L52" s="30">
        <f>'Monthly Data'!AH52</f>
        <v>0</v>
      </c>
      <c r="M52" s="30">
        <f>'Monthly Data'!AI52</f>
        <v>0</v>
      </c>
      <c r="O52" s="23">
        <f>'GS &gt; 50 OLS Model'!$B$5</f>
        <v>-14985611.9194983</v>
      </c>
      <c r="P52" s="23">
        <f ca="1">'GS &gt; 50 OLS Model'!$B$6*D52</f>
        <v>4294624.3561614566</v>
      </c>
      <c r="Q52" s="23">
        <f ca="1">'GS &gt; 50 OLS Model'!$B$7*E52</f>
        <v>0</v>
      </c>
      <c r="R52" s="23">
        <f>'GS &gt; 50 OLS Model'!$B$8*F52</f>
        <v>37010381.050196663</v>
      </c>
      <c r="S52" s="23">
        <f>'GS &gt; 50 OLS Model'!$B$9*G52</f>
        <v>-1589115.2891622214</v>
      </c>
      <c r="T52" s="23">
        <f>'GS &gt; 50 OLS Model'!$B$10*H52</f>
        <v>0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ca="1" si="2"/>
        <v>24730278.197697598</v>
      </c>
    </row>
    <row r="53" spans="1:26" x14ac:dyDescent="0.25">
      <c r="A53" s="11">
        <f>'Monthly Data'!A53</f>
        <v>41365</v>
      </c>
      <c r="B53" s="6">
        <f t="shared" si="1"/>
        <v>2013</v>
      </c>
      <c r="C53">
        <f>'Monthly Data'!H53</f>
        <v>22008310.044</v>
      </c>
      <c r="D53">
        <f t="shared" ca="1" si="5"/>
        <v>326.58999999999997</v>
      </c>
      <c r="E53">
        <f t="shared" ca="1" si="5"/>
        <v>0.39</v>
      </c>
      <c r="F53" s="30">
        <f>'Monthly Data'!Q53</f>
        <v>6703.7</v>
      </c>
      <c r="G53" s="30">
        <f>'Monthly Data'!S53</f>
        <v>52</v>
      </c>
      <c r="H53" s="30">
        <f>'Monthly Data'!Y53</f>
        <v>0</v>
      </c>
      <c r="I53" s="30">
        <f>'Monthly Data'!AE53</f>
        <v>0</v>
      </c>
      <c r="J53" s="30">
        <f>'Monthly Data'!AF53</f>
        <v>0</v>
      </c>
      <c r="K53" s="30">
        <f>'Monthly Data'!AG53</f>
        <v>1</v>
      </c>
      <c r="L53" s="30">
        <f>'Monthly Data'!AH53</f>
        <v>0</v>
      </c>
      <c r="M53" s="30">
        <f>'Monthly Data'!AI53</f>
        <v>0</v>
      </c>
      <c r="O53" s="23">
        <f>'GS &gt; 50 OLS Model'!$B$5</f>
        <v>-14985611.9194983</v>
      </c>
      <c r="P53" s="23">
        <f ca="1">'GS &gt; 50 OLS Model'!$B$6*D53</f>
        <v>2518144.6138687767</v>
      </c>
      <c r="Q53" s="23">
        <f ca="1">'GS &gt; 50 OLS Model'!$B$7*E53</f>
        <v>12644.188669786166</v>
      </c>
      <c r="R53" s="23">
        <f>'GS &gt; 50 OLS Model'!$B$8*F53</f>
        <v>37165057.588034898</v>
      </c>
      <c r="S53" s="23">
        <f>'GS &gt; 50 OLS Model'!$B$9*G53</f>
        <v>-1620274.4124791278</v>
      </c>
      <c r="T53" s="23">
        <f>'GS &gt; 50 OLS Model'!$B$10*H53</f>
        <v>0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-1602103.9965178701</v>
      </c>
      <c r="X53" s="23">
        <f>'GS &gt; 50 OLS Model'!$B$14*L53</f>
        <v>0</v>
      </c>
      <c r="Y53" s="23">
        <f>'GS &gt; 50 OLS Model'!$B$15*M53</f>
        <v>0</v>
      </c>
      <c r="Z53" s="23">
        <f t="shared" ca="1" si="2"/>
        <v>21487856.062078163</v>
      </c>
    </row>
    <row r="54" spans="1:26" x14ac:dyDescent="0.25">
      <c r="A54" s="11">
        <f>'Monthly Data'!A54</f>
        <v>41395</v>
      </c>
      <c r="B54" s="6">
        <f t="shared" si="1"/>
        <v>2013</v>
      </c>
      <c r="C54">
        <f>'Monthly Data'!H54</f>
        <v>20617959.457099997</v>
      </c>
      <c r="D54">
        <f t="shared" ca="1" si="5"/>
        <v>144.96</v>
      </c>
      <c r="E54">
        <f t="shared" ca="1" si="5"/>
        <v>8.67</v>
      </c>
      <c r="F54" s="30">
        <f>'Monthly Data'!Q54</f>
        <v>6770.3</v>
      </c>
      <c r="G54" s="30">
        <f>'Monthly Data'!S54</f>
        <v>53</v>
      </c>
      <c r="H54" s="30">
        <f>'Monthly Data'!Y54</f>
        <v>0</v>
      </c>
      <c r="I54" s="30">
        <f>'Monthly Data'!AE54</f>
        <v>0</v>
      </c>
      <c r="J54" s="30">
        <f>'Monthly Data'!AF54</f>
        <v>0</v>
      </c>
      <c r="K54" s="30">
        <f>'Monthly Data'!AG54</f>
        <v>0</v>
      </c>
      <c r="L54" s="30">
        <f>'Monthly Data'!AH54</f>
        <v>0</v>
      </c>
      <c r="M54" s="30">
        <f>'Monthly Data'!AI54</f>
        <v>1</v>
      </c>
      <c r="O54" s="23">
        <f>'GS &gt; 50 OLS Model'!$B$5</f>
        <v>-14985611.9194983</v>
      </c>
      <c r="P54" s="23">
        <f ca="1">'GS &gt; 50 OLS Model'!$B$6*D54</f>
        <v>1117701.8378591442</v>
      </c>
      <c r="Q54" s="23">
        <f ca="1">'GS &gt; 50 OLS Model'!$B$7*E54</f>
        <v>281090.04042832326</v>
      </c>
      <c r="R54" s="23">
        <f>'GS &gt; 50 OLS Model'!$B$8*F54</f>
        <v>37534285.452551976</v>
      </c>
      <c r="S54" s="23">
        <f>'GS &gt; 50 OLS Model'!$B$9*G54</f>
        <v>-1651433.5357960339</v>
      </c>
      <c r="T54" s="23">
        <f>'GS &gt; 50 OLS Model'!$B$10*H54</f>
        <v>0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-1248171.7663678101</v>
      </c>
      <c r="Z54" s="23">
        <f t="shared" ca="1" si="2"/>
        <v>21047860.109177299</v>
      </c>
    </row>
    <row r="55" spans="1:26" x14ac:dyDescent="0.25">
      <c r="A55" s="11">
        <f>'Monthly Data'!A55</f>
        <v>41426</v>
      </c>
      <c r="B55" s="6">
        <f t="shared" si="1"/>
        <v>2013</v>
      </c>
      <c r="C55">
        <f>'Monthly Data'!H55</f>
        <v>21092145.934599999</v>
      </c>
      <c r="D55">
        <f t="shared" ca="1" si="5"/>
        <v>41.510000000000005</v>
      </c>
      <c r="E55">
        <f t="shared" ca="1" si="5"/>
        <v>44.41</v>
      </c>
      <c r="F55" s="30">
        <f>'Monthly Data'!Q55</f>
        <v>6861.8</v>
      </c>
      <c r="G55" s="30">
        <f>'Monthly Data'!S55</f>
        <v>54</v>
      </c>
      <c r="H55" s="30">
        <f>'Monthly Data'!Y55</f>
        <v>0</v>
      </c>
      <c r="I55" s="30">
        <f>'Monthly Data'!AE55</f>
        <v>0</v>
      </c>
      <c r="J55" s="30">
        <f>'Monthly Data'!AF55</f>
        <v>0</v>
      </c>
      <c r="K55" s="30">
        <f>'Monthly Data'!AG55</f>
        <v>0</v>
      </c>
      <c r="L55" s="30">
        <f>'Monthly Data'!AH55</f>
        <v>0</v>
      </c>
      <c r="M55" s="30">
        <f>'Monthly Data'!AI55</f>
        <v>1</v>
      </c>
      <c r="O55" s="23">
        <f>'GS &gt; 50 OLS Model'!$B$5</f>
        <v>-14985611.9194983</v>
      </c>
      <c r="P55" s="23">
        <f ca="1">'GS &gt; 50 OLS Model'!$B$6*D55</f>
        <v>320059.34940351185</v>
      </c>
      <c r="Q55" s="23">
        <f ca="1">'GS &gt; 50 OLS Model'!$B$7*E55</f>
        <v>1439816.4585261631</v>
      </c>
      <c r="R55" s="23">
        <f>'GS &gt; 50 OLS Model'!$B$8*F55</f>
        <v>38041557.96911823</v>
      </c>
      <c r="S55" s="23">
        <f>'GS &gt; 50 OLS Model'!$B$9*G55</f>
        <v>-1682592.6591129403</v>
      </c>
      <c r="T55" s="23">
        <f>'GS &gt; 50 OLS Model'!$B$10*H55</f>
        <v>0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-1248171.7663678101</v>
      </c>
      <c r="Z55" s="23">
        <f t="shared" ca="1" si="2"/>
        <v>21885057.432068851</v>
      </c>
    </row>
    <row r="56" spans="1:26" x14ac:dyDescent="0.25">
      <c r="A56" s="11">
        <f>'Monthly Data'!A56</f>
        <v>41456</v>
      </c>
      <c r="B56" s="6">
        <f t="shared" si="1"/>
        <v>2013</v>
      </c>
      <c r="C56">
        <f>'Monthly Data'!H56</f>
        <v>23877312.323899999</v>
      </c>
      <c r="D56">
        <f t="shared" ca="1" si="5"/>
        <v>5.01</v>
      </c>
      <c r="E56">
        <f t="shared" ca="1" si="5"/>
        <v>96.909999999999982</v>
      </c>
      <c r="F56" s="30">
        <f>'Monthly Data'!Q56</f>
        <v>6917.1</v>
      </c>
      <c r="G56" s="30">
        <f>'Monthly Data'!S56</f>
        <v>55</v>
      </c>
      <c r="H56" s="30">
        <f>'Monthly Data'!Y56</f>
        <v>0</v>
      </c>
      <c r="I56" s="30">
        <f>'Monthly Data'!AE56</f>
        <v>0</v>
      </c>
      <c r="J56" s="30">
        <f>'Monthly Data'!AF56</f>
        <v>0</v>
      </c>
      <c r="K56" s="30">
        <f>'Monthly Data'!AG56</f>
        <v>0</v>
      </c>
      <c r="L56" s="30">
        <f>'Monthly Data'!AH56</f>
        <v>0</v>
      </c>
      <c r="M56" s="30">
        <f>'Monthly Data'!AI56</f>
        <v>1</v>
      </c>
      <c r="O56" s="23">
        <f>'GS &gt; 50 OLS Model'!$B$5</f>
        <v>-14985611.9194983</v>
      </c>
      <c r="P56" s="23">
        <f ca="1">'GS &gt; 50 OLS Model'!$B$6*D56</f>
        <v>38629.181896208</v>
      </c>
      <c r="Q56" s="23">
        <f ca="1">'GS &gt; 50 OLS Model'!$B$7*E56</f>
        <v>3141918.7794589158</v>
      </c>
      <c r="R56" s="23">
        <f>'GS &gt; 50 OLS Model'!$B$8*F56</f>
        <v>38348139.063829854</v>
      </c>
      <c r="S56" s="23">
        <f>'GS &gt; 50 OLS Model'!$B$9*G56</f>
        <v>-1713751.7824298467</v>
      </c>
      <c r="T56" s="23">
        <f>'GS &gt; 50 OLS Model'!$B$10*H56</f>
        <v>0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-1248171.7663678101</v>
      </c>
      <c r="Z56" s="23">
        <f t="shared" ca="1" si="2"/>
        <v>23581151.55688902</v>
      </c>
    </row>
    <row r="57" spans="1:26" x14ac:dyDescent="0.25">
      <c r="A57" s="11">
        <f>'Monthly Data'!A57</f>
        <v>41487</v>
      </c>
      <c r="B57" s="6">
        <f t="shared" si="1"/>
        <v>2013</v>
      </c>
      <c r="C57">
        <f>'Monthly Data'!H57</f>
        <v>23179917.367399998</v>
      </c>
      <c r="D57">
        <f t="shared" ca="1" si="5"/>
        <v>12.719999999999999</v>
      </c>
      <c r="E57">
        <f t="shared" ca="1" si="5"/>
        <v>77.22999999999999</v>
      </c>
      <c r="F57" s="30">
        <f>'Monthly Data'!Q57</f>
        <v>6934.7</v>
      </c>
      <c r="G57" s="30">
        <f>'Monthly Data'!S57</f>
        <v>56</v>
      </c>
      <c r="H57" s="30">
        <f>'Monthly Data'!Y57</f>
        <v>0</v>
      </c>
      <c r="I57" s="30">
        <f>'Monthly Data'!AE57</f>
        <v>0</v>
      </c>
      <c r="J57" s="30">
        <f>'Monthly Data'!AF57</f>
        <v>0</v>
      </c>
      <c r="K57" s="30">
        <f>'Monthly Data'!AG57</f>
        <v>0</v>
      </c>
      <c r="L57" s="30">
        <f>'Monthly Data'!AH57</f>
        <v>0</v>
      </c>
      <c r="M57" s="30">
        <f>'Monthly Data'!AI57</f>
        <v>1</v>
      </c>
      <c r="O57" s="23">
        <f>'GS &gt; 50 OLS Model'!$B$5</f>
        <v>-14985611.9194983</v>
      </c>
      <c r="P57" s="23">
        <f ca="1">'GS &gt; 50 OLS Model'!$B$6*D57</f>
        <v>98076.485772408327</v>
      </c>
      <c r="Q57" s="23">
        <f ca="1">'GS &gt; 50 OLS Model'!$B$7*E57</f>
        <v>2503873.5665835529</v>
      </c>
      <c r="R57" s="23">
        <f>'GS &gt; 50 OLS Model'!$B$8*F57</f>
        <v>38445712.793792322</v>
      </c>
      <c r="S57" s="23">
        <f>'GS &gt; 50 OLS Model'!$B$9*G57</f>
        <v>-1744910.9057467529</v>
      </c>
      <c r="T57" s="23">
        <f>'GS &gt; 50 OLS Model'!$B$10*H57</f>
        <v>0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-1248171.7663678101</v>
      </c>
      <c r="Z57" s="23">
        <f t="shared" ca="1" si="2"/>
        <v>23068968.254535418</v>
      </c>
    </row>
    <row r="58" spans="1:26" x14ac:dyDescent="0.25">
      <c r="A58" s="11">
        <f>'Monthly Data'!A58</f>
        <v>41518</v>
      </c>
      <c r="B58" s="6">
        <f t="shared" si="1"/>
        <v>2013</v>
      </c>
      <c r="C58">
        <f>'Monthly Data'!H58</f>
        <v>21295501.819000002</v>
      </c>
      <c r="D58">
        <f t="shared" ca="1" si="5"/>
        <v>86.570000000000007</v>
      </c>
      <c r="E58">
        <f t="shared" ca="1" si="5"/>
        <v>19.899999999999999</v>
      </c>
      <c r="F58" s="30">
        <f>'Monthly Data'!Q58</f>
        <v>6906.9</v>
      </c>
      <c r="G58" s="30">
        <f>'Monthly Data'!S58</f>
        <v>57</v>
      </c>
      <c r="H58" s="30">
        <f>'Monthly Data'!Y58</f>
        <v>0</v>
      </c>
      <c r="I58" s="30">
        <f>'Monthly Data'!AE58</f>
        <v>1</v>
      </c>
      <c r="J58" s="30">
        <f>'Monthly Data'!AF58</f>
        <v>0</v>
      </c>
      <c r="K58" s="30">
        <f>'Monthly Data'!AG58</f>
        <v>0</v>
      </c>
      <c r="L58" s="30">
        <f>'Monthly Data'!AH58</f>
        <v>0</v>
      </c>
      <c r="M58" s="30">
        <f>'Monthly Data'!AI58</f>
        <v>0</v>
      </c>
      <c r="O58" s="23">
        <f>'GS &gt; 50 OLS Model'!$B$5</f>
        <v>-14985611.9194983</v>
      </c>
      <c r="P58" s="23">
        <f ca="1">'GS &gt; 50 OLS Model'!$B$6*D58</f>
        <v>667490.67400293949</v>
      </c>
      <c r="Q58" s="23">
        <f ca="1">'GS &gt; 50 OLS Model'!$B$7*E58</f>
        <v>645177.83212498645</v>
      </c>
      <c r="R58" s="23">
        <f>'GS &gt; 50 OLS Model'!$B$8*F58</f>
        <v>38291590.652147055</v>
      </c>
      <c r="S58" s="23">
        <f>'GS &gt; 50 OLS Model'!$B$9*G58</f>
        <v>-1776070.0290636593</v>
      </c>
      <c r="T58" s="23">
        <f>'GS &gt; 50 OLS Model'!$B$10*H58</f>
        <v>0</v>
      </c>
      <c r="U58" s="23">
        <f>'GS &gt; 50 OLS Model'!$B$11*I58</f>
        <v>-1629695.87956432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ca="1" si="2"/>
        <v>21212881.330148701</v>
      </c>
    </row>
    <row r="59" spans="1:26" x14ac:dyDescent="0.25">
      <c r="A59" s="11">
        <f>'Monthly Data'!A59</f>
        <v>41548</v>
      </c>
      <c r="B59" s="6">
        <f t="shared" si="1"/>
        <v>2013</v>
      </c>
      <c r="C59">
        <f>'Monthly Data'!H59</f>
        <v>21567999.4855</v>
      </c>
      <c r="D59">
        <f t="shared" ca="1" si="5"/>
        <v>270.3</v>
      </c>
      <c r="E59">
        <f t="shared" ca="1" si="5"/>
        <v>1.21</v>
      </c>
      <c r="F59" s="30">
        <f>'Monthly Data'!Q59</f>
        <v>6889</v>
      </c>
      <c r="G59" s="30">
        <f>'Monthly Data'!S59</f>
        <v>58</v>
      </c>
      <c r="H59" s="30">
        <f>'Monthly Data'!Y59</f>
        <v>0</v>
      </c>
      <c r="I59" s="30">
        <f>'Monthly Data'!AE59</f>
        <v>1</v>
      </c>
      <c r="J59" s="30">
        <f>'Monthly Data'!AF59</f>
        <v>0</v>
      </c>
      <c r="K59" s="30">
        <f>'Monthly Data'!AG59</f>
        <v>0</v>
      </c>
      <c r="L59" s="30">
        <f>'Monthly Data'!AH59</f>
        <v>0</v>
      </c>
      <c r="M59" s="30">
        <f>'Monthly Data'!AI59</f>
        <v>0</v>
      </c>
      <c r="O59" s="23">
        <f>'GS &gt; 50 OLS Model'!$B$5</f>
        <v>-14985611.9194983</v>
      </c>
      <c r="P59" s="23">
        <f ca="1">'GS &gt; 50 OLS Model'!$B$6*D59</f>
        <v>2084125.3226636774</v>
      </c>
      <c r="Q59" s="23">
        <f ca="1">'GS &gt; 50 OLS Model'!$B$7*E59</f>
        <v>39229.405872926312</v>
      </c>
      <c r="R59" s="23">
        <f>'GS &gt; 50 OLS Model'!$B$8*F59</f>
        <v>38192353.733605683</v>
      </c>
      <c r="S59" s="23">
        <f>'GS &gt; 50 OLS Model'!$B$9*G59</f>
        <v>-1807229.1523805654</v>
      </c>
      <c r="T59" s="23">
        <f>'GS &gt; 50 OLS Model'!$B$10*H59</f>
        <v>0</v>
      </c>
      <c r="U59" s="23">
        <f>'GS &gt; 50 OLS Model'!$B$11*I59</f>
        <v>-1629695.87956432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ca="1" si="2"/>
        <v>21893171.510699101</v>
      </c>
    </row>
    <row r="60" spans="1:26" x14ac:dyDescent="0.25">
      <c r="A60" s="11">
        <f>'Monthly Data'!A60</f>
        <v>41579</v>
      </c>
      <c r="B60" s="6">
        <f t="shared" si="1"/>
        <v>2013</v>
      </c>
      <c r="C60">
        <f>'Monthly Data'!H60</f>
        <v>23530421.391399998</v>
      </c>
      <c r="D60">
        <f t="shared" ca="1" si="5"/>
        <v>444.05</v>
      </c>
      <c r="E60">
        <f t="shared" ca="1" si="5"/>
        <v>0</v>
      </c>
      <c r="F60" s="30">
        <f>'Monthly Data'!Q60</f>
        <v>6863.8</v>
      </c>
      <c r="G60" s="30">
        <f>'Monthly Data'!S60</f>
        <v>59</v>
      </c>
      <c r="H60" s="30">
        <f>'Monthly Data'!Y60</f>
        <v>0</v>
      </c>
      <c r="I60" s="30">
        <f>'Monthly Data'!AE60</f>
        <v>1</v>
      </c>
      <c r="J60" s="30">
        <f>'Monthly Data'!AF60</f>
        <v>0</v>
      </c>
      <c r="K60" s="30">
        <f>'Monthly Data'!AG60</f>
        <v>0</v>
      </c>
      <c r="L60" s="30">
        <f>'Monthly Data'!AH60</f>
        <v>0</v>
      </c>
      <c r="M60" s="30">
        <f>'Monthly Data'!AI60</f>
        <v>0</v>
      </c>
      <c r="O60" s="23">
        <f>'GS &gt; 50 OLS Model'!$B$5</f>
        <v>-14985611.9194983</v>
      </c>
      <c r="P60" s="23">
        <f ca="1">'GS &gt; 50 OLS Model'!$B$6*D60</f>
        <v>3423810.024153925</v>
      </c>
      <c r="Q60" s="23">
        <f ca="1">'GS &gt; 50 OLS Model'!$B$7*E60</f>
        <v>0</v>
      </c>
      <c r="R60" s="23">
        <f>'GS &gt; 50 OLS Model'!$B$8*F60</f>
        <v>38052645.892977603</v>
      </c>
      <c r="S60" s="23">
        <f>'GS &gt; 50 OLS Model'!$B$9*G60</f>
        <v>-1838388.2756974718</v>
      </c>
      <c r="T60" s="23">
        <f>'GS &gt; 50 OLS Model'!$B$10*H60</f>
        <v>0</v>
      </c>
      <c r="U60" s="23">
        <f>'GS &gt; 50 OLS Model'!$B$11*I60</f>
        <v>-1629695.87956432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ca="1" si="2"/>
        <v>23022759.842371434</v>
      </c>
    </row>
    <row r="61" spans="1:26" x14ac:dyDescent="0.25">
      <c r="A61" s="11">
        <f>'Monthly Data'!A61</f>
        <v>41609</v>
      </c>
      <c r="B61" s="6">
        <f t="shared" si="1"/>
        <v>2013</v>
      </c>
      <c r="C61">
        <f>'Monthly Data'!H61</f>
        <v>26567352.533199999</v>
      </c>
      <c r="D61">
        <f t="shared" ca="1" si="5"/>
        <v>684.01</v>
      </c>
      <c r="E61">
        <f t="shared" ca="1" si="5"/>
        <v>0</v>
      </c>
      <c r="F61" s="30">
        <f>'Monthly Data'!Q61</f>
        <v>6849.3</v>
      </c>
      <c r="G61" s="30">
        <f>'Monthly Data'!S61</f>
        <v>60</v>
      </c>
      <c r="H61" s="30">
        <f>'Monthly Data'!Y61</f>
        <v>0</v>
      </c>
      <c r="I61" s="30">
        <f>'Monthly Data'!AE61</f>
        <v>0</v>
      </c>
      <c r="J61" s="30">
        <f>'Monthly Data'!AF61</f>
        <v>0</v>
      </c>
      <c r="K61" s="30">
        <f>'Monthly Data'!AG61</f>
        <v>0</v>
      </c>
      <c r="L61" s="30">
        <f>'Monthly Data'!AH61</f>
        <v>1</v>
      </c>
      <c r="M61" s="30">
        <f>'Monthly Data'!AI61</f>
        <v>0</v>
      </c>
      <c r="O61" s="23">
        <f>'GS &gt; 50 OLS Model'!$B$5</f>
        <v>-14985611.9194983</v>
      </c>
      <c r="P61" s="23">
        <f ca="1">'GS &gt; 50 OLS Model'!$B$6*D61</f>
        <v>5274001.3390868735</v>
      </c>
      <c r="Q61" s="23">
        <f ca="1">'GS &gt; 50 OLS Model'!$B$7*E61</f>
        <v>0</v>
      </c>
      <c r="R61" s="23">
        <f>'GS &gt; 50 OLS Model'!$B$8*F61</f>
        <v>37972258.444997154</v>
      </c>
      <c r="S61" s="23">
        <f>'GS &gt; 50 OLS Model'!$B$9*G61</f>
        <v>-1869547.3990143782</v>
      </c>
      <c r="T61" s="23">
        <f>'GS &gt; 50 OLS Model'!$B$10*H61</f>
        <v>0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-1130663.3851056299</v>
      </c>
      <c r="Y61" s="23">
        <f>'GS &gt; 50 OLS Model'!$B$15*M61</f>
        <v>0</v>
      </c>
      <c r="Z61" s="23">
        <f t="shared" ca="1" si="2"/>
        <v>25260437.080465719</v>
      </c>
    </row>
    <row r="62" spans="1:26" x14ac:dyDescent="0.25">
      <c r="A62" s="11">
        <v>41640</v>
      </c>
      <c r="B62" s="6">
        <f t="shared" si="1"/>
        <v>2014</v>
      </c>
      <c r="C62" s="30">
        <f>'Monthly Data'!H62</f>
        <v>27388268.627300002</v>
      </c>
      <c r="D62">
        <f t="shared" ca="1" si="5"/>
        <v>784.29</v>
      </c>
      <c r="E62">
        <f t="shared" ca="1" si="5"/>
        <v>0</v>
      </c>
      <c r="F62" s="30">
        <f>'Monthly Data'!Q62</f>
        <v>6806.1</v>
      </c>
      <c r="G62" s="30">
        <f>'Monthly Data'!S62</f>
        <v>61</v>
      </c>
      <c r="H62" s="30">
        <f>'Monthly Data'!Y62</f>
        <v>1</v>
      </c>
      <c r="I62" s="30">
        <f>'Monthly Data'!AE62</f>
        <v>0</v>
      </c>
      <c r="J62" s="30">
        <f>'Monthly Data'!AF62</f>
        <v>0</v>
      </c>
      <c r="K62" s="30">
        <f>'Monthly Data'!AG62</f>
        <v>0</v>
      </c>
      <c r="L62" s="30">
        <f>'Monthly Data'!AH62</f>
        <v>0</v>
      </c>
      <c r="M62" s="30">
        <f>'Monthly Data'!AI62</f>
        <v>0</v>
      </c>
      <c r="O62" s="23">
        <f>'GS &gt; 50 OLS Model'!$B$5</f>
        <v>-14985611.9194983</v>
      </c>
      <c r="P62" s="23">
        <f ca="1">'GS &gt; 50 OLS Model'!$B$6*D62</f>
        <v>6047201.8102548849</v>
      </c>
      <c r="Q62" s="23">
        <f ca="1">'GS &gt; 50 OLS Model'!$B$7*E62</f>
        <v>0</v>
      </c>
      <c r="R62" s="23">
        <f>'GS &gt; 50 OLS Model'!$B$8*F62</f>
        <v>37732759.289634727</v>
      </c>
      <c r="S62" s="23">
        <f>'GS &gt; 50 OLS Model'!$B$9*G62</f>
        <v>-1900706.5223312844</v>
      </c>
      <c r="T62" s="23">
        <f>'GS &gt; 50 OLS Model'!$B$10*H62</f>
        <v>-439218.30194811599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ca="1" si="2"/>
        <v>26454424.356111914</v>
      </c>
    </row>
    <row r="63" spans="1:26" x14ac:dyDescent="0.25">
      <c r="A63" s="11">
        <v>41671</v>
      </c>
      <c r="B63" s="6">
        <f t="shared" si="1"/>
        <v>2014</v>
      </c>
      <c r="C63" s="30">
        <f>'Monthly Data'!H63</f>
        <v>24609829.1688</v>
      </c>
      <c r="D63">
        <f t="shared" ref="D63:E78" ca="1" si="6">D51</f>
        <v>682.50999999999988</v>
      </c>
      <c r="E63">
        <f t="shared" ca="1" si="6"/>
        <v>0</v>
      </c>
      <c r="F63" s="30">
        <f>'Monthly Data'!Q63</f>
        <v>6772.3</v>
      </c>
      <c r="G63" s="30">
        <f>'Monthly Data'!S63</f>
        <v>62</v>
      </c>
      <c r="H63" s="30">
        <f>'Monthly Data'!Y63</f>
        <v>1</v>
      </c>
      <c r="I63" s="30">
        <f>'Monthly Data'!AE63</f>
        <v>0</v>
      </c>
      <c r="J63" s="30">
        <f>'Monthly Data'!AF63</f>
        <v>1</v>
      </c>
      <c r="K63" s="30">
        <f>'Monthly Data'!AG63</f>
        <v>0</v>
      </c>
      <c r="L63" s="30">
        <f>'Monthly Data'!AH63</f>
        <v>0</v>
      </c>
      <c r="M63" s="30">
        <f>'Monthly Data'!AI63</f>
        <v>0</v>
      </c>
      <c r="O63" s="23">
        <f>'GS &gt; 50 OLS Model'!$B$5</f>
        <v>-14985611.9194983</v>
      </c>
      <c r="P63" s="23">
        <f ca="1">'GS &gt; 50 OLS Model'!$B$6*D63</f>
        <v>5262435.7157646548</v>
      </c>
      <c r="Q63" s="23">
        <f ca="1">'GS &gt; 50 OLS Model'!$B$7*E63</f>
        <v>0</v>
      </c>
      <c r="R63" s="23">
        <f>'GS &gt; 50 OLS Model'!$B$8*F63</f>
        <v>37545373.376411349</v>
      </c>
      <c r="S63" s="23">
        <f>'GS &gt; 50 OLS Model'!$B$9*G63</f>
        <v>-1931865.6456481908</v>
      </c>
      <c r="T63" s="23">
        <f>'GS &gt; 50 OLS Model'!$B$10*H63</f>
        <v>-439218.30194811599</v>
      </c>
      <c r="U63" s="23">
        <f>'GS &gt; 50 OLS Model'!$B$11*I63</f>
        <v>0</v>
      </c>
      <c r="V63" s="23">
        <f>'GS &gt; 50 OLS Model'!$B$12*J63</f>
        <v>-1507735.557816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ca="1" si="2"/>
        <v>23943377.6672654</v>
      </c>
    </row>
    <row r="64" spans="1:26" x14ac:dyDescent="0.25">
      <c r="A64" s="11">
        <v>41699</v>
      </c>
      <c r="B64" s="6">
        <f t="shared" si="1"/>
        <v>2014</v>
      </c>
      <c r="C64" s="30">
        <f>'Monthly Data'!H64</f>
        <v>25870494.024299998</v>
      </c>
      <c r="D64">
        <f t="shared" ca="1" si="6"/>
        <v>556.99</v>
      </c>
      <c r="E64">
        <f t="shared" ca="1" si="6"/>
        <v>0</v>
      </c>
      <c r="F64" s="30">
        <f>'Monthly Data'!Q64</f>
        <v>6751.3</v>
      </c>
      <c r="G64" s="30">
        <f>'Monthly Data'!S64</f>
        <v>63</v>
      </c>
      <c r="H64" s="30">
        <f>'Monthly Data'!Y64</f>
        <v>1</v>
      </c>
      <c r="I64" s="30">
        <f>'Monthly Data'!AE64</f>
        <v>0</v>
      </c>
      <c r="J64" s="30">
        <f>'Monthly Data'!AF64</f>
        <v>0</v>
      </c>
      <c r="K64" s="30">
        <f>'Monthly Data'!AG64</f>
        <v>0</v>
      </c>
      <c r="L64" s="30">
        <f>'Monthly Data'!AH64</f>
        <v>0</v>
      </c>
      <c r="M64" s="30">
        <f>'Monthly Data'!AI64</f>
        <v>0</v>
      </c>
      <c r="O64" s="23">
        <f>'GS &gt; 50 OLS Model'!$B$5</f>
        <v>-14985611.9194983</v>
      </c>
      <c r="P64" s="23">
        <f ca="1">'GS &gt; 50 OLS Model'!$B$6*D64</f>
        <v>4294624.3561614566</v>
      </c>
      <c r="Q64" s="23">
        <f ca="1">'GS &gt; 50 OLS Model'!$B$7*E64</f>
        <v>0</v>
      </c>
      <c r="R64" s="23">
        <f>'GS &gt; 50 OLS Model'!$B$8*F64</f>
        <v>37428950.175887942</v>
      </c>
      <c r="S64" s="23">
        <f>'GS &gt; 50 OLS Model'!$B$9*G64</f>
        <v>-1963024.7689650969</v>
      </c>
      <c r="T64" s="23">
        <f>'GS &gt; 50 OLS Model'!$B$10*H64</f>
        <v>-439218.30194811599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ca="1" si="2"/>
        <v>24335719.54163789</v>
      </c>
    </row>
    <row r="65" spans="1:26" x14ac:dyDescent="0.25">
      <c r="A65" s="11">
        <v>41730</v>
      </c>
      <c r="B65" s="6">
        <f t="shared" si="1"/>
        <v>2014</v>
      </c>
      <c r="C65" s="30">
        <f>'Monthly Data'!H65</f>
        <v>21799596.722000003</v>
      </c>
      <c r="D65">
        <f t="shared" ca="1" si="6"/>
        <v>326.58999999999997</v>
      </c>
      <c r="E65">
        <f t="shared" ca="1" si="6"/>
        <v>0.39</v>
      </c>
      <c r="F65" s="30">
        <f>'Monthly Data'!Q65</f>
        <v>6785</v>
      </c>
      <c r="G65" s="30">
        <f>'Monthly Data'!S65</f>
        <v>64</v>
      </c>
      <c r="H65" s="30">
        <f>'Monthly Data'!Y65</f>
        <v>1</v>
      </c>
      <c r="I65" s="30">
        <f>'Monthly Data'!AE65</f>
        <v>0</v>
      </c>
      <c r="J65" s="30">
        <f>'Monthly Data'!AF65</f>
        <v>0</v>
      </c>
      <c r="K65" s="30">
        <f>'Monthly Data'!AG65</f>
        <v>1</v>
      </c>
      <c r="L65" s="30">
        <f>'Monthly Data'!AH65</f>
        <v>0</v>
      </c>
      <c r="M65" s="30">
        <f>'Monthly Data'!AI65</f>
        <v>0</v>
      </c>
      <c r="O65" s="23">
        <f>'GS &gt; 50 OLS Model'!$B$5</f>
        <v>-14985611.9194983</v>
      </c>
      <c r="P65" s="23">
        <f ca="1">'GS &gt; 50 OLS Model'!$B$6*D65</f>
        <v>2518144.6138687767</v>
      </c>
      <c r="Q65" s="23">
        <f ca="1">'GS &gt; 50 OLS Model'!$B$7*E65</f>
        <v>12644.188669786166</v>
      </c>
      <c r="R65" s="23">
        <f>'GS &gt; 50 OLS Model'!$B$8*F65</f>
        <v>37615781.69291836</v>
      </c>
      <c r="S65" s="23">
        <f>'GS &gt; 50 OLS Model'!$B$9*G65</f>
        <v>-1994183.8922820033</v>
      </c>
      <c r="T65" s="23">
        <f>'GS &gt; 50 OLS Model'!$B$10*H65</f>
        <v>-439218.30194811599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-1602103.9965178701</v>
      </c>
      <c r="X65" s="23">
        <f>'GS &gt; 50 OLS Model'!$B$14*L65</f>
        <v>0</v>
      </c>
      <c r="Y65" s="23">
        <f>'GS &gt; 50 OLS Model'!$B$15*M65</f>
        <v>0</v>
      </c>
      <c r="Z65" s="23">
        <f t="shared" ca="1" si="2"/>
        <v>21125452.385210637</v>
      </c>
    </row>
    <row r="66" spans="1:26" x14ac:dyDescent="0.25">
      <c r="A66" s="11">
        <v>41760</v>
      </c>
      <c r="B66" s="6">
        <f t="shared" si="1"/>
        <v>2014</v>
      </c>
      <c r="C66" s="30">
        <f>'Monthly Data'!H66</f>
        <v>20212222.446800001</v>
      </c>
      <c r="D66">
        <f t="shared" ca="1" si="6"/>
        <v>144.96</v>
      </c>
      <c r="E66">
        <f t="shared" ca="1" si="6"/>
        <v>8.67</v>
      </c>
      <c r="F66" s="30">
        <f>'Monthly Data'!Q66</f>
        <v>6842.6</v>
      </c>
      <c r="G66" s="30">
        <f>'Monthly Data'!S66</f>
        <v>65</v>
      </c>
      <c r="H66" s="30">
        <f>'Monthly Data'!Y66</f>
        <v>1</v>
      </c>
      <c r="I66" s="30">
        <f>'Monthly Data'!AE66</f>
        <v>0</v>
      </c>
      <c r="J66" s="30">
        <f>'Monthly Data'!AF66</f>
        <v>0</v>
      </c>
      <c r="K66" s="30">
        <f>'Monthly Data'!AG66</f>
        <v>0</v>
      </c>
      <c r="L66" s="30">
        <f>'Monthly Data'!AH66</f>
        <v>0</v>
      </c>
      <c r="M66" s="30">
        <f>'Monthly Data'!AI66</f>
        <v>1</v>
      </c>
      <c r="O66" s="23">
        <f>'GS &gt; 50 OLS Model'!$B$5</f>
        <v>-14985611.9194983</v>
      </c>
      <c r="P66" s="23">
        <f ca="1">'GS &gt; 50 OLS Model'!$B$6*D66</f>
        <v>1117701.8378591442</v>
      </c>
      <c r="Q66" s="23">
        <f ca="1">'GS &gt; 50 OLS Model'!$B$7*E66</f>
        <v>281090.04042832326</v>
      </c>
      <c r="R66" s="23">
        <f>'GS &gt; 50 OLS Model'!$B$8*F66</f>
        <v>37935113.900068261</v>
      </c>
      <c r="S66" s="23">
        <f>'GS &gt; 50 OLS Model'!$B$9*G66</f>
        <v>-2025343.0155989097</v>
      </c>
      <c r="T66" s="23">
        <f>'GS &gt; 50 OLS Model'!$B$10*H66</f>
        <v>-439218.30194811599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-1248171.7663678101</v>
      </c>
      <c r="Z66" s="23">
        <f t="shared" ca="1" si="2"/>
        <v>20635560.774942596</v>
      </c>
    </row>
    <row r="67" spans="1:26" x14ac:dyDescent="0.25">
      <c r="A67" s="11">
        <v>41791</v>
      </c>
      <c r="B67" s="6">
        <f t="shared" ref="B67:B97" si="7">YEAR(A67)</f>
        <v>2014</v>
      </c>
      <c r="C67" s="30">
        <f>'Monthly Data'!H67</f>
        <v>20688536.661700003</v>
      </c>
      <c r="D67">
        <f t="shared" ca="1" si="6"/>
        <v>41.510000000000005</v>
      </c>
      <c r="E67">
        <f t="shared" ca="1" si="6"/>
        <v>44.41</v>
      </c>
      <c r="F67" s="30">
        <f>'Monthly Data'!Q67</f>
        <v>6912.9</v>
      </c>
      <c r="G67" s="30">
        <f>'Monthly Data'!S67</f>
        <v>66</v>
      </c>
      <c r="H67" s="30">
        <f>'Monthly Data'!Y67</f>
        <v>1</v>
      </c>
      <c r="I67" s="30">
        <f>'Monthly Data'!AE67</f>
        <v>0</v>
      </c>
      <c r="J67" s="30">
        <f>'Monthly Data'!AF67</f>
        <v>0</v>
      </c>
      <c r="K67" s="30">
        <f>'Monthly Data'!AG67</f>
        <v>0</v>
      </c>
      <c r="L67" s="30">
        <f>'Monthly Data'!AH67</f>
        <v>0</v>
      </c>
      <c r="M67" s="30">
        <f>'Monthly Data'!AI67</f>
        <v>1</v>
      </c>
      <c r="O67" s="23">
        <f>'GS &gt; 50 OLS Model'!$B$5</f>
        <v>-14985611.9194983</v>
      </c>
      <c r="P67" s="23">
        <f ca="1">'GS &gt; 50 OLS Model'!$B$6*D67</f>
        <v>320059.34940351185</v>
      </c>
      <c r="Q67" s="23">
        <f ca="1">'GS &gt; 50 OLS Model'!$B$7*E67</f>
        <v>1439816.4585261631</v>
      </c>
      <c r="R67" s="23">
        <f>'GS &gt; 50 OLS Model'!$B$8*F67</f>
        <v>38324854.423725173</v>
      </c>
      <c r="S67" s="23">
        <f>'GS &gt; 50 OLS Model'!$B$9*G67</f>
        <v>-2056502.1389158159</v>
      </c>
      <c r="T67" s="23">
        <f>'GS &gt; 50 OLS Model'!$B$10*H67</f>
        <v>-439218.30194811599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-1248171.7663678101</v>
      </c>
      <c r="Z67" s="23">
        <f t="shared" ref="Z67:Z130" ca="1" si="8">SUM(O67:Y67)</f>
        <v>21355226.104924805</v>
      </c>
    </row>
    <row r="68" spans="1:26" x14ac:dyDescent="0.25">
      <c r="A68" s="11">
        <v>41821</v>
      </c>
      <c r="B68" s="6">
        <f t="shared" si="7"/>
        <v>2014</v>
      </c>
      <c r="C68" s="30">
        <f>'Monthly Data'!H68</f>
        <v>21993476.2918</v>
      </c>
      <c r="D68">
        <f t="shared" ca="1" si="6"/>
        <v>5.01</v>
      </c>
      <c r="E68">
        <f t="shared" ca="1" si="6"/>
        <v>96.909999999999982</v>
      </c>
      <c r="F68" s="30">
        <f>'Monthly Data'!Q68</f>
        <v>6957.8</v>
      </c>
      <c r="G68" s="30">
        <f>'Monthly Data'!S68</f>
        <v>67</v>
      </c>
      <c r="H68" s="30">
        <f>'Monthly Data'!Y68</f>
        <v>1</v>
      </c>
      <c r="I68" s="30">
        <f>'Monthly Data'!AE68</f>
        <v>0</v>
      </c>
      <c r="J68" s="30">
        <f>'Monthly Data'!AF68</f>
        <v>0</v>
      </c>
      <c r="K68" s="30">
        <f>'Monthly Data'!AG68</f>
        <v>0</v>
      </c>
      <c r="L68" s="30">
        <f>'Monthly Data'!AH68</f>
        <v>0</v>
      </c>
      <c r="M68" s="30">
        <f>'Monthly Data'!AI68</f>
        <v>1</v>
      </c>
      <c r="O68" s="23">
        <f>'GS &gt; 50 OLS Model'!$B$5</f>
        <v>-14985611.9194983</v>
      </c>
      <c r="P68" s="23">
        <f ca="1">'GS &gt; 50 OLS Model'!$B$6*D68</f>
        <v>38629.181896208</v>
      </c>
      <c r="Q68" s="23">
        <f ca="1">'GS &gt; 50 OLS Model'!$B$7*E68</f>
        <v>3141918.7794589158</v>
      </c>
      <c r="R68" s="23">
        <f>'GS &gt; 50 OLS Model'!$B$8*F68</f>
        <v>38573778.314368069</v>
      </c>
      <c r="S68" s="23">
        <f>'GS &gt; 50 OLS Model'!$B$9*G68</f>
        <v>-2087661.2622327222</v>
      </c>
      <c r="T68" s="23">
        <f>'GS &gt; 50 OLS Model'!$B$10*H68</f>
        <v>-439218.30194811599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-1248171.7663678101</v>
      </c>
      <c r="Z68" s="23">
        <f t="shared" ca="1" si="8"/>
        <v>22993663.025676247</v>
      </c>
    </row>
    <row r="69" spans="1:26" x14ac:dyDescent="0.25">
      <c r="A69" s="11">
        <v>41852</v>
      </c>
      <c r="B69" s="6">
        <f t="shared" si="7"/>
        <v>2014</v>
      </c>
      <c r="C69" s="30">
        <f>'Monthly Data'!H69</f>
        <v>21804865.032099999</v>
      </c>
      <c r="D69">
        <f t="shared" ca="1" si="6"/>
        <v>12.719999999999999</v>
      </c>
      <c r="E69">
        <f t="shared" ca="1" si="6"/>
        <v>77.22999999999999</v>
      </c>
      <c r="F69" s="30">
        <f>'Monthly Data'!Q69</f>
        <v>6969.7</v>
      </c>
      <c r="G69" s="30">
        <f>'Monthly Data'!S69</f>
        <v>68</v>
      </c>
      <c r="H69" s="30">
        <f>'Monthly Data'!Y69</f>
        <v>1</v>
      </c>
      <c r="I69" s="30">
        <f>'Monthly Data'!AE69</f>
        <v>0</v>
      </c>
      <c r="J69" s="30">
        <f>'Monthly Data'!AF69</f>
        <v>0</v>
      </c>
      <c r="K69" s="30">
        <f>'Monthly Data'!AG69</f>
        <v>0</v>
      </c>
      <c r="L69" s="30">
        <f>'Monthly Data'!AH69</f>
        <v>0</v>
      </c>
      <c r="M69" s="30">
        <f>'Monthly Data'!AI69</f>
        <v>1</v>
      </c>
      <c r="O69" s="23">
        <f>'GS &gt; 50 OLS Model'!$B$5</f>
        <v>-14985611.9194983</v>
      </c>
      <c r="P69" s="23">
        <f ca="1">'GS &gt; 50 OLS Model'!$B$6*D69</f>
        <v>98076.485772408327</v>
      </c>
      <c r="Q69" s="23">
        <f ca="1">'GS &gt; 50 OLS Model'!$B$7*E69</f>
        <v>2503873.5665835529</v>
      </c>
      <c r="R69" s="23">
        <f>'GS &gt; 50 OLS Model'!$B$8*F69</f>
        <v>38639751.46133133</v>
      </c>
      <c r="S69" s="23">
        <f>'GS &gt; 50 OLS Model'!$B$9*G69</f>
        <v>-2118820.3855496286</v>
      </c>
      <c r="T69" s="23">
        <f>'GS &gt; 50 OLS Model'!$B$10*H69</f>
        <v>-439218.30194811599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-1248171.7663678101</v>
      </c>
      <c r="Z69" s="23">
        <f t="shared" ca="1" si="8"/>
        <v>22449879.140323438</v>
      </c>
    </row>
    <row r="70" spans="1:26" x14ac:dyDescent="0.25">
      <c r="A70" s="11">
        <v>41883</v>
      </c>
      <c r="B70" s="6">
        <f t="shared" si="7"/>
        <v>2014</v>
      </c>
      <c r="C70" s="30">
        <f>'Monthly Data'!H70</f>
        <v>20432736.001000002</v>
      </c>
      <c r="D70">
        <f t="shared" ca="1" si="6"/>
        <v>86.570000000000007</v>
      </c>
      <c r="E70">
        <f t="shared" ca="1" si="6"/>
        <v>19.899999999999999</v>
      </c>
      <c r="F70" s="30">
        <f>'Monthly Data'!Q70</f>
        <v>6944.1</v>
      </c>
      <c r="G70" s="30">
        <f>'Monthly Data'!S70</f>
        <v>69</v>
      </c>
      <c r="H70" s="30">
        <f>'Monthly Data'!Y70</f>
        <v>1</v>
      </c>
      <c r="I70" s="30">
        <f>'Monthly Data'!AE70</f>
        <v>1</v>
      </c>
      <c r="J70" s="30">
        <f>'Monthly Data'!AF70</f>
        <v>0</v>
      </c>
      <c r="K70" s="30">
        <f>'Monthly Data'!AG70</f>
        <v>0</v>
      </c>
      <c r="L70" s="30">
        <f>'Monthly Data'!AH70</f>
        <v>0</v>
      </c>
      <c r="M70" s="30">
        <f>'Monthly Data'!AI70</f>
        <v>0</v>
      </c>
      <c r="O70" s="23">
        <f>'GS &gt; 50 OLS Model'!$B$5</f>
        <v>-14985611.9194983</v>
      </c>
      <c r="P70" s="23">
        <f ca="1">'GS &gt; 50 OLS Model'!$B$6*D70</f>
        <v>667490.67400293949</v>
      </c>
      <c r="Q70" s="23">
        <f ca="1">'GS &gt; 50 OLS Model'!$B$7*E70</f>
        <v>645177.83212498645</v>
      </c>
      <c r="R70" s="23">
        <f>'GS &gt; 50 OLS Model'!$B$8*F70</f>
        <v>38497826.035931371</v>
      </c>
      <c r="S70" s="23">
        <f>'GS &gt; 50 OLS Model'!$B$9*G70</f>
        <v>-2149979.508866535</v>
      </c>
      <c r="T70" s="23">
        <f>'GS &gt; 50 OLS Model'!$B$10*H70</f>
        <v>-439218.30194811599</v>
      </c>
      <c r="U70" s="23">
        <f>'GS &gt; 50 OLS Model'!$B$11*I70</f>
        <v>-1629695.87956432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ca="1" si="8"/>
        <v>20605988.932182029</v>
      </c>
    </row>
    <row r="71" spans="1:26" x14ac:dyDescent="0.25">
      <c r="A71" s="11">
        <v>41913</v>
      </c>
      <c r="B71" s="6">
        <f t="shared" si="7"/>
        <v>2014</v>
      </c>
      <c r="C71" s="30">
        <f>'Monthly Data'!H71</f>
        <v>20689847.513800003</v>
      </c>
      <c r="D71">
        <f t="shared" ca="1" si="6"/>
        <v>270.3</v>
      </c>
      <c r="E71">
        <f t="shared" ca="1" si="6"/>
        <v>1.21</v>
      </c>
      <c r="F71" s="30">
        <f>'Monthly Data'!Q71</f>
        <v>6936.6</v>
      </c>
      <c r="G71" s="30">
        <f>'Monthly Data'!S71</f>
        <v>70</v>
      </c>
      <c r="H71" s="30">
        <f>'Monthly Data'!Y71</f>
        <v>1</v>
      </c>
      <c r="I71" s="30">
        <f>'Monthly Data'!AE71</f>
        <v>1</v>
      </c>
      <c r="J71" s="30">
        <f>'Monthly Data'!AF71</f>
        <v>0</v>
      </c>
      <c r="K71" s="30">
        <f>'Monthly Data'!AG71</f>
        <v>0</v>
      </c>
      <c r="L71" s="30">
        <f>'Monthly Data'!AH71</f>
        <v>0</v>
      </c>
      <c r="M71" s="30">
        <f>'Monthly Data'!AI71</f>
        <v>0</v>
      </c>
      <c r="O71" s="23">
        <f>'GS &gt; 50 OLS Model'!$B$5</f>
        <v>-14985611.9194983</v>
      </c>
      <c r="P71" s="23">
        <f ca="1">'GS &gt; 50 OLS Model'!$B$6*D71</f>
        <v>2084125.3226636774</v>
      </c>
      <c r="Q71" s="23">
        <f ca="1">'GS &gt; 50 OLS Model'!$B$7*E71</f>
        <v>39229.405872926312</v>
      </c>
      <c r="R71" s="23">
        <f>'GS &gt; 50 OLS Model'!$B$8*F71</f>
        <v>38456246.321458727</v>
      </c>
      <c r="S71" s="23">
        <f>'GS &gt; 50 OLS Model'!$B$9*G71</f>
        <v>-2181138.632183441</v>
      </c>
      <c r="T71" s="23">
        <f>'GS &gt; 50 OLS Model'!$B$10*H71</f>
        <v>-439218.30194811599</v>
      </c>
      <c r="U71" s="23">
        <f>'GS &gt; 50 OLS Model'!$B$11*I71</f>
        <v>-1629695.87956432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ca="1" si="8"/>
        <v>21343936.316801157</v>
      </c>
    </row>
    <row r="72" spans="1:26" x14ac:dyDescent="0.25">
      <c r="A72" s="11">
        <v>41944</v>
      </c>
      <c r="B72" s="6">
        <f t="shared" si="7"/>
        <v>2014</v>
      </c>
      <c r="C72" s="30">
        <f>'Monthly Data'!H72</f>
        <v>22488576.116</v>
      </c>
      <c r="D72">
        <f t="shared" ca="1" si="6"/>
        <v>444.05</v>
      </c>
      <c r="E72">
        <f t="shared" ca="1" si="6"/>
        <v>0</v>
      </c>
      <c r="F72" s="30">
        <f>'Monthly Data'!Q72</f>
        <v>6914.3</v>
      </c>
      <c r="G72" s="30">
        <f>'Monthly Data'!S72</f>
        <v>71</v>
      </c>
      <c r="H72" s="30">
        <f>'Monthly Data'!Y72</f>
        <v>1</v>
      </c>
      <c r="I72" s="30">
        <f>'Monthly Data'!AE72</f>
        <v>1</v>
      </c>
      <c r="J72" s="30">
        <f>'Monthly Data'!AF72</f>
        <v>0</v>
      </c>
      <c r="K72" s="30">
        <f>'Monthly Data'!AG72</f>
        <v>0</v>
      </c>
      <c r="L72" s="30">
        <f>'Monthly Data'!AH72</f>
        <v>0</v>
      </c>
      <c r="M72" s="30">
        <f>'Monthly Data'!AI72</f>
        <v>0</v>
      </c>
      <c r="O72" s="23">
        <f>'GS &gt; 50 OLS Model'!$B$5</f>
        <v>-14985611.9194983</v>
      </c>
      <c r="P72" s="23">
        <f ca="1">'GS &gt; 50 OLS Model'!$B$6*D72</f>
        <v>3423810.024153925</v>
      </c>
      <c r="Q72" s="23">
        <f ca="1">'GS &gt; 50 OLS Model'!$B$7*E72</f>
        <v>0</v>
      </c>
      <c r="R72" s="23">
        <f>'GS &gt; 50 OLS Model'!$B$8*F72</f>
        <v>38332615.970426738</v>
      </c>
      <c r="S72" s="23">
        <f>'GS &gt; 50 OLS Model'!$B$9*G72</f>
        <v>-2212297.7555003474</v>
      </c>
      <c r="T72" s="23">
        <f>'GS &gt; 50 OLS Model'!$B$10*H72</f>
        <v>-439218.30194811599</v>
      </c>
      <c r="U72" s="23">
        <f>'GS &gt; 50 OLS Model'!$B$11*I72</f>
        <v>-1629695.87956432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ca="1" si="8"/>
        <v>22489602.138069581</v>
      </c>
    </row>
    <row r="73" spans="1:26" x14ac:dyDescent="0.25">
      <c r="A73" s="11">
        <v>41974</v>
      </c>
      <c r="B73" s="6">
        <f t="shared" si="7"/>
        <v>2014</v>
      </c>
      <c r="C73" s="30">
        <f>'Monthly Data'!H73</f>
        <v>24519678.561099999</v>
      </c>
      <c r="D73">
        <f t="shared" ca="1" si="6"/>
        <v>684.01</v>
      </c>
      <c r="E73">
        <f t="shared" ca="1" si="6"/>
        <v>0</v>
      </c>
      <c r="F73" s="30">
        <f>'Monthly Data'!Q73</f>
        <v>6903.2</v>
      </c>
      <c r="G73" s="30">
        <f>'Monthly Data'!S73</f>
        <v>72</v>
      </c>
      <c r="H73" s="30">
        <f>'Monthly Data'!Y73</f>
        <v>1</v>
      </c>
      <c r="I73" s="30">
        <f>'Monthly Data'!AE73</f>
        <v>0</v>
      </c>
      <c r="J73" s="30">
        <f>'Monthly Data'!AF73</f>
        <v>0</v>
      </c>
      <c r="K73" s="30">
        <f>'Monthly Data'!AG73</f>
        <v>0</v>
      </c>
      <c r="L73" s="30">
        <f>'Monthly Data'!AH73</f>
        <v>1</v>
      </c>
      <c r="M73" s="30">
        <f>'Monthly Data'!AI73</f>
        <v>0</v>
      </c>
      <c r="O73" s="23">
        <f>'GS &gt; 50 OLS Model'!$B$5</f>
        <v>-14985611.9194983</v>
      </c>
      <c r="P73" s="23">
        <f ca="1">'GS &gt; 50 OLS Model'!$B$6*D73</f>
        <v>5274001.3390868735</v>
      </c>
      <c r="Q73" s="23">
        <f ca="1">'GS &gt; 50 OLS Model'!$B$7*E73</f>
        <v>0</v>
      </c>
      <c r="R73" s="23">
        <f>'GS &gt; 50 OLS Model'!$B$8*F73</f>
        <v>38271077.99300722</v>
      </c>
      <c r="S73" s="23">
        <f>'GS &gt; 50 OLS Model'!$B$9*G73</f>
        <v>-2243456.8788172537</v>
      </c>
      <c r="T73" s="23">
        <f>'GS &gt; 50 OLS Model'!$B$10*H73</f>
        <v>-439218.30194811599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-1130663.3851056299</v>
      </c>
      <c r="Y73" s="23">
        <f>'GS &gt; 50 OLS Model'!$B$15*M73</f>
        <v>0</v>
      </c>
      <c r="Z73" s="23">
        <f t="shared" ca="1" si="8"/>
        <v>24746128.846724797</v>
      </c>
    </row>
    <row r="74" spans="1:26" x14ac:dyDescent="0.25">
      <c r="A74" s="11">
        <v>42005</v>
      </c>
      <c r="B74" s="6">
        <f t="shared" si="7"/>
        <v>2015</v>
      </c>
      <c r="D74">
        <f t="shared" ca="1" si="6"/>
        <v>784.29</v>
      </c>
      <c r="E74">
        <f t="shared" ca="1" si="6"/>
        <v>0</v>
      </c>
      <c r="F74" s="30">
        <f>F62*(1+SUMIF('Ontario Employment Growth'!B:B,B74,'Ontario Employment Growth'!G:G))</f>
        <v>6884.3701500000006</v>
      </c>
      <c r="G74" s="30">
        <f>G73+1</f>
        <v>73</v>
      </c>
      <c r="H74" s="30">
        <f t="shared" ref="H74:M74" si="9">H62</f>
        <v>1</v>
      </c>
      <c r="I74" s="30">
        <f t="shared" si="9"/>
        <v>0</v>
      </c>
      <c r="J74" s="30">
        <f t="shared" si="9"/>
        <v>0</v>
      </c>
      <c r="K74" s="30">
        <f t="shared" si="9"/>
        <v>0</v>
      </c>
      <c r="L74" s="30">
        <f t="shared" si="9"/>
        <v>0</v>
      </c>
      <c r="M74" s="30">
        <f t="shared" si="9"/>
        <v>0</v>
      </c>
      <c r="O74" s="23">
        <f>'GS &gt; 50 OLS Model'!$B$5</f>
        <v>-14985611.9194983</v>
      </c>
      <c r="P74" s="23">
        <f ca="1">'GS &gt; 50 OLS Model'!$B$6*D74</f>
        <v>6047201.8102548849</v>
      </c>
      <c r="Q74" s="23">
        <f ca="1">'GS &gt; 50 OLS Model'!$B$7*E74</f>
        <v>0</v>
      </c>
      <c r="R74" s="23">
        <f>'GS &gt; 50 OLS Model'!$B$8*F74</f>
        <v>38166686.021465532</v>
      </c>
      <c r="S74" s="23">
        <f>'GS &gt; 50 OLS Model'!$B$9*G74</f>
        <v>-2274616.0021341601</v>
      </c>
      <c r="T74" s="23">
        <f>'GS &gt; 50 OLS Model'!$B$10*H74</f>
        <v>-439218.30194811599</v>
      </c>
      <c r="U74" s="23">
        <f>'GS &gt; 50 OLS Model'!$B$11*I74</f>
        <v>0</v>
      </c>
      <c r="V74" s="23">
        <f>'GS &gt; 50 OLS Model'!$B$12*J74</f>
        <v>0</v>
      </c>
      <c r="W74" s="23">
        <f>'GS &gt; 50 OLS Model'!$B$13*K74</f>
        <v>0</v>
      </c>
      <c r="X74" s="23">
        <f>'GS &gt; 50 OLS Model'!$B$14*L74</f>
        <v>0</v>
      </c>
      <c r="Y74" s="23">
        <f>'GS &gt; 50 OLS Model'!$B$15*M74</f>
        <v>0</v>
      </c>
      <c r="Z74" s="23">
        <f t="shared" ca="1" si="8"/>
        <v>26514441.608139843</v>
      </c>
    </row>
    <row r="75" spans="1:26" x14ac:dyDescent="0.25">
      <c r="A75" s="11">
        <v>42036</v>
      </c>
      <c r="B75" s="6">
        <f t="shared" si="7"/>
        <v>2015</v>
      </c>
      <c r="D75">
        <f t="shared" ca="1" si="6"/>
        <v>682.50999999999988</v>
      </c>
      <c r="E75">
        <f t="shared" ca="1" si="6"/>
        <v>0</v>
      </c>
      <c r="F75" s="30">
        <f>F63*(1+SUMIF('Ontario Employment Growth'!B:B,B75,'Ontario Employment Growth'!G:G))</f>
        <v>6850.181450000001</v>
      </c>
      <c r="G75" s="30">
        <f t="shared" ref="G75:G138" si="10">G74+1</f>
        <v>74</v>
      </c>
      <c r="H75" s="30">
        <f t="shared" ref="H75:M75" si="11">H63</f>
        <v>1</v>
      </c>
      <c r="I75" s="30">
        <f t="shared" si="11"/>
        <v>0</v>
      </c>
      <c r="J75" s="30">
        <f t="shared" si="11"/>
        <v>1</v>
      </c>
      <c r="K75" s="30">
        <f t="shared" si="11"/>
        <v>0</v>
      </c>
      <c r="L75" s="30">
        <f t="shared" si="11"/>
        <v>0</v>
      </c>
      <c r="M75" s="30">
        <f t="shared" si="11"/>
        <v>0</v>
      </c>
      <c r="O75" s="23">
        <f>'GS &gt; 50 OLS Model'!$B$5</f>
        <v>-14985611.9194983</v>
      </c>
      <c r="P75" s="23">
        <f ca="1">'GS &gt; 50 OLS Model'!$B$6*D75</f>
        <v>5262435.7157646548</v>
      </c>
      <c r="Q75" s="23">
        <f ca="1">'GS &gt; 50 OLS Model'!$B$7*E75</f>
        <v>0</v>
      </c>
      <c r="R75" s="23">
        <f>'GS &gt; 50 OLS Model'!$B$8*F75</f>
        <v>37977145.170240082</v>
      </c>
      <c r="S75" s="23">
        <f>'GS &gt; 50 OLS Model'!$B$9*G75</f>
        <v>-2305775.1254510665</v>
      </c>
      <c r="T75" s="23">
        <f>'GS &gt; 50 OLS Model'!$B$10*H75</f>
        <v>-439218.30194811599</v>
      </c>
      <c r="U75" s="23">
        <f>'GS &gt; 50 OLS Model'!$B$11*I75</f>
        <v>0</v>
      </c>
      <c r="V75" s="23">
        <f>'GS &gt; 50 OLS Model'!$B$12*J75</f>
        <v>-1507735.557816</v>
      </c>
      <c r="W75" s="23">
        <f>'GS &gt; 50 OLS Model'!$B$13*K75</f>
        <v>0</v>
      </c>
      <c r="X75" s="23">
        <f>'GS &gt; 50 OLS Model'!$B$14*L75</f>
        <v>0</v>
      </c>
      <c r="Y75" s="23">
        <f>'GS &gt; 50 OLS Model'!$B$15*M75</f>
        <v>0</v>
      </c>
      <c r="Z75" s="23">
        <f t="shared" ca="1" si="8"/>
        <v>24001239.981291257</v>
      </c>
    </row>
    <row r="76" spans="1:26" x14ac:dyDescent="0.25">
      <c r="A76" s="11">
        <v>42064</v>
      </c>
      <c r="B76" s="6">
        <f t="shared" si="7"/>
        <v>2015</v>
      </c>
      <c r="D76">
        <f t="shared" ca="1" si="6"/>
        <v>556.99</v>
      </c>
      <c r="E76">
        <f t="shared" ca="1" si="6"/>
        <v>0</v>
      </c>
      <c r="F76" s="30">
        <f>F64*(1+SUMIF('Ontario Employment Growth'!B:B,B76,'Ontario Employment Growth'!G:G))</f>
        <v>6828.9399500000009</v>
      </c>
      <c r="G76" s="30">
        <f t="shared" si="10"/>
        <v>75</v>
      </c>
      <c r="H76" s="30">
        <f t="shared" ref="H76:M76" si="12">H64</f>
        <v>1</v>
      </c>
      <c r="I76" s="30">
        <f t="shared" si="12"/>
        <v>0</v>
      </c>
      <c r="J76" s="30">
        <f t="shared" si="12"/>
        <v>0</v>
      </c>
      <c r="K76" s="30">
        <f t="shared" si="12"/>
        <v>0</v>
      </c>
      <c r="L76" s="30">
        <f t="shared" si="12"/>
        <v>0</v>
      </c>
      <c r="M76" s="30">
        <f t="shared" si="12"/>
        <v>0</v>
      </c>
      <c r="O76" s="23">
        <f>'GS &gt; 50 OLS Model'!$B$5</f>
        <v>-14985611.9194983</v>
      </c>
      <c r="P76" s="23">
        <f ca="1">'GS &gt; 50 OLS Model'!$B$6*D76</f>
        <v>4294624.3561614566</v>
      </c>
      <c r="Q76" s="23">
        <f ca="1">'GS &gt; 50 OLS Model'!$B$7*E76</f>
        <v>0</v>
      </c>
      <c r="R76" s="23">
        <f>'GS &gt; 50 OLS Model'!$B$8*F76</f>
        <v>37859383.10291066</v>
      </c>
      <c r="S76" s="23">
        <f>'GS &gt; 50 OLS Model'!$B$9*G76</f>
        <v>-2336934.2487679725</v>
      </c>
      <c r="T76" s="23">
        <f>'GS &gt; 50 OLS Model'!$B$10*H76</f>
        <v>-439218.30194811599</v>
      </c>
      <c r="U76" s="23">
        <f>'GS &gt; 50 OLS Model'!$B$11*I76</f>
        <v>0</v>
      </c>
      <c r="V76" s="23">
        <f>'GS &gt; 50 OLS Model'!$B$12*J76</f>
        <v>0</v>
      </c>
      <c r="W76" s="23">
        <f>'GS &gt; 50 OLS Model'!$B$13*K76</f>
        <v>0</v>
      </c>
      <c r="X76" s="23">
        <f>'GS &gt; 50 OLS Model'!$B$14*L76</f>
        <v>0</v>
      </c>
      <c r="Y76" s="23">
        <f>'GS &gt; 50 OLS Model'!$B$15*M76</f>
        <v>0</v>
      </c>
      <c r="Z76" s="23">
        <f t="shared" ca="1" si="8"/>
        <v>24392242.988857731</v>
      </c>
    </row>
    <row r="77" spans="1:26" x14ac:dyDescent="0.25">
      <c r="A77" s="11">
        <v>42095</v>
      </c>
      <c r="B77" s="6">
        <f t="shared" si="7"/>
        <v>2015</v>
      </c>
      <c r="D77">
        <f t="shared" ca="1" si="6"/>
        <v>326.58999999999997</v>
      </c>
      <c r="E77">
        <f t="shared" ca="1" si="6"/>
        <v>0.39</v>
      </c>
      <c r="F77" s="30">
        <f>F65*(1+SUMIF('Ontario Employment Growth'!B:B,B77,'Ontario Employment Growth'!G:G))</f>
        <v>6863.0275000000001</v>
      </c>
      <c r="G77" s="30">
        <f t="shared" si="10"/>
        <v>76</v>
      </c>
      <c r="H77" s="30">
        <f t="shared" ref="H77:M77" si="13">H65</f>
        <v>1</v>
      </c>
      <c r="I77" s="30">
        <f t="shared" si="13"/>
        <v>0</v>
      </c>
      <c r="J77" s="30">
        <f t="shared" si="13"/>
        <v>0</v>
      </c>
      <c r="K77" s="30">
        <f t="shared" si="13"/>
        <v>1</v>
      </c>
      <c r="L77" s="30">
        <f t="shared" si="13"/>
        <v>0</v>
      </c>
      <c r="M77" s="30">
        <f t="shared" si="13"/>
        <v>0</v>
      </c>
      <c r="O77" s="23">
        <f>'GS &gt; 50 OLS Model'!$B$5</f>
        <v>-14985611.9194983</v>
      </c>
      <c r="P77" s="23">
        <f ca="1">'GS &gt; 50 OLS Model'!$B$6*D77</f>
        <v>2518144.6138687767</v>
      </c>
      <c r="Q77" s="23">
        <f ca="1">'GS &gt; 50 OLS Model'!$B$7*E77</f>
        <v>12644.188669786166</v>
      </c>
      <c r="R77" s="23">
        <f>'GS &gt; 50 OLS Model'!$B$8*F77</f>
        <v>38048363.18238692</v>
      </c>
      <c r="S77" s="23">
        <f>'GS &gt; 50 OLS Model'!$B$9*G77</f>
        <v>-2368093.3720848789</v>
      </c>
      <c r="T77" s="23">
        <f>'GS &gt; 50 OLS Model'!$B$10*H77</f>
        <v>-439218.30194811599</v>
      </c>
      <c r="U77" s="23">
        <f>'GS &gt; 50 OLS Model'!$B$11*I77</f>
        <v>0</v>
      </c>
      <c r="V77" s="23">
        <f>'GS &gt; 50 OLS Model'!$B$12*J77</f>
        <v>0</v>
      </c>
      <c r="W77" s="23">
        <f>'GS &gt; 50 OLS Model'!$B$13*K77</f>
        <v>-1602103.9965178701</v>
      </c>
      <c r="X77" s="23">
        <f>'GS &gt; 50 OLS Model'!$B$14*L77</f>
        <v>0</v>
      </c>
      <c r="Y77" s="23">
        <f>'GS &gt; 50 OLS Model'!$B$15*M77</f>
        <v>0</v>
      </c>
      <c r="Z77" s="23">
        <f t="shared" ca="1" si="8"/>
        <v>21184124.39487632</v>
      </c>
    </row>
    <row r="78" spans="1:26" x14ac:dyDescent="0.25">
      <c r="A78" s="11">
        <v>42125</v>
      </c>
      <c r="B78" s="6">
        <f t="shared" si="7"/>
        <v>2015</v>
      </c>
      <c r="D78">
        <f t="shared" ca="1" si="6"/>
        <v>144.96</v>
      </c>
      <c r="E78">
        <f t="shared" ca="1" si="6"/>
        <v>8.67</v>
      </c>
      <c r="F78" s="30">
        <f>F66*(1+SUMIF('Ontario Employment Growth'!B:B,B78,'Ontario Employment Growth'!G:G))</f>
        <v>6921.2899000000007</v>
      </c>
      <c r="G78" s="30">
        <f t="shared" si="10"/>
        <v>77</v>
      </c>
      <c r="H78" s="30">
        <f t="shared" ref="H78:M78" si="14">H66</f>
        <v>1</v>
      </c>
      <c r="I78" s="30">
        <f t="shared" si="14"/>
        <v>0</v>
      </c>
      <c r="J78" s="30">
        <f t="shared" si="14"/>
        <v>0</v>
      </c>
      <c r="K78" s="30">
        <f t="shared" si="14"/>
        <v>0</v>
      </c>
      <c r="L78" s="30">
        <f t="shared" si="14"/>
        <v>0</v>
      </c>
      <c r="M78" s="30">
        <f t="shared" si="14"/>
        <v>1</v>
      </c>
      <c r="O78" s="23">
        <f>'GS &gt; 50 OLS Model'!$B$5</f>
        <v>-14985611.9194983</v>
      </c>
      <c r="P78" s="23">
        <f ca="1">'GS &gt; 50 OLS Model'!$B$6*D78</f>
        <v>1117701.8378591442</v>
      </c>
      <c r="Q78" s="23">
        <f ca="1">'GS &gt; 50 OLS Model'!$B$7*E78</f>
        <v>281090.04042832326</v>
      </c>
      <c r="R78" s="23">
        <f>'GS &gt; 50 OLS Model'!$B$8*F78</f>
        <v>38371367.70991905</v>
      </c>
      <c r="S78" s="23">
        <f>'GS &gt; 50 OLS Model'!$B$9*G78</f>
        <v>-2399252.4954017852</v>
      </c>
      <c r="T78" s="23">
        <f>'GS &gt; 50 OLS Model'!$B$10*H78</f>
        <v>-439218.30194811599</v>
      </c>
      <c r="U78" s="23">
        <f>'GS &gt; 50 OLS Model'!$B$11*I78</f>
        <v>0</v>
      </c>
      <c r="V78" s="23">
        <f>'GS &gt; 50 OLS Model'!$B$12*J78</f>
        <v>0</v>
      </c>
      <c r="W78" s="23">
        <f>'GS &gt; 50 OLS Model'!$B$13*K78</f>
        <v>0</v>
      </c>
      <c r="X78" s="23">
        <f>'GS &gt; 50 OLS Model'!$B$14*L78</f>
        <v>0</v>
      </c>
      <c r="Y78" s="23">
        <f>'GS &gt; 50 OLS Model'!$B$15*M78</f>
        <v>-1248171.7663678101</v>
      </c>
      <c r="Z78" s="23">
        <f t="shared" ca="1" si="8"/>
        <v>20697905.104990508</v>
      </c>
    </row>
    <row r="79" spans="1:26" x14ac:dyDescent="0.25">
      <c r="A79" s="11">
        <v>42156</v>
      </c>
      <c r="B79" s="6">
        <f t="shared" si="7"/>
        <v>2015</v>
      </c>
      <c r="D79">
        <f t="shared" ref="D79:E94" ca="1" si="15">D67</f>
        <v>41.510000000000005</v>
      </c>
      <c r="E79">
        <f t="shared" ca="1" si="15"/>
        <v>44.41</v>
      </c>
      <c r="F79" s="30">
        <f>F67*(1+SUMIF('Ontario Employment Growth'!B:B,B79,'Ontario Employment Growth'!G:G))</f>
        <v>6992.3983500000004</v>
      </c>
      <c r="G79" s="30">
        <f t="shared" si="10"/>
        <v>78</v>
      </c>
      <c r="H79" s="30">
        <f t="shared" ref="H79:M79" si="16">H67</f>
        <v>1</v>
      </c>
      <c r="I79" s="30">
        <f t="shared" si="16"/>
        <v>0</v>
      </c>
      <c r="J79" s="30">
        <f t="shared" si="16"/>
        <v>0</v>
      </c>
      <c r="K79" s="30">
        <f t="shared" si="16"/>
        <v>0</v>
      </c>
      <c r="L79" s="30">
        <f t="shared" si="16"/>
        <v>0</v>
      </c>
      <c r="M79" s="30">
        <f t="shared" si="16"/>
        <v>1</v>
      </c>
      <c r="O79" s="23">
        <f>'GS &gt; 50 OLS Model'!$B$5</f>
        <v>-14985611.9194983</v>
      </c>
      <c r="P79" s="23">
        <f ca="1">'GS &gt; 50 OLS Model'!$B$6*D79</f>
        <v>320059.34940351185</v>
      </c>
      <c r="Q79" s="23">
        <f ca="1">'GS &gt; 50 OLS Model'!$B$7*E79</f>
        <v>1439816.4585261631</v>
      </c>
      <c r="R79" s="23">
        <f>'GS &gt; 50 OLS Model'!$B$8*F79</f>
        <v>38765590.249598019</v>
      </c>
      <c r="S79" s="23">
        <f>'GS &gt; 50 OLS Model'!$B$9*G79</f>
        <v>-2430411.6187186916</v>
      </c>
      <c r="T79" s="23">
        <f>'GS &gt; 50 OLS Model'!$B$10*H79</f>
        <v>-439218.30194811599</v>
      </c>
      <c r="U79" s="23">
        <f>'GS &gt; 50 OLS Model'!$B$11*I79</f>
        <v>0</v>
      </c>
      <c r="V79" s="23">
        <f>'GS &gt; 50 OLS Model'!$B$12*J79</f>
        <v>0</v>
      </c>
      <c r="W79" s="23">
        <f>'GS &gt; 50 OLS Model'!$B$13*K79</f>
        <v>0</v>
      </c>
      <c r="X79" s="23">
        <f>'GS &gt; 50 OLS Model'!$B$14*L79</f>
        <v>0</v>
      </c>
      <c r="Y79" s="23">
        <f>'GS &gt; 50 OLS Model'!$B$15*M79</f>
        <v>-1248171.7663678101</v>
      </c>
      <c r="Z79" s="23">
        <f t="shared" ca="1" si="8"/>
        <v>21422052.450994775</v>
      </c>
    </row>
    <row r="80" spans="1:26" x14ac:dyDescent="0.25">
      <c r="A80" s="11">
        <v>42186</v>
      </c>
      <c r="B80" s="6">
        <f t="shared" si="7"/>
        <v>2015</v>
      </c>
      <c r="D80">
        <f t="shared" ca="1" si="15"/>
        <v>5.01</v>
      </c>
      <c r="E80">
        <f t="shared" ca="1" si="15"/>
        <v>96.909999999999982</v>
      </c>
      <c r="F80" s="30">
        <f>F68*(1+SUMIF('Ontario Employment Growth'!B:B,B80,'Ontario Employment Growth'!G:G))</f>
        <v>7037.8147000000008</v>
      </c>
      <c r="G80" s="30">
        <f t="shared" si="10"/>
        <v>79</v>
      </c>
      <c r="H80" s="30">
        <f t="shared" ref="H80:M80" si="17">H68</f>
        <v>1</v>
      </c>
      <c r="I80" s="30">
        <f t="shared" si="17"/>
        <v>0</v>
      </c>
      <c r="J80" s="30">
        <f t="shared" si="17"/>
        <v>0</v>
      </c>
      <c r="K80" s="30">
        <f t="shared" si="17"/>
        <v>0</v>
      </c>
      <c r="L80" s="30">
        <f t="shared" si="17"/>
        <v>0</v>
      </c>
      <c r="M80" s="30">
        <f t="shared" si="17"/>
        <v>1</v>
      </c>
      <c r="O80" s="23">
        <f>'GS &gt; 50 OLS Model'!$B$5</f>
        <v>-14985611.9194983</v>
      </c>
      <c r="P80" s="23">
        <f ca="1">'GS &gt; 50 OLS Model'!$B$6*D80</f>
        <v>38629.181896208</v>
      </c>
      <c r="Q80" s="23">
        <f ca="1">'GS &gt; 50 OLS Model'!$B$7*E80</f>
        <v>3141918.7794589158</v>
      </c>
      <c r="R80" s="23">
        <f>'GS &gt; 50 OLS Model'!$B$8*F80</f>
        <v>39017376.764983304</v>
      </c>
      <c r="S80" s="23">
        <f>'GS &gt; 50 OLS Model'!$B$9*G80</f>
        <v>-2461570.742035598</v>
      </c>
      <c r="T80" s="23">
        <f>'GS &gt; 50 OLS Model'!$B$10*H80</f>
        <v>-439218.30194811599</v>
      </c>
      <c r="U80" s="23">
        <f>'GS &gt; 50 OLS Model'!$B$11*I80</f>
        <v>0</v>
      </c>
      <c r="V80" s="23">
        <f>'GS &gt; 50 OLS Model'!$B$12*J80</f>
        <v>0</v>
      </c>
      <c r="W80" s="23">
        <f>'GS &gt; 50 OLS Model'!$B$13*K80</f>
        <v>0</v>
      </c>
      <c r="X80" s="23">
        <f>'GS &gt; 50 OLS Model'!$B$14*L80</f>
        <v>0</v>
      </c>
      <c r="Y80" s="23">
        <f>'GS &gt; 50 OLS Model'!$B$15*M80</f>
        <v>-1248171.7663678101</v>
      </c>
      <c r="Z80" s="23">
        <f t="shared" ca="1" si="8"/>
        <v>23063351.996488605</v>
      </c>
    </row>
    <row r="81" spans="1:26" x14ac:dyDescent="0.25">
      <c r="A81" s="11">
        <v>42217</v>
      </c>
      <c r="B81" s="6">
        <f t="shared" si="7"/>
        <v>2015</v>
      </c>
      <c r="D81">
        <f t="shared" ca="1" si="15"/>
        <v>12.719999999999999</v>
      </c>
      <c r="E81">
        <f t="shared" ca="1" si="15"/>
        <v>77.22999999999999</v>
      </c>
      <c r="F81" s="30">
        <f>F69*(1+SUMIF('Ontario Employment Growth'!B:B,B81,'Ontario Employment Growth'!G:G))</f>
        <v>7049.8515500000003</v>
      </c>
      <c r="G81" s="30">
        <f t="shared" si="10"/>
        <v>80</v>
      </c>
      <c r="H81" s="30">
        <f t="shared" ref="H81:M81" si="18">H69</f>
        <v>1</v>
      </c>
      <c r="I81" s="30">
        <f t="shared" si="18"/>
        <v>0</v>
      </c>
      <c r="J81" s="30">
        <f t="shared" si="18"/>
        <v>0</v>
      </c>
      <c r="K81" s="30">
        <f t="shared" si="18"/>
        <v>0</v>
      </c>
      <c r="L81" s="30">
        <f t="shared" si="18"/>
        <v>0</v>
      </c>
      <c r="M81" s="30">
        <f t="shared" si="18"/>
        <v>1</v>
      </c>
      <c r="O81" s="23">
        <f>'GS &gt; 50 OLS Model'!$B$5</f>
        <v>-14985611.9194983</v>
      </c>
      <c r="P81" s="23">
        <f ca="1">'GS &gt; 50 OLS Model'!$B$6*D81</f>
        <v>98076.485772408327</v>
      </c>
      <c r="Q81" s="23">
        <f ca="1">'GS &gt; 50 OLS Model'!$B$7*E81</f>
        <v>2503873.5665835529</v>
      </c>
      <c r="R81" s="23">
        <f>'GS &gt; 50 OLS Model'!$B$8*F81</f>
        <v>39084108.603136644</v>
      </c>
      <c r="S81" s="23">
        <f>'GS &gt; 50 OLS Model'!$B$9*G81</f>
        <v>-2492729.865352504</v>
      </c>
      <c r="T81" s="23">
        <f>'GS &gt; 50 OLS Model'!$B$10*H81</f>
        <v>-439218.30194811599</v>
      </c>
      <c r="U81" s="23">
        <f>'GS &gt; 50 OLS Model'!$B$11*I81</f>
        <v>0</v>
      </c>
      <c r="V81" s="23">
        <f>'GS &gt; 50 OLS Model'!$B$12*J81</f>
        <v>0</v>
      </c>
      <c r="W81" s="23">
        <f>'GS &gt; 50 OLS Model'!$B$13*K81</f>
        <v>0</v>
      </c>
      <c r="X81" s="23">
        <f>'GS &gt; 50 OLS Model'!$B$14*L81</f>
        <v>0</v>
      </c>
      <c r="Y81" s="23">
        <f>'GS &gt; 50 OLS Model'!$B$15*M81</f>
        <v>-1248171.7663678101</v>
      </c>
      <c r="Z81" s="23">
        <f t="shared" ca="1" si="8"/>
        <v>22520326.802325875</v>
      </c>
    </row>
    <row r="82" spans="1:26" x14ac:dyDescent="0.25">
      <c r="A82" s="11">
        <v>42248</v>
      </c>
      <c r="B82" s="6">
        <f t="shared" si="7"/>
        <v>2015</v>
      </c>
      <c r="D82">
        <f t="shared" ca="1" si="15"/>
        <v>86.570000000000007</v>
      </c>
      <c r="E82">
        <f t="shared" ca="1" si="15"/>
        <v>19.899999999999999</v>
      </c>
      <c r="F82" s="30">
        <f>F70*(1+SUMIF('Ontario Employment Growth'!B:B,B82,'Ontario Employment Growth'!G:G))</f>
        <v>7023.9571500000011</v>
      </c>
      <c r="G82" s="30">
        <f t="shared" si="10"/>
        <v>81</v>
      </c>
      <c r="H82" s="30">
        <f t="shared" ref="H82:M82" si="19">H70</f>
        <v>1</v>
      </c>
      <c r="I82" s="30">
        <f t="shared" si="19"/>
        <v>1</v>
      </c>
      <c r="J82" s="30">
        <f t="shared" si="19"/>
        <v>0</v>
      </c>
      <c r="K82" s="30">
        <f t="shared" si="19"/>
        <v>0</v>
      </c>
      <c r="L82" s="30">
        <f t="shared" si="19"/>
        <v>0</v>
      </c>
      <c r="M82" s="30">
        <f t="shared" si="19"/>
        <v>0</v>
      </c>
      <c r="O82" s="23">
        <f>'GS &gt; 50 OLS Model'!$B$5</f>
        <v>-14985611.9194983</v>
      </c>
      <c r="P82" s="23">
        <f ca="1">'GS &gt; 50 OLS Model'!$B$6*D82</f>
        <v>667490.67400293949</v>
      </c>
      <c r="Q82" s="23">
        <f ca="1">'GS &gt; 50 OLS Model'!$B$7*E82</f>
        <v>645177.83212498645</v>
      </c>
      <c r="R82" s="23">
        <f>'GS &gt; 50 OLS Model'!$B$8*F82</f>
        <v>38940551.035344586</v>
      </c>
      <c r="S82" s="23">
        <f>'GS &gt; 50 OLS Model'!$B$9*G82</f>
        <v>-2523888.9886694103</v>
      </c>
      <c r="T82" s="23">
        <f>'GS &gt; 50 OLS Model'!$B$10*H82</f>
        <v>-439218.30194811599</v>
      </c>
      <c r="U82" s="23">
        <f>'GS &gt; 50 OLS Model'!$B$11*I82</f>
        <v>-1629695.87956432</v>
      </c>
      <c r="V82" s="23">
        <f>'GS &gt; 50 OLS Model'!$B$12*J82</f>
        <v>0</v>
      </c>
      <c r="W82" s="23">
        <f>'GS &gt; 50 OLS Model'!$B$13*K82</f>
        <v>0</v>
      </c>
      <c r="X82" s="23">
        <f>'GS &gt; 50 OLS Model'!$B$14*L82</f>
        <v>0</v>
      </c>
      <c r="Y82" s="23">
        <f>'GS &gt; 50 OLS Model'!$B$15*M82</f>
        <v>0</v>
      </c>
      <c r="Z82" s="23">
        <f t="shared" ca="1" si="8"/>
        <v>20674804.451792367</v>
      </c>
    </row>
    <row r="83" spans="1:26" x14ac:dyDescent="0.25">
      <c r="A83" s="11">
        <v>42278</v>
      </c>
      <c r="B83" s="6">
        <f t="shared" si="7"/>
        <v>2015</v>
      </c>
      <c r="D83">
        <f t="shared" ca="1" si="15"/>
        <v>270.3</v>
      </c>
      <c r="E83">
        <f t="shared" ca="1" si="15"/>
        <v>1.21</v>
      </c>
      <c r="F83" s="30">
        <f>F71*(1+SUMIF('Ontario Employment Growth'!B:B,B83,'Ontario Employment Growth'!G:G))</f>
        <v>7016.3709000000008</v>
      </c>
      <c r="G83" s="30">
        <f t="shared" si="10"/>
        <v>82</v>
      </c>
      <c r="H83" s="30">
        <f t="shared" ref="H83:M83" si="20">H71</f>
        <v>1</v>
      </c>
      <c r="I83" s="30">
        <f t="shared" si="20"/>
        <v>1</v>
      </c>
      <c r="J83" s="30">
        <f t="shared" si="20"/>
        <v>0</v>
      </c>
      <c r="K83" s="30">
        <f t="shared" si="20"/>
        <v>0</v>
      </c>
      <c r="L83" s="30">
        <f t="shared" si="20"/>
        <v>0</v>
      </c>
      <c r="M83" s="30">
        <f t="shared" si="20"/>
        <v>0</v>
      </c>
      <c r="O83" s="23">
        <f>'GS &gt; 50 OLS Model'!$B$5</f>
        <v>-14985611.9194983</v>
      </c>
      <c r="P83" s="23">
        <f ca="1">'GS &gt; 50 OLS Model'!$B$6*D83</f>
        <v>2084125.3226636774</v>
      </c>
      <c r="Q83" s="23">
        <f ca="1">'GS &gt; 50 OLS Model'!$B$7*E83</f>
        <v>39229.405872926312</v>
      </c>
      <c r="R83" s="23">
        <f>'GS &gt; 50 OLS Model'!$B$8*F83</f>
        <v>38898493.154155508</v>
      </c>
      <c r="S83" s="23">
        <f>'GS &gt; 50 OLS Model'!$B$9*G83</f>
        <v>-2555048.1119863167</v>
      </c>
      <c r="T83" s="23">
        <f>'GS &gt; 50 OLS Model'!$B$10*H83</f>
        <v>-439218.30194811599</v>
      </c>
      <c r="U83" s="23">
        <f>'GS &gt; 50 OLS Model'!$B$11*I83</f>
        <v>-1629695.87956432</v>
      </c>
      <c r="V83" s="23">
        <f>'GS &gt; 50 OLS Model'!$B$12*J83</f>
        <v>0</v>
      </c>
      <c r="W83" s="23">
        <f>'GS &gt; 50 OLS Model'!$B$13*K83</f>
        <v>0</v>
      </c>
      <c r="X83" s="23">
        <f>'GS &gt; 50 OLS Model'!$B$14*L83</f>
        <v>0</v>
      </c>
      <c r="Y83" s="23">
        <f>'GS &gt; 50 OLS Model'!$B$15*M83</f>
        <v>0</v>
      </c>
      <c r="Z83" s="23">
        <f t="shared" ca="1" si="8"/>
        <v>21412273.669695061</v>
      </c>
    </row>
    <row r="84" spans="1:26" x14ac:dyDescent="0.25">
      <c r="A84" s="11">
        <v>42309</v>
      </c>
      <c r="B84" s="6">
        <f t="shared" si="7"/>
        <v>2015</v>
      </c>
      <c r="D84">
        <f t="shared" ca="1" si="15"/>
        <v>444.05</v>
      </c>
      <c r="E84">
        <f t="shared" ca="1" si="15"/>
        <v>0</v>
      </c>
      <c r="F84" s="30">
        <f>F72*(1+SUMIF('Ontario Employment Growth'!B:B,B84,'Ontario Employment Growth'!G:G))</f>
        <v>6993.8144500000008</v>
      </c>
      <c r="G84" s="30">
        <f t="shared" si="10"/>
        <v>83</v>
      </c>
      <c r="H84" s="30">
        <f t="shared" ref="H84:M84" si="21">H72</f>
        <v>1</v>
      </c>
      <c r="I84" s="30">
        <f t="shared" si="21"/>
        <v>1</v>
      </c>
      <c r="J84" s="30">
        <f t="shared" si="21"/>
        <v>0</v>
      </c>
      <c r="K84" s="30">
        <f t="shared" si="21"/>
        <v>0</v>
      </c>
      <c r="L84" s="30">
        <f t="shared" si="21"/>
        <v>0</v>
      </c>
      <c r="M84" s="30">
        <f t="shared" si="21"/>
        <v>0</v>
      </c>
      <c r="O84" s="23">
        <f>'GS &gt; 50 OLS Model'!$B$5</f>
        <v>-14985611.9194983</v>
      </c>
      <c r="P84" s="23">
        <f ca="1">'GS &gt; 50 OLS Model'!$B$6*D84</f>
        <v>3423810.024153925</v>
      </c>
      <c r="Q84" s="23">
        <f ca="1">'GS &gt; 50 OLS Model'!$B$7*E84</f>
        <v>0</v>
      </c>
      <c r="R84" s="23">
        <f>'GS &gt; 50 OLS Model'!$B$8*F84</f>
        <v>38773441.054086648</v>
      </c>
      <c r="S84" s="23">
        <f>'GS &gt; 50 OLS Model'!$B$9*G84</f>
        <v>-2586207.2353032231</v>
      </c>
      <c r="T84" s="23">
        <f>'GS &gt; 50 OLS Model'!$B$10*H84</f>
        <v>-439218.30194811599</v>
      </c>
      <c r="U84" s="23">
        <f>'GS &gt; 50 OLS Model'!$B$11*I84</f>
        <v>-1629695.87956432</v>
      </c>
      <c r="V84" s="23">
        <f>'GS &gt; 50 OLS Model'!$B$12*J84</f>
        <v>0</v>
      </c>
      <c r="W84" s="23">
        <f>'GS &gt; 50 OLS Model'!$B$13*K84</f>
        <v>0</v>
      </c>
      <c r="X84" s="23">
        <f>'GS &gt; 50 OLS Model'!$B$14*L84</f>
        <v>0</v>
      </c>
      <c r="Y84" s="23">
        <f>'GS &gt; 50 OLS Model'!$B$15*M84</f>
        <v>0</v>
      </c>
      <c r="Z84" s="23">
        <f t="shared" ca="1" si="8"/>
        <v>22556517.741926614</v>
      </c>
    </row>
    <row r="85" spans="1:26" x14ac:dyDescent="0.25">
      <c r="A85" s="11">
        <v>42339</v>
      </c>
      <c r="B85" s="6">
        <f t="shared" si="7"/>
        <v>2015</v>
      </c>
      <c r="D85">
        <f t="shared" ca="1" si="15"/>
        <v>684.01</v>
      </c>
      <c r="E85">
        <f t="shared" ca="1" si="15"/>
        <v>0</v>
      </c>
      <c r="F85" s="30">
        <f>F73*(1+SUMIF('Ontario Employment Growth'!B:B,B85,'Ontario Employment Growth'!G:G))</f>
        <v>6982.5868</v>
      </c>
      <c r="G85" s="30">
        <f t="shared" si="10"/>
        <v>84</v>
      </c>
      <c r="H85" s="30">
        <f t="shared" ref="H85:M85" si="22">H73</f>
        <v>1</v>
      </c>
      <c r="I85" s="30">
        <f t="shared" si="22"/>
        <v>0</v>
      </c>
      <c r="J85" s="30">
        <f t="shared" si="22"/>
        <v>0</v>
      </c>
      <c r="K85" s="30">
        <f t="shared" si="22"/>
        <v>0</v>
      </c>
      <c r="L85" s="30">
        <f t="shared" si="22"/>
        <v>1</v>
      </c>
      <c r="M85" s="30">
        <f t="shared" si="22"/>
        <v>0</v>
      </c>
      <c r="O85" s="23">
        <f>'GS &gt; 50 OLS Model'!$B$5</f>
        <v>-14985611.9194983</v>
      </c>
      <c r="P85" s="23">
        <f ca="1">'GS &gt; 50 OLS Model'!$B$6*D85</f>
        <v>5274001.3390868735</v>
      </c>
      <c r="Q85" s="23">
        <f ca="1">'GS &gt; 50 OLS Model'!$B$7*E85</f>
        <v>0</v>
      </c>
      <c r="R85" s="23">
        <f>'GS &gt; 50 OLS Model'!$B$8*F85</f>
        <v>38711195.389926806</v>
      </c>
      <c r="S85" s="23">
        <f>'GS &gt; 50 OLS Model'!$B$9*G85</f>
        <v>-2617366.3586201295</v>
      </c>
      <c r="T85" s="23">
        <f>'GS &gt; 50 OLS Model'!$B$10*H85</f>
        <v>-439218.30194811599</v>
      </c>
      <c r="U85" s="23">
        <f>'GS &gt; 50 OLS Model'!$B$11*I85</f>
        <v>0</v>
      </c>
      <c r="V85" s="23">
        <f>'GS &gt; 50 OLS Model'!$B$12*J85</f>
        <v>0</v>
      </c>
      <c r="W85" s="23">
        <f>'GS &gt; 50 OLS Model'!$B$13*K85</f>
        <v>0</v>
      </c>
      <c r="X85" s="23">
        <f>'GS &gt; 50 OLS Model'!$B$14*L85</f>
        <v>-1130663.3851056299</v>
      </c>
      <c r="Y85" s="23">
        <f>'GS &gt; 50 OLS Model'!$B$15*M85</f>
        <v>0</v>
      </c>
      <c r="Z85" s="23">
        <f t="shared" ca="1" si="8"/>
        <v>24812336.763841506</v>
      </c>
    </row>
    <row r="86" spans="1:26" x14ac:dyDescent="0.25">
      <c r="A86" s="11">
        <v>42370</v>
      </c>
      <c r="B86" s="6">
        <f t="shared" si="7"/>
        <v>2016</v>
      </c>
      <c r="D86">
        <f t="shared" ca="1" si="15"/>
        <v>784.29</v>
      </c>
      <c r="E86">
        <f t="shared" ca="1" si="15"/>
        <v>0</v>
      </c>
      <c r="F86" s="30">
        <f>F74*(1+SUMIF('Ontario Employment Growth'!B:B,B86,'Ontario Employment Growth'!G:G))</f>
        <v>6961.8193141875008</v>
      </c>
      <c r="G86" s="30">
        <f t="shared" si="10"/>
        <v>85</v>
      </c>
      <c r="H86" s="30">
        <f t="shared" ref="H86:M86" si="23">H74</f>
        <v>1</v>
      </c>
      <c r="I86" s="30">
        <f t="shared" si="23"/>
        <v>0</v>
      </c>
      <c r="J86" s="30">
        <f t="shared" si="23"/>
        <v>0</v>
      </c>
      <c r="K86" s="30">
        <f t="shared" si="23"/>
        <v>0</v>
      </c>
      <c r="L86" s="30">
        <f t="shared" si="23"/>
        <v>0</v>
      </c>
      <c r="M86" s="30">
        <f t="shared" si="23"/>
        <v>0</v>
      </c>
      <c r="O86" s="23">
        <f>'GS &gt; 50 OLS Model'!$B$5</f>
        <v>-14985611.9194983</v>
      </c>
      <c r="P86" s="23">
        <f ca="1">'GS &gt; 50 OLS Model'!$B$6*D86</f>
        <v>6047201.8102548849</v>
      </c>
      <c r="Q86" s="23">
        <f ca="1">'GS &gt; 50 OLS Model'!$B$7*E86</f>
        <v>0</v>
      </c>
      <c r="R86" s="23">
        <f>'GS &gt; 50 OLS Model'!$B$8*F86</f>
        <v>38596061.239207022</v>
      </c>
      <c r="S86" s="23">
        <f>'GS &gt; 50 OLS Model'!$B$9*G86</f>
        <v>-2648525.4819370355</v>
      </c>
      <c r="T86" s="23">
        <f>'GS &gt; 50 OLS Model'!$B$10*H86</f>
        <v>-439218.30194811599</v>
      </c>
      <c r="U86" s="23">
        <f>'GS &gt; 50 OLS Model'!$B$11*I86</f>
        <v>0</v>
      </c>
      <c r="V86" s="23">
        <f>'GS &gt; 50 OLS Model'!$B$12*J86</f>
        <v>0</v>
      </c>
      <c r="W86" s="23">
        <f>'GS &gt; 50 OLS Model'!$B$13*K86</f>
        <v>0</v>
      </c>
      <c r="X86" s="23">
        <f>'GS &gt; 50 OLS Model'!$B$14*L86</f>
        <v>0</v>
      </c>
      <c r="Y86" s="23">
        <f>'GS &gt; 50 OLS Model'!$B$15*M86</f>
        <v>0</v>
      </c>
      <c r="Z86" s="23">
        <f t="shared" ca="1" si="8"/>
        <v>26569907.346078455</v>
      </c>
    </row>
    <row r="87" spans="1:26" x14ac:dyDescent="0.25">
      <c r="A87" s="11">
        <v>42401</v>
      </c>
      <c r="B87" s="6">
        <f t="shared" si="7"/>
        <v>2016</v>
      </c>
      <c r="D87">
        <f t="shared" ca="1" si="15"/>
        <v>682.50999999999988</v>
      </c>
      <c r="E87">
        <f t="shared" ca="1" si="15"/>
        <v>0</v>
      </c>
      <c r="F87" s="30">
        <f>F75*(1+SUMIF('Ontario Employment Growth'!B:B,B87,'Ontario Employment Growth'!G:G))</f>
        <v>6927.2459913125012</v>
      </c>
      <c r="G87" s="30">
        <f t="shared" si="10"/>
        <v>86</v>
      </c>
      <c r="H87" s="30">
        <f t="shared" ref="H87:M87" si="24">H75</f>
        <v>1</v>
      </c>
      <c r="I87" s="30">
        <f t="shared" si="24"/>
        <v>0</v>
      </c>
      <c r="J87" s="30">
        <f t="shared" si="24"/>
        <v>1</v>
      </c>
      <c r="K87" s="30">
        <f t="shared" si="24"/>
        <v>0</v>
      </c>
      <c r="L87" s="30">
        <f t="shared" si="24"/>
        <v>0</v>
      </c>
      <c r="M87" s="30">
        <f t="shared" si="24"/>
        <v>0</v>
      </c>
      <c r="O87" s="23">
        <f>'GS &gt; 50 OLS Model'!$B$5</f>
        <v>-14985611.9194983</v>
      </c>
      <c r="P87" s="23">
        <f ca="1">'GS &gt; 50 OLS Model'!$B$6*D87</f>
        <v>5262435.7157646548</v>
      </c>
      <c r="Q87" s="23">
        <f ca="1">'GS &gt; 50 OLS Model'!$B$7*E87</f>
        <v>0</v>
      </c>
      <c r="R87" s="23">
        <f>'GS &gt; 50 OLS Model'!$B$8*F87</f>
        <v>38404388.053405285</v>
      </c>
      <c r="S87" s="23">
        <f>'GS &gt; 50 OLS Model'!$B$9*G87</f>
        <v>-2679684.6052539418</v>
      </c>
      <c r="T87" s="23">
        <f>'GS &gt; 50 OLS Model'!$B$10*H87</f>
        <v>-439218.30194811599</v>
      </c>
      <c r="U87" s="23">
        <f>'GS &gt; 50 OLS Model'!$B$11*I87</f>
        <v>0</v>
      </c>
      <c r="V87" s="23">
        <f>'GS &gt; 50 OLS Model'!$B$12*J87</f>
        <v>-1507735.557816</v>
      </c>
      <c r="W87" s="23">
        <f>'GS &gt; 50 OLS Model'!$B$13*K87</f>
        <v>0</v>
      </c>
      <c r="X87" s="23">
        <f>'GS &gt; 50 OLS Model'!$B$14*L87</f>
        <v>0</v>
      </c>
      <c r="Y87" s="23">
        <f>'GS &gt; 50 OLS Model'!$B$15*M87</f>
        <v>0</v>
      </c>
      <c r="Z87" s="23">
        <f t="shared" ca="1" si="8"/>
        <v>24054573.384653583</v>
      </c>
    </row>
    <row r="88" spans="1:26" x14ac:dyDescent="0.25">
      <c r="A88" s="11">
        <v>42430</v>
      </c>
      <c r="B88" s="6">
        <f t="shared" si="7"/>
        <v>2016</v>
      </c>
      <c r="D88">
        <f t="shared" ca="1" si="15"/>
        <v>556.99</v>
      </c>
      <c r="E88">
        <f t="shared" ca="1" si="15"/>
        <v>0</v>
      </c>
      <c r="F88" s="30">
        <f>F76*(1+SUMIF('Ontario Employment Growth'!B:B,B88,'Ontario Employment Growth'!G:G))</f>
        <v>6905.765524437501</v>
      </c>
      <c r="G88" s="30">
        <f t="shared" si="10"/>
        <v>87</v>
      </c>
      <c r="H88" s="30">
        <f t="shared" ref="H88:M88" si="25">H76</f>
        <v>1</v>
      </c>
      <c r="I88" s="30">
        <f t="shared" si="25"/>
        <v>0</v>
      </c>
      <c r="J88" s="30">
        <f t="shared" si="25"/>
        <v>0</v>
      </c>
      <c r="K88" s="30">
        <f t="shared" si="25"/>
        <v>0</v>
      </c>
      <c r="L88" s="30">
        <f t="shared" si="25"/>
        <v>0</v>
      </c>
      <c r="M88" s="30">
        <f t="shared" si="25"/>
        <v>0</v>
      </c>
      <c r="O88" s="23">
        <f>'GS &gt; 50 OLS Model'!$B$5</f>
        <v>-14985611.9194983</v>
      </c>
      <c r="P88" s="23">
        <f ca="1">'GS &gt; 50 OLS Model'!$B$6*D88</f>
        <v>4294624.3561614566</v>
      </c>
      <c r="Q88" s="23">
        <f ca="1">'GS &gt; 50 OLS Model'!$B$7*E88</f>
        <v>0</v>
      </c>
      <c r="R88" s="23">
        <f>'GS &gt; 50 OLS Model'!$B$8*F88</f>
        <v>38285301.162818402</v>
      </c>
      <c r="S88" s="23">
        <f>'GS &gt; 50 OLS Model'!$B$9*G88</f>
        <v>-2710843.7285708482</v>
      </c>
      <c r="T88" s="23">
        <f>'GS &gt; 50 OLS Model'!$B$10*H88</f>
        <v>-439218.30194811599</v>
      </c>
      <c r="U88" s="23">
        <f>'GS &gt; 50 OLS Model'!$B$11*I88</f>
        <v>0</v>
      </c>
      <c r="V88" s="23">
        <f>'GS &gt; 50 OLS Model'!$B$12*J88</f>
        <v>0</v>
      </c>
      <c r="W88" s="23">
        <f>'GS &gt; 50 OLS Model'!$B$13*K88</f>
        <v>0</v>
      </c>
      <c r="X88" s="23">
        <f>'GS &gt; 50 OLS Model'!$B$14*L88</f>
        <v>0</v>
      </c>
      <c r="Y88" s="23">
        <f>'GS &gt; 50 OLS Model'!$B$15*M88</f>
        <v>0</v>
      </c>
      <c r="Z88" s="23">
        <f t="shared" ca="1" si="8"/>
        <v>24444251.568962596</v>
      </c>
    </row>
    <row r="89" spans="1:26" x14ac:dyDescent="0.25">
      <c r="A89" s="11">
        <v>42461</v>
      </c>
      <c r="B89" s="6">
        <f t="shared" si="7"/>
        <v>2016</v>
      </c>
      <c r="D89">
        <f t="shared" ca="1" si="15"/>
        <v>326.58999999999997</v>
      </c>
      <c r="E89">
        <f t="shared" ca="1" si="15"/>
        <v>0.39</v>
      </c>
      <c r="F89" s="30">
        <f>F77*(1+SUMIF('Ontario Employment Growth'!B:B,B89,'Ontario Employment Growth'!G:G))</f>
        <v>6940.2365593750001</v>
      </c>
      <c r="G89" s="30">
        <f t="shared" si="10"/>
        <v>88</v>
      </c>
      <c r="H89" s="30">
        <f t="shared" ref="H89:M89" si="26">H77</f>
        <v>1</v>
      </c>
      <c r="I89" s="30">
        <f t="shared" si="26"/>
        <v>0</v>
      </c>
      <c r="J89" s="30">
        <f t="shared" si="26"/>
        <v>0</v>
      </c>
      <c r="K89" s="30">
        <f t="shared" si="26"/>
        <v>1</v>
      </c>
      <c r="L89" s="30">
        <f t="shared" si="26"/>
        <v>0</v>
      </c>
      <c r="M89" s="30">
        <f t="shared" si="26"/>
        <v>0</v>
      </c>
      <c r="O89" s="23">
        <f>'GS &gt; 50 OLS Model'!$B$5</f>
        <v>-14985611.9194983</v>
      </c>
      <c r="P89" s="23">
        <f ca="1">'GS &gt; 50 OLS Model'!$B$6*D89</f>
        <v>2518144.6138687767</v>
      </c>
      <c r="Q89" s="23">
        <f ca="1">'GS &gt; 50 OLS Model'!$B$7*E89</f>
        <v>12644.188669786166</v>
      </c>
      <c r="R89" s="23">
        <f>'GS &gt; 50 OLS Model'!$B$8*F89</f>
        <v>38476407.268188775</v>
      </c>
      <c r="S89" s="23">
        <f>'GS &gt; 50 OLS Model'!$B$9*G89</f>
        <v>-2742002.8518877546</v>
      </c>
      <c r="T89" s="23">
        <f>'GS &gt; 50 OLS Model'!$B$10*H89</f>
        <v>-439218.30194811599</v>
      </c>
      <c r="U89" s="23">
        <f>'GS &gt; 50 OLS Model'!$B$11*I89</f>
        <v>0</v>
      </c>
      <c r="V89" s="23">
        <f>'GS &gt; 50 OLS Model'!$B$12*J89</f>
        <v>0</v>
      </c>
      <c r="W89" s="23">
        <f>'GS &gt; 50 OLS Model'!$B$13*K89</f>
        <v>-1602103.9965178701</v>
      </c>
      <c r="X89" s="23">
        <f>'GS &gt; 50 OLS Model'!$B$14*L89</f>
        <v>0</v>
      </c>
      <c r="Y89" s="23">
        <f>'GS &gt; 50 OLS Model'!$B$15*M89</f>
        <v>0</v>
      </c>
      <c r="Z89" s="23">
        <f t="shared" ca="1" si="8"/>
        <v>21238259.000875298</v>
      </c>
    </row>
    <row r="90" spans="1:26" x14ac:dyDescent="0.25">
      <c r="A90" s="11">
        <v>42491</v>
      </c>
      <c r="B90" s="6">
        <f t="shared" si="7"/>
        <v>2016</v>
      </c>
      <c r="D90">
        <f t="shared" ca="1" si="15"/>
        <v>144.96</v>
      </c>
      <c r="E90">
        <f t="shared" ca="1" si="15"/>
        <v>8.67</v>
      </c>
      <c r="F90" s="30">
        <f>F78*(1+SUMIF('Ontario Employment Growth'!B:B,B90,'Ontario Employment Growth'!G:G))</f>
        <v>6999.1544113750006</v>
      </c>
      <c r="G90" s="30">
        <f t="shared" si="10"/>
        <v>89</v>
      </c>
      <c r="H90" s="30">
        <f t="shared" ref="H90:M90" si="27">H78</f>
        <v>1</v>
      </c>
      <c r="I90" s="30">
        <f t="shared" si="27"/>
        <v>0</v>
      </c>
      <c r="J90" s="30">
        <f t="shared" si="27"/>
        <v>0</v>
      </c>
      <c r="K90" s="30">
        <f t="shared" si="27"/>
        <v>0</v>
      </c>
      <c r="L90" s="30">
        <f t="shared" si="27"/>
        <v>0</v>
      </c>
      <c r="M90" s="30">
        <f t="shared" si="27"/>
        <v>1</v>
      </c>
      <c r="O90" s="23">
        <f>'GS &gt; 50 OLS Model'!$B$5</f>
        <v>-14985611.9194983</v>
      </c>
      <c r="P90" s="23">
        <f ca="1">'GS &gt; 50 OLS Model'!$B$6*D90</f>
        <v>1117701.8378591442</v>
      </c>
      <c r="Q90" s="23">
        <f ca="1">'GS &gt; 50 OLS Model'!$B$7*E90</f>
        <v>281090.04042832326</v>
      </c>
      <c r="R90" s="23">
        <f>'GS &gt; 50 OLS Model'!$B$8*F90</f>
        <v>38803045.596655637</v>
      </c>
      <c r="S90" s="23">
        <f>'GS &gt; 50 OLS Model'!$B$9*G90</f>
        <v>-2773161.975204661</v>
      </c>
      <c r="T90" s="23">
        <f>'GS &gt; 50 OLS Model'!$B$10*H90</f>
        <v>-439218.30194811599</v>
      </c>
      <c r="U90" s="23">
        <f>'GS &gt; 50 OLS Model'!$B$11*I90</f>
        <v>0</v>
      </c>
      <c r="V90" s="23">
        <f>'GS &gt; 50 OLS Model'!$B$12*J90</f>
        <v>0</v>
      </c>
      <c r="W90" s="23">
        <f>'GS &gt; 50 OLS Model'!$B$13*K90</f>
        <v>0</v>
      </c>
      <c r="X90" s="23">
        <f>'GS &gt; 50 OLS Model'!$B$14*L90</f>
        <v>0</v>
      </c>
      <c r="Y90" s="23">
        <f>'GS &gt; 50 OLS Model'!$B$15*M90</f>
        <v>-1248171.7663678101</v>
      </c>
      <c r="Z90" s="23">
        <f t="shared" ca="1" si="8"/>
        <v>20755673.511924218</v>
      </c>
    </row>
    <row r="91" spans="1:26" x14ac:dyDescent="0.25">
      <c r="A91" s="11">
        <v>42522</v>
      </c>
      <c r="B91" s="6">
        <f t="shared" si="7"/>
        <v>2016</v>
      </c>
      <c r="D91">
        <f t="shared" ca="1" si="15"/>
        <v>41.510000000000005</v>
      </c>
      <c r="E91">
        <f t="shared" ca="1" si="15"/>
        <v>44.41</v>
      </c>
      <c r="F91" s="30">
        <f>F79*(1+SUMIF('Ontario Employment Growth'!B:B,B91,'Ontario Employment Growth'!G:G))</f>
        <v>7071.0628314374999</v>
      </c>
      <c r="G91" s="30">
        <f t="shared" si="10"/>
        <v>90</v>
      </c>
      <c r="H91" s="30">
        <f t="shared" ref="H91:M91" si="28">H79</f>
        <v>1</v>
      </c>
      <c r="I91" s="30">
        <f t="shared" si="28"/>
        <v>0</v>
      </c>
      <c r="J91" s="30">
        <f t="shared" si="28"/>
        <v>0</v>
      </c>
      <c r="K91" s="30">
        <f t="shared" si="28"/>
        <v>0</v>
      </c>
      <c r="L91" s="30">
        <f t="shared" si="28"/>
        <v>0</v>
      </c>
      <c r="M91" s="30">
        <f t="shared" si="28"/>
        <v>1</v>
      </c>
      <c r="O91" s="23">
        <f>'GS &gt; 50 OLS Model'!$B$5</f>
        <v>-14985611.9194983</v>
      </c>
      <c r="P91" s="23">
        <f ca="1">'GS &gt; 50 OLS Model'!$B$6*D91</f>
        <v>320059.34940351185</v>
      </c>
      <c r="Q91" s="23">
        <f ca="1">'GS &gt; 50 OLS Model'!$B$7*E91</f>
        <v>1439816.4585261631</v>
      </c>
      <c r="R91" s="23">
        <f>'GS &gt; 50 OLS Model'!$B$8*F91</f>
        <v>39201703.139905989</v>
      </c>
      <c r="S91" s="23">
        <f>'GS &gt; 50 OLS Model'!$B$9*G91</f>
        <v>-2804321.0985215669</v>
      </c>
      <c r="T91" s="23">
        <f>'GS &gt; 50 OLS Model'!$B$10*H91</f>
        <v>-439218.30194811599</v>
      </c>
      <c r="U91" s="23">
        <f>'GS &gt; 50 OLS Model'!$B$11*I91</f>
        <v>0</v>
      </c>
      <c r="V91" s="23">
        <f>'GS &gt; 50 OLS Model'!$B$12*J91</f>
        <v>0</v>
      </c>
      <c r="W91" s="23">
        <f>'GS &gt; 50 OLS Model'!$B$13*K91</f>
        <v>0</v>
      </c>
      <c r="X91" s="23">
        <f>'GS &gt; 50 OLS Model'!$B$14*L91</f>
        <v>0</v>
      </c>
      <c r="Y91" s="23">
        <f>'GS &gt; 50 OLS Model'!$B$15*M91</f>
        <v>-1248171.7663678101</v>
      </c>
      <c r="Z91" s="23">
        <f t="shared" ca="1" si="8"/>
        <v>21484255.861499868</v>
      </c>
    </row>
    <row r="92" spans="1:26" x14ac:dyDescent="0.25">
      <c r="A92" s="11">
        <v>42552</v>
      </c>
      <c r="B92" s="6">
        <f t="shared" si="7"/>
        <v>2016</v>
      </c>
      <c r="D92">
        <f t="shared" ca="1" si="15"/>
        <v>5.01</v>
      </c>
      <c r="E92">
        <f t="shared" ca="1" si="15"/>
        <v>96.909999999999982</v>
      </c>
      <c r="F92" s="30">
        <f>F80*(1+SUMIF('Ontario Employment Growth'!B:B,B92,'Ontario Employment Growth'!G:G))</f>
        <v>7116.9901153750006</v>
      </c>
      <c r="G92" s="30">
        <f t="shared" si="10"/>
        <v>91</v>
      </c>
      <c r="H92" s="30">
        <f t="shared" ref="H92:M92" si="29">H80</f>
        <v>1</v>
      </c>
      <c r="I92" s="30">
        <f t="shared" si="29"/>
        <v>0</v>
      </c>
      <c r="J92" s="30">
        <f t="shared" si="29"/>
        <v>0</v>
      </c>
      <c r="K92" s="30">
        <f t="shared" si="29"/>
        <v>0</v>
      </c>
      <c r="L92" s="30">
        <f t="shared" si="29"/>
        <v>0</v>
      </c>
      <c r="M92" s="30">
        <f t="shared" si="29"/>
        <v>1</v>
      </c>
      <c r="O92" s="23">
        <f>'GS &gt; 50 OLS Model'!$B$5</f>
        <v>-14985611.9194983</v>
      </c>
      <c r="P92" s="23">
        <f ca="1">'GS &gt; 50 OLS Model'!$B$6*D92</f>
        <v>38629.181896208</v>
      </c>
      <c r="Q92" s="23">
        <f ca="1">'GS &gt; 50 OLS Model'!$B$7*E92</f>
        <v>3141918.7794589158</v>
      </c>
      <c r="R92" s="23">
        <f>'GS &gt; 50 OLS Model'!$B$8*F92</f>
        <v>39456322.253589369</v>
      </c>
      <c r="S92" s="23">
        <f>'GS &gt; 50 OLS Model'!$B$9*G92</f>
        <v>-2835480.2218384733</v>
      </c>
      <c r="T92" s="23">
        <f>'GS &gt; 50 OLS Model'!$B$10*H92</f>
        <v>-439218.30194811599</v>
      </c>
      <c r="U92" s="23">
        <f>'GS &gt; 50 OLS Model'!$B$11*I92</f>
        <v>0</v>
      </c>
      <c r="V92" s="23">
        <f>'GS &gt; 50 OLS Model'!$B$12*J92</f>
        <v>0</v>
      </c>
      <c r="W92" s="23">
        <f>'GS &gt; 50 OLS Model'!$B$13*K92</f>
        <v>0</v>
      </c>
      <c r="X92" s="23">
        <f>'GS &gt; 50 OLS Model'!$B$14*L92</f>
        <v>0</v>
      </c>
      <c r="Y92" s="23">
        <f>'GS &gt; 50 OLS Model'!$B$15*M92</f>
        <v>-1248171.7663678101</v>
      </c>
      <c r="Z92" s="23">
        <f t="shared" ca="1" si="8"/>
        <v>23128388.005291793</v>
      </c>
    </row>
    <row r="93" spans="1:26" x14ac:dyDescent="0.25">
      <c r="A93" s="11">
        <v>42583</v>
      </c>
      <c r="B93" s="6">
        <f t="shared" si="7"/>
        <v>2016</v>
      </c>
      <c r="D93">
        <f t="shared" ca="1" si="15"/>
        <v>12.719999999999999</v>
      </c>
      <c r="E93">
        <f t="shared" ca="1" si="15"/>
        <v>77.22999999999999</v>
      </c>
      <c r="F93" s="30">
        <f>F81*(1+SUMIF('Ontario Employment Growth'!B:B,B93,'Ontario Employment Growth'!G:G))</f>
        <v>7129.1623799375002</v>
      </c>
      <c r="G93" s="30">
        <f t="shared" si="10"/>
        <v>92</v>
      </c>
      <c r="H93" s="30">
        <f t="shared" ref="H93:M93" si="30">H81</f>
        <v>1</v>
      </c>
      <c r="I93" s="30">
        <f t="shared" si="30"/>
        <v>0</v>
      </c>
      <c r="J93" s="30">
        <f t="shared" si="30"/>
        <v>0</v>
      </c>
      <c r="K93" s="30">
        <f t="shared" si="30"/>
        <v>0</v>
      </c>
      <c r="L93" s="30">
        <f t="shared" si="30"/>
        <v>0</v>
      </c>
      <c r="M93" s="30">
        <f t="shared" si="30"/>
        <v>1</v>
      </c>
      <c r="O93" s="23">
        <f>'GS &gt; 50 OLS Model'!$B$5</f>
        <v>-14985611.9194983</v>
      </c>
      <c r="P93" s="23">
        <f ca="1">'GS &gt; 50 OLS Model'!$B$6*D93</f>
        <v>98076.485772408327</v>
      </c>
      <c r="Q93" s="23">
        <f ca="1">'GS &gt; 50 OLS Model'!$B$7*E93</f>
        <v>2503873.5665835529</v>
      </c>
      <c r="R93" s="23">
        <f>'GS &gt; 50 OLS Model'!$B$8*F93</f>
        <v>39523804.824921928</v>
      </c>
      <c r="S93" s="23">
        <f>'GS &gt; 50 OLS Model'!$B$9*G93</f>
        <v>-2866639.3451553797</v>
      </c>
      <c r="T93" s="23">
        <f>'GS &gt; 50 OLS Model'!$B$10*H93</f>
        <v>-439218.30194811599</v>
      </c>
      <c r="U93" s="23">
        <f>'GS &gt; 50 OLS Model'!$B$11*I93</f>
        <v>0</v>
      </c>
      <c r="V93" s="23">
        <f>'GS &gt; 50 OLS Model'!$B$12*J93</f>
        <v>0</v>
      </c>
      <c r="W93" s="23">
        <f>'GS &gt; 50 OLS Model'!$B$13*K93</f>
        <v>0</v>
      </c>
      <c r="X93" s="23">
        <f>'GS &gt; 50 OLS Model'!$B$14*L93</f>
        <v>0</v>
      </c>
      <c r="Y93" s="23">
        <f>'GS &gt; 50 OLS Model'!$B$15*M93</f>
        <v>-1248171.7663678101</v>
      </c>
      <c r="Z93" s="23">
        <f t="shared" ca="1" si="8"/>
        <v>22586113.544308282</v>
      </c>
    </row>
    <row r="94" spans="1:26" x14ac:dyDescent="0.25">
      <c r="A94" s="11">
        <v>42614</v>
      </c>
      <c r="B94" s="6">
        <f t="shared" si="7"/>
        <v>2016</v>
      </c>
      <c r="D94">
        <f t="shared" ca="1" si="15"/>
        <v>86.570000000000007</v>
      </c>
      <c r="E94">
        <f t="shared" ca="1" si="15"/>
        <v>19.899999999999999</v>
      </c>
      <c r="F94" s="30">
        <f>F82*(1+SUMIF('Ontario Employment Growth'!B:B,B94,'Ontario Employment Growth'!G:G))</f>
        <v>7102.9766679375007</v>
      </c>
      <c r="G94" s="30">
        <f t="shared" si="10"/>
        <v>93</v>
      </c>
      <c r="H94" s="30">
        <f t="shared" ref="H94:M94" si="31">H82</f>
        <v>1</v>
      </c>
      <c r="I94" s="30">
        <f t="shared" si="31"/>
        <v>1</v>
      </c>
      <c r="J94" s="30">
        <f t="shared" si="31"/>
        <v>0</v>
      </c>
      <c r="K94" s="30">
        <f t="shared" si="31"/>
        <v>0</v>
      </c>
      <c r="L94" s="30">
        <f t="shared" si="31"/>
        <v>0</v>
      </c>
      <c r="M94" s="30">
        <f t="shared" si="31"/>
        <v>0</v>
      </c>
      <c r="O94" s="23">
        <f>'GS &gt; 50 OLS Model'!$B$5</f>
        <v>-14985611.9194983</v>
      </c>
      <c r="P94" s="23">
        <f ca="1">'GS &gt; 50 OLS Model'!$B$6*D94</f>
        <v>667490.67400293949</v>
      </c>
      <c r="Q94" s="23">
        <f ca="1">'GS &gt; 50 OLS Model'!$B$7*E94</f>
        <v>645177.83212498645</v>
      </c>
      <c r="R94" s="23">
        <f>'GS &gt; 50 OLS Model'!$B$8*F94</f>
        <v>39378632.234492213</v>
      </c>
      <c r="S94" s="23">
        <f>'GS &gt; 50 OLS Model'!$B$9*G94</f>
        <v>-2897798.4684722861</v>
      </c>
      <c r="T94" s="23">
        <f>'GS &gt; 50 OLS Model'!$B$10*H94</f>
        <v>-439218.30194811599</v>
      </c>
      <c r="U94" s="23">
        <f>'GS &gt; 50 OLS Model'!$B$11*I94</f>
        <v>-1629695.87956432</v>
      </c>
      <c r="V94" s="23">
        <f>'GS &gt; 50 OLS Model'!$B$12*J94</f>
        <v>0</v>
      </c>
      <c r="W94" s="23">
        <f>'GS &gt; 50 OLS Model'!$B$13*K94</f>
        <v>0</v>
      </c>
      <c r="X94" s="23">
        <f>'GS &gt; 50 OLS Model'!$B$14*L94</f>
        <v>0</v>
      </c>
      <c r="Y94" s="23">
        <f>'GS &gt; 50 OLS Model'!$B$15*M94</f>
        <v>0</v>
      </c>
      <c r="Z94" s="23">
        <f t="shared" ca="1" si="8"/>
        <v>20738976.171137117</v>
      </c>
    </row>
    <row r="95" spans="1:26" x14ac:dyDescent="0.25">
      <c r="A95" s="11">
        <v>42644</v>
      </c>
      <c r="B95" s="6">
        <f t="shared" si="7"/>
        <v>2016</v>
      </c>
      <c r="D95">
        <f t="shared" ref="D95:E97" ca="1" si="32">D83</f>
        <v>270.3</v>
      </c>
      <c r="E95">
        <f t="shared" ca="1" si="32"/>
        <v>1.21</v>
      </c>
      <c r="F95" s="30">
        <f>F83*(1+SUMIF('Ontario Employment Growth'!B:B,B95,'Ontario Employment Growth'!G:G))</f>
        <v>7095.3050726250003</v>
      </c>
      <c r="G95" s="30">
        <f t="shared" si="10"/>
        <v>94</v>
      </c>
      <c r="H95" s="30">
        <f t="shared" ref="H95:M95" si="33">H83</f>
        <v>1</v>
      </c>
      <c r="I95" s="30">
        <f t="shared" si="33"/>
        <v>1</v>
      </c>
      <c r="J95" s="30">
        <f t="shared" si="33"/>
        <v>0</v>
      </c>
      <c r="K95" s="30">
        <f t="shared" si="33"/>
        <v>0</v>
      </c>
      <c r="L95" s="30">
        <f t="shared" si="33"/>
        <v>0</v>
      </c>
      <c r="M95" s="30">
        <f t="shared" si="33"/>
        <v>0</v>
      </c>
      <c r="O95" s="23">
        <f>'GS &gt; 50 OLS Model'!$B$5</f>
        <v>-14985611.9194983</v>
      </c>
      <c r="P95" s="23">
        <f ca="1">'GS &gt; 50 OLS Model'!$B$6*D95</f>
        <v>2084125.3226636774</v>
      </c>
      <c r="Q95" s="23">
        <f ca="1">'GS &gt; 50 OLS Model'!$B$7*E95</f>
        <v>39229.405872926312</v>
      </c>
      <c r="R95" s="23">
        <f>'GS &gt; 50 OLS Model'!$B$8*F95</f>
        <v>39336101.202139758</v>
      </c>
      <c r="S95" s="23">
        <f>'GS &gt; 50 OLS Model'!$B$9*G95</f>
        <v>-2928957.5917891925</v>
      </c>
      <c r="T95" s="23">
        <f>'GS &gt; 50 OLS Model'!$B$10*H95</f>
        <v>-439218.30194811599</v>
      </c>
      <c r="U95" s="23">
        <f>'GS &gt; 50 OLS Model'!$B$11*I95</f>
        <v>-1629695.87956432</v>
      </c>
      <c r="V95" s="23">
        <f>'GS &gt; 50 OLS Model'!$B$12*J95</f>
        <v>0</v>
      </c>
      <c r="W95" s="23">
        <f>'GS &gt; 50 OLS Model'!$B$13*K95</f>
        <v>0</v>
      </c>
      <c r="X95" s="23">
        <f>'GS &gt; 50 OLS Model'!$B$14*L95</f>
        <v>0</v>
      </c>
      <c r="Y95" s="23">
        <f>'GS &gt; 50 OLS Model'!$B$15*M95</f>
        <v>0</v>
      </c>
      <c r="Z95" s="23">
        <f t="shared" ca="1" si="8"/>
        <v>21475972.237876434</v>
      </c>
    </row>
    <row r="96" spans="1:26" x14ac:dyDescent="0.25">
      <c r="A96" s="11">
        <v>42675</v>
      </c>
      <c r="B96" s="6">
        <f t="shared" si="7"/>
        <v>2016</v>
      </c>
      <c r="D96">
        <f t="shared" ca="1" si="32"/>
        <v>444.05</v>
      </c>
      <c r="E96">
        <f t="shared" ca="1" si="32"/>
        <v>0</v>
      </c>
      <c r="F96" s="30">
        <f>F84*(1+SUMIF('Ontario Employment Growth'!B:B,B96,'Ontario Employment Growth'!G:G))</f>
        <v>7072.4948625625002</v>
      </c>
      <c r="G96" s="30">
        <f t="shared" si="10"/>
        <v>95</v>
      </c>
      <c r="H96" s="30">
        <f t="shared" ref="H96:M96" si="34">H84</f>
        <v>1</v>
      </c>
      <c r="I96" s="30">
        <f t="shared" si="34"/>
        <v>1</v>
      </c>
      <c r="J96" s="30">
        <f t="shared" si="34"/>
        <v>0</v>
      </c>
      <c r="K96" s="30">
        <f t="shared" si="34"/>
        <v>0</v>
      </c>
      <c r="L96" s="30">
        <f t="shared" si="34"/>
        <v>0</v>
      </c>
      <c r="M96" s="30">
        <f t="shared" si="34"/>
        <v>0</v>
      </c>
      <c r="O96" s="23">
        <f>'GS &gt; 50 OLS Model'!$B$5</f>
        <v>-14985611.9194983</v>
      </c>
      <c r="P96" s="23">
        <f ca="1">'GS &gt; 50 OLS Model'!$B$6*D96</f>
        <v>3423810.024153925</v>
      </c>
      <c r="Q96" s="23">
        <f ca="1">'GS &gt; 50 OLS Model'!$B$7*E96</f>
        <v>0</v>
      </c>
      <c r="R96" s="23">
        <f>'GS &gt; 50 OLS Model'!$B$8*F96</f>
        <v>39209642.265945114</v>
      </c>
      <c r="S96" s="23">
        <f>'GS &gt; 50 OLS Model'!$B$9*G96</f>
        <v>-2960116.7151060984</v>
      </c>
      <c r="T96" s="23">
        <f>'GS &gt; 50 OLS Model'!$B$10*H96</f>
        <v>-439218.30194811599</v>
      </c>
      <c r="U96" s="23">
        <f>'GS &gt; 50 OLS Model'!$B$11*I96</f>
        <v>-1629695.87956432</v>
      </c>
      <c r="V96" s="23">
        <f>'GS &gt; 50 OLS Model'!$B$12*J96</f>
        <v>0</v>
      </c>
      <c r="W96" s="23">
        <f>'GS &gt; 50 OLS Model'!$B$13*K96</f>
        <v>0</v>
      </c>
      <c r="X96" s="23">
        <f>'GS &gt; 50 OLS Model'!$B$14*L96</f>
        <v>0</v>
      </c>
      <c r="Y96" s="23">
        <f>'GS &gt; 50 OLS Model'!$B$15*M96</f>
        <v>0</v>
      </c>
      <c r="Z96" s="23">
        <f t="shared" ca="1" si="8"/>
        <v>22618809.473982204</v>
      </c>
    </row>
    <row r="97" spans="1:26" x14ac:dyDescent="0.25">
      <c r="A97" s="11">
        <v>42705</v>
      </c>
      <c r="B97" s="6">
        <f t="shared" si="7"/>
        <v>2016</v>
      </c>
      <c r="D97">
        <f t="shared" ca="1" si="32"/>
        <v>684.01</v>
      </c>
      <c r="E97">
        <f t="shared" ca="1" si="32"/>
        <v>0</v>
      </c>
      <c r="F97" s="30">
        <f>F85*(1+SUMIF('Ontario Employment Growth'!B:B,B97,'Ontario Employment Growth'!G:G))</f>
        <v>7061.1409014999999</v>
      </c>
      <c r="G97" s="30">
        <f t="shared" si="10"/>
        <v>96</v>
      </c>
      <c r="H97" s="30">
        <f t="shared" ref="H97:M97" si="35">H85</f>
        <v>1</v>
      </c>
      <c r="I97" s="30">
        <f t="shared" si="35"/>
        <v>0</v>
      </c>
      <c r="J97" s="30">
        <f t="shared" si="35"/>
        <v>0</v>
      </c>
      <c r="K97" s="30">
        <f t="shared" si="35"/>
        <v>0</v>
      </c>
      <c r="L97" s="30">
        <f t="shared" si="35"/>
        <v>1</v>
      </c>
      <c r="M97" s="30">
        <f t="shared" si="35"/>
        <v>0</v>
      </c>
      <c r="O97" s="23">
        <f>'GS &gt; 50 OLS Model'!$B$5</f>
        <v>-14985611.9194983</v>
      </c>
      <c r="P97" s="23">
        <f ca="1">'GS &gt; 50 OLS Model'!$B$6*D97</f>
        <v>5274001.3390868735</v>
      </c>
      <c r="Q97" s="23">
        <f ca="1">'GS &gt; 50 OLS Model'!$B$7*E97</f>
        <v>0</v>
      </c>
      <c r="R97" s="23">
        <f>'GS &gt; 50 OLS Model'!$B$8*F97</f>
        <v>39146696.338063478</v>
      </c>
      <c r="S97" s="23">
        <f>'GS &gt; 50 OLS Model'!$B$9*G97</f>
        <v>-2991275.8384230048</v>
      </c>
      <c r="T97" s="23">
        <f>'GS &gt; 50 OLS Model'!$B$10*H97</f>
        <v>-439218.30194811599</v>
      </c>
      <c r="U97" s="23">
        <f>'GS &gt; 50 OLS Model'!$B$11*I97</f>
        <v>0</v>
      </c>
      <c r="V97" s="23">
        <f>'GS &gt; 50 OLS Model'!$B$12*J97</f>
        <v>0</v>
      </c>
      <c r="W97" s="23">
        <f>'GS &gt; 50 OLS Model'!$B$13*K97</f>
        <v>0</v>
      </c>
      <c r="X97" s="23">
        <f>'GS &gt; 50 OLS Model'!$B$14*L97</f>
        <v>-1130663.3851056299</v>
      </c>
      <c r="Y97" s="23">
        <f>'GS &gt; 50 OLS Model'!$B$15*M97</f>
        <v>0</v>
      </c>
      <c r="Z97" s="23">
        <f t="shared" ca="1" si="8"/>
        <v>24873928.232175302</v>
      </c>
    </row>
    <row r="98" spans="1:26" x14ac:dyDescent="0.25">
      <c r="A98" s="11">
        <v>42736</v>
      </c>
      <c r="B98" s="6">
        <f t="shared" ref="B98:B145" si="36">YEAR(A98)</f>
        <v>2017</v>
      </c>
      <c r="D98">
        <f t="shared" ref="D98:E117" ca="1" si="37">D86</f>
        <v>784.29</v>
      </c>
      <c r="E98">
        <f t="shared" ca="1" si="37"/>
        <v>0</v>
      </c>
      <c r="F98" s="30">
        <f>F86*(1+SUMIF('Ontario Employment Growth'!B:B,B98,'Ontario Employment Growth'!G:G))</f>
        <v>7040.1397814721104</v>
      </c>
      <c r="G98" s="30">
        <f t="shared" si="10"/>
        <v>97</v>
      </c>
      <c r="H98" s="30">
        <f t="shared" ref="H98:M98" si="38">H86</f>
        <v>1</v>
      </c>
      <c r="I98" s="30">
        <f t="shared" si="38"/>
        <v>0</v>
      </c>
      <c r="J98" s="30">
        <f t="shared" si="38"/>
        <v>0</v>
      </c>
      <c r="K98" s="30">
        <f t="shared" si="38"/>
        <v>0</v>
      </c>
      <c r="L98" s="30">
        <f t="shared" si="38"/>
        <v>0</v>
      </c>
      <c r="M98" s="30">
        <f t="shared" si="38"/>
        <v>0</v>
      </c>
      <c r="O98" s="23">
        <f>'GS &gt; 50 OLS Model'!$B$5</f>
        <v>-14985611.9194983</v>
      </c>
      <c r="P98" s="23">
        <f ca="1">'GS &gt; 50 OLS Model'!$B$6*D98</f>
        <v>6047201.8102548849</v>
      </c>
      <c r="Q98" s="23">
        <f ca="1">'GS &gt; 50 OLS Model'!$B$7*E98</f>
        <v>0</v>
      </c>
      <c r="R98" s="23">
        <f>'GS &gt; 50 OLS Model'!$B$8*F98</f>
        <v>39030266.928148098</v>
      </c>
      <c r="S98" s="23">
        <f>'GS &gt; 50 OLS Model'!$B$9*G98</f>
        <v>-3022434.9617399112</v>
      </c>
      <c r="T98" s="23">
        <f>'GS &gt; 50 OLS Model'!$B$10*H98</f>
        <v>-439218.30194811599</v>
      </c>
      <c r="U98" s="23">
        <f>'GS &gt; 50 OLS Model'!$B$11*I98</f>
        <v>0</v>
      </c>
      <c r="V98" s="23">
        <f>'GS &gt; 50 OLS Model'!$B$12*J98</f>
        <v>0</v>
      </c>
      <c r="W98" s="23">
        <f>'GS &gt; 50 OLS Model'!$B$13*K98</f>
        <v>0</v>
      </c>
      <c r="X98" s="23">
        <f>'GS &gt; 50 OLS Model'!$B$14*L98</f>
        <v>0</v>
      </c>
      <c r="Y98" s="23">
        <f>'GS &gt; 50 OLS Model'!$B$15*M98</f>
        <v>0</v>
      </c>
      <c r="Z98" s="23">
        <f t="shared" ca="1" si="8"/>
        <v>26630203.555216655</v>
      </c>
    </row>
    <row r="99" spans="1:26" x14ac:dyDescent="0.25">
      <c r="A99" s="11">
        <v>42767</v>
      </c>
      <c r="B99" s="6">
        <f t="shared" si="36"/>
        <v>2017</v>
      </c>
      <c r="D99">
        <f t="shared" ca="1" si="37"/>
        <v>682.50999999999988</v>
      </c>
      <c r="E99">
        <f t="shared" ca="1" si="37"/>
        <v>0</v>
      </c>
      <c r="F99" s="30">
        <f>F87*(1+SUMIF('Ontario Employment Growth'!B:B,B99,'Ontario Employment Growth'!G:G))</f>
        <v>7005.1775087147671</v>
      </c>
      <c r="G99" s="30">
        <f t="shared" si="10"/>
        <v>98</v>
      </c>
      <c r="H99" s="30">
        <f t="shared" ref="H99:M99" si="39">H87</f>
        <v>1</v>
      </c>
      <c r="I99" s="30">
        <f t="shared" si="39"/>
        <v>0</v>
      </c>
      <c r="J99" s="30">
        <f t="shared" si="39"/>
        <v>1</v>
      </c>
      <c r="K99" s="30">
        <f t="shared" si="39"/>
        <v>0</v>
      </c>
      <c r="L99" s="30">
        <f t="shared" si="39"/>
        <v>0</v>
      </c>
      <c r="M99" s="30">
        <f t="shared" si="39"/>
        <v>0</v>
      </c>
      <c r="O99" s="23">
        <f>'GS &gt; 50 OLS Model'!$B$5</f>
        <v>-14985611.9194983</v>
      </c>
      <c r="P99" s="23">
        <f ca="1">'GS &gt; 50 OLS Model'!$B$6*D99</f>
        <v>5262435.7157646548</v>
      </c>
      <c r="Q99" s="23">
        <f ca="1">'GS &gt; 50 OLS Model'!$B$7*E99</f>
        <v>0</v>
      </c>
      <c r="R99" s="23">
        <f>'GS &gt; 50 OLS Model'!$B$8*F99</f>
        <v>38836437.419006094</v>
      </c>
      <c r="S99" s="23">
        <f>'GS &gt; 50 OLS Model'!$B$9*G99</f>
        <v>-3053594.0850568176</v>
      </c>
      <c r="T99" s="23">
        <f>'GS &gt; 50 OLS Model'!$B$10*H99</f>
        <v>-439218.30194811599</v>
      </c>
      <c r="U99" s="23">
        <f>'GS &gt; 50 OLS Model'!$B$11*I99</f>
        <v>0</v>
      </c>
      <c r="V99" s="23">
        <f>'GS &gt; 50 OLS Model'!$B$12*J99</f>
        <v>-1507735.557816</v>
      </c>
      <c r="W99" s="23">
        <f>'GS &gt; 50 OLS Model'!$B$13*K99</f>
        <v>0</v>
      </c>
      <c r="X99" s="23">
        <f>'GS &gt; 50 OLS Model'!$B$14*L99</f>
        <v>0</v>
      </c>
      <c r="Y99" s="23">
        <f>'GS &gt; 50 OLS Model'!$B$15*M99</f>
        <v>0</v>
      </c>
      <c r="Z99" s="23">
        <f t="shared" ca="1" si="8"/>
        <v>24112713.270451516</v>
      </c>
    </row>
    <row r="100" spans="1:26" x14ac:dyDescent="0.25">
      <c r="A100" s="11">
        <v>42795</v>
      </c>
      <c r="B100" s="6">
        <f t="shared" si="36"/>
        <v>2017</v>
      </c>
      <c r="D100">
        <f t="shared" ca="1" si="37"/>
        <v>556.99</v>
      </c>
      <c r="E100">
        <f t="shared" ca="1" si="37"/>
        <v>0</v>
      </c>
      <c r="F100" s="30">
        <f>F88*(1+SUMIF('Ontario Employment Growth'!B:B,B100,'Ontario Employment Growth'!G:G))</f>
        <v>6983.4553865874232</v>
      </c>
      <c r="G100" s="30">
        <f t="shared" si="10"/>
        <v>99</v>
      </c>
      <c r="H100" s="30">
        <f t="shared" ref="H100:M100" si="40">H88</f>
        <v>1</v>
      </c>
      <c r="I100" s="30">
        <f t="shared" si="40"/>
        <v>0</v>
      </c>
      <c r="J100" s="30">
        <f t="shared" si="40"/>
        <v>0</v>
      </c>
      <c r="K100" s="30">
        <f t="shared" si="40"/>
        <v>0</v>
      </c>
      <c r="L100" s="30">
        <f t="shared" si="40"/>
        <v>0</v>
      </c>
      <c r="M100" s="30">
        <f t="shared" si="40"/>
        <v>0</v>
      </c>
      <c r="O100" s="23">
        <f>'GS &gt; 50 OLS Model'!$B$5</f>
        <v>-14985611.9194983</v>
      </c>
      <c r="P100" s="23">
        <f ca="1">'GS &gt; 50 OLS Model'!$B$6*D100</f>
        <v>4294624.3561614566</v>
      </c>
      <c r="Q100" s="23">
        <f ca="1">'GS &gt; 50 OLS Model'!$B$7*E100</f>
        <v>0</v>
      </c>
      <c r="R100" s="23">
        <f>'GS &gt; 50 OLS Model'!$B$8*F100</f>
        <v>38716010.800900117</v>
      </c>
      <c r="S100" s="23">
        <f>'GS &gt; 50 OLS Model'!$B$9*G100</f>
        <v>-3084753.208373724</v>
      </c>
      <c r="T100" s="23">
        <f>'GS &gt; 50 OLS Model'!$B$10*H100</f>
        <v>-439218.30194811599</v>
      </c>
      <c r="U100" s="23">
        <f>'GS &gt; 50 OLS Model'!$B$11*I100</f>
        <v>0</v>
      </c>
      <c r="V100" s="23">
        <f>'GS &gt; 50 OLS Model'!$B$12*J100</f>
        <v>0</v>
      </c>
      <c r="W100" s="23">
        <f>'GS &gt; 50 OLS Model'!$B$13*K100</f>
        <v>0</v>
      </c>
      <c r="X100" s="23">
        <f>'GS &gt; 50 OLS Model'!$B$14*L100</f>
        <v>0</v>
      </c>
      <c r="Y100" s="23">
        <f>'GS &gt; 50 OLS Model'!$B$15*M100</f>
        <v>0</v>
      </c>
      <c r="Z100" s="23">
        <f t="shared" ca="1" si="8"/>
        <v>24501051.727241434</v>
      </c>
    </row>
    <row r="101" spans="1:26" x14ac:dyDescent="0.25">
      <c r="A101" s="11">
        <v>42826</v>
      </c>
      <c r="B101" s="6">
        <f t="shared" si="36"/>
        <v>2017</v>
      </c>
      <c r="D101">
        <f t="shared" ca="1" si="37"/>
        <v>326.58999999999997</v>
      </c>
      <c r="E101">
        <f t="shared" ca="1" si="37"/>
        <v>0.39</v>
      </c>
      <c r="F101" s="30">
        <f>F89*(1+SUMIF('Ontario Employment Growth'!B:B,B101,'Ontario Employment Growth'!G:G))</f>
        <v>7018.3142206679686</v>
      </c>
      <c r="G101" s="30">
        <f t="shared" si="10"/>
        <v>100</v>
      </c>
      <c r="H101" s="30">
        <f t="shared" ref="H101:M101" si="41">H89</f>
        <v>1</v>
      </c>
      <c r="I101" s="30">
        <f t="shared" si="41"/>
        <v>0</v>
      </c>
      <c r="J101" s="30">
        <f t="shared" si="41"/>
        <v>0</v>
      </c>
      <c r="K101" s="30">
        <f t="shared" si="41"/>
        <v>1</v>
      </c>
      <c r="L101" s="30">
        <f t="shared" si="41"/>
        <v>0</v>
      </c>
      <c r="M101" s="30">
        <f t="shared" si="41"/>
        <v>0</v>
      </c>
      <c r="O101" s="23">
        <f>'GS &gt; 50 OLS Model'!$B$5</f>
        <v>-14985611.9194983</v>
      </c>
      <c r="P101" s="23">
        <f ca="1">'GS &gt; 50 OLS Model'!$B$6*D101</f>
        <v>2518144.6138687767</v>
      </c>
      <c r="Q101" s="23">
        <f ca="1">'GS &gt; 50 OLS Model'!$B$7*E101</f>
        <v>12644.188669786166</v>
      </c>
      <c r="R101" s="23">
        <f>'GS &gt; 50 OLS Model'!$B$8*F101</f>
        <v>38909266.849955894</v>
      </c>
      <c r="S101" s="23">
        <f>'GS &gt; 50 OLS Model'!$B$9*G101</f>
        <v>-3115912.3316906299</v>
      </c>
      <c r="T101" s="23">
        <f>'GS &gt; 50 OLS Model'!$B$10*H101</f>
        <v>-439218.30194811599</v>
      </c>
      <c r="U101" s="23">
        <f>'GS &gt; 50 OLS Model'!$B$11*I101</f>
        <v>0</v>
      </c>
      <c r="V101" s="23">
        <f>'GS &gt; 50 OLS Model'!$B$12*J101</f>
        <v>0</v>
      </c>
      <c r="W101" s="23">
        <f>'GS &gt; 50 OLS Model'!$B$13*K101</f>
        <v>-1602103.9965178701</v>
      </c>
      <c r="X101" s="23">
        <f>'GS &gt; 50 OLS Model'!$B$14*L101</f>
        <v>0</v>
      </c>
      <c r="Y101" s="23">
        <f>'GS &gt; 50 OLS Model'!$B$15*M101</f>
        <v>0</v>
      </c>
      <c r="Z101" s="23">
        <f t="shared" ca="1" si="8"/>
        <v>21297209.102839541</v>
      </c>
    </row>
    <row r="102" spans="1:26" x14ac:dyDescent="0.25">
      <c r="A102" s="11">
        <v>42856</v>
      </c>
      <c r="B102" s="6">
        <f t="shared" si="36"/>
        <v>2017</v>
      </c>
      <c r="D102">
        <f t="shared" ca="1" si="37"/>
        <v>144.96</v>
      </c>
      <c r="E102">
        <f t="shared" ca="1" si="37"/>
        <v>8.67</v>
      </c>
      <c r="F102" s="30">
        <f>F90*(1+SUMIF('Ontario Employment Growth'!B:B,B102,'Ontario Employment Growth'!G:G))</f>
        <v>7077.8948985029692</v>
      </c>
      <c r="G102" s="30">
        <f t="shared" si="10"/>
        <v>101</v>
      </c>
      <c r="H102" s="30">
        <f t="shared" ref="H102:M102" si="42">H90</f>
        <v>1</v>
      </c>
      <c r="I102" s="30">
        <f t="shared" si="42"/>
        <v>0</v>
      </c>
      <c r="J102" s="30">
        <f t="shared" si="42"/>
        <v>0</v>
      </c>
      <c r="K102" s="30">
        <f t="shared" si="42"/>
        <v>0</v>
      </c>
      <c r="L102" s="30">
        <f t="shared" si="42"/>
        <v>0</v>
      </c>
      <c r="M102" s="30">
        <f t="shared" si="42"/>
        <v>1</v>
      </c>
      <c r="O102" s="23">
        <f>'GS &gt; 50 OLS Model'!$B$5</f>
        <v>-14985611.9194983</v>
      </c>
      <c r="P102" s="23">
        <f ca="1">'GS &gt; 50 OLS Model'!$B$6*D102</f>
        <v>1117701.8378591442</v>
      </c>
      <c r="Q102" s="23">
        <f ca="1">'GS &gt; 50 OLS Model'!$B$7*E102</f>
        <v>281090.04042832326</v>
      </c>
      <c r="R102" s="23">
        <f>'GS &gt; 50 OLS Model'!$B$8*F102</f>
        <v>39239579.859618016</v>
      </c>
      <c r="S102" s="23">
        <f>'GS &gt; 50 OLS Model'!$B$9*G102</f>
        <v>-3147071.4550075363</v>
      </c>
      <c r="T102" s="23">
        <f>'GS &gt; 50 OLS Model'!$B$10*H102</f>
        <v>-439218.30194811599</v>
      </c>
      <c r="U102" s="23">
        <f>'GS &gt; 50 OLS Model'!$B$11*I102</f>
        <v>0</v>
      </c>
      <c r="V102" s="23">
        <f>'GS &gt; 50 OLS Model'!$B$12*J102</f>
        <v>0</v>
      </c>
      <c r="W102" s="23">
        <f>'GS &gt; 50 OLS Model'!$B$13*K102</f>
        <v>0</v>
      </c>
      <c r="X102" s="23">
        <f>'GS &gt; 50 OLS Model'!$B$14*L102</f>
        <v>0</v>
      </c>
      <c r="Y102" s="23">
        <f>'GS &gt; 50 OLS Model'!$B$15*M102</f>
        <v>-1248171.7663678101</v>
      </c>
      <c r="Z102" s="23">
        <f t="shared" ca="1" si="8"/>
        <v>20818298.29508372</v>
      </c>
    </row>
    <row r="103" spans="1:26" x14ac:dyDescent="0.25">
      <c r="A103" s="11">
        <v>42887</v>
      </c>
      <c r="B103" s="6">
        <f t="shared" si="36"/>
        <v>2017</v>
      </c>
      <c r="D103">
        <f t="shared" ca="1" si="37"/>
        <v>41.510000000000005</v>
      </c>
      <c r="E103">
        <f t="shared" ca="1" si="37"/>
        <v>44.41</v>
      </c>
      <c r="F103" s="30">
        <f>F91*(1+SUMIF('Ontario Employment Growth'!B:B,B103,'Ontario Employment Growth'!G:G))</f>
        <v>7150.6122882911714</v>
      </c>
      <c r="G103" s="30">
        <f t="shared" si="10"/>
        <v>102</v>
      </c>
      <c r="H103" s="30">
        <f t="shared" ref="H103:M103" si="43">H91</f>
        <v>1</v>
      </c>
      <c r="I103" s="30">
        <f t="shared" si="43"/>
        <v>0</v>
      </c>
      <c r="J103" s="30">
        <f t="shared" si="43"/>
        <v>0</v>
      </c>
      <c r="K103" s="30">
        <f t="shared" si="43"/>
        <v>0</v>
      </c>
      <c r="L103" s="30">
        <f t="shared" si="43"/>
        <v>0</v>
      </c>
      <c r="M103" s="30">
        <f t="shared" si="43"/>
        <v>1</v>
      </c>
      <c r="O103" s="23">
        <f>'GS &gt; 50 OLS Model'!$B$5</f>
        <v>-14985611.9194983</v>
      </c>
      <c r="P103" s="23">
        <f ca="1">'GS &gt; 50 OLS Model'!$B$6*D103</f>
        <v>320059.34940351185</v>
      </c>
      <c r="Q103" s="23">
        <f ca="1">'GS &gt; 50 OLS Model'!$B$7*E103</f>
        <v>1439816.4585261631</v>
      </c>
      <c r="R103" s="23">
        <f>'GS &gt; 50 OLS Model'!$B$8*F103</f>
        <v>39642722.300229929</v>
      </c>
      <c r="S103" s="23">
        <f>'GS &gt; 50 OLS Model'!$B$9*G103</f>
        <v>-3178230.5783244427</v>
      </c>
      <c r="T103" s="23">
        <f>'GS &gt; 50 OLS Model'!$B$10*H103</f>
        <v>-439218.30194811599</v>
      </c>
      <c r="U103" s="23">
        <f>'GS &gt; 50 OLS Model'!$B$11*I103</f>
        <v>0</v>
      </c>
      <c r="V103" s="23">
        <f>'GS &gt; 50 OLS Model'!$B$12*J103</f>
        <v>0</v>
      </c>
      <c r="W103" s="23">
        <f>'GS &gt; 50 OLS Model'!$B$13*K103</f>
        <v>0</v>
      </c>
      <c r="X103" s="23">
        <f>'GS &gt; 50 OLS Model'!$B$14*L103</f>
        <v>0</v>
      </c>
      <c r="Y103" s="23">
        <f>'GS &gt; 50 OLS Model'!$B$15*M103</f>
        <v>-1248171.7663678101</v>
      </c>
      <c r="Z103" s="23">
        <f t="shared" ca="1" si="8"/>
        <v>21551365.542020936</v>
      </c>
    </row>
    <row r="104" spans="1:26" x14ac:dyDescent="0.25">
      <c r="A104" s="11">
        <v>42917</v>
      </c>
      <c r="B104" s="6">
        <f t="shared" si="36"/>
        <v>2017</v>
      </c>
      <c r="D104">
        <f t="shared" ca="1" si="37"/>
        <v>5.01</v>
      </c>
      <c r="E104">
        <f t="shared" ca="1" si="37"/>
        <v>96.909999999999982</v>
      </c>
      <c r="F104" s="30">
        <f>F92*(1+SUMIF('Ontario Employment Growth'!B:B,B104,'Ontario Employment Growth'!G:G))</f>
        <v>7197.0562541729696</v>
      </c>
      <c r="G104" s="30">
        <f t="shared" si="10"/>
        <v>103</v>
      </c>
      <c r="H104" s="30">
        <f t="shared" ref="H104:M104" si="44">H92</f>
        <v>1</v>
      </c>
      <c r="I104" s="30">
        <f t="shared" si="44"/>
        <v>0</v>
      </c>
      <c r="J104" s="30">
        <f t="shared" si="44"/>
        <v>0</v>
      </c>
      <c r="K104" s="30">
        <f t="shared" si="44"/>
        <v>0</v>
      </c>
      <c r="L104" s="30">
        <f t="shared" si="44"/>
        <v>0</v>
      </c>
      <c r="M104" s="30">
        <f t="shared" si="44"/>
        <v>1</v>
      </c>
      <c r="O104" s="23">
        <f>'GS &gt; 50 OLS Model'!$B$5</f>
        <v>-14985611.9194983</v>
      </c>
      <c r="P104" s="23">
        <f ca="1">'GS &gt; 50 OLS Model'!$B$6*D104</f>
        <v>38629.181896208</v>
      </c>
      <c r="Q104" s="23">
        <f ca="1">'GS &gt; 50 OLS Model'!$B$7*E104</f>
        <v>3141918.7794589158</v>
      </c>
      <c r="R104" s="23">
        <f>'GS &gt; 50 OLS Model'!$B$8*F104</f>
        <v>39900205.878942251</v>
      </c>
      <c r="S104" s="23">
        <f>'GS &gt; 50 OLS Model'!$B$9*G104</f>
        <v>-3209389.7016413491</v>
      </c>
      <c r="T104" s="23">
        <f>'GS &gt; 50 OLS Model'!$B$10*H104</f>
        <v>-439218.30194811599</v>
      </c>
      <c r="U104" s="23">
        <f>'GS &gt; 50 OLS Model'!$B$11*I104</f>
        <v>0</v>
      </c>
      <c r="V104" s="23">
        <f>'GS &gt; 50 OLS Model'!$B$12*J104</f>
        <v>0</v>
      </c>
      <c r="W104" s="23">
        <f>'GS &gt; 50 OLS Model'!$B$13*K104</f>
        <v>0</v>
      </c>
      <c r="X104" s="23">
        <f>'GS &gt; 50 OLS Model'!$B$14*L104</f>
        <v>0</v>
      </c>
      <c r="Y104" s="23">
        <f>'GS &gt; 50 OLS Model'!$B$15*M104</f>
        <v>-1248171.7663678101</v>
      </c>
      <c r="Z104" s="23">
        <f t="shared" ca="1" si="8"/>
        <v>23198362.150841799</v>
      </c>
    </row>
    <row r="105" spans="1:26" x14ac:dyDescent="0.25">
      <c r="A105" s="11">
        <v>42948</v>
      </c>
      <c r="B105" s="6">
        <f t="shared" si="36"/>
        <v>2017</v>
      </c>
      <c r="D105">
        <f t="shared" ca="1" si="37"/>
        <v>12.719999999999999</v>
      </c>
      <c r="E105">
        <f t="shared" ca="1" si="37"/>
        <v>77.22999999999999</v>
      </c>
      <c r="F105" s="30">
        <f>F93*(1+SUMIF('Ontario Employment Growth'!B:B,B105,'Ontario Employment Growth'!G:G))</f>
        <v>7209.3654567117974</v>
      </c>
      <c r="G105" s="30">
        <f t="shared" si="10"/>
        <v>104</v>
      </c>
      <c r="H105" s="30">
        <f t="shared" ref="H105:M105" si="45">H93</f>
        <v>1</v>
      </c>
      <c r="I105" s="30">
        <f t="shared" si="45"/>
        <v>0</v>
      </c>
      <c r="J105" s="30">
        <f t="shared" si="45"/>
        <v>0</v>
      </c>
      <c r="K105" s="30">
        <f t="shared" si="45"/>
        <v>0</v>
      </c>
      <c r="L105" s="30">
        <f t="shared" si="45"/>
        <v>0</v>
      </c>
      <c r="M105" s="30">
        <f t="shared" si="45"/>
        <v>1</v>
      </c>
      <c r="O105" s="23">
        <f>'GS &gt; 50 OLS Model'!$B$5</f>
        <v>-14985611.9194983</v>
      </c>
      <c r="P105" s="23">
        <f ca="1">'GS &gt; 50 OLS Model'!$B$6*D105</f>
        <v>98076.485772408327</v>
      </c>
      <c r="Q105" s="23">
        <f ca="1">'GS &gt; 50 OLS Model'!$B$7*E105</f>
        <v>2503873.5665835529</v>
      </c>
      <c r="R105" s="23">
        <f>'GS &gt; 50 OLS Model'!$B$8*F105</f>
        <v>39968447.629202299</v>
      </c>
      <c r="S105" s="23">
        <f>'GS &gt; 50 OLS Model'!$B$9*G105</f>
        <v>-3240548.8249582555</v>
      </c>
      <c r="T105" s="23">
        <f>'GS &gt; 50 OLS Model'!$B$10*H105</f>
        <v>-439218.30194811599</v>
      </c>
      <c r="U105" s="23">
        <f>'GS &gt; 50 OLS Model'!$B$11*I105</f>
        <v>0</v>
      </c>
      <c r="V105" s="23">
        <f>'GS &gt; 50 OLS Model'!$B$12*J105</f>
        <v>0</v>
      </c>
      <c r="W105" s="23">
        <f>'GS &gt; 50 OLS Model'!$B$13*K105</f>
        <v>0</v>
      </c>
      <c r="X105" s="23">
        <f>'GS &gt; 50 OLS Model'!$B$14*L105</f>
        <v>0</v>
      </c>
      <c r="Y105" s="23">
        <f>'GS &gt; 50 OLS Model'!$B$15*M105</f>
        <v>-1248171.7663678101</v>
      </c>
      <c r="Z105" s="23">
        <f t="shared" ca="1" si="8"/>
        <v>22656846.86878578</v>
      </c>
    </row>
    <row r="106" spans="1:26" x14ac:dyDescent="0.25">
      <c r="A106" s="11">
        <v>42979</v>
      </c>
      <c r="B106" s="6">
        <f t="shared" si="36"/>
        <v>2017</v>
      </c>
      <c r="D106">
        <f t="shared" ca="1" si="37"/>
        <v>86.570000000000007</v>
      </c>
      <c r="E106">
        <f t="shared" ca="1" si="37"/>
        <v>19.899999999999999</v>
      </c>
      <c r="F106" s="30">
        <f>F94*(1+SUMIF('Ontario Employment Growth'!B:B,B106,'Ontario Employment Growth'!G:G))</f>
        <v>7182.8851554517978</v>
      </c>
      <c r="G106" s="30">
        <f t="shared" si="10"/>
        <v>105</v>
      </c>
      <c r="H106" s="30">
        <f t="shared" ref="H106:M106" si="46">H94</f>
        <v>1</v>
      </c>
      <c r="I106" s="30">
        <f t="shared" si="46"/>
        <v>1</v>
      </c>
      <c r="J106" s="30">
        <f t="shared" si="46"/>
        <v>0</v>
      </c>
      <c r="K106" s="30">
        <f t="shared" si="46"/>
        <v>0</v>
      </c>
      <c r="L106" s="30">
        <f t="shared" si="46"/>
        <v>0</v>
      </c>
      <c r="M106" s="30">
        <f t="shared" si="46"/>
        <v>0</v>
      </c>
      <c r="O106" s="23">
        <f>'GS &gt; 50 OLS Model'!$B$5</f>
        <v>-14985611.9194983</v>
      </c>
      <c r="P106" s="23">
        <f ca="1">'GS &gt; 50 OLS Model'!$B$6*D106</f>
        <v>667490.67400293949</v>
      </c>
      <c r="Q106" s="23">
        <f ca="1">'GS &gt; 50 OLS Model'!$B$7*E106</f>
        <v>645177.83212498645</v>
      </c>
      <c r="R106" s="23">
        <f>'GS &gt; 50 OLS Model'!$B$8*F106</f>
        <v>39821641.847130254</v>
      </c>
      <c r="S106" s="23">
        <f>'GS &gt; 50 OLS Model'!$B$9*G106</f>
        <v>-3271707.9482751614</v>
      </c>
      <c r="T106" s="23">
        <f>'GS &gt; 50 OLS Model'!$B$10*H106</f>
        <v>-439218.30194811599</v>
      </c>
      <c r="U106" s="23">
        <f>'GS &gt; 50 OLS Model'!$B$11*I106</f>
        <v>-1629695.87956432</v>
      </c>
      <c r="V106" s="23">
        <f>'GS &gt; 50 OLS Model'!$B$12*J106</f>
        <v>0</v>
      </c>
      <c r="W106" s="23">
        <f>'GS &gt; 50 OLS Model'!$B$13*K106</f>
        <v>0</v>
      </c>
      <c r="X106" s="23">
        <f>'GS &gt; 50 OLS Model'!$B$14*L106</f>
        <v>0</v>
      </c>
      <c r="Y106" s="23">
        <f>'GS &gt; 50 OLS Model'!$B$15*M106</f>
        <v>0</v>
      </c>
      <c r="Z106" s="23">
        <f t="shared" ca="1" si="8"/>
        <v>20808076.303972285</v>
      </c>
    </row>
    <row r="107" spans="1:26" x14ac:dyDescent="0.25">
      <c r="A107" s="11">
        <v>43009</v>
      </c>
      <c r="B107" s="6">
        <f t="shared" si="36"/>
        <v>2017</v>
      </c>
      <c r="D107">
        <f t="shared" ca="1" si="37"/>
        <v>270.3</v>
      </c>
      <c r="E107">
        <f t="shared" ca="1" si="37"/>
        <v>1.21</v>
      </c>
      <c r="F107" s="30">
        <f>F95*(1+SUMIF('Ontario Employment Growth'!B:B,B107,'Ontario Employment Growth'!G:G))</f>
        <v>7175.1272546920318</v>
      </c>
      <c r="G107" s="30">
        <f t="shared" si="10"/>
        <v>106</v>
      </c>
      <c r="H107" s="30">
        <f t="shared" ref="H107:M107" si="47">H95</f>
        <v>1</v>
      </c>
      <c r="I107" s="30">
        <f t="shared" si="47"/>
        <v>1</v>
      </c>
      <c r="J107" s="30">
        <f t="shared" si="47"/>
        <v>0</v>
      </c>
      <c r="K107" s="30">
        <f t="shared" si="47"/>
        <v>0</v>
      </c>
      <c r="L107" s="30">
        <f t="shared" si="47"/>
        <v>0</v>
      </c>
      <c r="M107" s="30">
        <f t="shared" si="47"/>
        <v>0</v>
      </c>
      <c r="O107" s="23">
        <f>'GS &gt; 50 OLS Model'!$B$5</f>
        <v>-14985611.9194983</v>
      </c>
      <c r="P107" s="23">
        <f ca="1">'GS &gt; 50 OLS Model'!$B$6*D107</f>
        <v>2084125.3226636774</v>
      </c>
      <c r="Q107" s="23">
        <f ca="1">'GS &gt; 50 OLS Model'!$B$7*E107</f>
        <v>39229.405872926312</v>
      </c>
      <c r="R107" s="23">
        <f>'GS &gt; 50 OLS Model'!$B$8*F107</f>
        <v>39778632.340663828</v>
      </c>
      <c r="S107" s="23">
        <f>'GS &gt; 50 OLS Model'!$B$9*G107</f>
        <v>-3302867.0715920678</v>
      </c>
      <c r="T107" s="23">
        <f>'GS &gt; 50 OLS Model'!$B$10*H107</f>
        <v>-439218.30194811599</v>
      </c>
      <c r="U107" s="23">
        <f>'GS &gt; 50 OLS Model'!$B$11*I107</f>
        <v>-1629695.87956432</v>
      </c>
      <c r="V107" s="23">
        <f>'GS &gt; 50 OLS Model'!$B$12*J107</f>
        <v>0</v>
      </c>
      <c r="W107" s="23">
        <f>'GS &gt; 50 OLS Model'!$B$13*K107</f>
        <v>0</v>
      </c>
      <c r="X107" s="23">
        <f>'GS &gt; 50 OLS Model'!$B$14*L107</f>
        <v>0</v>
      </c>
      <c r="Y107" s="23">
        <f>'GS &gt; 50 OLS Model'!$B$15*M107</f>
        <v>0</v>
      </c>
      <c r="Z107" s="23">
        <f t="shared" ca="1" si="8"/>
        <v>21544593.896597631</v>
      </c>
    </row>
    <row r="108" spans="1:26" x14ac:dyDescent="0.25">
      <c r="A108" s="11">
        <v>43040</v>
      </c>
      <c r="B108" s="6">
        <f t="shared" si="36"/>
        <v>2017</v>
      </c>
      <c r="D108">
        <f t="shared" ca="1" si="37"/>
        <v>444.05</v>
      </c>
      <c r="E108">
        <f t="shared" ca="1" si="37"/>
        <v>0</v>
      </c>
      <c r="F108" s="30">
        <f>F96*(1+SUMIF('Ontario Employment Growth'!B:B,B108,'Ontario Employment Growth'!G:G))</f>
        <v>7152.0604297663285</v>
      </c>
      <c r="G108" s="30">
        <f t="shared" si="10"/>
        <v>107</v>
      </c>
      <c r="H108" s="30">
        <f t="shared" ref="H108:M108" si="48">H96</f>
        <v>1</v>
      </c>
      <c r="I108" s="30">
        <f t="shared" si="48"/>
        <v>1</v>
      </c>
      <c r="J108" s="30">
        <f t="shared" si="48"/>
        <v>0</v>
      </c>
      <c r="K108" s="30">
        <f t="shared" si="48"/>
        <v>0</v>
      </c>
      <c r="L108" s="30">
        <f t="shared" si="48"/>
        <v>0</v>
      </c>
      <c r="M108" s="30">
        <f t="shared" si="48"/>
        <v>0</v>
      </c>
      <c r="O108" s="23">
        <f>'GS &gt; 50 OLS Model'!$B$5</f>
        <v>-14985611.9194983</v>
      </c>
      <c r="P108" s="23">
        <f ca="1">'GS &gt; 50 OLS Model'!$B$6*D108</f>
        <v>3423810.024153925</v>
      </c>
      <c r="Q108" s="23">
        <f ca="1">'GS &gt; 50 OLS Model'!$B$7*E108</f>
        <v>0</v>
      </c>
      <c r="R108" s="23">
        <f>'GS &gt; 50 OLS Model'!$B$8*F108</f>
        <v>39650750.741437003</v>
      </c>
      <c r="S108" s="23">
        <f>'GS &gt; 50 OLS Model'!$B$9*G108</f>
        <v>-3334026.1949089742</v>
      </c>
      <c r="T108" s="23">
        <f>'GS &gt; 50 OLS Model'!$B$10*H108</f>
        <v>-439218.30194811599</v>
      </c>
      <c r="U108" s="23">
        <f>'GS &gt; 50 OLS Model'!$B$11*I108</f>
        <v>-1629695.87956432</v>
      </c>
      <c r="V108" s="23">
        <f>'GS &gt; 50 OLS Model'!$B$12*J108</f>
        <v>0</v>
      </c>
      <c r="W108" s="23">
        <f>'GS &gt; 50 OLS Model'!$B$13*K108</f>
        <v>0</v>
      </c>
      <c r="X108" s="23">
        <f>'GS &gt; 50 OLS Model'!$B$14*L108</f>
        <v>0</v>
      </c>
      <c r="Y108" s="23">
        <f>'GS &gt; 50 OLS Model'!$B$15*M108</f>
        <v>0</v>
      </c>
      <c r="Z108" s="23">
        <f t="shared" ca="1" si="8"/>
        <v>22686008.46967122</v>
      </c>
    </row>
    <row r="109" spans="1:26" x14ac:dyDescent="0.25">
      <c r="A109" s="11">
        <v>43070</v>
      </c>
      <c r="B109" s="6">
        <f t="shared" si="36"/>
        <v>2017</v>
      </c>
      <c r="D109">
        <f t="shared" ca="1" si="37"/>
        <v>684.01</v>
      </c>
      <c r="E109">
        <f t="shared" ca="1" si="37"/>
        <v>0</v>
      </c>
      <c r="F109" s="30">
        <f>F97*(1+SUMIF('Ontario Employment Growth'!B:B,B109,'Ontario Employment Growth'!G:G))</f>
        <v>7140.5787366418745</v>
      </c>
      <c r="G109" s="30">
        <f t="shared" si="10"/>
        <v>108</v>
      </c>
      <c r="H109" s="30">
        <f t="shared" ref="H109:M109" si="49">H97</f>
        <v>1</v>
      </c>
      <c r="I109" s="30">
        <f t="shared" si="49"/>
        <v>0</v>
      </c>
      <c r="J109" s="30">
        <f t="shared" si="49"/>
        <v>0</v>
      </c>
      <c r="K109" s="30">
        <f t="shared" si="49"/>
        <v>0</v>
      </c>
      <c r="L109" s="30">
        <f t="shared" si="49"/>
        <v>1</v>
      </c>
      <c r="M109" s="30">
        <f t="shared" si="49"/>
        <v>0</v>
      </c>
      <c r="O109" s="23">
        <f>'GS &gt; 50 OLS Model'!$B$5</f>
        <v>-14985611.9194983</v>
      </c>
      <c r="P109" s="23">
        <f ca="1">'GS &gt; 50 OLS Model'!$B$6*D109</f>
        <v>5274001.3390868735</v>
      </c>
      <c r="Q109" s="23">
        <f ca="1">'GS &gt; 50 OLS Model'!$B$7*E109</f>
        <v>0</v>
      </c>
      <c r="R109" s="23">
        <f>'GS &gt; 50 OLS Model'!$B$8*F109</f>
        <v>39587096.671866693</v>
      </c>
      <c r="S109" s="23">
        <f>'GS &gt; 50 OLS Model'!$B$9*G109</f>
        <v>-3365185.3182258806</v>
      </c>
      <c r="T109" s="23">
        <f>'GS &gt; 50 OLS Model'!$B$10*H109</f>
        <v>-439218.30194811599</v>
      </c>
      <c r="U109" s="23">
        <f>'GS &gt; 50 OLS Model'!$B$11*I109</f>
        <v>0</v>
      </c>
      <c r="V109" s="23">
        <f>'GS &gt; 50 OLS Model'!$B$12*J109</f>
        <v>0</v>
      </c>
      <c r="W109" s="23">
        <f>'GS &gt; 50 OLS Model'!$B$13*K109</f>
        <v>0</v>
      </c>
      <c r="X109" s="23">
        <f>'GS &gt; 50 OLS Model'!$B$14*L109</f>
        <v>-1130663.3851056299</v>
      </c>
      <c r="Y109" s="23">
        <f>'GS &gt; 50 OLS Model'!$B$15*M109</f>
        <v>0</v>
      </c>
      <c r="Z109" s="23">
        <f t="shared" ca="1" si="8"/>
        <v>24940419.086175643</v>
      </c>
    </row>
    <row r="110" spans="1:26" x14ac:dyDescent="0.25">
      <c r="A110" s="11">
        <v>43101</v>
      </c>
      <c r="B110" s="6">
        <f t="shared" si="36"/>
        <v>2018</v>
      </c>
      <c r="D110">
        <f t="shared" ca="1" si="37"/>
        <v>784.29</v>
      </c>
      <c r="E110">
        <f t="shared" ca="1" si="37"/>
        <v>0</v>
      </c>
      <c r="F110" s="30">
        <f>F98*(1+SUMIF('Ontario Employment Growth'!B:B,B110,'Ontario Employment Growth'!G:G))</f>
        <v>7119.3413540136717</v>
      </c>
      <c r="G110" s="30">
        <f t="shared" si="10"/>
        <v>109</v>
      </c>
      <c r="H110" s="30">
        <f t="shared" ref="H110:M110" si="50">H98</f>
        <v>1</v>
      </c>
      <c r="I110" s="30">
        <f t="shared" si="50"/>
        <v>0</v>
      </c>
      <c r="J110" s="30">
        <f t="shared" si="50"/>
        <v>0</v>
      </c>
      <c r="K110" s="30">
        <f t="shared" si="50"/>
        <v>0</v>
      </c>
      <c r="L110" s="30">
        <f t="shared" si="50"/>
        <v>0</v>
      </c>
      <c r="M110" s="30">
        <f t="shared" si="50"/>
        <v>0</v>
      </c>
      <c r="O110" s="23">
        <f>'GS &gt; 50 OLS Model'!$B$5</f>
        <v>-14985611.9194983</v>
      </c>
      <c r="P110" s="23">
        <f ca="1">'GS &gt; 50 OLS Model'!$B$6*D110</f>
        <v>6047201.8102548849</v>
      </c>
      <c r="Q110" s="23">
        <f ca="1">'GS &gt; 50 OLS Model'!$B$7*E110</f>
        <v>0</v>
      </c>
      <c r="R110" s="23">
        <f>'GS &gt; 50 OLS Model'!$B$8*F110</f>
        <v>39469357.431089766</v>
      </c>
      <c r="S110" s="23">
        <f>'GS &gt; 50 OLS Model'!$B$9*G110</f>
        <v>-3396344.441542787</v>
      </c>
      <c r="T110" s="23">
        <f>'GS &gt; 50 OLS Model'!$B$10*H110</f>
        <v>-439218.30194811599</v>
      </c>
      <c r="U110" s="23">
        <f>'GS &gt; 50 OLS Model'!$B$11*I110</f>
        <v>0</v>
      </c>
      <c r="V110" s="23">
        <f>'GS &gt; 50 OLS Model'!$B$12*J110</f>
        <v>0</v>
      </c>
      <c r="W110" s="23">
        <f>'GS &gt; 50 OLS Model'!$B$13*K110</f>
        <v>0</v>
      </c>
      <c r="X110" s="23">
        <f>'GS &gt; 50 OLS Model'!$B$14*L110</f>
        <v>0</v>
      </c>
      <c r="Y110" s="23">
        <f>'GS &gt; 50 OLS Model'!$B$15*M110</f>
        <v>0</v>
      </c>
      <c r="Z110" s="23">
        <f t="shared" ca="1" si="8"/>
        <v>26695384.57835545</v>
      </c>
    </row>
    <row r="111" spans="1:26" x14ac:dyDescent="0.25">
      <c r="A111" s="11">
        <v>43132</v>
      </c>
      <c r="B111" s="6">
        <f t="shared" si="36"/>
        <v>2018</v>
      </c>
      <c r="D111">
        <f t="shared" ca="1" si="37"/>
        <v>682.50999999999988</v>
      </c>
      <c r="E111">
        <f t="shared" ca="1" si="37"/>
        <v>0</v>
      </c>
      <c r="F111" s="30">
        <f>F99*(1+SUMIF('Ontario Employment Growth'!B:B,B111,'Ontario Employment Growth'!G:G))</f>
        <v>7083.9857556878078</v>
      </c>
      <c r="G111" s="30">
        <f t="shared" si="10"/>
        <v>110</v>
      </c>
      <c r="H111" s="30">
        <f t="shared" ref="H111:M111" si="51">H99</f>
        <v>1</v>
      </c>
      <c r="I111" s="30">
        <f t="shared" si="51"/>
        <v>0</v>
      </c>
      <c r="J111" s="30">
        <f t="shared" si="51"/>
        <v>1</v>
      </c>
      <c r="K111" s="30">
        <f t="shared" si="51"/>
        <v>0</v>
      </c>
      <c r="L111" s="30">
        <f t="shared" si="51"/>
        <v>0</v>
      </c>
      <c r="M111" s="30">
        <f t="shared" si="51"/>
        <v>0</v>
      </c>
      <c r="O111" s="23">
        <f>'GS &gt; 50 OLS Model'!$B$5</f>
        <v>-14985611.9194983</v>
      </c>
      <c r="P111" s="23">
        <f ca="1">'GS &gt; 50 OLS Model'!$B$6*D111</f>
        <v>5262435.7157646548</v>
      </c>
      <c r="Q111" s="23">
        <f ca="1">'GS &gt; 50 OLS Model'!$B$7*E111</f>
        <v>0</v>
      </c>
      <c r="R111" s="23">
        <f>'GS &gt; 50 OLS Model'!$B$8*F111</f>
        <v>39273347.339969911</v>
      </c>
      <c r="S111" s="23">
        <f>'GS &gt; 50 OLS Model'!$B$9*G111</f>
        <v>-3427503.5648596934</v>
      </c>
      <c r="T111" s="23">
        <f>'GS &gt; 50 OLS Model'!$B$10*H111</f>
        <v>-439218.30194811599</v>
      </c>
      <c r="U111" s="23">
        <f>'GS &gt; 50 OLS Model'!$B$11*I111</f>
        <v>0</v>
      </c>
      <c r="V111" s="23">
        <f>'GS &gt; 50 OLS Model'!$B$12*J111</f>
        <v>-1507735.557816</v>
      </c>
      <c r="W111" s="23">
        <f>'GS &gt; 50 OLS Model'!$B$13*K111</f>
        <v>0</v>
      </c>
      <c r="X111" s="23">
        <f>'GS &gt; 50 OLS Model'!$B$14*L111</f>
        <v>0</v>
      </c>
      <c r="Y111" s="23">
        <f>'GS &gt; 50 OLS Model'!$B$15*M111</f>
        <v>0</v>
      </c>
      <c r="Z111" s="23">
        <f t="shared" ca="1" si="8"/>
        <v>24175713.711612459</v>
      </c>
    </row>
    <row r="112" spans="1:26" x14ac:dyDescent="0.25">
      <c r="A112" s="11">
        <v>43160</v>
      </c>
      <c r="B112" s="6">
        <f t="shared" si="36"/>
        <v>2018</v>
      </c>
      <c r="D112">
        <f t="shared" ca="1" si="37"/>
        <v>556.99</v>
      </c>
      <c r="E112">
        <f t="shared" ca="1" si="37"/>
        <v>0</v>
      </c>
      <c r="F112" s="30">
        <f>F100*(1+SUMIF('Ontario Employment Growth'!B:B,B112,'Ontario Employment Growth'!G:G))</f>
        <v>7062.0192596865318</v>
      </c>
      <c r="G112" s="30">
        <f t="shared" si="10"/>
        <v>111</v>
      </c>
      <c r="H112" s="30">
        <f t="shared" ref="H112:M112" si="52">H100</f>
        <v>1</v>
      </c>
      <c r="I112" s="30">
        <f t="shared" si="52"/>
        <v>0</v>
      </c>
      <c r="J112" s="30">
        <f t="shared" si="52"/>
        <v>0</v>
      </c>
      <c r="K112" s="30">
        <f t="shared" si="52"/>
        <v>0</v>
      </c>
      <c r="L112" s="30">
        <f t="shared" si="52"/>
        <v>0</v>
      </c>
      <c r="M112" s="30">
        <f t="shared" si="52"/>
        <v>0</v>
      </c>
      <c r="O112" s="23">
        <f>'GS &gt; 50 OLS Model'!$B$5</f>
        <v>-14985611.9194983</v>
      </c>
      <c r="P112" s="23">
        <f ca="1">'GS &gt; 50 OLS Model'!$B$6*D112</f>
        <v>4294624.3561614566</v>
      </c>
      <c r="Q112" s="23">
        <f ca="1">'GS &gt; 50 OLS Model'!$B$7*E112</f>
        <v>0</v>
      </c>
      <c r="R112" s="23">
        <f>'GS &gt; 50 OLS Model'!$B$8*F112</f>
        <v>39151565.922410242</v>
      </c>
      <c r="S112" s="23">
        <f>'GS &gt; 50 OLS Model'!$B$9*G112</f>
        <v>-3458662.6881765993</v>
      </c>
      <c r="T112" s="23">
        <f>'GS &gt; 50 OLS Model'!$B$10*H112</f>
        <v>-439218.30194811599</v>
      </c>
      <c r="U112" s="23">
        <f>'GS &gt; 50 OLS Model'!$B$11*I112</f>
        <v>0</v>
      </c>
      <c r="V112" s="23">
        <f>'GS &gt; 50 OLS Model'!$B$12*J112</f>
        <v>0</v>
      </c>
      <c r="W112" s="23">
        <f>'GS &gt; 50 OLS Model'!$B$13*K112</f>
        <v>0</v>
      </c>
      <c r="X112" s="23">
        <f>'GS &gt; 50 OLS Model'!$B$14*L112</f>
        <v>0</v>
      </c>
      <c r="Y112" s="23">
        <f>'GS &gt; 50 OLS Model'!$B$15*M112</f>
        <v>0</v>
      </c>
      <c r="Z112" s="23">
        <f t="shared" ca="1" si="8"/>
        <v>24562697.368948687</v>
      </c>
    </row>
    <row r="113" spans="1:26" x14ac:dyDescent="0.25">
      <c r="A113" s="11">
        <v>43191</v>
      </c>
      <c r="B113" s="6">
        <f t="shared" si="36"/>
        <v>2018</v>
      </c>
      <c r="D113">
        <f t="shared" ca="1" si="37"/>
        <v>326.58999999999997</v>
      </c>
      <c r="E113">
        <f t="shared" ca="1" si="37"/>
        <v>0.39</v>
      </c>
      <c r="F113" s="30">
        <f>F101*(1+SUMIF('Ontario Employment Growth'!B:B,B113,'Ontario Employment Growth'!G:G))</f>
        <v>7097.2702556504828</v>
      </c>
      <c r="G113" s="30">
        <f t="shared" si="10"/>
        <v>112</v>
      </c>
      <c r="H113" s="30">
        <f t="shared" ref="H113:M113" si="53">H101</f>
        <v>1</v>
      </c>
      <c r="I113" s="30">
        <f t="shared" si="53"/>
        <v>0</v>
      </c>
      <c r="J113" s="30">
        <f t="shared" si="53"/>
        <v>0</v>
      </c>
      <c r="K113" s="30">
        <f t="shared" si="53"/>
        <v>1</v>
      </c>
      <c r="L113" s="30">
        <f t="shared" si="53"/>
        <v>0</v>
      </c>
      <c r="M113" s="30">
        <f t="shared" si="53"/>
        <v>0</v>
      </c>
      <c r="O113" s="23">
        <f>'GS &gt; 50 OLS Model'!$B$5</f>
        <v>-14985611.9194983</v>
      </c>
      <c r="P113" s="23">
        <f ca="1">'GS &gt; 50 OLS Model'!$B$6*D113</f>
        <v>2518144.6138687767</v>
      </c>
      <c r="Q113" s="23">
        <f ca="1">'GS &gt; 50 OLS Model'!$B$7*E113</f>
        <v>12644.188669786166</v>
      </c>
      <c r="R113" s="23">
        <f>'GS &gt; 50 OLS Model'!$B$8*F113</f>
        <v>39346996.102017894</v>
      </c>
      <c r="S113" s="23">
        <f>'GS &gt; 50 OLS Model'!$B$9*G113</f>
        <v>-3489821.8114935057</v>
      </c>
      <c r="T113" s="23">
        <f>'GS &gt; 50 OLS Model'!$B$10*H113</f>
        <v>-439218.30194811599</v>
      </c>
      <c r="U113" s="23">
        <f>'GS &gt; 50 OLS Model'!$B$11*I113</f>
        <v>0</v>
      </c>
      <c r="V113" s="23">
        <f>'GS &gt; 50 OLS Model'!$B$12*J113</f>
        <v>0</v>
      </c>
      <c r="W113" s="23">
        <f>'GS &gt; 50 OLS Model'!$B$13*K113</f>
        <v>-1602103.9965178701</v>
      </c>
      <c r="X113" s="23">
        <f>'GS &gt; 50 OLS Model'!$B$14*L113</f>
        <v>0</v>
      </c>
      <c r="Y113" s="23">
        <f>'GS &gt; 50 OLS Model'!$B$15*M113</f>
        <v>0</v>
      </c>
      <c r="Z113" s="23">
        <f t="shared" ca="1" si="8"/>
        <v>21361028.875098668</v>
      </c>
    </row>
    <row r="114" spans="1:26" x14ac:dyDescent="0.25">
      <c r="A114" s="11">
        <v>43221</v>
      </c>
      <c r="B114" s="6">
        <f t="shared" si="36"/>
        <v>2018</v>
      </c>
      <c r="D114">
        <f t="shared" ca="1" si="37"/>
        <v>144.96</v>
      </c>
      <c r="E114">
        <f t="shared" ca="1" si="37"/>
        <v>8.67</v>
      </c>
      <c r="F114" s="30">
        <f>F102*(1+SUMIF('Ontario Employment Growth'!B:B,B114,'Ontario Employment Growth'!G:G))</f>
        <v>7157.5212161111276</v>
      </c>
      <c r="G114" s="30">
        <f t="shared" si="10"/>
        <v>113</v>
      </c>
      <c r="H114" s="30">
        <f t="shared" ref="H114:M114" si="54">H102</f>
        <v>1</v>
      </c>
      <c r="I114" s="30">
        <f t="shared" si="54"/>
        <v>0</v>
      </c>
      <c r="J114" s="30">
        <f t="shared" si="54"/>
        <v>0</v>
      </c>
      <c r="K114" s="30">
        <f t="shared" si="54"/>
        <v>0</v>
      </c>
      <c r="L114" s="30">
        <f t="shared" si="54"/>
        <v>0</v>
      </c>
      <c r="M114" s="30">
        <f t="shared" si="54"/>
        <v>1</v>
      </c>
      <c r="O114" s="23">
        <f>'GS &gt; 50 OLS Model'!$B$5</f>
        <v>-14985611.9194983</v>
      </c>
      <c r="P114" s="23">
        <f ca="1">'GS &gt; 50 OLS Model'!$B$6*D114</f>
        <v>1117701.8378591442</v>
      </c>
      <c r="Q114" s="23">
        <f ca="1">'GS &gt; 50 OLS Model'!$B$7*E114</f>
        <v>281090.04042832326</v>
      </c>
      <c r="R114" s="23">
        <f>'GS &gt; 50 OLS Model'!$B$8*F114</f>
        <v>39681025.133038715</v>
      </c>
      <c r="S114" s="23">
        <f>'GS &gt; 50 OLS Model'!$B$9*G114</f>
        <v>-3520980.9348104121</v>
      </c>
      <c r="T114" s="23">
        <f>'GS &gt; 50 OLS Model'!$B$10*H114</f>
        <v>-439218.30194811599</v>
      </c>
      <c r="U114" s="23">
        <f>'GS &gt; 50 OLS Model'!$B$11*I114</f>
        <v>0</v>
      </c>
      <c r="V114" s="23">
        <f>'GS &gt; 50 OLS Model'!$B$12*J114</f>
        <v>0</v>
      </c>
      <c r="W114" s="23">
        <f>'GS &gt; 50 OLS Model'!$B$13*K114</f>
        <v>0</v>
      </c>
      <c r="X114" s="23">
        <f>'GS &gt; 50 OLS Model'!$B$14*L114</f>
        <v>0</v>
      </c>
      <c r="Y114" s="23">
        <f>'GS &gt; 50 OLS Model'!$B$15*M114</f>
        <v>-1248171.7663678101</v>
      </c>
      <c r="Z114" s="23">
        <f t="shared" ca="1" si="8"/>
        <v>20885834.088701546</v>
      </c>
    </row>
    <row r="115" spans="1:26" x14ac:dyDescent="0.25">
      <c r="A115" s="11">
        <v>43252</v>
      </c>
      <c r="B115" s="6">
        <f t="shared" si="36"/>
        <v>2018</v>
      </c>
      <c r="D115">
        <f t="shared" ca="1" si="37"/>
        <v>41.510000000000005</v>
      </c>
      <c r="E115">
        <f t="shared" ca="1" si="37"/>
        <v>44.41</v>
      </c>
      <c r="F115" s="30">
        <f>F103*(1+SUMIF('Ontario Employment Growth'!B:B,B115,'Ontario Employment Growth'!G:G))</f>
        <v>7231.0566765344465</v>
      </c>
      <c r="G115" s="30">
        <f t="shared" si="10"/>
        <v>114</v>
      </c>
      <c r="H115" s="30">
        <f t="shared" ref="H115:M115" si="55">H103</f>
        <v>1</v>
      </c>
      <c r="I115" s="30">
        <f t="shared" si="55"/>
        <v>0</v>
      </c>
      <c r="J115" s="30">
        <f t="shared" si="55"/>
        <v>0</v>
      </c>
      <c r="K115" s="30">
        <f t="shared" si="55"/>
        <v>0</v>
      </c>
      <c r="L115" s="30">
        <f t="shared" si="55"/>
        <v>0</v>
      </c>
      <c r="M115" s="30">
        <f t="shared" si="55"/>
        <v>1</v>
      </c>
      <c r="O115" s="23">
        <f>'GS &gt; 50 OLS Model'!$B$5</f>
        <v>-14985611.9194983</v>
      </c>
      <c r="P115" s="23">
        <f ca="1">'GS &gt; 50 OLS Model'!$B$6*D115</f>
        <v>320059.34940351185</v>
      </c>
      <c r="Q115" s="23">
        <f ca="1">'GS &gt; 50 OLS Model'!$B$7*E115</f>
        <v>1439816.4585261631</v>
      </c>
      <c r="R115" s="23">
        <f>'GS &gt; 50 OLS Model'!$B$8*F115</f>
        <v>40088702.926107518</v>
      </c>
      <c r="S115" s="23">
        <f>'GS &gt; 50 OLS Model'!$B$9*G115</f>
        <v>-3552140.0581273185</v>
      </c>
      <c r="T115" s="23">
        <f>'GS &gt; 50 OLS Model'!$B$10*H115</f>
        <v>-439218.30194811599</v>
      </c>
      <c r="U115" s="23">
        <f>'GS &gt; 50 OLS Model'!$B$11*I115</f>
        <v>0</v>
      </c>
      <c r="V115" s="23">
        <f>'GS &gt; 50 OLS Model'!$B$12*J115</f>
        <v>0</v>
      </c>
      <c r="W115" s="23">
        <f>'GS &gt; 50 OLS Model'!$B$13*K115</f>
        <v>0</v>
      </c>
      <c r="X115" s="23">
        <f>'GS &gt; 50 OLS Model'!$B$14*L115</f>
        <v>0</v>
      </c>
      <c r="Y115" s="23">
        <f>'GS &gt; 50 OLS Model'!$B$15*M115</f>
        <v>-1248171.7663678101</v>
      </c>
      <c r="Z115" s="23">
        <f t="shared" ca="1" si="8"/>
        <v>21623436.688095648</v>
      </c>
    </row>
    <row r="116" spans="1:26" x14ac:dyDescent="0.25">
      <c r="A116" s="11">
        <v>43282</v>
      </c>
      <c r="B116" s="6">
        <f t="shared" si="36"/>
        <v>2018</v>
      </c>
      <c r="D116">
        <f t="shared" ca="1" si="37"/>
        <v>5.01</v>
      </c>
      <c r="E116">
        <f t="shared" ca="1" si="37"/>
        <v>96.909999999999982</v>
      </c>
      <c r="F116" s="30">
        <f>F104*(1+SUMIF('Ontario Employment Growth'!B:B,B116,'Ontario Employment Growth'!G:G))</f>
        <v>7278.0231370324154</v>
      </c>
      <c r="G116" s="30">
        <f t="shared" si="10"/>
        <v>115</v>
      </c>
      <c r="H116" s="30">
        <f t="shared" ref="H116:M116" si="56">H104</f>
        <v>1</v>
      </c>
      <c r="I116" s="30">
        <f t="shared" si="56"/>
        <v>0</v>
      </c>
      <c r="J116" s="30">
        <f t="shared" si="56"/>
        <v>0</v>
      </c>
      <c r="K116" s="30">
        <f t="shared" si="56"/>
        <v>0</v>
      </c>
      <c r="L116" s="30">
        <f t="shared" si="56"/>
        <v>0</v>
      </c>
      <c r="M116" s="30">
        <f t="shared" si="56"/>
        <v>1</v>
      </c>
      <c r="O116" s="23">
        <f>'GS &gt; 50 OLS Model'!$B$5</f>
        <v>-14985611.9194983</v>
      </c>
      <c r="P116" s="23">
        <f ca="1">'GS &gt; 50 OLS Model'!$B$6*D116</f>
        <v>38629.181896208</v>
      </c>
      <c r="Q116" s="23">
        <f ca="1">'GS &gt; 50 OLS Model'!$B$7*E116</f>
        <v>3141918.7794589158</v>
      </c>
      <c r="R116" s="23">
        <f>'GS &gt; 50 OLS Model'!$B$8*F116</f>
        <v>40349083.195080347</v>
      </c>
      <c r="S116" s="23">
        <f>'GS &gt; 50 OLS Model'!$B$9*G116</f>
        <v>-3583299.1814442249</v>
      </c>
      <c r="T116" s="23">
        <f>'GS &gt; 50 OLS Model'!$B$10*H116</f>
        <v>-439218.30194811599</v>
      </c>
      <c r="U116" s="23">
        <f>'GS &gt; 50 OLS Model'!$B$11*I116</f>
        <v>0</v>
      </c>
      <c r="V116" s="23">
        <f>'GS &gt; 50 OLS Model'!$B$12*J116</f>
        <v>0</v>
      </c>
      <c r="W116" s="23">
        <f>'GS &gt; 50 OLS Model'!$B$13*K116</f>
        <v>0</v>
      </c>
      <c r="X116" s="23">
        <f>'GS &gt; 50 OLS Model'!$B$14*L116</f>
        <v>0</v>
      </c>
      <c r="Y116" s="23">
        <f>'GS &gt; 50 OLS Model'!$B$15*M116</f>
        <v>-1248171.7663678101</v>
      </c>
      <c r="Z116" s="23">
        <f t="shared" ca="1" si="8"/>
        <v>23273329.987177022</v>
      </c>
    </row>
    <row r="117" spans="1:26" x14ac:dyDescent="0.25">
      <c r="A117" s="11">
        <v>43313</v>
      </c>
      <c r="B117" s="6">
        <f t="shared" si="36"/>
        <v>2018</v>
      </c>
      <c r="D117">
        <f t="shared" ca="1" si="37"/>
        <v>12.719999999999999</v>
      </c>
      <c r="E117">
        <f t="shared" ca="1" si="37"/>
        <v>77.22999999999999</v>
      </c>
      <c r="F117" s="30">
        <f>F105*(1+SUMIF('Ontario Employment Growth'!B:B,B117,'Ontario Employment Growth'!G:G))</f>
        <v>7290.470818099805</v>
      </c>
      <c r="G117" s="30">
        <f t="shared" si="10"/>
        <v>116</v>
      </c>
      <c r="H117" s="30">
        <f t="shared" ref="H117:M117" si="57">H105</f>
        <v>1</v>
      </c>
      <c r="I117" s="30">
        <f t="shared" si="57"/>
        <v>0</v>
      </c>
      <c r="J117" s="30">
        <f t="shared" si="57"/>
        <v>0</v>
      </c>
      <c r="K117" s="30">
        <f t="shared" si="57"/>
        <v>0</v>
      </c>
      <c r="L117" s="30">
        <f t="shared" si="57"/>
        <v>0</v>
      </c>
      <c r="M117" s="30">
        <f t="shared" si="57"/>
        <v>1</v>
      </c>
      <c r="O117" s="23">
        <f>'GS &gt; 50 OLS Model'!$B$5</f>
        <v>-14985611.9194983</v>
      </c>
      <c r="P117" s="23">
        <f ca="1">'GS &gt; 50 OLS Model'!$B$6*D117</f>
        <v>98076.485772408327</v>
      </c>
      <c r="Q117" s="23">
        <f ca="1">'GS &gt; 50 OLS Model'!$B$7*E117</f>
        <v>2503873.5665835529</v>
      </c>
      <c r="R117" s="23">
        <f>'GS &gt; 50 OLS Model'!$B$8*F117</f>
        <v>40418092.66503083</v>
      </c>
      <c r="S117" s="23">
        <f>'GS &gt; 50 OLS Model'!$B$9*G117</f>
        <v>-3614458.3047611308</v>
      </c>
      <c r="T117" s="23">
        <f>'GS &gt; 50 OLS Model'!$B$10*H117</f>
        <v>-439218.30194811599</v>
      </c>
      <c r="U117" s="23">
        <f>'GS &gt; 50 OLS Model'!$B$11*I117</f>
        <v>0</v>
      </c>
      <c r="V117" s="23">
        <f>'GS &gt; 50 OLS Model'!$B$12*J117</f>
        <v>0</v>
      </c>
      <c r="W117" s="23">
        <f>'GS &gt; 50 OLS Model'!$B$13*K117</f>
        <v>0</v>
      </c>
      <c r="X117" s="23">
        <f>'GS &gt; 50 OLS Model'!$B$14*L117</f>
        <v>0</v>
      </c>
      <c r="Y117" s="23">
        <f>'GS &gt; 50 OLS Model'!$B$15*M117</f>
        <v>-1248171.7663678101</v>
      </c>
      <c r="Z117" s="23">
        <f t="shared" ca="1" si="8"/>
        <v>22732582.424811434</v>
      </c>
    </row>
    <row r="118" spans="1:26" x14ac:dyDescent="0.25">
      <c r="A118" s="11">
        <v>43344</v>
      </c>
      <c r="B118" s="6">
        <f t="shared" si="36"/>
        <v>2018</v>
      </c>
      <c r="D118">
        <f t="shared" ref="D118:E137" ca="1" si="58">D106</f>
        <v>86.570000000000007</v>
      </c>
      <c r="E118">
        <f t="shared" ca="1" si="58"/>
        <v>19.899999999999999</v>
      </c>
      <c r="F118" s="30">
        <f>F106*(1+SUMIF('Ontario Employment Growth'!B:B,B118,'Ontario Employment Growth'!G:G))</f>
        <v>7263.6926134506302</v>
      </c>
      <c r="G118" s="30">
        <f t="shared" si="10"/>
        <v>117</v>
      </c>
      <c r="H118" s="30">
        <f t="shared" ref="H118:M118" si="59">H106</f>
        <v>1</v>
      </c>
      <c r="I118" s="30">
        <f t="shared" si="59"/>
        <v>1</v>
      </c>
      <c r="J118" s="30">
        <f t="shared" si="59"/>
        <v>0</v>
      </c>
      <c r="K118" s="30">
        <f t="shared" si="59"/>
        <v>0</v>
      </c>
      <c r="L118" s="30">
        <f t="shared" si="59"/>
        <v>0</v>
      </c>
      <c r="M118" s="30">
        <f t="shared" si="59"/>
        <v>0</v>
      </c>
      <c r="O118" s="23">
        <f>'GS &gt; 50 OLS Model'!$B$5</f>
        <v>-14985611.9194983</v>
      </c>
      <c r="P118" s="23">
        <f ca="1">'GS &gt; 50 OLS Model'!$B$6*D118</f>
        <v>667490.67400293949</v>
      </c>
      <c r="Q118" s="23">
        <f ca="1">'GS &gt; 50 OLS Model'!$B$7*E118</f>
        <v>645177.83212498645</v>
      </c>
      <c r="R118" s="23">
        <f>'GS &gt; 50 OLS Model'!$B$8*F118</f>
        <v>40269635.317910463</v>
      </c>
      <c r="S118" s="23">
        <f>'GS &gt; 50 OLS Model'!$B$9*G118</f>
        <v>-3645617.4280780372</v>
      </c>
      <c r="T118" s="23">
        <f>'GS &gt; 50 OLS Model'!$B$10*H118</f>
        <v>-439218.30194811599</v>
      </c>
      <c r="U118" s="23">
        <f>'GS &gt; 50 OLS Model'!$B$11*I118</f>
        <v>-1629695.87956432</v>
      </c>
      <c r="V118" s="23">
        <f>'GS &gt; 50 OLS Model'!$B$12*J118</f>
        <v>0</v>
      </c>
      <c r="W118" s="23">
        <f>'GS &gt; 50 OLS Model'!$B$13*K118</f>
        <v>0</v>
      </c>
      <c r="X118" s="23">
        <f>'GS &gt; 50 OLS Model'!$B$14*L118</f>
        <v>0</v>
      </c>
      <c r="Y118" s="23">
        <f>'GS &gt; 50 OLS Model'!$B$15*M118</f>
        <v>0</v>
      </c>
      <c r="Z118" s="23">
        <f t="shared" ca="1" si="8"/>
        <v>20882160.294949617</v>
      </c>
    </row>
    <row r="119" spans="1:26" x14ac:dyDescent="0.25">
      <c r="A119" s="11">
        <v>43374</v>
      </c>
      <c r="B119" s="6">
        <f t="shared" si="36"/>
        <v>2018</v>
      </c>
      <c r="D119">
        <f t="shared" ca="1" si="58"/>
        <v>270.3</v>
      </c>
      <c r="E119">
        <f t="shared" ca="1" si="58"/>
        <v>1.21</v>
      </c>
      <c r="F119" s="30">
        <f>F107*(1+SUMIF('Ontario Employment Growth'!B:B,B119,'Ontario Employment Growth'!G:G))</f>
        <v>7255.8474363073174</v>
      </c>
      <c r="G119" s="30">
        <f t="shared" si="10"/>
        <v>118</v>
      </c>
      <c r="H119" s="30">
        <f t="shared" ref="H119:M119" si="60">H107</f>
        <v>1</v>
      </c>
      <c r="I119" s="30">
        <f t="shared" si="60"/>
        <v>1</v>
      </c>
      <c r="J119" s="30">
        <f t="shared" si="60"/>
        <v>0</v>
      </c>
      <c r="K119" s="30">
        <f t="shared" si="60"/>
        <v>0</v>
      </c>
      <c r="L119" s="30">
        <f t="shared" si="60"/>
        <v>0</v>
      </c>
      <c r="M119" s="30">
        <f t="shared" si="60"/>
        <v>0</v>
      </c>
      <c r="O119" s="23">
        <f>'GS &gt; 50 OLS Model'!$B$5</f>
        <v>-14985611.9194983</v>
      </c>
      <c r="P119" s="23">
        <f ca="1">'GS &gt; 50 OLS Model'!$B$6*D119</f>
        <v>2084125.3226636774</v>
      </c>
      <c r="Q119" s="23">
        <f ca="1">'GS &gt; 50 OLS Model'!$B$7*E119</f>
        <v>39229.405872926312</v>
      </c>
      <c r="R119" s="23">
        <f>'GS &gt; 50 OLS Model'!$B$8*F119</f>
        <v>40226141.954496294</v>
      </c>
      <c r="S119" s="23">
        <f>'GS &gt; 50 OLS Model'!$B$9*G119</f>
        <v>-3676776.5513949436</v>
      </c>
      <c r="T119" s="23">
        <f>'GS &gt; 50 OLS Model'!$B$10*H119</f>
        <v>-439218.30194811599</v>
      </c>
      <c r="U119" s="23">
        <f>'GS &gt; 50 OLS Model'!$B$11*I119</f>
        <v>-1629695.87956432</v>
      </c>
      <c r="V119" s="23">
        <f>'GS &gt; 50 OLS Model'!$B$12*J119</f>
        <v>0</v>
      </c>
      <c r="W119" s="23">
        <f>'GS &gt; 50 OLS Model'!$B$13*K119</f>
        <v>0</v>
      </c>
      <c r="X119" s="23">
        <f>'GS &gt; 50 OLS Model'!$B$14*L119</f>
        <v>0</v>
      </c>
      <c r="Y119" s="23">
        <f>'GS &gt; 50 OLS Model'!$B$15*M119</f>
        <v>0</v>
      </c>
      <c r="Z119" s="23">
        <f t="shared" ca="1" si="8"/>
        <v>21618194.030627221</v>
      </c>
    </row>
    <row r="120" spans="1:26" x14ac:dyDescent="0.25">
      <c r="A120" s="11">
        <v>43405</v>
      </c>
      <c r="B120" s="6">
        <f t="shared" si="36"/>
        <v>2018</v>
      </c>
      <c r="D120">
        <f t="shared" ca="1" si="58"/>
        <v>444.05</v>
      </c>
      <c r="E120">
        <f t="shared" ca="1" si="58"/>
        <v>0</v>
      </c>
      <c r="F120" s="30">
        <f>F108*(1+SUMIF('Ontario Employment Growth'!B:B,B120,'Ontario Employment Growth'!G:G))</f>
        <v>7232.5211096011999</v>
      </c>
      <c r="G120" s="30">
        <f t="shared" si="10"/>
        <v>119</v>
      </c>
      <c r="H120" s="30">
        <f t="shared" ref="H120:M120" si="61">H108</f>
        <v>1</v>
      </c>
      <c r="I120" s="30">
        <f t="shared" si="61"/>
        <v>1</v>
      </c>
      <c r="J120" s="30">
        <f t="shared" si="61"/>
        <v>0</v>
      </c>
      <c r="K120" s="30">
        <f t="shared" si="61"/>
        <v>0</v>
      </c>
      <c r="L120" s="30">
        <f t="shared" si="61"/>
        <v>0</v>
      </c>
      <c r="M120" s="30">
        <f t="shared" si="61"/>
        <v>0</v>
      </c>
      <c r="O120" s="23">
        <f>'GS &gt; 50 OLS Model'!$B$5</f>
        <v>-14985611.9194983</v>
      </c>
      <c r="P120" s="23">
        <f ca="1">'GS &gt; 50 OLS Model'!$B$6*D120</f>
        <v>3423810.024153925</v>
      </c>
      <c r="Q120" s="23">
        <f ca="1">'GS &gt; 50 OLS Model'!$B$7*E120</f>
        <v>0</v>
      </c>
      <c r="R120" s="23">
        <f>'GS &gt; 50 OLS Model'!$B$8*F120</f>
        <v>40096821.687278166</v>
      </c>
      <c r="S120" s="23">
        <f>'GS &gt; 50 OLS Model'!$B$9*G120</f>
        <v>-3707935.67471185</v>
      </c>
      <c r="T120" s="23">
        <f>'GS &gt; 50 OLS Model'!$B$10*H120</f>
        <v>-439218.30194811599</v>
      </c>
      <c r="U120" s="23">
        <f>'GS &gt; 50 OLS Model'!$B$11*I120</f>
        <v>-1629695.87956432</v>
      </c>
      <c r="V120" s="23">
        <f>'GS &gt; 50 OLS Model'!$B$12*J120</f>
        <v>0</v>
      </c>
      <c r="W120" s="23">
        <f>'GS &gt; 50 OLS Model'!$B$13*K120</f>
        <v>0</v>
      </c>
      <c r="X120" s="23">
        <f>'GS &gt; 50 OLS Model'!$B$14*L120</f>
        <v>0</v>
      </c>
      <c r="Y120" s="23">
        <f>'GS &gt; 50 OLS Model'!$B$15*M120</f>
        <v>0</v>
      </c>
      <c r="Z120" s="23">
        <f t="shared" ca="1" si="8"/>
        <v>22758169.935709506</v>
      </c>
    </row>
    <row r="121" spans="1:26" x14ac:dyDescent="0.25">
      <c r="A121" s="11">
        <v>43435</v>
      </c>
      <c r="B121" s="6">
        <f t="shared" si="36"/>
        <v>2018</v>
      </c>
      <c r="D121">
        <f t="shared" ca="1" si="58"/>
        <v>684.01</v>
      </c>
      <c r="E121">
        <f t="shared" ca="1" si="58"/>
        <v>0</v>
      </c>
      <c r="F121" s="30">
        <f>F109*(1+SUMIF('Ontario Employment Growth'!B:B,B121,'Ontario Employment Growth'!G:G))</f>
        <v>7220.9102474290958</v>
      </c>
      <c r="G121" s="30">
        <f t="shared" si="10"/>
        <v>120</v>
      </c>
      <c r="H121" s="30">
        <f t="shared" ref="H121:M121" si="62">H109</f>
        <v>1</v>
      </c>
      <c r="I121" s="30">
        <f t="shared" si="62"/>
        <v>0</v>
      </c>
      <c r="J121" s="30">
        <f t="shared" si="62"/>
        <v>0</v>
      </c>
      <c r="K121" s="30">
        <f t="shared" si="62"/>
        <v>0</v>
      </c>
      <c r="L121" s="30">
        <f t="shared" si="62"/>
        <v>1</v>
      </c>
      <c r="M121" s="30">
        <f t="shared" si="62"/>
        <v>0</v>
      </c>
      <c r="O121" s="23">
        <f>'GS &gt; 50 OLS Model'!$B$5</f>
        <v>-14985611.9194983</v>
      </c>
      <c r="P121" s="23">
        <f ca="1">'GS &gt; 50 OLS Model'!$B$6*D121</f>
        <v>5274001.3390868735</v>
      </c>
      <c r="Q121" s="23">
        <f ca="1">'GS &gt; 50 OLS Model'!$B$7*E121</f>
        <v>0</v>
      </c>
      <c r="R121" s="23">
        <f>'GS &gt; 50 OLS Model'!$B$8*F121</f>
        <v>40032451.509425193</v>
      </c>
      <c r="S121" s="23">
        <f>'GS &gt; 50 OLS Model'!$B$9*G121</f>
        <v>-3739094.7980287564</v>
      </c>
      <c r="T121" s="23">
        <f>'GS &gt; 50 OLS Model'!$B$10*H121</f>
        <v>-439218.30194811599</v>
      </c>
      <c r="U121" s="23">
        <f>'GS &gt; 50 OLS Model'!$B$11*I121</f>
        <v>0</v>
      </c>
      <c r="V121" s="23">
        <f>'GS &gt; 50 OLS Model'!$B$12*J121</f>
        <v>0</v>
      </c>
      <c r="W121" s="23">
        <f>'GS &gt; 50 OLS Model'!$B$13*K121</f>
        <v>0</v>
      </c>
      <c r="X121" s="23">
        <f>'GS &gt; 50 OLS Model'!$B$14*L121</f>
        <v>-1130663.3851056299</v>
      </c>
      <c r="Y121" s="23">
        <f>'GS &gt; 50 OLS Model'!$B$15*M121</f>
        <v>0</v>
      </c>
      <c r="Z121" s="23">
        <f t="shared" ca="1" si="8"/>
        <v>25011864.443931267</v>
      </c>
    </row>
    <row r="122" spans="1:26" x14ac:dyDescent="0.25">
      <c r="A122" s="11">
        <v>43466</v>
      </c>
      <c r="B122" s="6">
        <f t="shared" si="36"/>
        <v>2019</v>
      </c>
      <c r="D122">
        <f t="shared" ca="1" si="58"/>
        <v>784.29</v>
      </c>
      <c r="E122">
        <f t="shared" ca="1" si="58"/>
        <v>0</v>
      </c>
      <c r="F122" s="30">
        <f>F110*(1+SUMIF('Ontario Employment Growth'!B:B,B122,'Ontario Employment Growth'!G:G))</f>
        <v>7199.4339442463252</v>
      </c>
      <c r="G122" s="30">
        <f t="shared" si="10"/>
        <v>121</v>
      </c>
      <c r="H122" s="30">
        <f t="shared" ref="H122:M122" si="63">H110</f>
        <v>1</v>
      </c>
      <c r="I122" s="30">
        <f t="shared" si="63"/>
        <v>0</v>
      </c>
      <c r="J122" s="30">
        <f t="shared" si="63"/>
        <v>0</v>
      </c>
      <c r="K122" s="30">
        <f t="shared" si="63"/>
        <v>0</v>
      </c>
      <c r="L122" s="30">
        <f t="shared" si="63"/>
        <v>0</v>
      </c>
      <c r="M122" s="30">
        <f t="shared" si="63"/>
        <v>0</v>
      </c>
      <c r="O122" s="23">
        <f>'GS &gt; 50 OLS Model'!$B$5</f>
        <v>-14985611.9194983</v>
      </c>
      <c r="P122" s="23">
        <f ca="1">'GS &gt; 50 OLS Model'!$B$6*D122</f>
        <v>6047201.8102548849</v>
      </c>
      <c r="Q122" s="23">
        <f ca="1">'GS &gt; 50 OLS Model'!$B$7*E122</f>
        <v>0</v>
      </c>
      <c r="R122" s="23">
        <f>'GS &gt; 50 OLS Model'!$B$8*F122</f>
        <v>39913387.70218952</v>
      </c>
      <c r="S122" s="23">
        <f>'GS &gt; 50 OLS Model'!$B$9*G122</f>
        <v>-3770253.9213456623</v>
      </c>
      <c r="T122" s="23">
        <f>'GS &gt; 50 OLS Model'!$B$10*H122</f>
        <v>-439218.30194811599</v>
      </c>
      <c r="U122" s="23">
        <f>'GS &gt; 50 OLS Model'!$B$11*I122</f>
        <v>0</v>
      </c>
      <c r="V122" s="23">
        <f>'GS &gt; 50 OLS Model'!$B$12*J122</f>
        <v>0</v>
      </c>
      <c r="W122" s="23">
        <f>'GS &gt; 50 OLS Model'!$B$13*K122</f>
        <v>0</v>
      </c>
      <c r="X122" s="23">
        <f>'GS &gt; 50 OLS Model'!$B$14*L122</f>
        <v>0</v>
      </c>
      <c r="Y122" s="23">
        <f>'GS &gt; 50 OLS Model'!$B$15*M122</f>
        <v>0</v>
      </c>
      <c r="Z122" s="23">
        <f t="shared" ca="1" si="8"/>
        <v>26765505.369652327</v>
      </c>
    </row>
    <row r="123" spans="1:26" x14ac:dyDescent="0.25">
      <c r="A123" s="11">
        <v>43497</v>
      </c>
      <c r="B123" s="6">
        <f t="shared" si="36"/>
        <v>2019</v>
      </c>
      <c r="D123">
        <f t="shared" ca="1" si="58"/>
        <v>682.50999999999988</v>
      </c>
      <c r="E123">
        <f t="shared" ca="1" si="58"/>
        <v>0</v>
      </c>
      <c r="F123" s="30">
        <f>F111*(1+SUMIF('Ontario Employment Growth'!B:B,B123,'Ontario Employment Growth'!G:G))</f>
        <v>7163.6805954392958</v>
      </c>
      <c r="G123" s="30">
        <f t="shared" si="10"/>
        <v>122</v>
      </c>
      <c r="H123" s="30">
        <f t="shared" ref="H123:M123" si="64">H111</f>
        <v>1</v>
      </c>
      <c r="I123" s="30">
        <f t="shared" si="64"/>
        <v>0</v>
      </c>
      <c r="J123" s="30">
        <f t="shared" si="64"/>
        <v>1</v>
      </c>
      <c r="K123" s="30">
        <f t="shared" si="64"/>
        <v>0</v>
      </c>
      <c r="L123" s="30">
        <f t="shared" si="64"/>
        <v>0</v>
      </c>
      <c r="M123" s="30">
        <f t="shared" si="64"/>
        <v>0</v>
      </c>
      <c r="O123" s="23">
        <f>'GS &gt; 50 OLS Model'!$B$5</f>
        <v>-14985611.9194983</v>
      </c>
      <c r="P123" s="23">
        <f ca="1">'GS &gt; 50 OLS Model'!$B$6*D123</f>
        <v>5262435.7157646548</v>
      </c>
      <c r="Q123" s="23">
        <f ca="1">'GS &gt; 50 OLS Model'!$B$7*E123</f>
        <v>0</v>
      </c>
      <c r="R123" s="23">
        <f>'GS &gt; 50 OLS Model'!$B$8*F123</f>
        <v>39715172.497544572</v>
      </c>
      <c r="S123" s="23">
        <f>'GS &gt; 50 OLS Model'!$B$9*G123</f>
        <v>-3801413.0446625687</v>
      </c>
      <c r="T123" s="23">
        <f>'GS &gt; 50 OLS Model'!$B$10*H123</f>
        <v>-439218.30194811599</v>
      </c>
      <c r="U123" s="23">
        <f>'GS &gt; 50 OLS Model'!$B$11*I123</f>
        <v>0</v>
      </c>
      <c r="V123" s="23">
        <f>'GS &gt; 50 OLS Model'!$B$12*J123</f>
        <v>-1507735.557816</v>
      </c>
      <c r="W123" s="23">
        <f>'GS &gt; 50 OLS Model'!$B$13*K123</f>
        <v>0</v>
      </c>
      <c r="X123" s="23">
        <f>'GS &gt; 50 OLS Model'!$B$14*L123</f>
        <v>0</v>
      </c>
      <c r="Y123" s="23">
        <f>'GS &gt; 50 OLS Model'!$B$15*M123</f>
        <v>0</v>
      </c>
      <c r="Z123" s="23">
        <f t="shared" ca="1" si="8"/>
        <v>24243629.389384244</v>
      </c>
    </row>
    <row r="124" spans="1:26" x14ac:dyDescent="0.25">
      <c r="A124" s="11">
        <v>43525</v>
      </c>
      <c r="B124" s="6">
        <f t="shared" si="36"/>
        <v>2019</v>
      </c>
      <c r="D124">
        <f t="shared" ca="1" si="58"/>
        <v>556.99</v>
      </c>
      <c r="E124">
        <f t="shared" ca="1" si="58"/>
        <v>0</v>
      </c>
      <c r="F124" s="30">
        <f>F112*(1+SUMIF('Ontario Employment Growth'!B:B,B124,'Ontario Employment Growth'!G:G))</f>
        <v>7141.466976358005</v>
      </c>
      <c r="G124" s="30">
        <f t="shared" si="10"/>
        <v>123</v>
      </c>
      <c r="H124" s="30">
        <f t="shared" ref="H124:M124" si="65">H112</f>
        <v>1</v>
      </c>
      <c r="I124" s="30">
        <f t="shared" si="65"/>
        <v>0</v>
      </c>
      <c r="J124" s="30">
        <f t="shared" si="65"/>
        <v>0</v>
      </c>
      <c r="K124" s="30">
        <f t="shared" si="65"/>
        <v>0</v>
      </c>
      <c r="L124" s="30">
        <f t="shared" si="65"/>
        <v>0</v>
      </c>
      <c r="M124" s="30">
        <f t="shared" si="65"/>
        <v>0</v>
      </c>
      <c r="O124" s="23">
        <f>'GS &gt; 50 OLS Model'!$B$5</f>
        <v>-14985611.9194983</v>
      </c>
      <c r="P124" s="23">
        <f ca="1">'GS &gt; 50 OLS Model'!$B$6*D124</f>
        <v>4294624.3561614566</v>
      </c>
      <c r="Q124" s="23">
        <f ca="1">'GS &gt; 50 OLS Model'!$B$7*E124</f>
        <v>0</v>
      </c>
      <c r="R124" s="23">
        <f>'GS &gt; 50 OLS Model'!$B$8*F124</f>
        <v>39592021.039037354</v>
      </c>
      <c r="S124" s="23">
        <f>'GS &gt; 50 OLS Model'!$B$9*G124</f>
        <v>-3832572.1679794751</v>
      </c>
      <c r="T124" s="23">
        <f>'GS &gt; 50 OLS Model'!$B$10*H124</f>
        <v>-439218.30194811599</v>
      </c>
      <c r="U124" s="23">
        <f>'GS &gt; 50 OLS Model'!$B$11*I124</f>
        <v>0</v>
      </c>
      <c r="V124" s="23">
        <f>'GS &gt; 50 OLS Model'!$B$12*J124</f>
        <v>0</v>
      </c>
      <c r="W124" s="23">
        <f>'GS &gt; 50 OLS Model'!$B$13*K124</f>
        <v>0</v>
      </c>
      <c r="X124" s="23">
        <f>'GS &gt; 50 OLS Model'!$B$14*L124</f>
        <v>0</v>
      </c>
      <c r="Y124" s="23">
        <f>'GS &gt; 50 OLS Model'!$B$15*M124</f>
        <v>0</v>
      </c>
      <c r="Z124" s="23">
        <f t="shared" ca="1" si="8"/>
        <v>24629243.005772922</v>
      </c>
    </row>
    <row r="125" spans="1:26" x14ac:dyDescent="0.25">
      <c r="A125" s="11">
        <v>43556</v>
      </c>
      <c r="B125" s="6">
        <f t="shared" si="36"/>
        <v>2019</v>
      </c>
      <c r="D125">
        <f t="shared" ca="1" si="58"/>
        <v>326.58999999999997</v>
      </c>
      <c r="E125">
        <f t="shared" ca="1" si="58"/>
        <v>0.39</v>
      </c>
      <c r="F125" s="30">
        <f>F113*(1+SUMIF('Ontario Employment Growth'!B:B,B125,'Ontario Employment Growth'!G:G))</f>
        <v>7177.1145460265507</v>
      </c>
      <c r="G125" s="30">
        <f t="shared" si="10"/>
        <v>124</v>
      </c>
      <c r="H125" s="30">
        <f t="shared" ref="H125:M125" si="66">H113</f>
        <v>1</v>
      </c>
      <c r="I125" s="30">
        <f t="shared" si="66"/>
        <v>0</v>
      </c>
      <c r="J125" s="30">
        <f t="shared" si="66"/>
        <v>0</v>
      </c>
      <c r="K125" s="30">
        <f t="shared" si="66"/>
        <v>1</v>
      </c>
      <c r="L125" s="30">
        <f t="shared" si="66"/>
        <v>0</v>
      </c>
      <c r="M125" s="30">
        <f t="shared" si="66"/>
        <v>0</v>
      </c>
      <c r="O125" s="23">
        <f>'GS &gt; 50 OLS Model'!$B$5</f>
        <v>-14985611.9194983</v>
      </c>
      <c r="P125" s="23">
        <f ca="1">'GS &gt; 50 OLS Model'!$B$6*D125</f>
        <v>2518144.6138687767</v>
      </c>
      <c r="Q125" s="23">
        <f ca="1">'GS &gt; 50 OLS Model'!$B$7*E125</f>
        <v>12644.188669786166</v>
      </c>
      <c r="R125" s="23">
        <f>'GS &gt; 50 OLS Model'!$B$8*F125</f>
        <v>39789649.808165595</v>
      </c>
      <c r="S125" s="23">
        <f>'GS &gt; 50 OLS Model'!$B$9*G125</f>
        <v>-3863731.2912963815</v>
      </c>
      <c r="T125" s="23">
        <f>'GS &gt; 50 OLS Model'!$B$10*H125</f>
        <v>-439218.30194811599</v>
      </c>
      <c r="U125" s="23">
        <f>'GS &gt; 50 OLS Model'!$B$11*I125</f>
        <v>0</v>
      </c>
      <c r="V125" s="23">
        <f>'GS &gt; 50 OLS Model'!$B$12*J125</f>
        <v>0</v>
      </c>
      <c r="W125" s="23">
        <f>'GS &gt; 50 OLS Model'!$B$13*K125</f>
        <v>-1602103.9965178701</v>
      </c>
      <c r="X125" s="23">
        <f>'GS &gt; 50 OLS Model'!$B$14*L125</f>
        <v>0</v>
      </c>
      <c r="Y125" s="23">
        <f>'GS &gt; 50 OLS Model'!$B$15*M125</f>
        <v>0</v>
      </c>
      <c r="Z125" s="23">
        <f t="shared" ca="1" si="8"/>
        <v>21429773.101443492</v>
      </c>
    </row>
    <row r="126" spans="1:26" x14ac:dyDescent="0.25">
      <c r="A126" s="11">
        <v>43586</v>
      </c>
      <c r="B126" s="6">
        <f t="shared" si="36"/>
        <v>2019</v>
      </c>
      <c r="D126">
        <f t="shared" ca="1" si="58"/>
        <v>144.96</v>
      </c>
      <c r="E126">
        <f t="shared" ca="1" si="58"/>
        <v>8.67</v>
      </c>
      <c r="F126" s="30">
        <f>F114*(1+SUMIF('Ontario Employment Growth'!B:B,B126,'Ontario Employment Growth'!G:G))</f>
        <v>7238.0433297923773</v>
      </c>
      <c r="G126" s="30">
        <f t="shared" si="10"/>
        <v>125</v>
      </c>
      <c r="H126" s="30">
        <f t="shared" ref="H126:M126" si="67">H114</f>
        <v>1</v>
      </c>
      <c r="I126" s="30">
        <f t="shared" si="67"/>
        <v>0</v>
      </c>
      <c r="J126" s="30">
        <f t="shared" si="67"/>
        <v>0</v>
      </c>
      <c r="K126" s="30">
        <f t="shared" si="67"/>
        <v>0</v>
      </c>
      <c r="L126" s="30">
        <f t="shared" si="67"/>
        <v>0</v>
      </c>
      <c r="M126" s="30">
        <f t="shared" si="67"/>
        <v>1</v>
      </c>
      <c r="O126" s="23">
        <f>'GS &gt; 50 OLS Model'!$B$5</f>
        <v>-14985611.9194983</v>
      </c>
      <c r="P126" s="23">
        <f ca="1">'GS &gt; 50 OLS Model'!$B$6*D126</f>
        <v>1117701.8378591442</v>
      </c>
      <c r="Q126" s="23">
        <f ca="1">'GS &gt; 50 OLS Model'!$B$7*E126</f>
        <v>281090.04042832326</v>
      </c>
      <c r="R126" s="23">
        <f>'GS &gt; 50 OLS Model'!$B$8*F126</f>
        <v>40127436.665785402</v>
      </c>
      <c r="S126" s="23">
        <f>'GS &gt; 50 OLS Model'!$B$9*G126</f>
        <v>-3894890.4146132879</v>
      </c>
      <c r="T126" s="23">
        <f>'GS &gt; 50 OLS Model'!$B$10*H126</f>
        <v>-439218.30194811599</v>
      </c>
      <c r="U126" s="23">
        <f>'GS &gt; 50 OLS Model'!$B$11*I126</f>
        <v>0</v>
      </c>
      <c r="V126" s="23">
        <f>'GS &gt; 50 OLS Model'!$B$12*J126</f>
        <v>0</v>
      </c>
      <c r="W126" s="23">
        <f>'GS &gt; 50 OLS Model'!$B$13*K126</f>
        <v>0</v>
      </c>
      <c r="X126" s="23">
        <f>'GS &gt; 50 OLS Model'!$B$14*L126</f>
        <v>0</v>
      </c>
      <c r="Y126" s="23">
        <f>'GS &gt; 50 OLS Model'!$B$15*M126</f>
        <v>-1248171.7663678101</v>
      </c>
      <c r="Z126" s="23">
        <f t="shared" ca="1" si="8"/>
        <v>20958336.141645357</v>
      </c>
    </row>
    <row r="127" spans="1:26" x14ac:dyDescent="0.25">
      <c r="A127" s="11">
        <v>43617</v>
      </c>
      <c r="B127" s="6">
        <f t="shared" si="36"/>
        <v>2019</v>
      </c>
      <c r="D127">
        <f t="shared" ca="1" si="58"/>
        <v>41.510000000000005</v>
      </c>
      <c r="E127">
        <f t="shared" ca="1" si="58"/>
        <v>44.41</v>
      </c>
      <c r="F127" s="30">
        <f>F115*(1+SUMIF('Ontario Employment Growth'!B:B,B127,'Ontario Employment Growth'!G:G))</f>
        <v>7312.4060641454589</v>
      </c>
      <c r="G127" s="30">
        <f t="shared" si="10"/>
        <v>126</v>
      </c>
      <c r="H127" s="30">
        <f t="shared" ref="H127:M127" si="68">H115</f>
        <v>1</v>
      </c>
      <c r="I127" s="30">
        <f t="shared" si="68"/>
        <v>0</v>
      </c>
      <c r="J127" s="30">
        <f t="shared" si="68"/>
        <v>0</v>
      </c>
      <c r="K127" s="30">
        <f t="shared" si="68"/>
        <v>0</v>
      </c>
      <c r="L127" s="30">
        <f t="shared" si="68"/>
        <v>0</v>
      </c>
      <c r="M127" s="30">
        <f t="shared" si="68"/>
        <v>1</v>
      </c>
      <c r="O127" s="23">
        <f>'GS &gt; 50 OLS Model'!$B$5</f>
        <v>-14985611.9194983</v>
      </c>
      <c r="P127" s="23">
        <f ca="1">'GS &gt; 50 OLS Model'!$B$6*D127</f>
        <v>320059.34940351185</v>
      </c>
      <c r="Q127" s="23">
        <f ca="1">'GS &gt; 50 OLS Model'!$B$7*E127</f>
        <v>1439816.4585261631</v>
      </c>
      <c r="R127" s="23">
        <f>'GS &gt; 50 OLS Model'!$B$8*F127</f>
        <v>40539700.834026225</v>
      </c>
      <c r="S127" s="23">
        <f>'GS &gt; 50 OLS Model'!$B$9*G127</f>
        <v>-3926049.5379301938</v>
      </c>
      <c r="T127" s="23">
        <f>'GS &gt; 50 OLS Model'!$B$10*H127</f>
        <v>-439218.30194811599</v>
      </c>
      <c r="U127" s="23">
        <f>'GS &gt; 50 OLS Model'!$B$11*I127</f>
        <v>0</v>
      </c>
      <c r="V127" s="23">
        <f>'GS &gt; 50 OLS Model'!$B$12*J127</f>
        <v>0</v>
      </c>
      <c r="W127" s="23">
        <f>'GS &gt; 50 OLS Model'!$B$13*K127</f>
        <v>0</v>
      </c>
      <c r="X127" s="23">
        <f>'GS &gt; 50 OLS Model'!$B$14*L127</f>
        <v>0</v>
      </c>
      <c r="Y127" s="23">
        <f>'GS &gt; 50 OLS Model'!$B$15*M127</f>
        <v>-1248171.7663678101</v>
      </c>
      <c r="Z127" s="23">
        <f t="shared" ca="1" si="8"/>
        <v>21700525.116211478</v>
      </c>
    </row>
    <row r="128" spans="1:26" x14ac:dyDescent="0.25">
      <c r="A128" s="11">
        <v>43647</v>
      </c>
      <c r="B128" s="6">
        <f t="shared" si="36"/>
        <v>2019</v>
      </c>
      <c r="D128">
        <f t="shared" ca="1" si="58"/>
        <v>5.01</v>
      </c>
      <c r="E128">
        <f t="shared" ca="1" si="58"/>
        <v>96.909999999999982</v>
      </c>
      <c r="F128" s="30">
        <f>F116*(1+SUMIF('Ontario Employment Growth'!B:B,B128,'Ontario Employment Growth'!G:G))</f>
        <v>7359.9008973240298</v>
      </c>
      <c r="G128" s="30">
        <f t="shared" si="10"/>
        <v>127</v>
      </c>
      <c r="H128" s="30">
        <f t="shared" ref="H128:M128" si="69">H116</f>
        <v>1</v>
      </c>
      <c r="I128" s="30">
        <f t="shared" si="69"/>
        <v>0</v>
      </c>
      <c r="J128" s="30">
        <f t="shared" si="69"/>
        <v>0</v>
      </c>
      <c r="K128" s="30">
        <f t="shared" si="69"/>
        <v>0</v>
      </c>
      <c r="L128" s="30">
        <f t="shared" si="69"/>
        <v>0</v>
      </c>
      <c r="M128" s="30">
        <f t="shared" si="69"/>
        <v>1</v>
      </c>
      <c r="O128" s="23">
        <f>'GS &gt; 50 OLS Model'!$B$5</f>
        <v>-14985611.9194983</v>
      </c>
      <c r="P128" s="23">
        <f ca="1">'GS &gt; 50 OLS Model'!$B$6*D128</f>
        <v>38629.181896208</v>
      </c>
      <c r="Q128" s="23">
        <f ca="1">'GS &gt; 50 OLS Model'!$B$7*E128</f>
        <v>3141918.7794589158</v>
      </c>
      <c r="R128" s="23">
        <f>'GS &gt; 50 OLS Model'!$B$8*F128</f>
        <v>40803010.381025001</v>
      </c>
      <c r="S128" s="23">
        <f>'GS &gt; 50 OLS Model'!$B$9*G128</f>
        <v>-3957208.6612471002</v>
      </c>
      <c r="T128" s="23">
        <f>'GS &gt; 50 OLS Model'!$B$10*H128</f>
        <v>-439218.30194811599</v>
      </c>
      <c r="U128" s="23">
        <f>'GS &gt; 50 OLS Model'!$B$11*I128</f>
        <v>0</v>
      </c>
      <c r="V128" s="23">
        <f>'GS &gt; 50 OLS Model'!$B$12*J128</f>
        <v>0</v>
      </c>
      <c r="W128" s="23">
        <f>'GS &gt; 50 OLS Model'!$B$13*K128</f>
        <v>0</v>
      </c>
      <c r="X128" s="23">
        <f>'GS &gt; 50 OLS Model'!$B$14*L128</f>
        <v>0</v>
      </c>
      <c r="Y128" s="23">
        <f>'GS &gt; 50 OLS Model'!$B$15*M128</f>
        <v>-1248171.7663678101</v>
      </c>
      <c r="Z128" s="23">
        <f t="shared" ca="1" si="8"/>
        <v>23353347.693318799</v>
      </c>
    </row>
    <row r="129" spans="1:26" x14ac:dyDescent="0.25">
      <c r="A129" s="11">
        <v>43678</v>
      </c>
      <c r="B129" s="6">
        <f t="shared" si="36"/>
        <v>2019</v>
      </c>
      <c r="D129">
        <f t="shared" ca="1" si="58"/>
        <v>12.719999999999999</v>
      </c>
      <c r="E129">
        <f t="shared" ca="1" si="58"/>
        <v>77.22999999999999</v>
      </c>
      <c r="F129" s="30">
        <f>F117*(1+SUMIF('Ontario Employment Growth'!B:B,B129,'Ontario Employment Growth'!G:G))</f>
        <v>7372.4886148034275</v>
      </c>
      <c r="G129" s="30">
        <f t="shared" si="10"/>
        <v>128</v>
      </c>
      <c r="H129" s="30">
        <f t="shared" ref="H129:M129" si="70">H117</f>
        <v>1</v>
      </c>
      <c r="I129" s="30">
        <f t="shared" si="70"/>
        <v>0</v>
      </c>
      <c r="J129" s="30">
        <f t="shared" si="70"/>
        <v>0</v>
      </c>
      <c r="K129" s="30">
        <f t="shared" si="70"/>
        <v>0</v>
      </c>
      <c r="L129" s="30">
        <f t="shared" si="70"/>
        <v>0</v>
      </c>
      <c r="M129" s="30">
        <f t="shared" si="70"/>
        <v>1</v>
      </c>
      <c r="O129" s="23">
        <f>'GS &gt; 50 OLS Model'!$B$5</f>
        <v>-14985611.9194983</v>
      </c>
      <c r="P129" s="23">
        <f ca="1">'GS &gt; 50 OLS Model'!$B$6*D129</f>
        <v>98076.485772408327</v>
      </c>
      <c r="Q129" s="23">
        <f ca="1">'GS &gt; 50 OLS Model'!$B$7*E129</f>
        <v>2503873.5665835529</v>
      </c>
      <c r="R129" s="23">
        <f>'GS &gt; 50 OLS Model'!$B$8*F129</f>
        <v>40872796.207512423</v>
      </c>
      <c r="S129" s="23">
        <f>'GS &gt; 50 OLS Model'!$B$9*G129</f>
        <v>-3988367.7845640066</v>
      </c>
      <c r="T129" s="23">
        <f>'GS &gt; 50 OLS Model'!$B$10*H129</f>
        <v>-439218.30194811599</v>
      </c>
      <c r="U129" s="23">
        <f>'GS &gt; 50 OLS Model'!$B$11*I129</f>
        <v>0</v>
      </c>
      <c r="V129" s="23">
        <f>'GS &gt; 50 OLS Model'!$B$12*J129</f>
        <v>0</v>
      </c>
      <c r="W129" s="23">
        <f>'GS &gt; 50 OLS Model'!$B$13*K129</f>
        <v>0</v>
      </c>
      <c r="X129" s="23">
        <f>'GS &gt; 50 OLS Model'!$B$14*L129</f>
        <v>0</v>
      </c>
      <c r="Y129" s="23">
        <f>'GS &gt; 50 OLS Model'!$B$15*M129</f>
        <v>-1248171.7663678101</v>
      </c>
      <c r="Z129" s="23">
        <f t="shared" ca="1" si="8"/>
        <v>22813376.487490151</v>
      </c>
    </row>
    <row r="130" spans="1:26" x14ac:dyDescent="0.25">
      <c r="A130" s="11">
        <v>43709</v>
      </c>
      <c r="B130" s="6">
        <f t="shared" si="36"/>
        <v>2019</v>
      </c>
      <c r="D130">
        <f t="shared" ca="1" si="58"/>
        <v>86.570000000000007</v>
      </c>
      <c r="E130">
        <f t="shared" ca="1" si="58"/>
        <v>19.899999999999999</v>
      </c>
      <c r="F130" s="30">
        <f>F118*(1+SUMIF('Ontario Employment Growth'!B:B,B130,'Ontario Employment Growth'!G:G))</f>
        <v>7345.4091553519493</v>
      </c>
      <c r="G130" s="30">
        <f t="shared" si="10"/>
        <v>129</v>
      </c>
      <c r="H130" s="30">
        <f t="shared" ref="H130:M130" si="71">H118</f>
        <v>1</v>
      </c>
      <c r="I130" s="30">
        <f t="shared" si="71"/>
        <v>1</v>
      </c>
      <c r="J130" s="30">
        <f t="shared" si="71"/>
        <v>0</v>
      </c>
      <c r="K130" s="30">
        <f t="shared" si="71"/>
        <v>0</v>
      </c>
      <c r="L130" s="30">
        <f t="shared" si="71"/>
        <v>0</v>
      </c>
      <c r="M130" s="30">
        <f t="shared" si="71"/>
        <v>0</v>
      </c>
      <c r="O130" s="23">
        <f>'GS &gt; 50 OLS Model'!$B$5</f>
        <v>-14985611.9194983</v>
      </c>
      <c r="P130" s="23">
        <f ca="1">'GS &gt; 50 OLS Model'!$B$6*D130</f>
        <v>667490.67400293949</v>
      </c>
      <c r="Q130" s="23">
        <f ca="1">'GS &gt; 50 OLS Model'!$B$7*E130</f>
        <v>645177.83212498645</v>
      </c>
      <c r="R130" s="23">
        <f>'GS &gt; 50 OLS Model'!$B$8*F130</f>
        <v>40722668.715236954</v>
      </c>
      <c r="S130" s="23">
        <f>'GS &gt; 50 OLS Model'!$B$9*G130</f>
        <v>-4019526.907880913</v>
      </c>
      <c r="T130" s="23">
        <f>'GS &gt; 50 OLS Model'!$B$10*H130</f>
        <v>-439218.30194811599</v>
      </c>
      <c r="U130" s="23">
        <f>'GS &gt; 50 OLS Model'!$B$11*I130</f>
        <v>-1629695.87956432</v>
      </c>
      <c r="V130" s="23">
        <f>'GS &gt; 50 OLS Model'!$B$12*J130</f>
        <v>0</v>
      </c>
      <c r="W130" s="23">
        <f>'GS &gt; 50 OLS Model'!$B$13*K130</f>
        <v>0</v>
      </c>
      <c r="X130" s="23">
        <f>'GS &gt; 50 OLS Model'!$B$14*L130</f>
        <v>0</v>
      </c>
      <c r="Y130" s="23">
        <f>'GS &gt; 50 OLS Model'!$B$15*M130</f>
        <v>0</v>
      </c>
      <c r="Z130" s="23">
        <f t="shared" ca="1" si="8"/>
        <v>20961284.212473232</v>
      </c>
    </row>
    <row r="131" spans="1:26" x14ac:dyDescent="0.25">
      <c r="A131" s="11">
        <v>43739</v>
      </c>
      <c r="B131" s="6">
        <f t="shared" si="36"/>
        <v>2019</v>
      </c>
      <c r="D131">
        <f t="shared" ca="1" si="58"/>
        <v>270.3</v>
      </c>
      <c r="E131">
        <f t="shared" ca="1" si="58"/>
        <v>1.21</v>
      </c>
      <c r="F131" s="30">
        <f>F119*(1+SUMIF('Ontario Employment Growth'!B:B,B131,'Ontario Employment Growth'!G:G))</f>
        <v>7337.4757199657743</v>
      </c>
      <c r="G131" s="30">
        <f t="shared" si="10"/>
        <v>130</v>
      </c>
      <c r="H131" s="30">
        <f t="shared" ref="H131:M131" si="72">H119</f>
        <v>1</v>
      </c>
      <c r="I131" s="30">
        <f t="shared" si="72"/>
        <v>1</v>
      </c>
      <c r="J131" s="30">
        <f t="shared" si="72"/>
        <v>0</v>
      </c>
      <c r="K131" s="30">
        <f t="shared" si="72"/>
        <v>0</v>
      </c>
      <c r="L131" s="30">
        <f t="shared" si="72"/>
        <v>0</v>
      </c>
      <c r="M131" s="30">
        <f t="shared" si="72"/>
        <v>0</v>
      </c>
      <c r="O131" s="23">
        <f>'GS &gt; 50 OLS Model'!$B$5</f>
        <v>-14985611.9194983</v>
      </c>
      <c r="P131" s="23">
        <f ca="1">'GS &gt; 50 OLS Model'!$B$6*D131</f>
        <v>2084125.3226636774</v>
      </c>
      <c r="Q131" s="23">
        <f ca="1">'GS &gt; 50 OLS Model'!$B$7*E131</f>
        <v>39229.405872926312</v>
      </c>
      <c r="R131" s="23">
        <f>'GS &gt; 50 OLS Model'!$B$8*F131</f>
        <v>40678686.051484376</v>
      </c>
      <c r="S131" s="23">
        <f>'GS &gt; 50 OLS Model'!$B$9*G131</f>
        <v>-4050686.0311978194</v>
      </c>
      <c r="T131" s="23">
        <f>'GS &gt; 50 OLS Model'!$B$10*H131</f>
        <v>-439218.30194811599</v>
      </c>
      <c r="U131" s="23">
        <f>'GS &gt; 50 OLS Model'!$B$11*I131</f>
        <v>-1629695.87956432</v>
      </c>
      <c r="V131" s="23">
        <f>'GS &gt; 50 OLS Model'!$B$12*J131</f>
        <v>0</v>
      </c>
      <c r="W131" s="23">
        <f>'GS &gt; 50 OLS Model'!$B$13*K131</f>
        <v>0</v>
      </c>
      <c r="X131" s="23">
        <f>'GS &gt; 50 OLS Model'!$B$14*L131</f>
        <v>0</v>
      </c>
      <c r="Y131" s="23">
        <f>'GS &gt; 50 OLS Model'!$B$15*M131</f>
        <v>0</v>
      </c>
      <c r="Z131" s="23">
        <f t="shared" ref="Z131:Z145" ca="1" si="73">SUM(O131:Y131)</f>
        <v>21696828.647812426</v>
      </c>
    </row>
    <row r="132" spans="1:26" x14ac:dyDescent="0.25">
      <c r="A132" s="11">
        <v>43770</v>
      </c>
      <c r="B132" s="6">
        <f t="shared" si="36"/>
        <v>2019</v>
      </c>
      <c r="D132">
        <f t="shared" ca="1" si="58"/>
        <v>444.05</v>
      </c>
      <c r="E132">
        <f t="shared" ca="1" si="58"/>
        <v>0</v>
      </c>
      <c r="F132" s="30">
        <f>F120*(1+SUMIF('Ontario Employment Growth'!B:B,B132,'Ontario Employment Growth'!G:G))</f>
        <v>7313.8869720842131</v>
      </c>
      <c r="G132" s="30">
        <f t="shared" si="10"/>
        <v>131</v>
      </c>
      <c r="H132" s="30">
        <f t="shared" ref="H132:M132" si="74">H120</f>
        <v>1</v>
      </c>
      <c r="I132" s="30">
        <f t="shared" si="74"/>
        <v>1</v>
      </c>
      <c r="J132" s="30">
        <f t="shared" si="74"/>
        <v>0</v>
      </c>
      <c r="K132" s="30">
        <f t="shared" si="74"/>
        <v>0</v>
      </c>
      <c r="L132" s="30">
        <f t="shared" si="74"/>
        <v>0</v>
      </c>
      <c r="M132" s="30">
        <f t="shared" si="74"/>
        <v>0</v>
      </c>
      <c r="O132" s="23">
        <f>'GS &gt; 50 OLS Model'!$B$5</f>
        <v>-14985611.9194983</v>
      </c>
      <c r="P132" s="23">
        <f ca="1">'GS &gt; 50 OLS Model'!$B$6*D132</f>
        <v>3423810.024153925</v>
      </c>
      <c r="Q132" s="23">
        <f ca="1">'GS &gt; 50 OLS Model'!$B$7*E132</f>
        <v>0</v>
      </c>
      <c r="R132" s="23">
        <f>'GS &gt; 50 OLS Model'!$B$8*F132</f>
        <v>40547910.931260049</v>
      </c>
      <c r="S132" s="23">
        <f>'GS &gt; 50 OLS Model'!$B$9*G132</f>
        <v>-4081845.1545147253</v>
      </c>
      <c r="T132" s="23">
        <f>'GS &gt; 50 OLS Model'!$B$10*H132</f>
        <v>-439218.30194811599</v>
      </c>
      <c r="U132" s="23">
        <f>'GS &gt; 50 OLS Model'!$B$11*I132</f>
        <v>-1629695.87956432</v>
      </c>
      <c r="V132" s="23">
        <f>'GS &gt; 50 OLS Model'!$B$12*J132</f>
        <v>0</v>
      </c>
      <c r="W132" s="23">
        <f>'GS &gt; 50 OLS Model'!$B$13*K132</f>
        <v>0</v>
      </c>
      <c r="X132" s="23">
        <f>'GS &gt; 50 OLS Model'!$B$14*L132</f>
        <v>0</v>
      </c>
      <c r="Y132" s="23">
        <f>'GS &gt; 50 OLS Model'!$B$15*M132</f>
        <v>0</v>
      </c>
      <c r="Z132" s="23">
        <f t="shared" ca="1" si="73"/>
        <v>22835349.699888512</v>
      </c>
    </row>
    <row r="133" spans="1:26" x14ac:dyDescent="0.25">
      <c r="A133" s="11">
        <v>43800</v>
      </c>
      <c r="B133" s="6">
        <f t="shared" si="36"/>
        <v>2019</v>
      </c>
      <c r="D133">
        <f t="shared" ca="1" si="58"/>
        <v>684.01</v>
      </c>
      <c r="E133">
        <f t="shared" ca="1" si="58"/>
        <v>0</v>
      </c>
      <c r="F133" s="30">
        <f>F121*(1+SUMIF('Ontario Employment Growth'!B:B,B133,'Ontario Employment Growth'!G:G))</f>
        <v>7302.1454877126725</v>
      </c>
      <c r="G133" s="30">
        <f t="shared" si="10"/>
        <v>132</v>
      </c>
      <c r="H133" s="30">
        <f t="shared" ref="H133:M133" si="75">H121</f>
        <v>1</v>
      </c>
      <c r="I133" s="30">
        <f t="shared" si="75"/>
        <v>0</v>
      </c>
      <c r="J133" s="30">
        <f t="shared" si="75"/>
        <v>0</v>
      </c>
      <c r="K133" s="30">
        <f t="shared" si="75"/>
        <v>0</v>
      </c>
      <c r="L133" s="30">
        <f t="shared" si="75"/>
        <v>1</v>
      </c>
      <c r="M133" s="30">
        <f t="shared" si="75"/>
        <v>0</v>
      </c>
      <c r="O133" s="23">
        <f>'GS &gt; 50 OLS Model'!$B$5</f>
        <v>-14985611.9194983</v>
      </c>
      <c r="P133" s="23">
        <f ca="1">'GS &gt; 50 OLS Model'!$B$6*D133</f>
        <v>5274001.3390868735</v>
      </c>
      <c r="Q133" s="23">
        <f ca="1">'GS &gt; 50 OLS Model'!$B$7*E133</f>
        <v>0</v>
      </c>
      <c r="R133" s="23">
        <f>'GS &gt; 50 OLS Model'!$B$8*F133</f>
        <v>40482816.588906221</v>
      </c>
      <c r="S133" s="23">
        <f>'GS &gt; 50 OLS Model'!$B$9*G133</f>
        <v>-4113004.2778316317</v>
      </c>
      <c r="T133" s="23">
        <f>'GS &gt; 50 OLS Model'!$B$10*H133</f>
        <v>-439218.30194811599</v>
      </c>
      <c r="U133" s="23">
        <f>'GS &gt; 50 OLS Model'!$B$11*I133</f>
        <v>0</v>
      </c>
      <c r="V133" s="23">
        <f>'GS &gt; 50 OLS Model'!$B$12*J133</f>
        <v>0</v>
      </c>
      <c r="W133" s="23">
        <f>'GS &gt; 50 OLS Model'!$B$13*K133</f>
        <v>0</v>
      </c>
      <c r="X133" s="23">
        <f>'GS &gt; 50 OLS Model'!$B$14*L133</f>
        <v>-1130663.3851056299</v>
      </c>
      <c r="Y133" s="23">
        <f>'GS &gt; 50 OLS Model'!$B$15*M133</f>
        <v>0</v>
      </c>
      <c r="Z133" s="23">
        <f t="shared" ca="1" si="73"/>
        <v>25088320.043609418</v>
      </c>
    </row>
    <row r="134" spans="1:26" x14ac:dyDescent="0.25">
      <c r="A134" s="11">
        <v>43831</v>
      </c>
      <c r="B134" s="6">
        <f t="shared" si="36"/>
        <v>2020</v>
      </c>
      <c r="D134">
        <f t="shared" ca="1" si="58"/>
        <v>784.29</v>
      </c>
      <c r="E134">
        <f t="shared" ca="1" si="58"/>
        <v>0</v>
      </c>
      <c r="F134" s="30">
        <f>F122*(1+SUMIF('Ontario Employment Growth'!B:B,B134,'Ontario Employment Growth'!G:G))</f>
        <v>7280.4275761190966</v>
      </c>
      <c r="G134" s="30">
        <f t="shared" si="10"/>
        <v>133</v>
      </c>
      <c r="H134" s="30">
        <f t="shared" ref="H134:M134" si="76">H122</f>
        <v>1</v>
      </c>
      <c r="I134" s="30">
        <f t="shared" si="76"/>
        <v>0</v>
      </c>
      <c r="J134" s="30">
        <f t="shared" si="76"/>
        <v>0</v>
      </c>
      <c r="K134" s="30">
        <f t="shared" si="76"/>
        <v>0</v>
      </c>
      <c r="L134" s="30">
        <f t="shared" si="76"/>
        <v>0</v>
      </c>
      <c r="M134" s="30">
        <f t="shared" si="76"/>
        <v>0</v>
      </c>
      <c r="O134" s="23">
        <f>'GS &gt; 50 OLS Model'!$B$5</f>
        <v>-14985611.9194983</v>
      </c>
      <c r="P134" s="23">
        <f ca="1">'GS &gt; 50 OLS Model'!$B$6*D134</f>
        <v>6047201.8102548849</v>
      </c>
      <c r="Q134" s="23">
        <f ca="1">'GS &gt; 50 OLS Model'!$B$7*E134</f>
        <v>0</v>
      </c>
      <c r="R134" s="23">
        <f>'GS &gt; 50 OLS Model'!$B$8*F134</f>
        <v>40362413.31383916</v>
      </c>
      <c r="S134" s="23">
        <f>'GS &gt; 50 OLS Model'!$B$9*G134</f>
        <v>-4144163.4011485381</v>
      </c>
      <c r="T134" s="23">
        <f>'GS &gt; 50 OLS Model'!$B$10*H134</f>
        <v>-439218.30194811599</v>
      </c>
      <c r="U134" s="23">
        <f>'GS &gt; 50 OLS Model'!$B$11*I134</f>
        <v>0</v>
      </c>
      <c r="V134" s="23">
        <f>'GS &gt; 50 OLS Model'!$B$12*J134</f>
        <v>0</v>
      </c>
      <c r="W134" s="23">
        <f>'GS &gt; 50 OLS Model'!$B$13*K134</f>
        <v>0</v>
      </c>
      <c r="X134" s="23">
        <f>'GS &gt; 50 OLS Model'!$B$14*L134</f>
        <v>0</v>
      </c>
      <c r="Y134" s="23">
        <f>'GS &gt; 50 OLS Model'!$B$15*M134</f>
        <v>0</v>
      </c>
      <c r="Z134" s="23">
        <f t="shared" ca="1" si="73"/>
        <v>26840621.50149909</v>
      </c>
    </row>
    <row r="135" spans="1:26" x14ac:dyDescent="0.25">
      <c r="A135" s="11">
        <v>43862</v>
      </c>
      <c r="B135" s="6">
        <f t="shared" si="36"/>
        <v>2020</v>
      </c>
      <c r="D135">
        <f t="shared" ca="1" si="58"/>
        <v>682.50999999999988</v>
      </c>
      <c r="E135">
        <f t="shared" ca="1" si="58"/>
        <v>0</v>
      </c>
      <c r="F135" s="30">
        <f>F123*(1+SUMIF('Ontario Employment Growth'!B:B,B135,'Ontario Employment Growth'!G:G))</f>
        <v>7244.2720021379873</v>
      </c>
      <c r="G135" s="30">
        <f t="shared" si="10"/>
        <v>134</v>
      </c>
      <c r="H135" s="30">
        <f t="shared" ref="H135:M135" si="77">H123</f>
        <v>1</v>
      </c>
      <c r="I135" s="30">
        <f t="shared" si="77"/>
        <v>0</v>
      </c>
      <c r="J135" s="30">
        <f t="shared" si="77"/>
        <v>1</v>
      </c>
      <c r="K135" s="30">
        <f t="shared" si="77"/>
        <v>0</v>
      </c>
      <c r="L135" s="30">
        <f t="shared" si="77"/>
        <v>0</v>
      </c>
      <c r="M135" s="30">
        <f t="shared" si="77"/>
        <v>0</v>
      </c>
      <c r="O135" s="23">
        <f>'GS &gt; 50 OLS Model'!$B$5</f>
        <v>-14985611.9194983</v>
      </c>
      <c r="P135" s="23">
        <f ca="1">'GS &gt; 50 OLS Model'!$B$6*D135</f>
        <v>5262435.7157646548</v>
      </c>
      <c r="Q135" s="23">
        <f ca="1">'GS &gt; 50 OLS Model'!$B$7*E135</f>
        <v>0</v>
      </c>
      <c r="R135" s="23">
        <f>'GS &gt; 50 OLS Model'!$B$8*F135</f>
        <v>40161968.188141949</v>
      </c>
      <c r="S135" s="23">
        <f>'GS &gt; 50 OLS Model'!$B$9*G135</f>
        <v>-4175322.5244654445</v>
      </c>
      <c r="T135" s="23">
        <f>'GS &gt; 50 OLS Model'!$B$10*H135</f>
        <v>-439218.30194811599</v>
      </c>
      <c r="U135" s="23">
        <f>'GS &gt; 50 OLS Model'!$B$11*I135</f>
        <v>0</v>
      </c>
      <c r="V135" s="23">
        <f>'GS &gt; 50 OLS Model'!$B$12*J135</f>
        <v>-1507735.557816</v>
      </c>
      <c r="W135" s="23">
        <f>'GS &gt; 50 OLS Model'!$B$13*K135</f>
        <v>0</v>
      </c>
      <c r="X135" s="23">
        <f>'GS &gt; 50 OLS Model'!$B$14*L135</f>
        <v>0</v>
      </c>
      <c r="Y135" s="23">
        <f>'GS &gt; 50 OLS Model'!$B$15*M135</f>
        <v>0</v>
      </c>
      <c r="Z135" s="23">
        <f t="shared" ca="1" si="73"/>
        <v>24316515.600178745</v>
      </c>
    </row>
    <row r="136" spans="1:26" x14ac:dyDescent="0.25">
      <c r="A136" s="11">
        <v>43891</v>
      </c>
      <c r="B136" s="6">
        <f t="shared" si="36"/>
        <v>2020</v>
      </c>
      <c r="D136">
        <f t="shared" ca="1" si="58"/>
        <v>556.99</v>
      </c>
      <c r="E136">
        <f t="shared" ca="1" si="58"/>
        <v>0</v>
      </c>
      <c r="F136" s="30">
        <f>F124*(1+SUMIF('Ontario Employment Growth'!B:B,B136,'Ontario Employment Growth'!G:G))</f>
        <v>7221.8084798420323</v>
      </c>
      <c r="G136" s="30">
        <f t="shared" si="10"/>
        <v>135</v>
      </c>
      <c r="H136" s="30">
        <f t="shared" ref="H136:M136" si="78">H124</f>
        <v>1</v>
      </c>
      <c r="I136" s="30">
        <f t="shared" si="78"/>
        <v>0</v>
      </c>
      <c r="J136" s="30">
        <f t="shared" si="78"/>
        <v>0</v>
      </c>
      <c r="K136" s="30">
        <f t="shared" si="78"/>
        <v>0</v>
      </c>
      <c r="L136" s="30">
        <f t="shared" si="78"/>
        <v>0</v>
      </c>
      <c r="M136" s="30">
        <f t="shared" si="78"/>
        <v>0</v>
      </c>
      <c r="O136" s="23">
        <f>'GS &gt; 50 OLS Model'!$B$5</f>
        <v>-14985611.9194983</v>
      </c>
      <c r="P136" s="23">
        <f ca="1">'GS &gt; 50 OLS Model'!$B$6*D136</f>
        <v>4294624.3561614566</v>
      </c>
      <c r="Q136" s="23">
        <f ca="1">'GS &gt; 50 OLS Model'!$B$7*E136</f>
        <v>0</v>
      </c>
      <c r="R136" s="23">
        <f>'GS &gt; 50 OLS Model'!$B$8*F136</f>
        <v>40037431.275726527</v>
      </c>
      <c r="S136" s="23">
        <f>'GS &gt; 50 OLS Model'!$B$9*G136</f>
        <v>-4206481.6477823509</v>
      </c>
      <c r="T136" s="23">
        <f>'GS &gt; 50 OLS Model'!$B$10*H136</f>
        <v>-439218.30194811599</v>
      </c>
      <c r="U136" s="23">
        <f>'GS &gt; 50 OLS Model'!$B$11*I136</f>
        <v>0</v>
      </c>
      <c r="V136" s="23">
        <f>'GS &gt; 50 OLS Model'!$B$12*J136</f>
        <v>0</v>
      </c>
      <c r="W136" s="23">
        <f>'GS &gt; 50 OLS Model'!$B$13*K136</f>
        <v>0</v>
      </c>
      <c r="X136" s="23">
        <f>'GS &gt; 50 OLS Model'!$B$14*L136</f>
        <v>0</v>
      </c>
      <c r="Y136" s="23">
        <f>'GS &gt; 50 OLS Model'!$B$15*M136</f>
        <v>0</v>
      </c>
      <c r="Z136" s="23">
        <f t="shared" ca="1" si="73"/>
        <v>24700743.762659218</v>
      </c>
    </row>
    <row r="137" spans="1:26" x14ac:dyDescent="0.25">
      <c r="A137" s="11">
        <v>43922</v>
      </c>
      <c r="B137" s="6">
        <f t="shared" si="36"/>
        <v>2020</v>
      </c>
      <c r="D137">
        <f t="shared" ca="1" si="58"/>
        <v>326.58999999999997</v>
      </c>
      <c r="E137">
        <f t="shared" ca="1" si="58"/>
        <v>0.39</v>
      </c>
      <c r="F137" s="30">
        <f>F125*(1+SUMIF('Ontario Employment Growth'!B:B,B137,'Ontario Employment Growth'!G:G))</f>
        <v>7257.8570846693492</v>
      </c>
      <c r="G137" s="30">
        <f t="shared" si="10"/>
        <v>136</v>
      </c>
      <c r="H137" s="30">
        <f t="shared" ref="H137:M137" si="79">H125</f>
        <v>1</v>
      </c>
      <c r="I137" s="30">
        <f t="shared" si="79"/>
        <v>0</v>
      </c>
      <c r="J137" s="30">
        <f t="shared" si="79"/>
        <v>0</v>
      </c>
      <c r="K137" s="30">
        <f t="shared" si="79"/>
        <v>1</v>
      </c>
      <c r="L137" s="30">
        <f t="shared" si="79"/>
        <v>0</v>
      </c>
      <c r="M137" s="30">
        <f t="shared" si="79"/>
        <v>0</v>
      </c>
      <c r="O137" s="23">
        <f>'GS &gt; 50 OLS Model'!$B$5</f>
        <v>-14985611.9194983</v>
      </c>
      <c r="P137" s="23">
        <f ca="1">'GS &gt; 50 OLS Model'!$B$6*D137</f>
        <v>2518144.6138687767</v>
      </c>
      <c r="Q137" s="23">
        <f ca="1">'GS &gt; 50 OLS Model'!$B$7*E137</f>
        <v>12644.188669786166</v>
      </c>
      <c r="R137" s="23">
        <f>'GS &gt; 50 OLS Model'!$B$8*F137</f>
        <v>40237283.36850746</v>
      </c>
      <c r="S137" s="23">
        <f>'GS &gt; 50 OLS Model'!$B$9*G137</f>
        <v>-4237640.7710992573</v>
      </c>
      <c r="T137" s="23">
        <f>'GS &gt; 50 OLS Model'!$B$10*H137</f>
        <v>-439218.30194811599</v>
      </c>
      <c r="U137" s="23">
        <f>'GS &gt; 50 OLS Model'!$B$11*I137</f>
        <v>0</v>
      </c>
      <c r="V137" s="23">
        <f>'GS &gt; 50 OLS Model'!$B$12*J137</f>
        <v>0</v>
      </c>
      <c r="W137" s="23">
        <f>'GS &gt; 50 OLS Model'!$B$13*K137</f>
        <v>-1602103.9965178701</v>
      </c>
      <c r="X137" s="23">
        <f>'GS &gt; 50 OLS Model'!$B$14*L137</f>
        <v>0</v>
      </c>
      <c r="Y137" s="23">
        <f>'GS &gt; 50 OLS Model'!$B$15*M137</f>
        <v>0</v>
      </c>
      <c r="Z137" s="23">
        <f t="shared" ca="1" si="73"/>
        <v>21503497.18198248</v>
      </c>
    </row>
    <row r="138" spans="1:26" x14ac:dyDescent="0.25">
      <c r="A138" s="11">
        <v>43952</v>
      </c>
      <c r="B138" s="6">
        <f t="shared" si="36"/>
        <v>2020</v>
      </c>
      <c r="D138">
        <f t="shared" ref="D138:E145" ca="1" si="80">D126</f>
        <v>144.96</v>
      </c>
      <c r="E138">
        <f t="shared" ca="1" si="80"/>
        <v>8.67</v>
      </c>
      <c r="F138" s="30">
        <f>F126*(1+SUMIF('Ontario Employment Growth'!B:B,B138,'Ontario Employment Growth'!G:G))</f>
        <v>7319.4713172525417</v>
      </c>
      <c r="G138" s="30">
        <f t="shared" si="10"/>
        <v>137</v>
      </c>
      <c r="H138" s="30">
        <f t="shared" ref="H138:M138" si="81">H126</f>
        <v>1</v>
      </c>
      <c r="I138" s="30">
        <f t="shared" si="81"/>
        <v>0</v>
      </c>
      <c r="J138" s="30">
        <f t="shared" si="81"/>
        <v>0</v>
      </c>
      <c r="K138" s="30">
        <f t="shared" si="81"/>
        <v>0</v>
      </c>
      <c r="L138" s="30">
        <f t="shared" si="81"/>
        <v>0</v>
      </c>
      <c r="M138" s="30">
        <f t="shared" si="81"/>
        <v>1</v>
      </c>
      <c r="O138" s="23">
        <f>'GS &gt; 50 OLS Model'!$B$5</f>
        <v>-14985611.9194983</v>
      </c>
      <c r="P138" s="23">
        <f ca="1">'GS &gt; 50 OLS Model'!$B$6*D138</f>
        <v>1117701.8378591442</v>
      </c>
      <c r="Q138" s="23">
        <f ca="1">'GS &gt; 50 OLS Model'!$B$7*E138</f>
        <v>281090.04042832326</v>
      </c>
      <c r="R138" s="23">
        <f>'GS &gt; 50 OLS Model'!$B$8*F138</f>
        <v>40578870.328275487</v>
      </c>
      <c r="S138" s="23">
        <f>'GS &gt; 50 OLS Model'!$B$9*G138</f>
        <v>-4268799.8944161637</v>
      </c>
      <c r="T138" s="23">
        <f>'GS &gt; 50 OLS Model'!$B$10*H138</f>
        <v>-439218.30194811599</v>
      </c>
      <c r="U138" s="23">
        <f>'GS &gt; 50 OLS Model'!$B$11*I138</f>
        <v>0</v>
      </c>
      <c r="V138" s="23">
        <f>'GS &gt; 50 OLS Model'!$B$12*J138</f>
        <v>0</v>
      </c>
      <c r="W138" s="23">
        <f>'GS &gt; 50 OLS Model'!$B$13*K138</f>
        <v>0</v>
      </c>
      <c r="X138" s="23">
        <f>'GS &gt; 50 OLS Model'!$B$14*L138</f>
        <v>0</v>
      </c>
      <c r="Y138" s="23">
        <f>'GS &gt; 50 OLS Model'!$B$15*M138</f>
        <v>-1248171.7663678101</v>
      </c>
      <c r="Z138" s="23">
        <f t="shared" ca="1" si="73"/>
        <v>21035860.324332565</v>
      </c>
    </row>
    <row r="139" spans="1:26" x14ac:dyDescent="0.25">
      <c r="A139" s="11">
        <v>43983</v>
      </c>
      <c r="B139" s="6">
        <f t="shared" si="36"/>
        <v>2020</v>
      </c>
      <c r="D139">
        <f t="shared" ca="1" si="80"/>
        <v>41.510000000000005</v>
      </c>
      <c r="E139">
        <f t="shared" ca="1" si="80"/>
        <v>44.41</v>
      </c>
      <c r="F139" s="30">
        <f>F127*(1+SUMIF('Ontario Employment Growth'!B:B,B139,'Ontario Employment Growth'!G:G))</f>
        <v>7394.6706323670951</v>
      </c>
      <c r="G139" s="30">
        <f t="shared" ref="G139:G145" si="82">G138+1</f>
        <v>138</v>
      </c>
      <c r="H139" s="30">
        <f t="shared" ref="H139:M139" si="83">H127</f>
        <v>1</v>
      </c>
      <c r="I139" s="30">
        <f t="shared" si="83"/>
        <v>0</v>
      </c>
      <c r="J139" s="30">
        <f t="shared" si="83"/>
        <v>0</v>
      </c>
      <c r="K139" s="30">
        <f t="shared" si="83"/>
        <v>0</v>
      </c>
      <c r="L139" s="30">
        <f t="shared" si="83"/>
        <v>0</v>
      </c>
      <c r="M139" s="30">
        <f t="shared" si="83"/>
        <v>1</v>
      </c>
      <c r="O139" s="23">
        <f>'GS &gt; 50 OLS Model'!$B$5</f>
        <v>-14985611.9194983</v>
      </c>
      <c r="P139" s="23">
        <f ca="1">'GS &gt; 50 OLS Model'!$B$6*D139</f>
        <v>320059.34940351185</v>
      </c>
      <c r="Q139" s="23">
        <f ca="1">'GS &gt; 50 OLS Model'!$B$7*E139</f>
        <v>1439816.4585261631</v>
      </c>
      <c r="R139" s="23">
        <f>'GS &gt; 50 OLS Model'!$B$8*F139</f>
        <v>40995772.468409017</v>
      </c>
      <c r="S139" s="23">
        <f>'GS &gt; 50 OLS Model'!$B$9*G139</f>
        <v>-4299959.0177330701</v>
      </c>
      <c r="T139" s="23">
        <f>'GS &gt; 50 OLS Model'!$B$10*H139</f>
        <v>-439218.30194811599</v>
      </c>
      <c r="U139" s="23">
        <f>'GS &gt; 50 OLS Model'!$B$11*I139</f>
        <v>0</v>
      </c>
      <c r="V139" s="23">
        <f>'GS &gt; 50 OLS Model'!$B$12*J139</f>
        <v>0</v>
      </c>
      <c r="W139" s="23">
        <f>'GS &gt; 50 OLS Model'!$B$13*K139</f>
        <v>0</v>
      </c>
      <c r="X139" s="23">
        <f>'GS &gt; 50 OLS Model'!$B$14*L139</f>
        <v>0</v>
      </c>
      <c r="Y139" s="23">
        <f>'GS &gt; 50 OLS Model'!$B$15*M139</f>
        <v>-1248171.7663678101</v>
      </c>
      <c r="Z139" s="23">
        <f t="shared" ca="1" si="73"/>
        <v>21782687.270791393</v>
      </c>
    </row>
    <row r="140" spans="1:26" x14ac:dyDescent="0.25">
      <c r="A140" s="11">
        <v>44013</v>
      </c>
      <c r="B140" s="6">
        <f t="shared" si="36"/>
        <v>2020</v>
      </c>
      <c r="D140">
        <f t="shared" ca="1" si="80"/>
        <v>5.01</v>
      </c>
      <c r="E140">
        <f t="shared" ca="1" si="80"/>
        <v>96.909999999999982</v>
      </c>
      <c r="F140" s="30">
        <f>F128*(1+SUMIF('Ontario Employment Growth'!B:B,B140,'Ontario Employment Growth'!G:G))</f>
        <v>7442.6997824189248</v>
      </c>
      <c r="G140" s="30">
        <f t="shared" si="82"/>
        <v>139</v>
      </c>
      <c r="H140" s="30">
        <f t="shared" ref="H140:M140" si="84">H128</f>
        <v>1</v>
      </c>
      <c r="I140" s="30">
        <f t="shared" si="84"/>
        <v>0</v>
      </c>
      <c r="J140" s="30">
        <f t="shared" si="84"/>
        <v>0</v>
      </c>
      <c r="K140" s="30">
        <f t="shared" si="84"/>
        <v>0</v>
      </c>
      <c r="L140" s="30">
        <f t="shared" si="84"/>
        <v>0</v>
      </c>
      <c r="M140" s="30">
        <f t="shared" si="84"/>
        <v>1</v>
      </c>
      <c r="O140" s="23">
        <f>'GS &gt; 50 OLS Model'!$B$5</f>
        <v>-14985611.9194983</v>
      </c>
      <c r="P140" s="23">
        <f ca="1">'GS &gt; 50 OLS Model'!$B$6*D140</f>
        <v>38629.181896208</v>
      </c>
      <c r="Q140" s="23">
        <f ca="1">'GS &gt; 50 OLS Model'!$B$7*E140</f>
        <v>3141918.7794589158</v>
      </c>
      <c r="R140" s="23">
        <f>'GS &gt; 50 OLS Model'!$B$8*F140</f>
        <v>41262044.247811526</v>
      </c>
      <c r="S140" s="23">
        <f>'GS &gt; 50 OLS Model'!$B$9*G140</f>
        <v>-4331118.1410499755</v>
      </c>
      <c r="T140" s="23">
        <f>'GS &gt; 50 OLS Model'!$B$10*H140</f>
        <v>-439218.30194811599</v>
      </c>
      <c r="U140" s="23">
        <f>'GS &gt; 50 OLS Model'!$B$11*I140</f>
        <v>0</v>
      </c>
      <c r="V140" s="23">
        <f>'GS &gt; 50 OLS Model'!$B$12*J140</f>
        <v>0</v>
      </c>
      <c r="W140" s="23">
        <f>'GS &gt; 50 OLS Model'!$B$13*K140</f>
        <v>0</v>
      </c>
      <c r="X140" s="23">
        <f>'GS &gt; 50 OLS Model'!$B$14*L140</f>
        <v>0</v>
      </c>
      <c r="Y140" s="23">
        <f>'GS &gt; 50 OLS Model'!$B$15*M140</f>
        <v>-1248171.7663678101</v>
      </c>
      <c r="Z140" s="23">
        <f t="shared" ca="1" si="73"/>
        <v>23438472.080302451</v>
      </c>
    </row>
    <row r="141" spans="1:26" x14ac:dyDescent="0.25">
      <c r="A141" s="11">
        <v>44044</v>
      </c>
      <c r="B141" s="6">
        <f t="shared" si="36"/>
        <v>2020</v>
      </c>
      <c r="D141">
        <f t="shared" ca="1" si="80"/>
        <v>12.719999999999999</v>
      </c>
      <c r="E141">
        <f t="shared" ca="1" si="80"/>
        <v>77.22999999999999</v>
      </c>
      <c r="F141" s="30">
        <f>F129*(1+SUMIF('Ontario Employment Growth'!B:B,B141,'Ontario Employment Growth'!G:G))</f>
        <v>7455.4291117199655</v>
      </c>
      <c r="G141" s="30">
        <f t="shared" si="82"/>
        <v>140</v>
      </c>
      <c r="H141" s="30">
        <f t="shared" ref="H141:M141" si="85">H129</f>
        <v>1</v>
      </c>
      <c r="I141" s="30">
        <f t="shared" si="85"/>
        <v>0</v>
      </c>
      <c r="J141" s="30">
        <f t="shared" si="85"/>
        <v>0</v>
      </c>
      <c r="K141" s="30">
        <f t="shared" si="85"/>
        <v>0</v>
      </c>
      <c r="L141" s="30">
        <f t="shared" si="85"/>
        <v>0</v>
      </c>
      <c r="M141" s="30">
        <f t="shared" si="85"/>
        <v>1</v>
      </c>
      <c r="O141" s="23">
        <f>'GS &gt; 50 OLS Model'!$B$5</f>
        <v>-14985611.9194983</v>
      </c>
      <c r="P141" s="23">
        <f ca="1">'GS &gt; 50 OLS Model'!$B$6*D141</f>
        <v>98076.485772408327</v>
      </c>
      <c r="Q141" s="23">
        <f ca="1">'GS &gt; 50 OLS Model'!$B$7*E141</f>
        <v>2503873.5665835529</v>
      </c>
      <c r="R141" s="23">
        <f>'GS &gt; 50 OLS Model'!$B$8*F141</f>
        <v>41332615.164846934</v>
      </c>
      <c r="S141" s="23">
        <f>'GS &gt; 50 OLS Model'!$B$9*G141</f>
        <v>-4362277.2643668819</v>
      </c>
      <c r="T141" s="23">
        <f>'GS &gt; 50 OLS Model'!$B$10*H141</f>
        <v>-439218.30194811599</v>
      </c>
      <c r="U141" s="23">
        <f>'GS &gt; 50 OLS Model'!$B$11*I141</f>
        <v>0</v>
      </c>
      <c r="V141" s="23">
        <f>'GS &gt; 50 OLS Model'!$B$12*J141</f>
        <v>0</v>
      </c>
      <c r="W141" s="23">
        <f>'GS &gt; 50 OLS Model'!$B$13*K141</f>
        <v>0</v>
      </c>
      <c r="X141" s="23">
        <f>'GS &gt; 50 OLS Model'!$B$14*L141</f>
        <v>0</v>
      </c>
      <c r="Y141" s="23">
        <f>'GS &gt; 50 OLS Model'!$B$15*M141</f>
        <v>-1248171.7663678101</v>
      </c>
      <c r="Z141" s="23">
        <f t="shared" ca="1" si="73"/>
        <v>22899285.965021785</v>
      </c>
    </row>
    <row r="142" spans="1:26" x14ac:dyDescent="0.25">
      <c r="A142" s="11">
        <v>44075</v>
      </c>
      <c r="B142" s="6">
        <f t="shared" si="36"/>
        <v>2020</v>
      </c>
      <c r="D142">
        <f t="shared" ca="1" si="80"/>
        <v>86.570000000000007</v>
      </c>
      <c r="E142">
        <f t="shared" ca="1" si="80"/>
        <v>19.899999999999999</v>
      </c>
      <c r="F142" s="30">
        <f>F130*(1+SUMIF('Ontario Employment Growth'!B:B,B142,'Ontario Employment Growth'!G:G))</f>
        <v>7428.0450083496589</v>
      </c>
      <c r="G142" s="30">
        <f t="shared" si="82"/>
        <v>141</v>
      </c>
      <c r="H142" s="30">
        <f t="shared" ref="H142:M142" si="86">H130</f>
        <v>1</v>
      </c>
      <c r="I142" s="30">
        <f t="shared" si="86"/>
        <v>1</v>
      </c>
      <c r="J142" s="30">
        <f t="shared" si="86"/>
        <v>0</v>
      </c>
      <c r="K142" s="30">
        <f t="shared" si="86"/>
        <v>0</v>
      </c>
      <c r="L142" s="30">
        <f t="shared" si="86"/>
        <v>0</v>
      </c>
      <c r="M142" s="30">
        <f t="shared" si="86"/>
        <v>0</v>
      </c>
      <c r="O142" s="23">
        <f>'GS &gt; 50 OLS Model'!$B$5</f>
        <v>-14985611.9194983</v>
      </c>
      <c r="P142" s="23">
        <f ca="1">'GS &gt; 50 OLS Model'!$B$6*D142</f>
        <v>667490.67400293949</v>
      </c>
      <c r="Q142" s="23">
        <f ca="1">'GS &gt; 50 OLS Model'!$B$7*E142</f>
        <v>645177.83212498645</v>
      </c>
      <c r="R142" s="23">
        <f>'GS &gt; 50 OLS Model'!$B$8*F142</f>
        <v>41180798.738283373</v>
      </c>
      <c r="S142" s="23">
        <f>'GS &gt; 50 OLS Model'!$B$9*G142</f>
        <v>-4393436.3876837883</v>
      </c>
      <c r="T142" s="23">
        <f>'GS &gt; 50 OLS Model'!$B$10*H142</f>
        <v>-439218.30194811599</v>
      </c>
      <c r="U142" s="23">
        <f>'GS &gt; 50 OLS Model'!$B$11*I142</f>
        <v>-1629695.87956432</v>
      </c>
      <c r="V142" s="23">
        <f>'GS &gt; 50 OLS Model'!$B$12*J142</f>
        <v>0</v>
      </c>
      <c r="W142" s="23">
        <f>'GS &gt; 50 OLS Model'!$B$13*K142</f>
        <v>0</v>
      </c>
      <c r="X142" s="23">
        <f>'GS &gt; 50 OLS Model'!$B$14*L142</f>
        <v>0</v>
      </c>
      <c r="Y142" s="23">
        <f>'GS &gt; 50 OLS Model'!$B$15*M142</f>
        <v>0</v>
      </c>
      <c r="Z142" s="23">
        <f t="shared" ca="1" si="73"/>
        <v>21045504.755716775</v>
      </c>
    </row>
    <row r="143" spans="1:26" x14ac:dyDescent="0.25">
      <c r="A143" s="11">
        <v>44105</v>
      </c>
      <c r="B143" s="6">
        <f t="shared" si="36"/>
        <v>2020</v>
      </c>
      <c r="D143">
        <f t="shared" ca="1" si="80"/>
        <v>270.3</v>
      </c>
      <c r="E143">
        <f t="shared" ca="1" si="80"/>
        <v>1.21</v>
      </c>
      <c r="F143" s="30">
        <f>F131*(1+SUMIF('Ontario Employment Growth'!B:B,B143,'Ontario Employment Growth'!G:G))</f>
        <v>7420.0223218153888</v>
      </c>
      <c r="G143" s="30">
        <f t="shared" si="82"/>
        <v>142</v>
      </c>
      <c r="H143" s="30">
        <f t="shared" ref="H143:M143" si="87">H131</f>
        <v>1</v>
      </c>
      <c r="I143" s="30">
        <f t="shared" si="87"/>
        <v>1</v>
      </c>
      <c r="J143" s="30">
        <f t="shared" si="87"/>
        <v>0</v>
      </c>
      <c r="K143" s="30">
        <f t="shared" si="87"/>
        <v>0</v>
      </c>
      <c r="L143" s="30">
        <f t="shared" si="87"/>
        <v>0</v>
      </c>
      <c r="M143" s="30">
        <f t="shared" si="87"/>
        <v>0</v>
      </c>
      <c r="O143" s="23">
        <f>'GS &gt; 50 OLS Model'!$B$5</f>
        <v>-14985611.9194983</v>
      </c>
      <c r="P143" s="23">
        <f ca="1">'GS &gt; 50 OLS Model'!$B$6*D143</f>
        <v>2084125.3226636774</v>
      </c>
      <c r="Q143" s="23">
        <f ca="1">'GS &gt; 50 OLS Model'!$B$7*E143</f>
        <v>39229.405872926312</v>
      </c>
      <c r="R143" s="23">
        <f>'GS &gt; 50 OLS Model'!$B$8*F143</f>
        <v>41136321.269563578</v>
      </c>
      <c r="S143" s="23">
        <f>'GS &gt; 50 OLS Model'!$B$9*G143</f>
        <v>-4424595.5110006947</v>
      </c>
      <c r="T143" s="23">
        <f>'GS &gt; 50 OLS Model'!$B$10*H143</f>
        <v>-439218.30194811599</v>
      </c>
      <c r="U143" s="23">
        <f>'GS &gt; 50 OLS Model'!$B$11*I143</f>
        <v>-1629695.87956432</v>
      </c>
      <c r="V143" s="23">
        <f>'GS &gt; 50 OLS Model'!$B$12*J143</f>
        <v>0</v>
      </c>
      <c r="W143" s="23">
        <f>'GS &gt; 50 OLS Model'!$B$13*K143</f>
        <v>0</v>
      </c>
      <c r="X143" s="23">
        <f>'GS &gt; 50 OLS Model'!$B$14*L143</f>
        <v>0</v>
      </c>
      <c r="Y143" s="23">
        <f>'GS &gt; 50 OLS Model'!$B$15*M143</f>
        <v>0</v>
      </c>
      <c r="Z143" s="23">
        <f t="shared" ca="1" si="73"/>
        <v>21780554.386088755</v>
      </c>
    </row>
    <row r="144" spans="1:26" x14ac:dyDescent="0.25">
      <c r="A144" s="11">
        <v>44136</v>
      </c>
      <c r="B144" s="6">
        <f t="shared" si="36"/>
        <v>2020</v>
      </c>
      <c r="D144">
        <f t="shared" ca="1" si="80"/>
        <v>444.05</v>
      </c>
      <c r="E144">
        <f t="shared" ca="1" si="80"/>
        <v>0</v>
      </c>
      <c r="F144" s="30">
        <f>F132*(1+SUMIF('Ontario Employment Growth'!B:B,B144,'Ontario Employment Growth'!G:G))</f>
        <v>7396.1682005201601</v>
      </c>
      <c r="G144" s="30">
        <f t="shared" si="82"/>
        <v>143</v>
      </c>
      <c r="H144" s="30">
        <f t="shared" ref="H144:M144" si="88">H132</f>
        <v>1</v>
      </c>
      <c r="I144" s="30">
        <f t="shared" si="88"/>
        <v>1</v>
      </c>
      <c r="J144" s="30">
        <f t="shared" si="88"/>
        <v>0</v>
      </c>
      <c r="K144" s="30">
        <f t="shared" si="88"/>
        <v>0</v>
      </c>
      <c r="L144" s="30">
        <f t="shared" si="88"/>
        <v>0</v>
      </c>
      <c r="M144" s="30">
        <f t="shared" si="88"/>
        <v>0</v>
      </c>
      <c r="O144" s="23">
        <f>'GS &gt; 50 OLS Model'!$B$5</f>
        <v>-14985611.9194983</v>
      </c>
      <c r="P144" s="23">
        <f ca="1">'GS &gt; 50 OLS Model'!$B$6*D144</f>
        <v>3423810.024153925</v>
      </c>
      <c r="Q144" s="23">
        <f ca="1">'GS &gt; 50 OLS Model'!$B$7*E144</f>
        <v>0</v>
      </c>
      <c r="R144" s="23">
        <f>'GS &gt; 50 OLS Model'!$B$8*F144</f>
        <v>41004074.929236718</v>
      </c>
      <c r="S144" s="23">
        <f>'GS &gt; 50 OLS Model'!$B$9*G144</f>
        <v>-4455754.6343176011</v>
      </c>
      <c r="T144" s="23">
        <f>'GS &gt; 50 OLS Model'!$B$10*H144</f>
        <v>-439218.30194811599</v>
      </c>
      <c r="U144" s="23">
        <f>'GS &gt; 50 OLS Model'!$B$11*I144</f>
        <v>-1629695.87956432</v>
      </c>
      <c r="V144" s="23">
        <f>'GS &gt; 50 OLS Model'!$B$12*J144</f>
        <v>0</v>
      </c>
      <c r="W144" s="23">
        <f>'GS &gt; 50 OLS Model'!$B$13*K144</f>
        <v>0</v>
      </c>
      <c r="X144" s="23">
        <f>'GS &gt; 50 OLS Model'!$B$14*L144</f>
        <v>0</v>
      </c>
      <c r="Y144" s="23">
        <f>'GS &gt; 50 OLS Model'!$B$15*M144</f>
        <v>0</v>
      </c>
      <c r="Z144" s="23">
        <f t="shared" ca="1" si="73"/>
        <v>22917604.218062308</v>
      </c>
    </row>
    <row r="145" spans="1:26" x14ac:dyDescent="0.25">
      <c r="A145" s="11">
        <v>44166</v>
      </c>
      <c r="B145" s="6">
        <f t="shared" si="36"/>
        <v>2020</v>
      </c>
      <c r="D145">
        <f t="shared" ca="1" si="80"/>
        <v>684.01</v>
      </c>
      <c r="E145">
        <f t="shared" ca="1" si="80"/>
        <v>0</v>
      </c>
      <c r="F145" s="30">
        <f>F133*(1+SUMIF('Ontario Employment Growth'!B:B,B145,'Ontario Employment Growth'!G:G))</f>
        <v>7384.2946244494397</v>
      </c>
      <c r="G145" s="30">
        <f t="shared" si="82"/>
        <v>144</v>
      </c>
      <c r="H145" s="30">
        <f t="shared" ref="H145:M145" si="89">H133</f>
        <v>1</v>
      </c>
      <c r="I145" s="30">
        <f t="shared" si="89"/>
        <v>0</v>
      </c>
      <c r="J145" s="30">
        <f t="shared" si="89"/>
        <v>0</v>
      </c>
      <c r="K145" s="30">
        <f t="shared" si="89"/>
        <v>0</v>
      </c>
      <c r="L145" s="30">
        <f t="shared" si="89"/>
        <v>1</v>
      </c>
      <c r="M145" s="30">
        <f t="shared" si="89"/>
        <v>0</v>
      </c>
      <c r="O145" s="23">
        <f>'GS &gt; 50 OLS Model'!$B$5</f>
        <v>-14985611.9194983</v>
      </c>
      <c r="P145" s="23">
        <f ca="1">'GS &gt; 50 OLS Model'!$B$6*D145</f>
        <v>5274001.3390868735</v>
      </c>
      <c r="Q145" s="23">
        <f ca="1">'GS &gt; 50 OLS Model'!$B$7*E145</f>
        <v>0</v>
      </c>
      <c r="R145" s="23">
        <f>'GS &gt; 50 OLS Model'!$B$8*F145</f>
        <v>40938248.275531419</v>
      </c>
      <c r="S145" s="23">
        <f>'GS &gt; 50 OLS Model'!$B$9*G145</f>
        <v>-4486913.7576345075</v>
      </c>
      <c r="T145" s="23">
        <f>'GS &gt; 50 OLS Model'!$B$10*H145</f>
        <v>-439218.30194811599</v>
      </c>
      <c r="U145" s="23">
        <f>'GS &gt; 50 OLS Model'!$B$11*I145</f>
        <v>0</v>
      </c>
      <c r="V145" s="23">
        <f>'GS &gt; 50 OLS Model'!$B$12*J145</f>
        <v>0</v>
      </c>
      <c r="W145" s="23">
        <f>'GS &gt; 50 OLS Model'!$B$13*K145</f>
        <v>0</v>
      </c>
      <c r="X145" s="23">
        <f>'GS &gt; 50 OLS Model'!$B$14*L145</f>
        <v>-1130663.3851056299</v>
      </c>
      <c r="Y145" s="23">
        <f>'GS &gt; 50 OLS Model'!$B$15*M145</f>
        <v>0</v>
      </c>
      <c r="Z145" s="23">
        <f t="shared" ca="1" si="73"/>
        <v>25169842.250431743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5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0.44140625" bestFit="1" customWidth="1"/>
    <col min="7" max="7" width="7.44140625" bestFit="1" customWidth="1"/>
    <col min="8" max="8" width="5.5546875" bestFit="1" customWidth="1"/>
    <col min="9" max="9" width="4" bestFit="1" customWidth="1"/>
    <col min="10" max="10" width="6.109375" bestFit="1" customWidth="1"/>
    <col min="11" max="11" width="6.109375" customWidth="1"/>
    <col min="12" max="12" width="14.5546875" bestFit="1" customWidth="1"/>
    <col min="14" max="14" width="11.33203125" style="23" bestFit="1" customWidth="1"/>
    <col min="15" max="16" width="10.33203125" style="23" bestFit="1" customWidth="1"/>
    <col min="17" max="17" width="11.5546875" style="23" bestFit="1" customWidth="1"/>
    <col min="18" max="18" width="11.33203125" style="23" bestFit="1" customWidth="1"/>
    <col min="19" max="21" width="10.33203125" style="23" bestFit="1" customWidth="1"/>
    <col min="22" max="22" width="8.6640625" style="23" bestFit="1" customWidth="1"/>
    <col min="23" max="23" width="15.6640625" style="23" bestFit="1" customWidth="1"/>
    <col min="24" max="24" width="16.88671875" style="23" bestFit="1" customWidth="1"/>
  </cols>
  <sheetData>
    <row r="1" spans="1:24" x14ac:dyDescent="0.25">
      <c r="A1" s="11" t="str">
        <f>'Monthly Data'!A1</f>
        <v>Date</v>
      </c>
      <c r="B1" s="15" t="s">
        <v>33</v>
      </c>
      <c r="C1" t="str">
        <f>'Monthly Data'!I1</f>
        <v>LUkWh</v>
      </c>
      <c r="D1" s="30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Data'!Q1</f>
        <v>OntFTE</v>
      </c>
      <c r="H1" s="30" t="str">
        <f>'Monthly Data'!S1</f>
        <v>Trend</v>
      </c>
      <c r="I1" s="30" t="str">
        <f>'Monthly Data'!AE1</f>
        <v>Fall</v>
      </c>
      <c r="J1" s="30" t="str">
        <f>'Monthly Data'!AG1</f>
        <v>DAPR</v>
      </c>
      <c r="K1" s="4" t="str">
        <f>'Monthly Data'!AH1</f>
        <v>DDEC</v>
      </c>
      <c r="L1" s="4" t="str">
        <f>'Monthly Data'!AI1</f>
        <v>QueensSummer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QueensSummer</v>
      </c>
      <c r="X1" s="80" t="s">
        <v>60</v>
      </c>
    </row>
    <row r="2" spans="1:24" x14ac:dyDescent="0.25">
      <c r="A2" s="11">
        <f>'Monthly Data'!A2</f>
        <v>39814</v>
      </c>
      <c r="B2" s="6">
        <f>YEAR(A2)</f>
        <v>2009</v>
      </c>
      <c r="C2">
        <f>'Monthly Data'!I2</f>
        <v>12630235.100299999</v>
      </c>
      <c r="D2">
        <f ca="1">'Weather Data'!G66</f>
        <v>784.29</v>
      </c>
      <c r="E2" s="30">
        <f ca="1">'Weather Data'!H66</f>
        <v>0</v>
      </c>
      <c r="F2">
        <f>'Monthly Data'!P2</f>
        <v>31</v>
      </c>
      <c r="G2" s="30">
        <f>'Monthly Data'!Q2</f>
        <v>6506.5</v>
      </c>
      <c r="H2">
        <f>'Monthly Data'!S2</f>
        <v>1</v>
      </c>
      <c r="I2" s="30">
        <f>'Monthly Data'!AE2</f>
        <v>0</v>
      </c>
      <c r="J2" s="4">
        <f>'Monthly Data'!AG2</f>
        <v>0</v>
      </c>
      <c r="K2" s="4">
        <f>'Monthly Data'!AH2</f>
        <v>0</v>
      </c>
      <c r="L2" s="4">
        <f>'Monthly Data'!AI2</f>
        <v>0</v>
      </c>
      <c r="N2" s="23">
        <f>'LU OLS Model'!$B$5</f>
        <v>-36743884.5954879</v>
      </c>
      <c r="O2" s="23">
        <f ca="1">'LU OLS Model'!$B$6*D2</f>
        <v>-1529390.4680132749</v>
      </c>
      <c r="P2" s="23">
        <f ca="1">'LU OLS Model'!$B$7*E2</f>
        <v>0</v>
      </c>
      <c r="Q2" s="23">
        <f>'LU OLS Model'!$B$8*F2</f>
        <v>10664575.627180042</v>
      </c>
      <c r="R2" s="23">
        <f>'LU OLS Model'!$B$9*G2</f>
        <v>40620001.373027399</v>
      </c>
      <c r="S2" s="23">
        <f>'LU OLS Model'!$B$10*H2</f>
        <v>-38271.6121063233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 ca="1">SUM(N2:W2)</f>
        <v>12973030.324599944</v>
      </c>
    </row>
    <row r="3" spans="1:24" x14ac:dyDescent="0.25">
      <c r="A3" s="11">
        <f>'Monthly Data'!A3</f>
        <v>39845</v>
      </c>
      <c r="B3" s="6">
        <f t="shared" ref="B3:B66" si="0">YEAR(A3)</f>
        <v>2009</v>
      </c>
      <c r="C3">
        <f>'Monthly Data'!I3</f>
        <v>11333821.4934</v>
      </c>
      <c r="D3" s="30">
        <f ca="1">'Weather Data'!G67</f>
        <v>682.50999999999988</v>
      </c>
      <c r="E3" s="30">
        <f ca="1">'Weather Data'!H67</f>
        <v>0</v>
      </c>
      <c r="F3">
        <f>'Monthly Data'!P3</f>
        <v>28</v>
      </c>
      <c r="G3" s="30">
        <f>'Monthly Data'!Q3</f>
        <v>6436.2</v>
      </c>
      <c r="H3">
        <f>'Monthly Data'!S3</f>
        <v>2</v>
      </c>
      <c r="I3" s="30">
        <f>'Monthly Data'!AE3</f>
        <v>0</v>
      </c>
      <c r="J3" s="4">
        <f>'Monthly Data'!AG3</f>
        <v>0</v>
      </c>
      <c r="K3" s="4">
        <f>'Monthly Data'!AH3</f>
        <v>0</v>
      </c>
      <c r="L3" s="4">
        <f>'Monthly Data'!AI3</f>
        <v>0</v>
      </c>
      <c r="N3" s="23">
        <f>'LU OLS Model'!$B$5</f>
        <v>-36743884.5954879</v>
      </c>
      <c r="O3" s="23">
        <f ca="1">'LU OLS Model'!$B$6*D3</f>
        <v>-1330916.2278286605</v>
      </c>
      <c r="P3" s="23">
        <f ca="1">'LU OLS Model'!$B$7*E3</f>
        <v>0</v>
      </c>
      <c r="Q3" s="23">
        <f>'LU OLS Model'!$B$8*F3</f>
        <v>9632519.9213239085</v>
      </c>
      <c r="R3" s="23">
        <f>'LU OLS Model'!$B$9*G3</f>
        <v>40181119.317156523</v>
      </c>
      <c r="S3" s="23">
        <f>'LU OLS Model'!$B$10*H3</f>
        <v>-76543.224212646601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6" ca="1" si="1">SUM(N3:W3)</f>
        <v>11662295.190951228</v>
      </c>
    </row>
    <row r="4" spans="1:24" x14ac:dyDescent="0.25">
      <c r="A4" s="11">
        <f>'Monthly Data'!A4</f>
        <v>39873</v>
      </c>
      <c r="B4" s="6">
        <f t="shared" si="0"/>
        <v>2009</v>
      </c>
      <c r="C4">
        <f>'Monthly Data'!I4</f>
        <v>12370923.8947</v>
      </c>
      <c r="D4" s="30">
        <f ca="1">'Weather Data'!G68</f>
        <v>556.99</v>
      </c>
      <c r="E4" s="30">
        <f ca="1">'Weather Data'!H68</f>
        <v>0</v>
      </c>
      <c r="F4">
        <f>'Monthly Data'!P4</f>
        <v>31</v>
      </c>
      <c r="G4" s="30">
        <f>'Monthly Data'!Q4</f>
        <v>6363.8</v>
      </c>
      <c r="H4">
        <f>'Monthly Data'!S4</f>
        <v>3</v>
      </c>
      <c r="I4" s="30">
        <f>'Monthly Data'!AE4</f>
        <v>0</v>
      </c>
      <c r="J4" s="4">
        <f>'Monthly Data'!AG4</f>
        <v>0</v>
      </c>
      <c r="K4" s="4">
        <f>'Monthly Data'!AH4</f>
        <v>0</v>
      </c>
      <c r="L4" s="4">
        <f>'Monthly Data'!AI4</f>
        <v>0</v>
      </c>
      <c r="N4" s="23">
        <f>'LU OLS Model'!$B$5</f>
        <v>-36743884.5954879</v>
      </c>
      <c r="O4" s="23">
        <f ca="1">'LU OLS Model'!$B$6*D4</f>
        <v>-1086148.2318768748</v>
      </c>
      <c r="P4" s="23">
        <f ca="1">'LU OLS Model'!$B$7*E4</f>
        <v>0</v>
      </c>
      <c r="Q4" s="23">
        <f>'LU OLS Model'!$B$8*F4</f>
        <v>10664575.627180042</v>
      </c>
      <c r="R4" s="23">
        <f>'LU OLS Model'!$B$9*G4</f>
        <v>39729126.986501463</v>
      </c>
      <c r="S4" s="23">
        <f>'LU OLS Model'!$B$10*H4</f>
        <v>-114814.8363189699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ca="1" si="1"/>
        <v>12448854.94999776</v>
      </c>
    </row>
    <row r="5" spans="1:24" x14ac:dyDescent="0.25">
      <c r="A5" s="11">
        <f>'Monthly Data'!A5</f>
        <v>39904</v>
      </c>
      <c r="B5" s="6">
        <f t="shared" si="0"/>
        <v>2009</v>
      </c>
      <c r="C5">
        <f>'Monthly Data'!I5</f>
        <v>11402691.3343</v>
      </c>
      <c r="D5" s="30">
        <f ca="1">'Weather Data'!G69</f>
        <v>326.58999999999997</v>
      </c>
      <c r="E5" s="30">
        <f ca="1">'Weather Data'!H69</f>
        <v>0.39</v>
      </c>
      <c r="F5">
        <f>'Monthly Data'!P5</f>
        <v>30</v>
      </c>
      <c r="G5" s="30">
        <f>'Monthly Data'!Q5</f>
        <v>6359.6</v>
      </c>
      <c r="H5">
        <f>'Monthly Data'!S5</f>
        <v>4</v>
      </c>
      <c r="I5" s="30">
        <f>'Monthly Data'!AE5</f>
        <v>0</v>
      </c>
      <c r="J5" s="4">
        <f>'Monthly Data'!AG5</f>
        <v>1</v>
      </c>
      <c r="K5" s="4">
        <f>'Monthly Data'!AH5</f>
        <v>0</v>
      </c>
      <c r="L5" s="4">
        <f>'Monthly Data'!AI5</f>
        <v>0</v>
      </c>
      <c r="N5" s="23">
        <f>'LU OLS Model'!$B$5</f>
        <v>-36743884.5954879</v>
      </c>
      <c r="O5" s="23">
        <f ca="1">'LU OLS Model'!$B$6*D5</f>
        <v>-636860.89705141657</v>
      </c>
      <c r="P5" s="23">
        <f ca="1">'LU OLS Model'!$B$7*E5</f>
        <v>7409.6801225738845</v>
      </c>
      <c r="Q5" s="23">
        <f>'LU OLS Model'!$B$8*F5</f>
        <v>10320557.058561331</v>
      </c>
      <c r="R5" s="23">
        <f>'LU OLS Model'!$B$9*G5</f>
        <v>39702906.436933078</v>
      </c>
      <c r="S5" s="23">
        <f>'LU OLS Model'!$B$10*H5</f>
        <v>-153086.4484252932</v>
      </c>
      <c r="T5" s="23">
        <f>'LU OLS Model'!$B$11*I5</f>
        <v>0</v>
      </c>
      <c r="U5" s="23">
        <f>'LU OLS Model'!$B$12*J5</f>
        <v>-1041288.65545601</v>
      </c>
      <c r="V5" s="23">
        <f>'LU OLS Model'!$B$13*K5</f>
        <v>0</v>
      </c>
      <c r="W5" s="23">
        <f>'LU OLS Model'!$B$14*L5</f>
        <v>0</v>
      </c>
      <c r="X5" s="23">
        <f t="shared" ca="1" si="1"/>
        <v>11455752.579196367</v>
      </c>
    </row>
    <row r="6" spans="1:24" x14ac:dyDescent="0.25">
      <c r="A6" s="11">
        <f>'Monthly Data'!A6</f>
        <v>39934</v>
      </c>
      <c r="B6" s="6">
        <f t="shared" si="0"/>
        <v>2009</v>
      </c>
      <c r="C6">
        <f>'Monthly Data'!I6</f>
        <v>11555213.605999999</v>
      </c>
      <c r="D6" s="30">
        <f ca="1">'Weather Data'!G70</f>
        <v>144.96</v>
      </c>
      <c r="E6" s="30">
        <f ca="1">'Weather Data'!H70</f>
        <v>8.67</v>
      </c>
      <c r="F6">
        <f>'Monthly Data'!P6</f>
        <v>31</v>
      </c>
      <c r="G6" s="30">
        <f>'Monthly Data'!Q6</f>
        <v>6382.1</v>
      </c>
      <c r="H6">
        <f>'Monthly Data'!S6</f>
        <v>5</v>
      </c>
      <c r="I6" s="30">
        <f>'Monthly Data'!AE6</f>
        <v>0</v>
      </c>
      <c r="J6" s="4">
        <f>'Monthly Data'!AG6</f>
        <v>0</v>
      </c>
      <c r="K6" s="4">
        <f>'Monthly Data'!AH6</f>
        <v>0</v>
      </c>
      <c r="L6" s="4">
        <f>'Monthly Data'!AI6</f>
        <v>1</v>
      </c>
      <c r="N6" s="23">
        <f>'LU OLS Model'!$B$5</f>
        <v>-36743884.5954879</v>
      </c>
      <c r="O6" s="23">
        <f ca="1">'LU OLS Model'!$B$6*D6</f>
        <v>-282676.61482768413</v>
      </c>
      <c r="P6" s="23">
        <f ca="1">'LU OLS Model'!$B$7*E6</f>
        <v>164722.88887875789</v>
      </c>
      <c r="Q6" s="23">
        <f>'LU OLS Model'!$B$8*F6</f>
        <v>10664575.627180042</v>
      </c>
      <c r="R6" s="23">
        <f>'LU OLS Model'!$B$9*G6</f>
        <v>39843373.666763723</v>
      </c>
      <c r="S6" s="23">
        <f>'LU OLS Model'!$B$10*H6</f>
        <v>-191358.0605316165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-1707342.3140862701</v>
      </c>
      <c r="X6" s="23">
        <f t="shared" ca="1" si="1"/>
        <v>11747410.597889047</v>
      </c>
    </row>
    <row r="7" spans="1:24" x14ac:dyDescent="0.25">
      <c r="A7" s="11">
        <f>'Monthly Data'!A7</f>
        <v>39965</v>
      </c>
      <c r="B7" s="6">
        <f t="shared" si="0"/>
        <v>2009</v>
      </c>
      <c r="C7">
        <f>'Monthly Data'!I7</f>
        <v>12458106.387699999</v>
      </c>
      <c r="D7" s="30">
        <f ca="1">'Weather Data'!G71</f>
        <v>41.510000000000005</v>
      </c>
      <c r="E7" s="30">
        <f ca="1">'Weather Data'!H71</f>
        <v>44.41</v>
      </c>
      <c r="F7">
        <f>'Monthly Data'!P7</f>
        <v>30</v>
      </c>
      <c r="G7" s="30">
        <f>'Monthly Data'!Q7</f>
        <v>6429.4</v>
      </c>
      <c r="H7">
        <f>'Monthly Data'!S7</f>
        <v>6</v>
      </c>
      <c r="I7" s="30">
        <f>'Monthly Data'!AE7</f>
        <v>0</v>
      </c>
      <c r="J7" s="4">
        <f>'Monthly Data'!AG7</f>
        <v>0</v>
      </c>
      <c r="K7" s="4">
        <f>'Monthly Data'!AH7</f>
        <v>0</v>
      </c>
      <c r="L7" s="4">
        <f>'Monthly Data'!AI7</f>
        <v>1</v>
      </c>
      <c r="N7" s="23">
        <f>'LU OLS Model'!$B$5</f>
        <v>-36743884.5954879</v>
      </c>
      <c r="O7" s="23">
        <f ca="1">'LU OLS Model'!$B$6*D7</f>
        <v>-80945.821478319311</v>
      </c>
      <c r="P7" s="23">
        <f ca="1">'LU OLS Model'!$B$7*E7</f>
        <v>843753.57498334919</v>
      </c>
      <c r="Q7" s="23">
        <f>'LU OLS Model'!$B$8*F7</f>
        <v>10320557.058561331</v>
      </c>
      <c r="R7" s="23">
        <f>'LU OLS Model'!$B$9*G7</f>
        <v>40138666.998807706</v>
      </c>
      <c r="S7" s="23">
        <f>'LU OLS Model'!$B$10*H7</f>
        <v>-229629.6726379398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-1707342.3140862701</v>
      </c>
      <c r="X7" s="23">
        <f t="shared" ca="1" si="1"/>
        <v>12541175.228661958</v>
      </c>
    </row>
    <row r="8" spans="1:24" x14ac:dyDescent="0.25">
      <c r="A8" s="11">
        <f>'Monthly Data'!A8</f>
        <v>39995</v>
      </c>
      <c r="B8" s="6">
        <f t="shared" si="0"/>
        <v>2009</v>
      </c>
      <c r="C8">
        <f>'Monthly Data'!I8</f>
        <v>13695389.126600001</v>
      </c>
      <c r="D8" s="30">
        <f ca="1">'Weather Data'!G72</f>
        <v>5.01</v>
      </c>
      <c r="E8" s="30">
        <f ca="1">'Weather Data'!H72</f>
        <v>96.909999999999982</v>
      </c>
      <c r="F8">
        <f>'Monthly Data'!P8</f>
        <v>31</v>
      </c>
      <c r="G8" s="30">
        <f>'Monthly Data'!Q8</f>
        <v>6467</v>
      </c>
      <c r="H8">
        <f>'Monthly Data'!S8</f>
        <v>7</v>
      </c>
      <c r="I8" s="30">
        <f>'Monthly Data'!AE8</f>
        <v>0</v>
      </c>
      <c r="J8" s="4">
        <f>'Monthly Data'!AG8</f>
        <v>0</v>
      </c>
      <c r="K8" s="4">
        <f>'Monthly Data'!AH8</f>
        <v>0</v>
      </c>
      <c r="L8" s="4">
        <f>'Monthly Data'!AI8</f>
        <v>1</v>
      </c>
      <c r="N8" s="23">
        <f>'LU OLS Model'!$B$5</f>
        <v>-36743884.5954879</v>
      </c>
      <c r="O8" s="23">
        <f ca="1">'LU OLS Model'!$B$6*D8</f>
        <v>-9769.6594942514985</v>
      </c>
      <c r="P8" s="23">
        <f ca="1">'LU OLS Model'!$B$7*E8</f>
        <v>1841210.5145606026</v>
      </c>
      <c r="Q8" s="23">
        <f>'LU OLS Model'!$B$8*F8</f>
        <v>10664575.627180042</v>
      </c>
      <c r="R8" s="23">
        <f>'LU OLS Model'!$B$9*G8</f>
        <v>40373403.347324707</v>
      </c>
      <c r="S8" s="23">
        <f>'LU OLS Model'!$B$10*H8</f>
        <v>-267901.2847442631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-1707342.3140862701</v>
      </c>
      <c r="X8" s="23">
        <f t="shared" ca="1" si="1"/>
        <v>14150291.635252666</v>
      </c>
    </row>
    <row r="9" spans="1:24" x14ac:dyDescent="0.25">
      <c r="A9" s="11">
        <f>'Monthly Data'!A9</f>
        <v>40026</v>
      </c>
      <c r="B9" s="6">
        <f t="shared" si="0"/>
        <v>2009</v>
      </c>
      <c r="C9">
        <f>'Monthly Data'!I9</f>
        <v>14408989.219000001</v>
      </c>
      <c r="D9" s="30">
        <f ca="1">'Weather Data'!G73</f>
        <v>12.719999999999999</v>
      </c>
      <c r="E9" s="30">
        <f ca="1">'Weather Data'!H73</f>
        <v>77.22999999999999</v>
      </c>
      <c r="F9">
        <f>'Monthly Data'!P9</f>
        <v>31</v>
      </c>
      <c r="G9" s="30">
        <f>'Monthly Data'!Q9</f>
        <v>6487.6</v>
      </c>
      <c r="H9">
        <f>'Monthly Data'!S9</f>
        <v>8</v>
      </c>
      <c r="I9" s="30">
        <f>'Monthly Data'!AE9</f>
        <v>0</v>
      </c>
      <c r="J9" s="4">
        <f>'Monthly Data'!AG9</f>
        <v>0</v>
      </c>
      <c r="K9" s="4">
        <f>'Monthly Data'!AH9</f>
        <v>0</v>
      </c>
      <c r="L9" s="4">
        <f>'Monthly Data'!AI9</f>
        <v>1</v>
      </c>
      <c r="N9" s="23">
        <f>'LU OLS Model'!$B$5</f>
        <v>-36743884.5954879</v>
      </c>
      <c r="O9" s="23">
        <f ca="1">'LU OLS Model'!$B$6*D9</f>
        <v>-24804.404943488833</v>
      </c>
      <c r="P9" s="23">
        <f ca="1">'LU OLS Model'!$B$7*E9</f>
        <v>1467306.6560676435</v>
      </c>
      <c r="Q9" s="23">
        <f>'LU OLS Model'!$B$8*F9</f>
        <v>10664575.627180042</v>
      </c>
      <c r="R9" s="23">
        <f>'LU OLS Model'!$B$9*G9</f>
        <v>40502008.89996966</v>
      </c>
      <c r="S9" s="23">
        <f>'LU OLS Model'!$B$10*H9</f>
        <v>-306172.8968505864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-1707342.3140862701</v>
      </c>
      <c r="X9" s="23">
        <f t="shared" ca="1" si="1"/>
        <v>13851686.971849103</v>
      </c>
    </row>
    <row r="10" spans="1:24" x14ac:dyDescent="0.25">
      <c r="A10" s="11">
        <f>'Monthly Data'!A10</f>
        <v>40057</v>
      </c>
      <c r="B10" s="6">
        <f t="shared" si="0"/>
        <v>2009</v>
      </c>
      <c r="C10">
        <f>'Monthly Data'!I10</f>
        <v>12983020.697999999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Data'!P10</f>
        <v>30</v>
      </c>
      <c r="G10" s="30">
        <f>'Monthly Data'!Q10</f>
        <v>6470.2</v>
      </c>
      <c r="H10">
        <f>'Monthly Data'!S10</f>
        <v>9</v>
      </c>
      <c r="I10" s="30">
        <f>'Monthly Data'!AE10</f>
        <v>1</v>
      </c>
      <c r="J10" s="4">
        <f>'Monthly Data'!AG10</f>
        <v>0</v>
      </c>
      <c r="K10" s="4">
        <f>'Monthly Data'!AH10</f>
        <v>0</v>
      </c>
      <c r="L10" s="4">
        <f>'Monthly Data'!AI10</f>
        <v>0</v>
      </c>
      <c r="N10" s="23">
        <f>'LU OLS Model'!$B$5</f>
        <v>-36743884.5954879</v>
      </c>
      <c r="O10" s="23">
        <f ca="1">'LU OLS Model'!$B$6*D10</f>
        <v>-168814.2559715274</v>
      </c>
      <c r="P10" s="23">
        <f ca="1">'LU OLS Model'!$B$7*E10</f>
        <v>378083.67804928281</v>
      </c>
      <c r="Q10" s="23">
        <f>'LU OLS Model'!$B$8*F10</f>
        <v>10320557.058561331</v>
      </c>
      <c r="R10" s="23">
        <f>'LU OLS Model'!$B$9*G10</f>
        <v>40393380.908900619</v>
      </c>
      <c r="S10" s="23">
        <f>'LU OLS Model'!$B$10*H10</f>
        <v>-344444.5089569097</v>
      </c>
      <c r="T10" s="23">
        <f>'LU OLS Model'!$B$11*I10</f>
        <v>-1051550.2365486601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ca="1" si="1"/>
        <v>12783328.048546234</v>
      </c>
    </row>
    <row r="11" spans="1:24" x14ac:dyDescent="0.25">
      <c r="A11" s="11">
        <f>'Monthly Data'!A11</f>
        <v>40087</v>
      </c>
      <c r="B11" s="6">
        <f t="shared" si="0"/>
        <v>2009</v>
      </c>
      <c r="C11">
        <f>'Monthly Data'!I11</f>
        <v>12029943</v>
      </c>
      <c r="D11" s="30">
        <f ca="1">'Weather Data'!G75</f>
        <v>270.3</v>
      </c>
      <c r="E11" s="30">
        <f ca="1">'Weather Data'!H75</f>
        <v>1.21</v>
      </c>
      <c r="F11">
        <f>'Monthly Data'!P11</f>
        <v>31</v>
      </c>
      <c r="G11" s="30">
        <f>'Monthly Data'!Q11</f>
        <v>6472.1</v>
      </c>
      <c r="H11">
        <f>'Monthly Data'!S11</f>
        <v>10</v>
      </c>
      <c r="I11" s="30">
        <f>'Monthly Data'!AE11</f>
        <v>1</v>
      </c>
      <c r="J11" s="4">
        <f>'Monthly Data'!AG11</f>
        <v>0</v>
      </c>
      <c r="K11" s="4">
        <f>'Monthly Data'!AH11</f>
        <v>0</v>
      </c>
      <c r="L11" s="4">
        <f>'Monthly Data'!AI11</f>
        <v>0</v>
      </c>
      <c r="N11" s="23">
        <f>'LU OLS Model'!$B$5</f>
        <v>-36743884.5954879</v>
      </c>
      <c r="O11" s="23">
        <f ca="1">'LU OLS Model'!$B$6*D11</f>
        <v>-527093.60504913772</v>
      </c>
      <c r="P11" s="23">
        <f ca="1">'LU OLS Model'!$B$7*E11</f>
        <v>22989.007559780512</v>
      </c>
      <c r="Q11" s="23">
        <f>'LU OLS Model'!$B$8*F11</f>
        <v>10664575.627180042</v>
      </c>
      <c r="R11" s="23">
        <f>'LU OLS Model'!$B$9*G11</f>
        <v>40405242.586086318</v>
      </c>
      <c r="S11" s="23">
        <f>'LU OLS Model'!$B$10*H11</f>
        <v>-382716.121063233</v>
      </c>
      <c r="T11" s="23">
        <f>'LU OLS Model'!$B$11*I11</f>
        <v>-1051550.2365486601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ca="1" si="1"/>
        <v>12387562.662677208</v>
      </c>
    </row>
    <row r="12" spans="1:24" x14ac:dyDescent="0.25">
      <c r="A12" s="11">
        <f>'Monthly Data'!A12</f>
        <v>40118</v>
      </c>
      <c r="B12" s="6">
        <f t="shared" si="0"/>
        <v>2009</v>
      </c>
      <c r="C12">
        <f>'Monthly Data'!I12</f>
        <v>11523934</v>
      </c>
      <c r="D12" s="30">
        <f ca="1">'Weather Data'!G76</f>
        <v>444.05</v>
      </c>
      <c r="E12" s="30">
        <f ca="1">'Weather Data'!H76</f>
        <v>0</v>
      </c>
      <c r="F12">
        <f>'Monthly Data'!P12</f>
        <v>30</v>
      </c>
      <c r="G12" s="30">
        <f>'Monthly Data'!Q12</f>
        <v>6465.6</v>
      </c>
      <c r="H12">
        <f>'Monthly Data'!S12</f>
        <v>11</v>
      </c>
      <c r="I12" s="30">
        <f>'Monthly Data'!AE12</f>
        <v>1</v>
      </c>
      <c r="J12" s="4">
        <f>'Monthly Data'!AG12</f>
        <v>0</v>
      </c>
      <c r="K12" s="4">
        <f>'Monthly Data'!AH12</f>
        <v>0</v>
      </c>
      <c r="L12" s="4">
        <f>'Monthly Data'!AI12</f>
        <v>0</v>
      </c>
      <c r="N12" s="23">
        <f>'LU OLS Model'!$B$5</f>
        <v>-36743884.5954879</v>
      </c>
      <c r="O12" s="23">
        <f ca="1">'LU OLS Model'!$B$6*D12</f>
        <v>-865911.63641165232</v>
      </c>
      <c r="P12" s="23">
        <f ca="1">'LU OLS Model'!$B$7*E12</f>
        <v>0</v>
      </c>
      <c r="Q12" s="23">
        <f>'LU OLS Model'!$B$8*F12</f>
        <v>10320557.058561331</v>
      </c>
      <c r="R12" s="23">
        <f>'LU OLS Model'!$B$9*G12</f>
        <v>40364663.164135247</v>
      </c>
      <c r="S12" s="23">
        <f>'LU OLS Model'!$B$10*H12</f>
        <v>-420987.7331695563</v>
      </c>
      <c r="T12" s="23">
        <f>'LU OLS Model'!$B$11*I12</f>
        <v>-1051550.2365486601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ca="1" si="1"/>
        <v>11602886.021078812</v>
      </c>
    </row>
    <row r="13" spans="1:24" x14ac:dyDescent="0.25">
      <c r="A13" s="11">
        <f>'Monthly Data'!A13</f>
        <v>40148</v>
      </c>
      <c r="B13" s="6">
        <f t="shared" si="0"/>
        <v>2009</v>
      </c>
      <c r="C13">
        <f>'Monthly Data'!I13</f>
        <v>11610601</v>
      </c>
      <c r="D13" s="30">
        <f ca="1">'Weather Data'!G77</f>
        <v>684.01</v>
      </c>
      <c r="E13" s="30">
        <f ca="1">'Weather Data'!H77</f>
        <v>0</v>
      </c>
      <c r="F13">
        <f>'Monthly Data'!P13</f>
        <v>31</v>
      </c>
      <c r="G13" s="30">
        <f>'Monthly Data'!Q13</f>
        <v>6467.5</v>
      </c>
      <c r="H13">
        <f>'Monthly Data'!S13</f>
        <v>12</v>
      </c>
      <c r="I13" s="30">
        <f>'Monthly Data'!AE13</f>
        <v>0</v>
      </c>
      <c r="J13" s="4">
        <f>'Monthly Data'!AG13</f>
        <v>0</v>
      </c>
      <c r="K13" s="4">
        <f>'Monthly Data'!AH13</f>
        <v>1</v>
      </c>
      <c r="L13" s="4">
        <f>'Monthly Data'!AI13</f>
        <v>0</v>
      </c>
      <c r="N13" s="23">
        <f>'LU OLS Model'!$B$5</f>
        <v>-36743884.5954879</v>
      </c>
      <c r="O13" s="23">
        <f ca="1">'LU OLS Model'!$B$6*D13</f>
        <v>-1333841.2755814306</v>
      </c>
      <c r="P13" s="23">
        <f ca="1">'LU OLS Model'!$B$7*E13</f>
        <v>0</v>
      </c>
      <c r="Q13" s="23">
        <f>'LU OLS Model'!$B$8*F13</f>
        <v>10664575.627180042</v>
      </c>
      <c r="R13" s="23">
        <f>'LU OLS Model'!$B$9*G13</f>
        <v>40376524.841320939</v>
      </c>
      <c r="S13" s="23">
        <f>'LU OLS Model'!$B$10*H13</f>
        <v>-459259.3452758796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-986240.09211876604</v>
      </c>
      <c r="W13" s="23">
        <f>'LU OLS Model'!$B$14*L13</f>
        <v>0</v>
      </c>
      <c r="X13" s="23">
        <f t="shared" ca="1" si="1"/>
        <v>11517875.160037007</v>
      </c>
    </row>
    <row r="14" spans="1:24" x14ac:dyDescent="0.25">
      <c r="A14" s="11">
        <f>'Monthly Data'!A14</f>
        <v>40179</v>
      </c>
      <c r="B14" s="6">
        <f t="shared" si="0"/>
        <v>2010</v>
      </c>
      <c r="C14">
        <f>'Monthly Data'!I14</f>
        <v>11955217.004000001</v>
      </c>
      <c r="D14">
        <f ca="1">D2</f>
        <v>784.29</v>
      </c>
      <c r="E14">
        <f ca="1">E2</f>
        <v>0</v>
      </c>
      <c r="F14">
        <f>'Monthly Data'!P14</f>
        <v>31</v>
      </c>
      <c r="G14" s="30">
        <f>'Monthly Data'!Q14</f>
        <v>6434.5</v>
      </c>
      <c r="H14">
        <f>'Monthly Data'!S14</f>
        <v>13</v>
      </c>
      <c r="I14" s="30">
        <f>'Monthly Data'!AE14</f>
        <v>0</v>
      </c>
      <c r="J14" s="4">
        <f>'Monthly Data'!AG14</f>
        <v>0</v>
      </c>
      <c r="K14" s="4">
        <f>'Monthly Data'!AH14</f>
        <v>0</v>
      </c>
      <c r="L14" s="4">
        <f>'Monthly Data'!AI14</f>
        <v>0</v>
      </c>
      <c r="N14" s="23">
        <f>'LU OLS Model'!$B$5</f>
        <v>-36743884.5954879</v>
      </c>
      <c r="O14" s="23">
        <f ca="1">'LU OLS Model'!$B$6*D14</f>
        <v>-1529390.4680132749</v>
      </c>
      <c r="P14" s="23">
        <f ca="1">'LU OLS Model'!$B$7*E14</f>
        <v>0</v>
      </c>
      <c r="Q14" s="23">
        <f>'LU OLS Model'!$B$8*F14</f>
        <v>10664575.627180042</v>
      </c>
      <c r="R14" s="23">
        <f>'LU OLS Model'!$B$9*G14</f>
        <v>40170506.237569325</v>
      </c>
      <c r="S14" s="23">
        <f>'LU OLS Model'!$B$10*H14</f>
        <v>-497530.95738220291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ca="1" si="1"/>
        <v>12064275.843865991</v>
      </c>
    </row>
    <row r="15" spans="1:24" x14ac:dyDescent="0.25">
      <c r="A15" s="11">
        <f>'Monthly Data'!A15</f>
        <v>40210</v>
      </c>
      <c r="B15" s="6">
        <f t="shared" si="0"/>
        <v>2010</v>
      </c>
      <c r="C15">
        <f>'Monthly Data'!I15</f>
        <v>10874740.4221</v>
      </c>
      <c r="D15">
        <f t="shared" ref="D15:E30" ca="1" si="2">D3</f>
        <v>682.50999999999988</v>
      </c>
      <c r="E15">
        <f t="shared" ca="1" si="2"/>
        <v>0</v>
      </c>
      <c r="F15">
        <f>'Monthly Data'!P15</f>
        <v>28</v>
      </c>
      <c r="G15" s="30">
        <f>'Monthly Data'!Q15</f>
        <v>6404.1</v>
      </c>
      <c r="H15">
        <f>'Monthly Data'!S15</f>
        <v>14</v>
      </c>
      <c r="I15" s="30">
        <f>'Monthly Data'!AE15</f>
        <v>0</v>
      </c>
      <c r="J15" s="4">
        <f>'Monthly Data'!AG15</f>
        <v>0</v>
      </c>
      <c r="K15" s="4">
        <f>'Monthly Data'!AH15</f>
        <v>0</v>
      </c>
      <c r="L15" s="4">
        <f>'Monthly Data'!AI15</f>
        <v>0</v>
      </c>
      <c r="N15" s="23">
        <f>'LU OLS Model'!$B$5</f>
        <v>-36743884.5954879</v>
      </c>
      <c r="O15" s="23">
        <f ca="1">'LU OLS Model'!$B$6*D15</f>
        <v>-1330916.2278286605</v>
      </c>
      <c r="P15" s="23">
        <f ca="1">'LU OLS Model'!$B$7*E15</f>
        <v>0</v>
      </c>
      <c r="Q15" s="23">
        <f>'LU OLS Model'!$B$8*F15</f>
        <v>9632519.9213239085</v>
      </c>
      <c r="R15" s="23">
        <f>'LU OLS Model'!$B$9*G15</f>
        <v>39980719.402598135</v>
      </c>
      <c r="S15" s="23">
        <f>'LU OLS Model'!$B$10*H15</f>
        <v>-535802.56948852621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ca="1" si="1"/>
        <v>11002635.931116961</v>
      </c>
    </row>
    <row r="16" spans="1:24" x14ac:dyDescent="0.25">
      <c r="A16" s="11">
        <f>'Monthly Data'!A16</f>
        <v>40238</v>
      </c>
      <c r="B16" s="6">
        <f t="shared" si="0"/>
        <v>2010</v>
      </c>
      <c r="C16">
        <f>'Monthly Data'!I16</f>
        <v>11920294.521500001</v>
      </c>
      <c r="D16">
        <f t="shared" ca="1" si="2"/>
        <v>556.99</v>
      </c>
      <c r="E16">
        <f t="shared" ca="1" si="2"/>
        <v>0</v>
      </c>
      <c r="F16">
        <f>'Monthly Data'!P16</f>
        <v>31</v>
      </c>
      <c r="G16" s="30">
        <f>'Monthly Data'!Q16</f>
        <v>6377.2</v>
      </c>
      <c r="H16">
        <f>'Monthly Data'!S16</f>
        <v>15</v>
      </c>
      <c r="I16" s="30">
        <f>'Monthly Data'!AE16</f>
        <v>0</v>
      </c>
      <c r="J16" s="4">
        <f>'Monthly Data'!AG16</f>
        <v>0</v>
      </c>
      <c r="K16" s="4">
        <f>'Monthly Data'!AH16</f>
        <v>0</v>
      </c>
      <c r="L16" s="4">
        <f>'Monthly Data'!AI16</f>
        <v>0</v>
      </c>
      <c r="N16" s="23">
        <f>'LU OLS Model'!$B$5</f>
        <v>-36743884.5954879</v>
      </c>
      <c r="O16" s="23">
        <f ca="1">'LU OLS Model'!$B$6*D16</f>
        <v>-1086148.2318768748</v>
      </c>
      <c r="P16" s="23">
        <f ca="1">'LU OLS Model'!$B$7*E16</f>
        <v>0</v>
      </c>
      <c r="Q16" s="23">
        <f>'LU OLS Model'!$B$8*F16</f>
        <v>10664575.627180042</v>
      </c>
      <c r="R16" s="23">
        <f>'LU OLS Model'!$B$9*G16</f>
        <v>39812783.025600605</v>
      </c>
      <c r="S16" s="23">
        <f>'LU OLS Model'!$B$10*H16</f>
        <v>-574074.18159484956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ca="1" si="1"/>
        <v>12073251.643821023</v>
      </c>
    </row>
    <row r="17" spans="1:24" x14ac:dyDescent="0.25">
      <c r="A17" s="11">
        <f>'Monthly Data'!A17</f>
        <v>40269</v>
      </c>
      <c r="B17" s="6">
        <f t="shared" si="0"/>
        <v>2010</v>
      </c>
      <c r="C17">
        <f>'Monthly Data'!I17</f>
        <v>11299278.237500001</v>
      </c>
      <c r="D17">
        <f t="shared" ca="1" si="2"/>
        <v>326.58999999999997</v>
      </c>
      <c r="E17">
        <f t="shared" ca="1" si="2"/>
        <v>0.39</v>
      </c>
      <c r="F17">
        <f>'Monthly Data'!P17</f>
        <v>30</v>
      </c>
      <c r="G17" s="30">
        <f>'Monthly Data'!Q17</f>
        <v>6401.7</v>
      </c>
      <c r="H17">
        <f>'Monthly Data'!S17</f>
        <v>16</v>
      </c>
      <c r="I17" s="30">
        <f>'Monthly Data'!AE17</f>
        <v>0</v>
      </c>
      <c r="J17" s="4">
        <f>'Monthly Data'!AG17</f>
        <v>1</v>
      </c>
      <c r="K17" s="4">
        <f>'Monthly Data'!AH17</f>
        <v>0</v>
      </c>
      <c r="L17" s="4">
        <f>'Monthly Data'!AI17</f>
        <v>0</v>
      </c>
      <c r="N17" s="23">
        <f>'LU OLS Model'!$B$5</f>
        <v>-36743884.5954879</v>
      </c>
      <c r="O17" s="23">
        <f ca="1">'LU OLS Model'!$B$6*D17</f>
        <v>-636860.89705141657</v>
      </c>
      <c r="P17" s="23">
        <f ca="1">'LU OLS Model'!$B$7*E17</f>
        <v>7409.6801225738845</v>
      </c>
      <c r="Q17" s="23">
        <f>'LU OLS Model'!$B$8*F17</f>
        <v>10320557.058561331</v>
      </c>
      <c r="R17" s="23">
        <f>'LU OLS Model'!$B$9*G17</f>
        <v>39965736.231416196</v>
      </c>
      <c r="S17" s="23">
        <f>'LU OLS Model'!$B$10*H17</f>
        <v>-612345.79370117281</v>
      </c>
      <c r="T17" s="23">
        <f>'LU OLS Model'!$B$11*I17</f>
        <v>0</v>
      </c>
      <c r="U17" s="23">
        <f>'LU OLS Model'!$B$12*J17</f>
        <v>-1041288.65545601</v>
      </c>
      <c r="V17" s="23">
        <f>'LU OLS Model'!$B$13*K17</f>
        <v>0</v>
      </c>
      <c r="W17" s="23">
        <f>'LU OLS Model'!$B$14*L17</f>
        <v>0</v>
      </c>
      <c r="X17" s="23">
        <f t="shared" ca="1" si="1"/>
        <v>11259323.028403606</v>
      </c>
    </row>
    <row r="18" spans="1:24" x14ac:dyDescent="0.25">
      <c r="A18" s="11">
        <f>'Monthly Data'!A18</f>
        <v>40299</v>
      </c>
      <c r="B18" s="6">
        <f t="shared" si="0"/>
        <v>2010</v>
      </c>
      <c r="C18">
        <f>'Monthly Data'!I18</f>
        <v>12141816.925799999</v>
      </c>
      <c r="D18">
        <f t="shared" ca="1" si="2"/>
        <v>144.96</v>
      </c>
      <c r="E18">
        <f t="shared" ca="1" si="2"/>
        <v>8.67</v>
      </c>
      <c r="F18">
        <f>'Monthly Data'!P18</f>
        <v>31</v>
      </c>
      <c r="G18" s="30">
        <f>'Monthly Data'!Q18</f>
        <v>6468.9</v>
      </c>
      <c r="H18">
        <f>'Monthly Data'!S18</f>
        <v>17</v>
      </c>
      <c r="I18" s="30">
        <f>'Monthly Data'!AE18</f>
        <v>0</v>
      </c>
      <c r="J18" s="4">
        <f>'Monthly Data'!AG18</f>
        <v>0</v>
      </c>
      <c r="K18" s="4">
        <f>'Monthly Data'!AH18</f>
        <v>0</v>
      </c>
      <c r="L18" s="4">
        <f>'Monthly Data'!AI18</f>
        <v>1</v>
      </c>
      <c r="N18" s="23">
        <f>'LU OLS Model'!$B$5</f>
        <v>-36743884.5954879</v>
      </c>
      <c r="O18" s="23">
        <f ca="1">'LU OLS Model'!$B$6*D18</f>
        <v>-282676.61482768413</v>
      </c>
      <c r="P18" s="23">
        <f ca="1">'LU OLS Model'!$B$7*E18</f>
        <v>164722.88887875789</v>
      </c>
      <c r="Q18" s="23">
        <f>'LU OLS Model'!$B$8*F18</f>
        <v>10664575.627180042</v>
      </c>
      <c r="R18" s="23">
        <f>'LU OLS Model'!$B$9*G18</f>
        <v>40385265.024510399</v>
      </c>
      <c r="S18" s="23">
        <f>'LU OLS Model'!$B$10*H18</f>
        <v>-650617.40580749605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-1707342.3140862701</v>
      </c>
      <c r="X18" s="23">
        <f t="shared" ca="1" si="1"/>
        <v>11830042.610359844</v>
      </c>
    </row>
    <row r="19" spans="1:24" x14ac:dyDescent="0.25">
      <c r="A19" s="11">
        <f>'Monthly Data'!A19</f>
        <v>40330</v>
      </c>
      <c r="B19" s="6">
        <f t="shared" si="0"/>
        <v>2010</v>
      </c>
      <c r="C19">
        <f>'Monthly Data'!I19</f>
        <v>12649401.524900001</v>
      </c>
      <c r="D19">
        <f t="shared" ca="1" si="2"/>
        <v>41.510000000000005</v>
      </c>
      <c r="E19">
        <f t="shared" ca="1" si="2"/>
        <v>44.41</v>
      </c>
      <c r="F19">
        <f>'Monthly Data'!P19</f>
        <v>30</v>
      </c>
      <c r="G19" s="30">
        <f>'Monthly Data'!Q19</f>
        <v>6578.9</v>
      </c>
      <c r="H19">
        <f>'Monthly Data'!S19</f>
        <v>18</v>
      </c>
      <c r="I19" s="30">
        <f>'Monthly Data'!AE19</f>
        <v>0</v>
      </c>
      <c r="J19" s="4">
        <f>'Monthly Data'!AG19</f>
        <v>0</v>
      </c>
      <c r="K19" s="4">
        <f>'Monthly Data'!AH19</f>
        <v>0</v>
      </c>
      <c r="L19" s="4">
        <f>'Monthly Data'!AI19</f>
        <v>1</v>
      </c>
      <c r="N19" s="23">
        <f>'LU OLS Model'!$B$5</f>
        <v>-36743884.5954879</v>
      </c>
      <c r="O19" s="23">
        <f ca="1">'LU OLS Model'!$B$6*D19</f>
        <v>-80945.821478319311</v>
      </c>
      <c r="P19" s="23">
        <f ca="1">'LU OLS Model'!$B$7*E19</f>
        <v>843753.57498334919</v>
      </c>
      <c r="Q19" s="23">
        <f>'LU OLS Model'!$B$8*F19</f>
        <v>10320557.058561331</v>
      </c>
      <c r="R19" s="23">
        <f>'LU OLS Model'!$B$9*G19</f>
        <v>41071993.70368246</v>
      </c>
      <c r="S19" s="23">
        <f>'LU OLS Model'!$B$10*H19</f>
        <v>-688889.01791381941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-1707342.3140862701</v>
      </c>
      <c r="X19" s="23">
        <f t="shared" ca="1" si="1"/>
        <v>13015242.588260831</v>
      </c>
    </row>
    <row r="20" spans="1:24" x14ac:dyDescent="0.25">
      <c r="A20" s="11">
        <f>'Monthly Data'!A20</f>
        <v>40360</v>
      </c>
      <c r="B20" s="6">
        <f t="shared" si="0"/>
        <v>2010</v>
      </c>
      <c r="C20">
        <f>'Monthly Data'!I20</f>
        <v>14680604.799199998</v>
      </c>
      <c r="D20">
        <f t="shared" ca="1" si="2"/>
        <v>5.01</v>
      </c>
      <c r="E20">
        <f t="shared" ca="1" si="2"/>
        <v>96.909999999999982</v>
      </c>
      <c r="F20">
        <f>'Monthly Data'!P20</f>
        <v>31</v>
      </c>
      <c r="G20" s="30">
        <f>'Monthly Data'!Q20</f>
        <v>6640.9</v>
      </c>
      <c r="H20">
        <f>'Monthly Data'!S20</f>
        <v>19</v>
      </c>
      <c r="I20" s="30">
        <f>'Monthly Data'!AE20</f>
        <v>0</v>
      </c>
      <c r="J20" s="4">
        <f>'Monthly Data'!AG20</f>
        <v>0</v>
      </c>
      <c r="K20" s="4">
        <f>'Monthly Data'!AH20</f>
        <v>0</v>
      </c>
      <c r="L20" s="4">
        <f>'Monthly Data'!AI20</f>
        <v>1</v>
      </c>
      <c r="N20" s="23">
        <f>'LU OLS Model'!$B$5</f>
        <v>-36743884.5954879</v>
      </c>
      <c r="O20" s="23">
        <f ca="1">'LU OLS Model'!$B$6*D20</f>
        <v>-9769.6594942514985</v>
      </c>
      <c r="P20" s="23">
        <f ca="1">'LU OLS Model'!$B$7*E20</f>
        <v>1841210.5145606026</v>
      </c>
      <c r="Q20" s="23">
        <f>'LU OLS Model'!$B$8*F20</f>
        <v>10664575.627180042</v>
      </c>
      <c r="R20" s="23">
        <f>'LU OLS Model'!$B$9*G20</f>
        <v>41459058.959215805</v>
      </c>
      <c r="S20" s="23">
        <f>'LU OLS Model'!$B$10*H20</f>
        <v>-727160.63002014277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-1707342.3140862701</v>
      </c>
      <c r="X20" s="23">
        <f t="shared" ca="1" si="1"/>
        <v>14776687.901867883</v>
      </c>
    </row>
    <row r="21" spans="1:24" x14ac:dyDescent="0.25">
      <c r="A21" s="11">
        <f>'Monthly Data'!A21</f>
        <v>40391</v>
      </c>
      <c r="B21" s="6">
        <f t="shared" si="0"/>
        <v>2010</v>
      </c>
      <c r="C21">
        <f>'Monthly Data'!I21</f>
        <v>14598500.270999998</v>
      </c>
      <c r="D21">
        <f t="shared" ca="1" si="2"/>
        <v>12.719999999999999</v>
      </c>
      <c r="E21">
        <f t="shared" ca="1" si="2"/>
        <v>77.22999999999999</v>
      </c>
      <c r="F21">
        <f>'Monthly Data'!P21</f>
        <v>31</v>
      </c>
      <c r="G21" s="30">
        <f>'Monthly Data'!Q21</f>
        <v>6662.6</v>
      </c>
      <c r="H21">
        <f>'Monthly Data'!S21</f>
        <v>20</v>
      </c>
      <c r="I21" s="30">
        <f>'Monthly Data'!AE21</f>
        <v>0</v>
      </c>
      <c r="J21" s="4">
        <f>'Monthly Data'!AG21</f>
        <v>0</v>
      </c>
      <c r="K21" s="4">
        <f>'Monthly Data'!AH21</f>
        <v>0</v>
      </c>
      <c r="L21" s="4">
        <f>'Monthly Data'!AI21</f>
        <v>1</v>
      </c>
      <c r="N21" s="23">
        <f>'LU OLS Model'!$B$5</f>
        <v>-36743884.5954879</v>
      </c>
      <c r="O21" s="23">
        <f ca="1">'LU OLS Model'!$B$6*D21</f>
        <v>-24804.404943488833</v>
      </c>
      <c r="P21" s="23">
        <f ca="1">'LU OLS Model'!$B$7*E21</f>
        <v>1467306.6560676435</v>
      </c>
      <c r="Q21" s="23">
        <f>'LU OLS Model'!$B$8*F21</f>
        <v>10664575.627180042</v>
      </c>
      <c r="R21" s="23">
        <f>'LU OLS Model'!$B$9*G21</f>
        <v>41594531.798652478</v>
      </c>
      <c r="S21" s="23">
        <f>'LU OLS Model'!$B$10*H21</f>
        <v>-765432.24212646601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-1707342.3140862701</v>
      </c>
      <c r="X21" s="23">
        <f t="shared" ca="1" si="1"/>
        <v>14484950.52525604</v>
      </c>
    </row>
    <row r="22" spans="1:24" x14ac:dyDescent="0.25">
      <c r="A22" s="11">
        <f>'Monthly Data'!A22</f>
        <v>40422</v>
      </c>
      <c r="B22" s="6">
        <f t="shared" si="0"/>
        <v>2010</v>
      </c>
      <c r="C22">
        <f>'Monthly Data'!I22</f>
        <v>13203697.476100001</v>
      </c>
      <c r="D22">
        <f t="shared" ca="1" si="2"/>
        <v>86.570000000000007</v>
      </c>
      <c r="E22">
        <f t="shared" ca="1" si="2"/>
        <v>19.899999999999999</v>
      </c>
      <c r="F22">
        <f>'Monthly Data'!P22</f>
        <v>30</v>
      </c>
      <c r="G22" s="30">
        <f>'Monthly Data'!Q22</f>
        <v>6611.2</v>
      </c>
      <c r="H22">
        <f>'Monthly Data'!S22</f>
        <v>21</v>
      </c>
      <c r="I22" s="30">
        <f>'Monthly Data'!AE22</f>
        <v>1</v>
      </c>
      <c r="J22" s="4">
        <f>'Monthly Data'!AG22</f>
        <v>0</v>
      </c>
      <c r="K22" s="4">
        <f>'Monthly Data'!AH22</f>
        <v>0</v>
      </c>
      <c r="L22" s="4">
        <f>'Monthly Data'!AI22</f>
        <v>0</v>
      </c>
      <c r="N22" s="23">
        <f>'LU OLS Model'!$B$5</f>
        <v>-36743884.5954879</v>
      </c>
      <c r="O22" s="23">
        <f ca="1">'LU OLS Model'!$B$6*D22</f>
        <v>-168814.2559715274</v>
      </c>
      <c r="P22" s="23">
        <f ca="1">'LU OLS Model'!$B$7*E22</f>
        <v>378083.67804928281</v>
      </c>
      <c r="Q22" s="23">
        <f>'LU OLS Model'!$B$8*F22</f>
        <v>10320557.058561331</v>
      </c>
      <c r="R22" s="23">
        <f>'LU OLS Model'!$B$9*G22</f>
        <v>41273642.215839349</v>
      </c>
      <c r="S22" s="23">
        <f>'LU OLS Model'!$B$10*H22</f>
        <v>-803703.85423278925</v>
      </c>
      <c r="T22" s="23">
        <f>'LU OLS Model'!$B$11*I22</f>
        <v>-1051550.2365486601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ca="1" si="1"/>
        <v>13204330.010209084</v>
      </c>
    </row>
    <row r="23" spans="1:24" x14ac:dyDescent="0.25">
      <c r="A23" s="11">
        <f>'Monthly Data'!A23</f>
        <v>40452</v>
      </c>
      <c r="B23" s="6">
        <f t="shared" si="0"/>
        <v>2010</v>
      </c>
      <c r="C23">
        <f>'Monthly Data'!I23</f>
        <v>12168635.138100002</v>
      </c>
      <c r="D23">
        <f t="shared" ca="1" si="2"/>
        <v>270.3</v>
      </c>
      <c r="E23">
        <f t="shared" ca="1" si="2"/>
        <v>1.21</v>
      </c>
      <c r="F23">
        <f>'Monthly Data'!P23</f>
        <v>31</v>
      </c>
      <c r="G23" s="30">
        <f>'Monthly Data'!Q23</f>
        <v>6587.1</v>
      </c>
      <c r="H23">
        <f>'Monthly Data'!S23</f>
        <v>22</v>
      </c>
      <c r="I23" s="30">
        <f>'Monthly Data'!AE23</f>
        <v>1</v>
      </c>
      <c r="J23" s="4">
        <f>'Monthly Data'!AG23</f>
        <v>0</v>
      </c>
      <c r="K23" s="4">
        <f>'Monthly Data'!AH23</f>
        <v>0</v>
      </c>
      <c r="L23" s="4">
        <f>'Monthly Data'!AI23</f>
        <v>0</v>
      </c>
      <c r="N23" s="23">
        <f>'LU OLS Model'!$B$5</f>
        <v>-36743884.5954879</v>
      </c>
      <c r="O23" s="23">
        <f ca="1">'LU OLS Model'!$B$6*D23</f>
        <v>-527093.60504913772</v>
      </c>
      <c r="P23" s="23">
        <f ca="1">'LU OLS Model'!$B$7*E23</f>
        <v>22989.007559780512</v>
      </c>
      <c r="Q23" s="23">
        <f>'LU OLS Model'!$B$8*F23</f>
        <v>10664575.627180042</v>
      </c>
      <c r="R23" s="23">
        <f>'LU OLS Model'!$B$9*G23</f>
        <v>41123186.205220751</v>
      </c>
      <c r="S23" s="23">
        <f>'LU OLS Model'!$B$10*H23</f>
        <v>-841975.46633911261</v>
      </c>
      <c r="T23" s="23">
        <f>'LU OLS Model'!$B$11*I23</f>
        <v>-1051550.2365486601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ca="1" si="1"/>
        <v>12646246.936535761</v>
      </c>
    </row>
    <row r="24" spans="1:24" x14ac:dyDescent="0.25">
      <c r="A24" s="11">
        <f>'Monthly Data'!A24</f>
        <v>40483</v>
      </c>
      <c r="B24" s="6">
        <f t="shared" si="0"/>
        <v>2010</v>
      </c>
      <c r="C24">
        <f>'Monthly Data'!I24</f>
        <v>11726856.469900001</v>
      </c>
      <c r="D24">
        <f t="shared" ca="1" si="2"/>
        <v>444.05</v>
      </c>
      <c r="E24">
        <f t="shared" ca="1" si="2"/>
        <v>0</v>
      </c>
      <c r="F24">
        <f>'Monthly Data'!P24</f>
        <v>30</v>
      </c>
      <c r="G24" s="30">
        <f>'Monthly Data'!Q24</f>
        <v>6566.6</v>
      </c>
      <c r="H24">
        <f>'Monthly Data'!S24</f>
        <v>23</v>
      </c>
      <c r="I24" s="30">
        <f>'Monthly Data'!AE24</f>
        <v>1</v>
      </c>
      <c r="J24" s="4">
        <f>'Monthly Data'!AG24</f>
        <v>0</v>
      </c>
      <c r="K24" s="4">
        <f>'Monthly Data'!AH24</f>
        <v>0</v>
      </c>
      <c r="L24" s="4">
        <f>'Monthly Data'!AI24</f>
        <v>0</v>
      </c>
      <c r="N24" s="23">
        <f>'LU OLS Model'!$B$5</f>
        <v>-36743884.5954879</v>
      </c>
      <c r="O24" s="23">
        <f ca="1">'LU OLS Model'!$B$6*D24</f>
        <v>-865911.63641165232</v>
      </c>
      <c r="P24" s="23">
        <f ca="1">'LU OLS Model'!$B$7*E24</f>
        <v>0</v>
      </c>
      <c r="Q24" s="23">
        <f>'LU OLS Model'!$B$8*F24</f>
        <v>10320557.058561331</v>
      </c>
      <c r="R24" s="23">
        <f>'LU OLS Model'!$B$9*G24</f>
        <v>40995204.951375045</v>
      </c>
      <c r="S24" s="23">
        <f>'LU OLS Model'!$B$10*H24</f>
        <v>-880247.07844543597</v>
      </c>
      <c r="T24" s="23">
        <f>'LU OLS Model'!$B$11*I24</f>
        <v>-1051550.2365486601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ca="1" si="1"/>
        <v>11774168.463042729</v>
      </c>
    </row>
    <row r="25" spans="1:24" x14ac:dyDescent="0.25">
      <c r="A25" s="11">
        <f>'Monthly Data'!A25</f>
        <v>40513</v>
      </c>
      <c r="B25" s="6">
        <f t="shared" si="0"/>
        <v>2010</v>
      </c>
      <c r="C25">
        <f>'Monthly Data'!I25</f>
        <v>11839747.178100001</v>
      </c>
      <c r="D25">
        <f t="shared" ca="1" si="2"/>
        <v>684.01</v>
      </c>
      <c r="E25">
        <f t="shared" ca="1" si="2"/>
        <v>0</v>
      </c>
      <c r="F25">
        <f>'Monthly Data'!P25</f>
        <v>31</v>
      </c>
      <c r="G25" s="30">
        <f>'Monthly Data'!Q25</f>
        <v>6584.1</v>
      </c>
      <c r="H25">
        <f>'Monthly Data'!S25</f>
        <v>24</v>
      </c>
      <c r="I25" s="30">
        <f>'Monthly Data'!AE25</f>
        <v>0</v>
      </c>
      <c r="J25" s="4">
        <f>'Monthly Data'!AG25</f>
        <v>0</v>
      </c>
      <c r="K25" s="4">
        <f>'Monthly Data'!AH25</f>
        <v>1</v>
      </c>
      <c r="L25" s="4">
        <f>'Monthly Data'!AI25</f>
        <v>0</v>
      </c>
      <c r="N25" s="23">
        <f>'LU OLS Model'!$B$5</f>
        <v>-36743884.5954879</v>
      </c>
      <c r="O25" s="23">
        <f ca="1">'LU OLS Model'!$B$6*D25</f>
        <v>-1333841.2755814306</v>
      </c>
      <c r="P25" s="23">
        <f ca="1">'LU OLS Model'!$B$7*E25</f>
        <v>0</v>
      </c>
      <c r="Q25" s="23">
        <f>'LU OLS Model'!$B$8*F25</f>
        <v>10664575.627180042</v>
      </c>
      <c r="R25" s="23">
        <f>'LU OLS Model'!$B$9*G25</f>
        <v>41104457.241243325</v>
      </c>
      <c r="S25" s="23">
        <f>'LU OLS Model'!$B$10*H25</f>
        <v>-918518.69055175921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-986240.09211876604</v>
      </c>
      <c r="W25" s="23">
        <f>'LU OLS Model'!$B$14*L25</f>
        <v>0</v>
      </c>
      <c r="X25" s="23">
        <f t="shared" ca="1" si="1"/>
        <v>11786548.214683512</v>
      </c>
    </row>
    <row r="26" spans="1:24" x14ac:dyDescent="0.25">
      <c r="A26" s="11">
        <f>'Monthly Data'!A26</f>
        <v>40544</v>
      </c>
      <c r="B26" s="6">
        <f t="shared" si="0"/>
        <v>2011</v>
      </c>
      <c r="C26">
        <f>'Monthly Data'!I26</f>
        <v>12401325.915100001</v>
      </c>
      <c r="D26">
        <f t="shared" ca="1" si="2"/>
        <v>784.29</v>
      </c>
      <c r="E26">
        <f t="shared" ca="1" si="2"/>
        <v>0</v>
      </c>
      <c r="F26">
        <f>'Monthly Data'!P26</f>
        <v>31</v>
      </c>
      <c r="G26" s="30">
        <f>'Monthly Data'!Q26</f>
        <v>6571.2</v>
      </c>
      <c r="H26">
        <f>'Monthly Data'!S26</f>
        <v>25</v>
      </c>
      <c r="I26" s="30">
        <f>'Monthly Data'!AE26</f>
        <v>0</v>
      </c>
      <c r="J26" s="4">
        <f>'Monthly Data'!AG26</f>
        <v>0</v>
      </c>
      <c r="K26" s="4">
        <f>'Monthly Data'!AH26</f>
        <v>0</v>
      </c>
      <c r="L26" s="4">
        <f>'Monthly Data'!AI26</f>
        <v>0</v>
      </c>
      <c r="N26" s="23">
        <f>'LU OLS Model'!$B$5</f>
        <v>-36743884.5954879</v>
      </c>
      <c r="O26" s="23">
        <f ca="1">'LU OLS Model'!$B$6*D26</f>
        <v>-1529390.4680132749</v>
      </c>
      <c r="P26" s="23">
        <f ca="1">'LU OLS Model'!$B$7*E26</f>
        <v>0</v>
      </c>
      <c r="Q26" s="23">
        <f>'LU OLS Model'!$B$8*F26</f>
        <v>10664575.627180042</v>
      </c>
      <c r="R26" s="23">
        <f>'LU OLS Model'!$B$9*G26</f>
        <v>41023922.696140416</v>
      </c>
      <c r="S26" s="23">
        <f>'LU OLS Model'!$B$10*H26</f>
        <v>-956790.30265808245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ca="1" si="1"/>
        <v>12458432.957161201</v>
      </c>
    </row>
    <row r="27" spans="1:24" x14ac:dyDescent="0.25">
      <c r="A27" s="11">
        <f>'Monthly Data'!A27</f>
        <v>40575</v>
      </c>
      <c r="B27" s="6">
        <f t="shared" si="0"/>
        <v>2011</v>
      </c>
      <c r="C27">
        <f>'Monthly Data'!I27</f>
        <v>11361644.729800001</v>
      </c>
      <c r="D27">
        <f t="shared" ca="1" si="2"/>
        <v>682.50999999999988</v>
      </c>
      <c r="E27">
        <f t="shared" ca="1" si="2"/>
        <v>0</v>
      </c>
      <c r="F27">
        <f>'Monthly Data'!P27</f>
        <v>28</v>
      </c>
      <c r="G27" s="30">
        <f>'Monthly Data'!Q27</f>
        <v>6548.1</v>
      </c>
      <c r="H27">
        <f>'Monthly Data'!S27</f>
        <v>26</v>
      </c>
      <c r="I27" s="30">
        <f>'Monthly Data'!AE27</f>
        <v>0</v>
      </c>
      <c r="J27" s="4">
        <f>'Monthly Data'!AG27</f>
        <v>0</v>
      </c>
      <c r="K27" s="4">
        <f>'Monthly Data'!AH27</f>
        <v>0</v>
      </c>
      <c r="L27" s="4">
        <f>'Monthly Data'!AI27</f>
        <v>0</v>
      </c>
      <c r="N27" s="23">
        <f>'LU OLS Model'!$B$5</f>
        <v>-36743884.5954879</v>
      </c>
      <c r="O27" s="23">
        <f ca="1">'LU OLS Model'!$B$6*D27</f>
        <v>-1330916.2278286605</v>
      </c>
      <c r="P27" s="23">
        <f ca="1">'LU OLS Model'!$B$7*E27</f>
        <v>0</v>
      </c>
      <c r="Q27" s="23">
        <f>'LU OLS Model'!$B$8*F27</f>
        <v>9632519.9213239085</v>
      </c>
      <c r="R27" s="23">
        <f>'LU OLS Model'!$B$9*G27</f>
        <v>40879709.673514292</v>
      </c>
      <c r="S27" s="23">
        <f>'LU OLS Model'!$B$10*H27</f>
        <v>-995061.91476440581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ca="1" si="1"/>
        <v>11442366.856757237</v>
      </c>
    </row>
    <row r="28" spans="1:24" x14ac:dyDescent="0.25">
      <c r="A28" s="11">
        <f>'Monthly Data'!A28</f>
        <v>40603</v>
      </c>
      <c r="B28" s="6">
        <f t="shared" si="0"/>
        <v>2011</v>
      </c>
      <c r="C28">
        <f>'Monthly Data'!I28</f>
        <v>12401622.3706</v>
      </c>
      <c r="D28">
        <f t="shared" ca="1" si="2"/>
        <v>556.99</v>
      </c>
      <c r="E28">
        <f t="shared" ca="1" si="2"/>
        <v>0</v>
      </c>
      <c r="F28">
        <f>'Monthly Data'!P28</f>
        <v>31</v>
      </c>
      <c r="G28" s="30">
        <f>'Monthly Data'!Q28</f>
        <v>6523.7</v>
      </c>
      <c r="H28">
        <f>'Monthly Data'!S28</f>
        <v>27</v>
      </c>
      <c r="I28" s="30">
        <f>'Monthly Data'!AE28</f>
        <v>0</v>
      </c>
      <c r="J28" s="4">
        <f>'Monthly Data'!AG28</f>
        <v>0</v>
      </c>
      <c r="K28" s="4">
        <f>'Monthly Data'!AH28</f>
        <v>0</v>
      </c>
      <c r="L28" s="4">
        <f>'Monthly Data'!AI28</f>
        <v>0</v>
      </c>
      <c r="N28" s="23">
        <f>'LU OLS Model'!$B$5</f>
        <v>-36743884.5954879</v>
      </c>
      <c r="O28" s="23">
        <f ca="1">'LU OLS Model'!$B$6*D28</f>
        <v>-1086148.2318768748</v>
      </c>
      <c r="P28" s="23">
        <f ca="1">'LU OLS Model'!$B$7*E28</f>
        <v>0</v>
      </c>
      <c r="Q28" s="23">
        <f>'LU OLS Model'!$B$8*F28</f>
        <v>10664575.627180042</v>
      </c>
      <c r="R28" s="23">
        <f>'LU OLS Model'!$B$9*G28</f>
        <v>40727380.76649794</v>
      </c>
      <c r="S28" s="23">
        <f>'LU OLS Model'!$B$10*H28</f>
        <v>-1033333.5268707292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ca="1" si="1"/>
        <v>12528590.039442478</v>
      </c>
    </row>
    <row r="29" spans="1:24" x14ac:dyDescent="0.25">
      <c r="A29" s="11">
        <f>'Monthly Data'!A29</f>
        <v>40634</v>
      </c>
      <c r="B29" s="6">
        <f t="shared" si="0"/>
        <v>2011</v>
      </c>
      <c r="C29">
        <f>'Monthly Data'!I29</f>
        <v>11657885.962400001</v>
      </c>
      <c r="D29">
        <f t="shared" ca="1" si="2"/>
        <v>326.58999999999997</v>
      </c>
      <c r="E29">
        <f t="shared" ca="1" si="2"/>
        <v>0.39</v>
      </c>
      <c r="F29">
        <f>'Monthly Data'!P29</f>
        <v>30</v>
      </c>
      <c r="G29" s="30">
        <f>'Monthly Data'!Q29</f>
        <v>6550</v>
      </c>
      <c r="H29">
        <f>'Monthly Data'!S29</f>
        <v>28</v>
      </c>
      <c r="I29" s="30">
        <f>'Monthly Data'!AE29</f>
        <v>0</v>
      </c>
      <c r="J29" s="4">
        <f>'Monthly Data'!AG29</f>
        <v>1</v>
      </c>
      <c r="K29" s="4">
        <f>'Monthly Data'!AH29</f>
        <v>0</v>
      </c>
      <c r="L29" s="4">
        <f>'Monthly Data'!AI29</f>
        <v>0</v>
      </c>
      <c r="N29" s="23">
        <f>'LU OLS Model'!$B$5</f>
        <v>-36743884.5954879</v>
      </c>
      <c r="O29" s="23">
        <f ca="1">'LU OLS Model'!$B$6*D29</f>
        <v>-636860.89705141657</v>
      </c>
      <c r="P29" s="23">
        <f ca="1">'LU OLS Model'!$B$7*E29</f>
        <v>7409.6801225738845</v>
      </c>
      <c r="Q29" s="23">
        <f>'LU OLS Model'!$B$8*F29</f>
        <v>10320557.058561331</v>
      </c>
      <c r="R29" s="23">
        <f>'LU OLS Model'!$B$9*G29</f>
        <v>40891571.350699984</v>
      </c>
      <c r="S29" s="23">
        <f>'LU OLS Model'!$B$10*H29</f>
        <v>-1071605.1389770524</v>
      </c>
      <c r="T29" s="23">
        <f>'LU OLS Model'!$B$11*I29</f>
        <v>0</v>
      </c>
      <c r="U29" s="23">
        <f>'LU OLS Model'!$B$12*J29</f>
        <v>-1041288.65545601</v>
      </c>
      <c r="V29" s="23">
        <f>'LU OLS Model'!$B$13*K29</f>
        <v>0</v>
      </c>
      <c r="W29" s="23">
        <f>'LU OLS Model'!$B$14*L29</f>
        <v>0</v>
      </c>
      <c r="X29" s="23">
        <f t="shared" ca="1" si="1"/>
        <v>11725898.802411513</v>
      </c>
    </row>
    <row r="30" spans="1:24" x14ac:dyDescent="0.25">
      <c r="A30" s="11">
        <f>'Monthly Data'!A30</f>
        <v>40664</v>
      </c>
      <c r="B30" s="6">
        <f t="shared" si="0"/>
        <v>2011</v>
      </c>
      <c r="C30">
        <f>'Monthly Data'!I30</f>
        <v>12129470.6171</v>
      </c>
      <c r="D30">
        <f t="shared" ca="1" si="2"/>
        <v>144.96</v>
      </c>
      <c r="E30">
        <f t="shared" ca="1" si="2"/>
        <v>8.67</v>
      </c>
      <c r="F30">
        <f>'Monthly Data'!P30</f>
        <v>31</v>
      </c>
      <c r="G30" s="30">
        <f>'Monthly Data'!Q30</f>
        <v>6612</v>
      </c>
      <c r="H30">
        <f>'Monthly Data'!S30</f>
        <v>29</v>
      </c>
      <c r="I30" s="30">
        <f>'Monthly Data'!AE30</f>
        <v>0</v>
      </c>
      <c r="J30" s="4">
        <f>'Monthly Data'!AG30</f>
        <v>0</v>
      </c>
      <c r="K30" s="4">
        <f>'Monthly Data'!AH30</f>
        <v>0</v>
      </c>
      <c r="L30" s="4">
        <f>'Monthly Data'!AI30</f>
        <v>1</v>
      </c>
      <c r="N30" s="23">
        <f>'LU OLS Model'!$B$5</f>
        <v>-36743884.5954879</v>
      </c>
      <c r="O30" s="23">
        <f ca="1">'LU OLS Model'!$B$6*D30</f>
        <v>-282676.61482768413</v>
      </c>
      <c r="P30" s="23">
        <f ca="1">'LU OLS Model'!$B$7*E30</f>
        <v>164722.88887875789</v>
      </c>
      <c r="Q30" s="23">
        <f>'LU OLS Model'!$B$8*F30</f>
        <v>10664575.627180042</v>
      </c>
      <c r="R30" s="23">
        <f>'LU OLS Model'!$B$9*G30</f>
        <v>41278636.606233329</v>
      </c>
      <c r="S30" s="23">
        <f>'LU OLS Model'!$B$10*H30</f>
        <v>-1109876.7510833757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-1707342.3140862701</v>
      </c>
      <c r="X30" s="23">
        <f t="shared" ca="1" si="1"/>
        <v>12264154.846806893</v>
      </c>
    </row>
    <row r="31" spans="1:24" x14ac:dyDescent="0.25">
      <c r="A31" s="11">
        <f>'Monthly Data'!A31</f>
        <v>40695</v>
      </c>
      <c r="B31" s="6">
        <f t="shared" si="0"/>
        <v>2011</v>
      </c>
      <c r="C31">
        <f>'Monthly Data'!I31</f>
        <v>13315461.3706</v>
      </c>
      <c r="D31">
        <f t="shared" ref="D31:E46" ca="1" si="3">D19</f>
        <v>41.510000000000005</v>
      </c>
      <c r="E31">
        <f t="shared" ca="1" si="3"/>
        <v>44.41</v>
      </c>
      <c r="F31">
        <f>'Monthly Data'!P31</f>
        <v>30</v>
      </c>
      <c r="G31" s="30">
        <f>'Monthly Data'!Q31</f>
        <v>6706.8</v>
      </c>
      <c r="H31">
        <f>'Monthly Data'!S31</f>
        <v>30</v>
      </c>
      <c r="I31" s="30">
        <f>'Monthly Data'!AE31</f>
        <v>0</v>
      </c>
      <c r="J31" s="4">
        <f>'Monthly Data'!AG31</f>
        <v>0</v>
      </c>
      <c r="K31" s="4">
        <f>'Monthly Data'!AH31</f>
        <v>0</v>
      </c>
      <c r="L31" s="4">
        <f>'Monthly Data'!AI31</f>
        <v>1</v>
      </c>
      <c r="N31" s="23">
        <f>'LU OLS Model'!$B$5</f>
        <v>-36743884.5954879</v>
      </c>
      <c r="O31" s="23">
        <f ca="1">'LU OLS Model'!$B$6*D31</f>
        <v>-80945.821478319311</v>
      </c>
      <c r="P31" s="23">
        <f ca="1">'LU OLS Model'!$B$7*E31</f>
        <v>843753.57498334919</v>
      </c>
      <c r="Q31" s="23">
        <f>'LU OLS Model'!$B$8*F31</f>
        <v>10320557.058561331</v>
      </c>
      <c r="R31" s="23">
        <f>'LU OLS Model'!$B$9*G31</f>
        <v>41870471.867919795</v>
      </c>
      <c r="S31" s="23">
        <f>'LU OLS Model'!$B$10*H31</f>
        <v>-1148148.3631896991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-1707342.3140862701</v>
      </c>
      <c r="X31" s="23">
        <f t="shared" ca="1" si="1"/>
        <v>13354461.407222288</v>
      </c>
    </row>
    <row r="32" spans="1:24" x14ac:dyDescent="0.25">
      <c r="A32" s="11">
        <f>'Monthly Data'!A32</f>
        <v>40725</v>
      </c>
      <c r="B32" s="6">
        <f t="shared" si="0"/>
        <v>2011</v>
      </c>
      <c r="C32">
        <f>'Monthly Data'!I32</f>
        <v>15254632.6943</v>
      </c>
      <c r="D32">
        <f t="shared" ca="1" si="3"/>
        <v>5.01</v>
      </c>
      <c r="E32">
        <f t="shared" ca="1" si="3"/>
        <v>96.909999999999982</v>
      </c>
      <c r="F32">
        <f>'Monthly Data'!P32</f>
        <v>31</v>
      </c>
      <c r="G32" s="30">
        <f>'Monthly Data'!Q32</f>
        <v>6755.3</v>
      </c>
      <c r="H32">
        <f>'Monthly Data'!S32</f>
        <v>31</v>
      </c>
      <c r="I32" s="30">
        <f>'Monthly Data'!AE32</f>
        <v>0</v>
      </c>
      <c r="J32" s="4">
        <f>'Monthly Data'!AG32</f>
        <v>0</v>
      </c>
      <c r="K32" s="4">
        <f>'Monthly Data'!AH32</f>
        <v>0</v>
      </c>
      <c r="L32" s="4">
        <f>'Monthly Data'!AI32</f>
        <v>1</v>
      </c>
      <c r="N32" s="23">
        <f>'LU OLS Model'!$B$5</f>
        <v>-36743884.5954879</v>
      </c>
      <c r="O32" s="23">
        <f ca="1">'LU OLS Model'!$B$6*D32</f>
        <v>-9769.6594942514985</v>
      </c>
      <c r="P32" s="23">
        <f ca="1">'LU OLS Model'!$B$7*E32</f>
        <v>1841210.5145606026</v>
      </c>
      <c r="Q32" s="23">
        <f>'LU OLS Model'!$B$8*F32</f>
        <v>10664575.627180042</v>
      </c>
      <c r="R32" s="23">
        <f>'LU OLS Model'!$B$9*G32</f>
        <v>42173256.785554752</v>
      </c>
      <c r="S32" s="23">
        <f>'LU OLS Model'!$B$10*H32</f>
        <v>-1186419.9752960224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-1707342.3140862701</v>
      </c>
      <c r="X32" s="23">
        <f t="shared" ca="1" si="1"/>
        <v>15031626.382930951</v>
      </c>
    </row>
    <row r="33" spans="1:24" x14ac:dyDescent="0.25">
      <c r="A33" s="11">
        <f>'Monthly Data'!A33</f>
        <v>40756</v>
      </c>
      <c r="B33" s="6">
        <f t="shared" si="0"/>
        <v>2011</v>
      </c>
      <c r="C33">
        <f>'Monthly Data'!I33</f>
        <v>14946593.828</v>
      </c>
      <c r="D33">
        <f t="shared" ca="1" si="3"/>
        <v>12.719999999999999</v>
      </c>
      <c r="E33">
        <f t="shared" ca="1" si="3"/>
        <v>77.22999999999999</v>
      </c>
      <c r="F33">
        <f>'Monthly Data'!P33</f>
        <v>31</v>
      </c>
      <c r="G33" s="30">
        <f>'Monthly Data'!Q33</f>
        <v>6778</v>
      </c>
      <c r="H33">
        <f>'Monthly Data'!S33</f>
        <v>32</v>
      </c>
      <c r="I33" s="30">
        <f>'Monthly Data'!AE33</f>
        <v>0</v>
      </c>
      <c r="J33" s="4">
        <f>'Monthly Data'!AG33</f>
        <v>0</v>
      </c>
      <c r="K33" s="4">
        <f>'Monthly Data'!AH33</f>
        <v>0</v>
      </c>
      <c r="L33" s="4">
        <f>'Monthly Data'!AI33</f>
        <v>1</v>
      </c>
      <c r="N33" s="23">
        <f>'LU OLS Model'!$B$5</f>
        <v>-36743884.5954879</v>
      </c>
      <c r="O33" s="23">
        <f ca="1">'LU OLS Model'!$B$6*D33</f>
        <v>-24804.404943488833</v>
      </c>
      <c r="P33" s="23">
        <f ca="1">'LU OLS Model'!$B$7*E33</f>
        <v>1467306.6560676435</v>
      </c>
      <c r="Q33" s="23">
        <f>'LU OLS Model'!$B$8*F33</f>
        <v>10664575.627180042</v>
      </c>
      <c r="R33" s="23">
        <f>'LU OLS Model'!$B$9*G33</f>
        <v>42314972.612983897</v>
      </c>
      <c r="S33" s="23">
        <f>'LU OLS Model'!$B$10*H33</f>
        <v>-1224691.5874023456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-1707342.3140862701</v>
      </c>
      <c r="X33" s="23">
        <f t="shared" ca="1" si="1"/>
        <v>14746131.99431158</v>
      </c>
    </row>
    <row r="34" spans="1:24" x14ac:dyDescent="0.25">
      <c r="A34" s="11">
        <f>'Monthly Data'!A34</f>
        <v>40787</v>
      </c>
      <c r="B34" s="6">
        <f t="shared" si="0"/>
        <v>2011</v>
      </c>
      <c r="C34">
        <f>'Monthly Data'!I34</f>
        <v>14191674.646299999</v>
      </c>
      <c r="D34">
        <f t="shared" ca="1" si="3"/>
        <v>86.570000000000007</v>
      </c>
      <c r="E34">
        <f t="shared" ca="1" si="3"/>
        <v>19.899999999999999</v>
      </c>
      <c r="F34">
        <f>'Monthly Data'!P34</f>
        <v>30</v>
      </c>
      <c r="G34" s="30">
        <f>'Monthly Data'!Q34</f>
        <v>6734.6</v>
      </c>
      <c r="H34">
        <f>'Monthly Data'!S34</f>
        <v>33</v>
      </c>
      <c r="I34" s="30">
        <f>'Monthly Data'!AE34</f>
        <v>1</v>
      </c>
      <c r="J34" s="4">
        <f>'Monthly Data'!AG34</f>
        <v>0</v>
      </c>
      <c r="K34" s="4">
        <f>'Monthly Data'!AH34</f>
        <v>0</v>
      </c>
      <c r="L34" s="4">
        <f>'Monthly Data'!AI34</f>
        <v>0</v>
      </c>
      <c r="N34" s="23">
        <f>'LU OLS Model'!$B$5</f>
        <v>-36743884.5954879</v>
      </c>
      <c r="O34" s="23">
        <f ca="1">'LU OLS Model'!$B$6*D34</f>
        <v>-168814.2559715274</v>
      </c>
      <c r="P34" s="23">
        <f ca="1">'LU OLS Model'!$B$7*E34</f>
        <v>378083.67804928281</v>
      </c>
      <c r="Q34" s="23">
        <f>'LU OLS Model'!$B$8*F34</f>
        <v>10320557.058561331</v>
      </c>
      <c r="R34" s="23">
        <f>'LU OLS Model'!$B$9*G34</f>
        <v>42044026.93411056</v>
      </c>
      <c r="S34" s="23">
        <f>'LU OLS Model'!$B$10*H34</f>
        <v>-1262963.1995086689</v>
      </c>
      <c r="T34" s="23">
        <f>'LU OLS Model'!$B$11*I34</f>
        <v>-1051550.2365486601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ca="1" si="1"/>
        <v>13515455.383204415</v>
      </c>
    </row>
    <row r="35" spans="1:24" x14ac:dyDescent="0.25">
      <c r="A35" s="11">
        <f>'Monthly Data'!A35</f>
        <v>40817</v>
      </c>
      <c r="B35" s="6">
        <f t="shared" si="0"/>
        <v>2011</v>
      </c>
      <c r="C35">
        <f>'Monthly Data'!I35</f>
        <v>12844301.167599998</v>
      </c>
      <c r="D35">
        <f t="shared" ca="1" si="3"/>
        <v>270.3</v>
      </c>
      <c r="E35">
        <f t="shared" ca="1" si="3"/>
        <v>1.21</v>
      </c>
      <c r="F35">
        <f>'Monthly Data'!P35</f>
        <v>31</v>
      </c>
      <c r="G35" s="30">
        <f>'Monthly Data'!Q35</f>
        <v>6702.2</v>
      </c>
      <c r="H35">
        <f>'Monthly Data'!S35</f>
        <v>34</v>
      </c>
      <c r="I35" s="30">
        <f>'Monthly Data'!AE35</f>
        <v>1</v>
      </c>
      <c r="J35" s="4">
        <f>'Monthly Data'!AG35</f>
        <v>0</v>
      </c>
      <c r="K35" s="4">
        <f>'Monthly Data'!AH35</f>
        <v>0</v>
      </c>
      <c r="L35" s="4">
        <f>'Monthly Data'!AI35</f>
        <v>0</v>
      </c>
      <c r="N35" s="23">
        <f>'LU OLS Model'!$B$5</f>
        <v>-36743884.5954879</v>
      </c>
      <c r="O35" s="23">
        <f ca="1">'LU OLS Model'!$B$6*D35</f>
        <v>-527093.60504913772</v>
      </c>
      <c r="P35" s="23">
        <f ca="1">'LU OLS Model'!$B$7*E35</f>
        <v>22989.007559780512</v>
      </c>
      <c r="Q35" s="23">
        <f>'LU OLS Model'!$B$8*F35</f>
        <v>10664575.627180042</v>
      </c>
      <c r="R35" s="23">
        <f>'LU OLS Model'!$B$9*G35</f>
        <v>41841754.123154417</v>
      </c>
      <c r="S35" s="23">
        <f>'LU OLS Model'!$B$10*H35</f>
        <v>-1301234.8116149921</v>
      </c>
      <c r="T35" s="23">
        <f>'LU OLS Model'!$B$11*I35</f>
        <v>-1051550.2365486601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ca="1" si="1"/>
        <v>12905555.509193547</v>
      </c>
    </row>
    <row r="36" spans="1:24" x14ac:dyDescent="0.25">
      <c r="A36" s="11">
        <f>'Monthly Data'!A36</f>
        <v>40848</v>
      </c>
      <c r="B36" s="6">
        <f t="shared" si="0"/>
        <v>2011</v>
      </c>
      <c r="C36">
        <f>'Monthly Data'!I36</f>
        <v>11999298.3411</v>
      </c>
      <c r="D36">
        <f t="shared" ca="1" si="3"/>
        <v>444.05</v>
      </c>
      <c r="E36">
        <f t="shared" ca="1" si="3"/>
        <v>0</v>
      </c>
      <c r="F36">
        <f>'Monthly Data'!P36</f>
        <v>30</v>
      </c>
      <c r="G36" s="30">
        <f>'Monthly Data'!Q36</f>
        <v>6669.4</v>
      </c>
      <c r="H36">
        <f>'Monthly Data'!S36</f>
        <v>35</v>
      </c>
      <c r="I36" s="30">
        <f>'Monthly Data'!AE36</f>
        <v>1</v>
      </c>
      <c r="J36" s="4">
        <f>'Monthly Data'!AG36</f>
        <v>0</v>
      </c>
      <c r="K36" s="4">
        <f>'Monthly Data'!AH36</f>
        <v>0</v>
      </c>
      <c r="L36" s="4">
        <f>'Monthly Data'!AI36</f>
        <v>0</v>
      </c>
      <c r="N36" s="23">
        <f>'LU OLS Model'!$B$5</f>
        <v>-36743884.5954879</v>
      </c>
      <c r="O36" s="23">
        <f ca="1">'LU OLS Model'!$B$6*D36</f>
        <v>-865911.63641165232</v>
      </c>
      <c r="P36" s="23">
        <f ca="1">'LU OLS Model'!$B$7*E36</f>
        <v>0</v>
      </c>
      <c r="Q36" s="23">
        <f>'LU OLS Model'!$B$8*F36</f>
        <v>10320557.058561331</v>
      </c>
      <c r="R36" s="23">
        <f>'LU OLS Model'!$B$9*G36</f>
        <v>41636984.117001295</v>
      </c>
      <c r="S36" s="23">
        <f>'LU OLS Model'!$B$10*H36</f>
        <v>-1339506.4237213156</v>
      </c>
      <c r="T36" s="23">
        <f>'LU OLS Model'!$B$11*I36</f>
        <v>-1051550.2365486601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ca="1" si="1"/>
        <v>11956688.2833931</v>
      </c>
    </row>
    <row r="37" spans="1:24" x14ac:dyDescent="0.25">
      <c r="A37" s="11">
        <f>'Monthly Data'!A37</f>
        <v>40878</v>
      </c>
      <c r="B37" s="6">
        <f t="shared" si="0"/>
        <v>2011</v>
      </c>
      <c r="C37">
        <f>'Monthly Data'!I37</f>
        <v>11987806.8026</v>
      </c>
      <c r="D37">
        <f t="shared" ca="1" si="3"/>
        <v>684.01</v>
      </c>
      <c r="E37">
        <f t="shared" ca="1" si="3"/>
        <v>0</v>
      </c>
      <c r="F37">
        <f>'Monthly Data'!P37</f>
        <v>31</v>
      </c>
      <c r="G37" s="30">
        <f>'Monthly Data'!Q37</f>
        <v>6668.3</v>
      </c>
      <c r="H37">
        <f>'Monthly Data'!S37</f>
        <v>36</v>
      </c>
      <c r="I37" s="30">
        <f>'Monthly Data'!AE37</f>
        <v>0</v>
      </c>
      <c r="J37" s="4">
        <f>'Monthly Data'!AG37</f>
        <v>0</v>
      </c>
      <c r="K37" s="4">
        <f>'Monthly Data'!AH37</f>
        <v>1</v>
      </c>
      <c r="L37" s="4">
        <f>'Monthly Data'!AI37</f>
        <v>0</v>
      </c>
      <c r="N37" s="23">
        <f>'LU OLS Model'!$B$5</f>
        <v>-36743884.5954879</v>
      </c>
      <c r="O37" s="23">
        <f ca="1">'LU OLS Model'!$B$6*D37</f>
        <v>-1333841.2755814306</v>
      </c>
      <c r="P37" s="23">
        <f ca="1">'LU OLS Model'!$B$7*E37</f>
        <v>0</v>
      </c>
      <c r="Q37" s="23">
        <f>'LU OLS Model'!$B$8*F37</f>
        <v>10664575.627180042</v>
      </c>
      <c r="R37" s="23">
        <f>'LU OLS Model'!$B$9*G37</f>
        <v>41630116.830209576</v>
      </c>
      <c r="S37" s="23">
        <f>'LU OLS Model'!$B$10*H37</f>
        <v>-1377778.0358276388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-986240.09211876604</v>
      </c>
      <c r="W37" s="23">
        <f>'LU OLS Model'!$B$14*L37</f>
        <v>0</v>
      </c>
      <c r="X37" s="23">
        <f t="shared" ca="1" si="1"/>
        <v>11852948.458373884</v>
      </c>
    </row>
    <row r="38" spans="1:24" x14ac:dyDescent="0.25">
      <c r="A38" s="11">
        <f>'Monthly Data'!A38</f>
        <v>40909</v>
      </c>
      <c r="B38" s="6">
        <f t="shared" si="0"/>
        <v>2012</v>
      </c>
      <c r="C38">
        <f>'Monthly Data'!I38</f>
        <v>12582843.8882</v>
      </c>
      <c r="D38">
        <f t="shared" ca="1" si="3"/>
        <v>784.29</v>
      </c>
      <c r="E38">
        <f t="shared" ca="1" si="3"/>
        <v>0</v>
      </c>
      <c r="F38">
        <f>'Monthly Data'!P38</f>
        <v>31</v>
      </c>
      <c r="G38" s="30">
        <f>'Monthly Data'!Q38</f>
        <v>6635.9</v>
      </c>
      <c r="H38">
        <f>'Monthly Data'!S38</f>
        <v>37</v>
      </c>
      <c r="I38" s="30">
        <f>'Monthly Data'!AE38</f>
        <v>0</v>
      </c>
      <c r="J38" s="4">
        <f>'Monthly Data'!AG38</f>
        <v>0</v>
      </c>
      <c r="K38" s="4">
        <f>'Monthly Data'!AH38</f>
        <v>0</v>
      </c>
      <c r="L38" s="4">
        <f>'Monthly Data'!AI38</f>
        <v>0</v>
      </c>
      <c r="N38" s="23">
        <f>'LU OLS Model'!$B$5</f>
        <v>-36743884.5954879</v>
      </c>
      <c r="O38" s="23">
        <f ca="1">'LU OLS Model'!$B$6*D38</f>
        <v>-1529390.4680132749</v>
      </c>
      <c r="P38" s="23">
        <f ca="1">'LU OLS Model'!$B$7*E38</f>
        <v>0</v>
      </c>
      <c r="Q38" s="23">
        <f>'LU OLS Model'!$B$8*F38</f>
        <v>10664575.627180042</v>
      </c>
      <c r="R38" s="23">
        <f>'LU OLS Model'!$B$9*G38</f>
        <v>41427844.01925344</v>
      </c>
      <c r="S38" s="23">
        <f>'LU OLS Model'!$B$10*H38</f>
        <v>-1416049.6479339621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ca="1" si="1"/>
        <v>12403094.934998346</v>
      </c>
    </row>
    <row r="39" spans="1:24" x14ac:dyDescent="0.25">
      <c r="A39" s="11">
        <f>'Monthly Data'!A39</f>
        <v>40940</v>
      </c>
      <c r="B39" s="6">
        <f t="shared" si="0"/>
        <v>2012</v>
      </c>
      <c r="C39">
        <f>'Monthly Data'!I39</f>
        <v>11873899.731000001</v>
      </c>
      <c r="D39">
        <f t="shared" ca="1" si="3"/>
        <v>682.50999999999988</v>
      </c>
      <c r="E39">
        <f t="shared" ca="1" si="3"/>
        <v>0</v>
      </c>
      <c r="F39">
        <f>'Monthly Data'!P39</f>
        <v>29</v>
      </c>
      <c r="G39" s="30">
        <f>'Monthly Data'!Q39</f>
        <v>6598</v>
      </c>
      <c r="H39">
        <f>'Monthly Data'!S39</f>
        <v>38</v>
      </c>
      <c r="I39" s="30">
        <f>'Monthly Data'!AE39</f>
        <v>0</v>
      </c>
      <c r="J39" s="4">
        <f>'Monthly Data'!AG39</f>
        <v>0</v>
      </c>
      <c r="K39" s="4">
        <f>'Monthly Data'!AH39</f>
        <v>0</v>
      </c>
      <c r="L39" s="4">
        <f>'Monthly Data'!AI39</f>
        <v>0</v>
      </c>
      <c r="N39" s="23">
        <f>'LU OLS Model'!$B$5</f>
        <v>-36743884.5954879</v>
      </c>
      <c r="O39" s="23">
        <f ca="1">'LU OLS Model'!$B$6*D39</f>
        <v>-1330916.2278286605</v>
      </c>
      <c r="P39" s="23">
        <f ca="1">'LU OLS Model'!$B$7*E39</f>
        <v>0</v>
      </c>
      <c r="Q39" s="23">
        <f>'LU OLS Model'!$B$8*F39</f>
        <v>9976538.4899426196</v>
      </c>
      <c r="R39" s="23">
        <f>'LU OLS Model'!$B$9*G39</f>
        <v>41191234.774338707</v>
      </c>
      <c r="S39" s="23">
        <f>'LU OLS Model'!$B$10*H39</f>
        <v>-1454321.2600402855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ca="1" si="1"/>
        <v>11638651.180924481</v>
      </c>
    </row>
    <row r="40" spans="1:24" x14ac:dyDescent="0.25">
      <c r="A40" s="11">
        <f>'Monthly Data'!A40</f>
        <v>40969</v>
      </c>
      <c r="B40" s="6">
        <f t="shared" si="0"/>
        <v>2012</v>
      </c>
      <c r="C40">
        <f>'Monthly Data'!I40</f>
        <v>12252096.686999999</v>
      </c>
      <c r="D40">
        <f t="shared" ca="1" si="3"/>
        <v>556.99</v>
      </c>
      <c r="E40">
        <f t="shared" ca="1" si="3"/>
        <v>0</v>
      </c>
      <c r="F40">
        <f>'Monthly Data'!P40</f>
        <v>31</v>
      </c>
      <c r="G40" s="30">
        <f>'Monthly Data'!Q40</f>
        <v>6569.8</v>
      </c>
      <c r="H40">
        <f>'Monthly Data'!S40</f>
        <v>39</v>
      </c>
      <c r="I40" s="30">
        <f>'Monthly Data'!AE40</f>
        <v>0</v>
      </c>
      <c r="J40" s="4">
        <f>'Monthly Data'!AG40</f>
        <v>0</v>
      </c>
      <c r="K40" s="4">
        <f>'Monthly Data'!AH40</f>
        <v>0</v>
      </c>
      <c r="L40" s="4">
        <f>'Monthly Data'!AI40</f>
        <v>0</v>
      </c>
      <c r="N40" s="23">
        <f>'LU OLS Model'!$B$5</f>
        <v>-36743884.5954879</v>
      </c>
      <c r="O40" s="23">
        <f ca="1">'LU OLS Model'!$B$6*D40</f>
        <v>-1086148.2318768748</v>
      </c>
      <c r="P40" s="23">
        <f ca="1">'LU OLS Model'!$B$7*E40</f>
        <v>0</v>
      </c>
      <c r="Q40" s="23">
        <f>'LU OLS Model'!$B$8*F40</f>
        <v>10664575.627180042</v>
      </c>
      <c r="R40" s="23">
        <f>'LU OLS Model'!$B$9*G40</f>
        <v>41015182.512950957</v>
      </c>
      <c r="S40" s="23">
        <f>'LU OLS Model'!$B$10*H40</f>
        <v>-1492592.8721466088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ca="1" si="1"/>
        <v>12357132.440619616</v>
      </c>
    </row>
    <row r="41" spans="1:24" x14ac:dyDescent="0.25">
      <c r="A41" s="11">
        <f>'Monthly Data'!A41</f>
        <v>41000</v>
      </c>
      <c r="B41" s="6">
        <f t="shared" si="0"/>
        <v>2012</v>
      </c>
      <c r="C41">
        <f>'Monthly Data'!I41</f>
        <v>11690706.498199999</v>
      </c>
      <c r="D41">
        <f t="shared" ca="1" si="3"/>
        <v>326.58999999999997</v>
      </c>
      <c r="E41">
        <f t="shared" ca="1" si="3"/>
        <v>0.39</v>
      </c>
      <c r="F41">
        <f>'Monthly Data'!P41</f>
        <v>30</v>
      </c>
      <c r="G41" s="30">
        <f>'Monthly Data'!Q41</f>
        <v>6603.3</v>
      </c>
      <c r="H41">
        <f>'Monthly Data'!S41</f>
        <v>40</v>
      </c>
      <c r="I41" s="30">
        <f>'Monthly Data'!AE41</f>
        <v>0</v>
      </c>
      <c r="J41" s="4">
        <f>'Monthly Data'!AG41</f>
        <v>1</v>
      </c>
      <c r="K41" s="4">
        <f>'Monthly Data'!AH41</f>
        <v>0</v>
      </c>
      <c r="L41" s="4">
        <f>'Monthly Data'!AI41</f>
        <v>0</v>
      </c>
      <c r="N41" s="23">
        <f>'LU OLS Model'!$B$5</f>
        <v>-36743884.5954879</v>
      </c>
      <c r="O41" s="23">
        <f ca="1">'LU OLS Model'!$B$6*D41</f>
        <v>-636860.89705141657</v>
      </c>
      <c r="P41" s="23">
        <f ca="1">'LU OLS Model'!$B$7*E41</f>
        <v>7409.6801225738845</v>
      </c>
      <c r="Q41" s="23">
        <f>'LU OLS Model'!$B$8*F41</f>
        <v>10320557.058561331</v>
      </c>
      <c r="R41" s="23">
        <f>'LU OLS Model'!$B$9*G41</f>
        <v>41224322.610698812</v>
      </c>
      <c r="S41" s="23">
        <f>'LU OLS Model'!$B$10*H41</f>
        <v>-1530864.484252932</v>
      </c>
      <c r="T41" s="23">
        <f>'LU OLS Model'!$B$11*I41</f>
        <v>0</v>
      </c>
      <c r="U41" s="23">
        <f>'LU OLS Model'!$B$12*J41</f>
        <v>-1041288.65545601</v>
      </c>
      <c r="V41" s="23">
        <f>'LU OLS Model'!$B$13*K41</f>
        <v>0</v>
      </c>
      <c r="W41" s="23">
        <f>'LU OLS Model'!$B$14*L41</f>
        <v>0</v>
      </c>
      <c r="X41" s="23">
        <f t="shared" ca="1" si="1"/>
        <v>11599390.717134463</v>
      </c>
    </row>
    <row r="42" spans="1:24" x14ac:dyDescent="0.25">
      <c r="A42" s="11">
        <f>'Monthly Data'!A42</f>
        <v>41030</v>
      </c>
      <c r="B42" s="6">
        <f t="shared" si="0"/>
        <v>2012</v>
      </c>
      <c r="C42">
        <f>'Monthly Data'!I42</f>
        <v>12480043.750300001</v>
      </c>
      <c r="D42">
        <f t="shared" ca="1" si="3"/>
        <v>144.96</v>
      </c>
      <c r="E42">
        <f t="shared" ca="1" si="3"/>
        <v>8.67</v>
      </c>
      <c r="F42">
        <f>'Monthly Data'!P42</f>
        <v>31</v>
      </c>
      <c r="G42" s="30">
        <f>'Monthly Data'!Q42</f>
        <v>6658.1</v>
      </c>
      <c r="H42">
        <f>'Monthly Data'!S42</f>
        <v>41</v>
      </c>
      <c r="I42" s="30">
        <f>'Monthly Data'!AE42</f>
        <v>0</v>
      </c>
      <c r="J42" s="4">
        <f>'Monthly Data'!AG42</f>
        <v>0</v>
      </c>
      <c r="K42" s="4">
        <f>'Monthly Data'!AH42</f>
        <v>0</v>
      </c>
      <c r="L42" s="4">
        <f>'Monthly Data'!AI42</f>
        <v>1</v>
      </c>
      <c r="N42" s="23">
        <f>'LU OLS Model'!$B$5</f>
        <v>-36743884.5954879</v>
      </c>
      <c r="O42" s="23">
        <f ca="1">'LU OLS Model'!$B$6*D42</f>
        <v>-282676.61482768413</v>
      </c>
      <c r="P42" s="23">
        <f ca="1">'LU OLS Model'!$B$7*E42</f>
        <v>164722.88887875789</v>
      </c>
      <c r="Q42" s="23">
        <f>'LU OLS Model'!$B$8*F42</f>
        <v>10664575.627180042</v>
      </c>
      <c r="R42" s="23">
        <f>'LU OLS Model'!$B$9*G42</f>
        <v>41566438.352686353</v>
      </c>
      <c r="S42" s="23">
        <f>'LU OLS Model'!$B$10*H42</f>
        <v>-1569136.0963592553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-1707342.3140862701</v>
      </c>
      <c r="X42" s="23">
        <f t="shared" ca="1" si="1"/>
        <v>12092697.247984039</v>
      </c>
    </row>
    <row r="43" spans="1:24" x14ac:dyDescent="0.25">
      <c r="A43" s="11">
        <f>'Monthly Data'!A43</f>
        <v>41061</v>
      </c>
      <c r="B43" s="6">
        <f t="shared" si="0"/>
        <v>2012</v>
      </c>
      <c r="C43">
        <f>'Monthly Data'!I43</f>
        <v>13240556.216700001</v>
      </c>
      <c r="D43">
        <f t="shared" ca="1" si="3"/>
        <v>41.510000000000005</v>
      </c>
      <c r="E43">
        <f t="shared" ca="1" si="3"/>
        <v>44.41</v>
      </c>
      <c r="F43">
        <f>'Monthly Data'!P43</f>
        <v>30</v>
      </c>
      <c r="G43" s="30">
        <f>'Monthly Data'!Q43</f>
        <v>6737.2</v>
      </c>
      <c r="H43">
        <f>'Monthly Data'!S43</f>
        <v>42</v>
      </c>
      <c r="I43" s="30">
        <f>'Monthly Data'!AE43</f>
        <v>0</v>
      </c>
      <c r="J43" s="4">
        <f>'Monthly Data'!AG43</f>
        <v>0</v>
      </c>
      <c r="K43" s="4">
        <f>'Monthly Data'!AH43</f>
        <v>0</v>
      </c>
      <c r="L43" s="4">
        <f>'Monthly Data'!AI43</f>
        <v>1</v>
      </c>
      <c r="N43" s="23">
        <f>'LU OLS Model'!$B$5</f>
        <v>-36743884.5954879</v>
      </c>
      <c r="O43" s="23">
        <f ca="1">'LU OLS Model'!$B$6*D43</f>
        <v>-80945.821478319311</v>
      </c>
      <c r="P43" s="23">
        <f ca="1">'LU OLS Model'!$B$7*E43</f>
        <v>843753.57498334919</v>
      </c>
      <c r="Q43" s="23">
        <f>'LU OLS Model'!$B$8*F43</f>
        <v>10320557.058561331</v>
      </c>
      <c r="R43" s="23">
        <f>'LU OLS Model'!$B$9*G43</f>
        <v>42060258.702890985</v>
      </c>
      <c r="S43" s="23">
        <f>'LU OLS Model'!$B$10*H43</f>
        <v>-1607407.7084655785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-1707342.3140862701</v>
      </c>
      <c r="X43" s="23">
        <f t="shared" ca="1" si="1"/>
        <v>13084988.896917598</v>
      </c>
    </row>
    <row r="44" spans="1:24" x14ac:dyDescent="0.25">
      <c r="A44" s="11">
        <f>'Monthly Data'!A44</f>
        <v>41091</v>
      </c>
      <c r="B44" s="6">
        <f t="shared" si="0"/>
        <v>2012</v>
      </c>
      <c r="C44">
        <f>'Monthly Data'!I44</f>
        <v>15413074.367999999</v>
      </c>
      <c r="D44">
        <f t="shared" ca="1" si="3"/>
        <v>5.01</v>
      </c>
      <c r="E44">
        <f t="shared" ca="1" si="3"/>
        <v>96.909999999999982</v>
      </c>
      <c r="F44">
        <f>'Monthly Data'!P44</f>
        <v>31</v>
      </c>
      <c r="G44" s="30">
        <f>'Monthly Data'!Q44</f>
        <v>6778.6</v>
      </c>
      <c r="H44">
        <f>'Monthly Data'!S44</f>
        <v>43</v>
      </c>
      <c r="I44" s="30">
        <f>'Monthly Data'!AE44</f>
        <v>0</v>
      </c>
      <c r="J44" s="4">
        <f>'Monthly Data'!AG44</f>
        <v>0</v>
      </c>
      <c r="K44" s="4">
        <f>'Monthly Data'!AH44</f>
        <v>0</v>
      </c>
      <c r="L44" s="4">
        <f>'Monthly Data'!AI44</f>
        <v>1</v>
      </c>
      <c r="N44" s="23">
        <f>'LU OLS Model'!$B$5</f>
        <v>-36743884.5954879</v>
      </c>
      <c r="O44" s="23">
        <f ca="1">'LU OLS Model'!$B$6*D44</f>
        <v>-9769.6594942514985</v>
      </c>
      <c r="P44" s="23">
        <f ca="1">'LU OLS Model'!$B$7*E44</f>
        <v>1841210.5145606026</v>
      </c>
      <c r="Q44" s="23">
        <f>'LU OLS Model'!$B$8*F44</f>
        <v>10664575.627180042</v>
      </c>
      <c r="R44" s="23">
        <f>'LU OLS Model'!$B$9*G44</f>
        <v>42318718.405779384</v>
      </c>
      <c r="S44" s="23">
        <f>'LU OLS Model'!$B$10*H44</f>
        <v>-1645679.320571902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-1707342.3140862701</v>
      </c>
      <c r="X44" s="23">
        <f t="shared" ca="1" si="1"/>
        <v>14717828.657879705</v>
      </c>
    </row>
    <row r="45" spans="1:24" x14ac:dyDescent="0.25">
      <c r="A45" s="11">
        <f>'Monthly Data'!A45</f>
        <v>41122</v>
      </c>
      <c r="B45" s="6">
        <f t="shared" si="0"/>
        <v>2012</v>
      </c>
      <c r="C45">
        <f>'Monthly Data'!I45</f>
        <v>15313195.499</v>
      </c>
      <c r="D45">
        <f t="shared" ca="1" si="3"/>
        <v>12.719999999999999</v>
      </c>
      <c r="E45">
        <f t="shared" ca="1" si="3"/>
        <v>77.22999999999999</v>
      </c>
      <c r="F45">
        <f>'Monthly Data'!P45</f>
        <v>31</v>
      </c>
      <c r="G45" s="30">
        <f>'Monthly Data'!Q45</f>
        <v>6797.9</v>
      </c>
      <c r="H45">
        <f>'Monthly Data'!S45</f>
        <v>44</v>
      </c>
      <c r="I45" s="30">
        <f>'Monthly Data'!AE45</f>
        <v>0</v>
      </c>
      <c r="J45" s="4">
        <f>'Monthly Data'!AG45</f>
        <v>0</v>
      </c>
      <c r="K45" s="4">
        <f>'Monthly Data'!AH45</f>
        <v>0</v>
      </c>
      <c r="L45" s="4">
        <f>'Monthly Data'!AI45</f>
        <v>1</v>
      </c>
      <c r="N45" s="23">
        <f>'LU OLS Model'!$B$5</f>
        <v>-36743884.5954879</v>
      </c>
      <c r="O45" s="23">
        <f ca="1">'LU OLS Model'!$B$6*D45</f>
        <v>-24804.404943488833</v>
      </c>
      <c r="P45" s="23">
        <f ca="1">'LU OLS Model'!$B$7*E45</f>
        <v>1467306.6560676435</v>
      </c>
      <c r="Q45" s="23">
        <f>'LU OLS Model'!$B$8*F45</f>
        <v>10664575.627180042</v>
      </c>
      <c r="R45" s="23">
        <f>'LU OLS Model'!$B$9*G45</f>
        <v>42439208.07403411</v>
      </c>
      <c r="S45" s="23">
        <f>'LU OLS Model'!$B$10*H45</f>
        <v>-1683950.9326782252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-1707342.3140862701</v>
      </c>
      <c r="X45" s="23">
        <f t="shared" ca="1" si="1"/>
        <v>14411108.110085914</v>
      </c>
    </row>
    <row r="46" spans="1:24" x14ac:dyDescent="0.25">
      <c r="A46" s="11">
        <f>'Monthly Data'!A46</f>
        <v>41153</v>
      </c>
      <c r="B46" s="6">
        <f t="shared" si="0"/>
        <v>2012</v>
      </c>
      <c r="C46">
        <f>'Monthly Data'!I46</f>
        <v>13786568.186000001</v>
      </c>
      <c r="D46">
        <f t="shared" ca="1" si="3"/>
        <v>86.570000000000007</v>
      </c>
      <c r="E46">
        <f t="shared" ca="1" si="3"/>
        <v>19.899999999999999</v>
      </c>
      <c r="F46">
        <f>'Monthly Data'!P46</f>
        <v>30</v>
      </c>
      <c r="G46" s="30">
        <f>'Monthly Data'!Q46</f>
        <v>6763.1</v>
      </c>
      <c r="H46">
        <f>'Monthly Data'!S46</f>
        <v>45</v>
      </c>
      <c r="I46" s="30">
        <f>'Monthly Data'!AE46</f>
        <v>1</v>
      </c>
      <c r="J46" s="4">
        <f>'Monthly Data'!AG46</f>
        <v>0</v>
      </c>
      <c r="K46" s="4">
        <f>'Monthly Data'!AH46</f>
        <v>0</v>
      </c>
      <c r="L46" s="4">
        <f>'Monthly Data'!AI46</f>
        <v>0</v>
      </c>
      <c r="N46" s="23">
        <f>'LU OLS Model'!$B$5</f>
        <v>-36743884.5954879</v>
      </c>
      <c r="O46" s="23">
        <f ca="1">'LU OLS Model'!$B$6*D46</f>
        <v>-168814.2559715274</v>
      </c>
      <c r="P46" s="23">
        <f ca="1">'LU OLS Model'!$B$7*E46</f>
        <v>378083.67804928281</v>
      </c>
      <c r="Q46" s="23">
        <f>'LU OLS Model'!$B$8*F46</f>
        <v>10320557.058561331</v>
      </c>
      <c r="R46" s="23">
        <f>'LU OLS Model'!$B$9*G46</f>
        <v>42221952.091896042</v>
      </c>
      <c r="S46" s="23">
        <f>'LU OLS Model'!$B$10*H46</f>
        <v>-1722222.5447845485</v>
      </c>
      <c r="T46" s="23">
        <f>'LU OLS Model'!$B$11*I46</f>
        <v>-1051550.2365486601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ca="1" si="1"/>
        <v>13234121.195714019</v>
      </c>
    </row>
    <row r="47" spans="1:24" x14ac:dyDescent="0.25">
      <c r="A47" s="11">
        <f>'Monthly Data'!A47</f>
        <v>41183</v>
      </c>
      <c r="B47" s="6">
        <f t="shared" si="0"/>
        <v>2012</v>
      </c>
      <c r="C47">
        <f>'Monthly Data'!I47</f>
        <v>12860549.23</v>
      </c>
      <c r="D47">
        <f t="shared" ref="D47:E62" ca="1" si="4">D35</f>
        <v>270.3</v>
      </c>
      <c r="E47">
        <f t="shared" ca="1" si="4"/>
        <v>1.21</v>
      </c>
      <c r="F47">
        <f>'Monthly Data'!P47</f>
        <v>31</v>
      </c>
      <c r="G47" s="30">
        <f>'Monthly Data'!Q47</f>
        <v>6740.9</v>
      </c>
      <c r="H47">
        <f>'Monthly Data'!S47</f>
        <v>46</v>
      </c>
      <c r="I47" s="30">
        <f>'Monthly Data'!AE47</f>
        <v>1</v>
      </c>
      <c r="J47" s="4">
        <f>'Monthly Data'!AG47</f>
        <v>0</v>
      </c>
      <c r="K47" s="4">
        <f>'Monthly Data'!AH47</f>
        <v>0</v>
      </c>
      <c r="L47" s="4">
        <f>'Monthly Data'!AI47</f>
        <v>0</v>
      </c>
      <c r="N47" s="23">
        <f>'LU OLS Model'!$B$5</f>
        <v>-36743884.5954879</v>
      </c>
      <c r="O47" s="23">
        <f ca="1">'LU OLS Model'!$B$6*D47</f>
        <v>-527093.60504913772</v>
      </c>
      <c r="P47" s="23">
        <f ca="1">'LU OLS Model'!$B$7*E47</f>
        <v>22989.007559780512</v>
      </c>
      <c r="Q47" s="23">
        <f>'LU OLS Model'!$B$8*F47</f>
        <v>10664575.627180042</v>
      </c>
      <c r="R47" s="23">
        <f>'LU OLS Model'!$B$9*G47</f>
        <v>42083357.758463137</v>
      </c>
      <c r="S47" s="23">
        <f>'LU OLS Model'!$B$10*H47</f>
        <v>-1760494.1568908719</v>
      </c>
      <c r="T47" s="23">
        <f>'LU OLS Model'!$B$11*I47</f>
        <v>-1051550.2365486601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ca="1" si="1"/>
        <v>12687899.799226386</v>
      </c>
    </row>
    <row r="48" spans="1:24" x14ac:dyDescent="0.25">
      <c r="A48" s="11">
        <f>'Monthly Data'!A48</f>
        <v>41214</v>
      </c>
      <c r="B48" s="6">
        <f t="shared" si="0"/>
        <v>2012</v>
      </c>
      <c r="C48">
        <f>'Monthly Data'!I48</f>
        <v>12100791.463000001</v>
      </c>
      <c r="D48">
        <f t="shared" ca="1" si="4"/>
        <v>444.05</v>
      </c>
      <c r="E48">
        <f t="shared" ca="1" si="4"/>
        <v>0</v>
      </c>
      <c r="F48">
        <f>'Monthly Data'!P48</f>
        <v>30</v>
      </c>
      <c r="G48" s="30">
        <f>'Monthly Data'!Q48</f>
        <v>6727.4</v>
      </c>
      <c r="H48">
        <f>'Monthly Data'!S48</f>
        <v>47</v>
      </c>
      <c r="I48" s="30">
        <f>'Monthly Data'!AE48</f>
        <v>1</v>
      </c>
      <c r="J48" s="4">
        <f>'Monthly Data'!AG48</f>
        <v>0</v>
      </c>
      <c r="K48" s="4">
        <f>'Monthly Data'!AH48</f>
        <v>0</v>
      </c>
      <c r="L48" s="4">
        <f>'Monthly Data'!AI48</f>
        <v>0</v>
      </c>
      <c r="N48" s="23">
        <f>'LU OLS Model'!$B$5</f>
        <v>-36743884.5954879</v>
      </c>
      <c r="O48" s="23">
        <f ca="1">'LU OLS Model'!$B$6*D48</f>
        <v>-865911.63641165232</v>
      </c>
      <c r="P48" s="23">
        <f ca="1">'LU OLS Model'!$B$7*E48</f>
        <v>0</v>
      </c>
      <c r="Q48" s="23">
        <f>'LU OLS Model'!$B$8*F48</f>
        <v>10320557.058561331</v>
      </c>
      <c r="R48" s="23">
        <f>'LU OLS Model'!$B$9*G48</f>
        <v>41999077.420564741</v>
      </c>
      <c r="S48" s="23">
        <f>'LU OLS Model'!$B$10*H48</f>
        <v>-1798765.7689971952</v>
      </c>
      <c r="T48" s="23">
        <f>'LU OLS Model'!$B$11*I48</f>
        <v>-1051550.2365486601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ca="1" si="1"/>
        <v>11859522.241680665</v>
      </c>
    </row>
    <row r="49" spans="1:24" x14ac:dyDescent="0.25">
      <c r="A49" s="11">
        <f>'Monthly Data'!A49</f>
        <v>41244</v>
      </c>
      <c r="B49" s="6">
        <f t="shared" si="0"/>
        <v>2012</v>
      </c>
      <c r="C49">
        <f>'Monthly Data'!I49</f>
        <v>11854109.139</v>
      </c>
      <c r="D49">
        <f t="shared" ca="1" si="4"/>
        <v>684.01</v>
      </c>
      <c r="E49">
        <f t="shared" ca="1" si="4"/>
        <v>0</v>
      </c>
      <c r="F49">
        <f>'Monthly Data'!P49</f>
        <v>31</v>
      </c>
      <c r="G49" s="30">
        <f>'Monthly Data'!Q49</f>
        <v>6740.2</v>
      </c>
      <c r="H49">
        <f>'Monthly Data'!S49</f>
        <v>48</v>
      </c>
      <c r="I49" s="30">
        <f>'Monthly Data'!AE49</f>
        <v>0</v>
      </c>
      <c r="J49" s="4">
        <f>'Monthly Data'!AG49</f>
        <v>0</v>
      </c>
      <c r="K49" s="4">
        <f>'Monthly Data'!AH49</f>
        <v>1</v>
      </c>
      <c r="L49" s="4">
        <f>'Monthly Data'!AI49</f>
        <v>0</v>
      </c>
      <c r="N49" s="23">
        <f>'LU OLS Model'!$B$5</f>
        <v>-36743884.5954879</v>
      </c>
      <c r="O49" s="23">
        <f ca="1">'LU OLS Model'!$B$6*D49</f>
        <v>-1333841.2755814306</v>
      </c>
      <c r="P49" s="23">
        <f ca="1">'LU OLS Model'!$B$7*E49</f>
        <v>0</v>
      </c>
      <c r="Q49" s="23">
        <f>'LU OLS Model'!$B$8*F49</f>
        <v>10664575.627180042</v>
      </c>
      <c r="R49" s="23">
        <f>'LU OLS Model'!$B$9*G49</f>
        <v>42078987.666868404</v>
      </c>
      <c r="S49" s="23">
        <f>'LU OLS Model'!$B$10*H49</f>
        <v>-1837037.3811035184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-986240.09211876604</v>
      </c>
      <c r="W49" s="23">
        <f>'LU OLS Model'!$B$14*L49</f>
        <v>0</v>
      </c>
      <c r="X49" s="23">
        <f t="shared" ca="1" si="1"/>
        <v>11842559.949756831</v>
      </c>
    </row>
    <row r="50" spans="1:24" x14ac:dyDescent="0.25">
      <c r="A50" s="11">
        <f>'Monthly Data'!A50</f>
        <v>41275</v>
      </c>
      <c r="B50" s="6">
        <f t="shared" si="0"/>
        <v>2013</v>
      </c>
      <c r="C50">
        <f>'Monthly Data'!I50</f>
        <v>12788339.523400001</v>
      </c>
      <c r="D50">
        <f t="shared" ca="1" si="4"/>
        <v>784.29</v>
      </c>
      <c r="E50">
        <f t="shared" ca="1" si="4"/>
        <v>0</v>
      </c>
      <c r="F50">
        <f>'Monthly Data'!P50</f>
        <v>31</v>
      </c>
      <c r="G50" s="30">
        <f>'Monthly Data'!Q50</f>
        <v>6721.7</v>
      </c>
      <c r="H50">
        <f>'Monthly Data'!S50</f>
        <v>49</v>
      </c>
      <c r="I50" s="30">
        <f>'Monthly Data'!AE50</f>
        <v>0</v>
      </c>
      <c r="J50" s="4">
        <f>'Monthly Data'!AG50</f>
        <v>0</v>
      </c>
      <c r="K50" s="4">
        <f>'Monthly Data'!AH50</f>
        <v>0</v>
      </c>
      <c r="L50" s="4">
        <f>'Monthly Data'!AI50</f>
        <v>0</v>
      </c>
      <c r="N50" s="23">
        <f>'LU OLS Model'!$B$5</f>
        <v>-36743884.5954879</v>
      </c>
      <c r="O50" s="23">
        <f ca="1">'LU OLS Model'!$B$6*D50</f>
        <v>-1529390.4680132749</v>
      </c>
      <c r="P50" s="23">
        <f ca="1">'LU OLS Model'!$B$7*E50</f>
        <v>0</v>
      </c>
      <c r="Q50" s="23">
        <f>'LU OLS Model'!$B$8*F50</f>
        <v>10664575.627180042</v>
      </c>
      <c r="R50" s="23">
        <f>'LU OLS Model'!$B$9*G50</f>
        <v>41963492.38900765</v>
      </c>
      <c r="S50" s="23">
        <f>'LU OLS Model'!$B$10*H50</f>
        <v>-1875308.9932098417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ca="1" si="1"/>
        <v>12479483.959476676</v>
      </c>
    </row>
    <row r="51" spans="1:24" x14ac:dyDescent="0.25">
      <c r="A51" s="11">
        <f>'Monthly Data'!A51</f>
        <v>41306</v>
      </c>
      <c r="B51" s="6">
        <f t="shared" si="0"/>
        <v>2013</v>
      </c>
      <c r="C51">
        <f>'Monthly Data'!I51</f>
        <v>11751175.538600001</v>
      </c>
      <c r="D51">
        <f t="shared" ca="1" si="4"/>
        <v>682.50999999999988</v>
      </c>
      <c r="E51">
        <f t="shared" ca="1" si="4"/>
        <v>0</v>
      </c>
      <c r="F51">
        <f>'Monthly Data'!P51</f>
        <v>28</v>
      </c>
      <c r="G51" s="30">
        <f>'Monthly Data'!Q51</f>
        <v>6702</v>
      </c>
      <c r="H51">
        <f>'Monthly Data'!S51</f>
        <v>50</v>
      </c>
      <c r="I51" s="30">
        <f>'Monthly Data'!AE51</f>
        <v>0</v>
      </c>
      <c r="J51" s="4">
        <f>'Monthly Data'!AG51</f>
        <v>0</v>
      </c>
      <c r="K51" s="4">
        <f>'Monthly Data'!AH51</f>
        <v>0</v>
      </c>
      <c r="L51" s="4">
        <f>'Monthly Data'!AI51</f>
        <v>0</v>
      </c>
      <c r="N51" s="23">
        <f>'LU OLS Model'!$B$5</f>
        <v>-36743884.5954879</v>
      </c>
      <c r="O51" s="23">
        <f ca="1">'LU OLS Model'!$B$6*D51</f>
        <v>-1330916.2278286605</v>
      </c>
      <c r="P51" s="23">
        <f ca="1">'LU OLS Model'!$B$7*E51</f>
        <v>0</v>
      </c>
      <c r="Q51" s="23">
        <f>'LU OLS Model'!$B$8*F51</f>
        <v>9632519.9213239085</v>
      </c>
      <c r="R51" s="23">
        <f>'LU OLS Model'!$B$9*G51</f>
        <v>41840505.525555924</v>
      </c>
      <c r="S51" s="23">
        <f>'LU OLS Model'!$B$10*H51</f>
        <v>-1913580.6053161649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ca="1" si="1"/>
        <v>11484644.018247109</v>
      </c>
    </row>
    <row r="52" spans="1:24" x14ac:dyDescent="0.25">
      <c r="A52" s="11">
        <f>'Monthly Data'!A52</f>
        <v>41334</v>
      </c>
      <c r="B52" s="6">
        <f t="shared" si="0"/>
        <v>2013</v>
      </c>
      <c r="C52">
        <f>'Monthly Data'!I52</f>
        <v>12610126.845000001</v>
      </c>
      <c r="D52">
        <f t="shared" ca="1" si="4"/>
        <v>556.99</v>
      </c>
      <c r="E52">
        <f t="shared" ca="1" si="4"/>
        <v>0</v>
      </c>
      <c r="F52">
        <f>'Monthly Data'!P52</f>
        <v>31</v>
      </c>
      <c r="G52" s="30">
        <f>'Monthly Data'!Q52</f>
        <v>6675.8</v>
      </c>
      <c r="H52">
        <f>'Monthly Data'!S52</f>
        <v>51</v>
      </c>
      <c r="I52" s="30">
        <f>'Monthly Data'!AE52</f>
        <v>0</v>
      </c>
      <c r="J52" s="4">
        <f>'Monthly Data'!AG52</f>
        <v>0</v>
      </c>
      <c r="K52" s="4">
        <f>'Monthly Data'!AH52</f>
        <v>0</v>
      </c>
      <c r="L52" s="4">
        <f>'Monthly Data'!AI52</f>
        <v>0</v>
      </c>
      <c r="N52" s="23">
        <f>'LU OLS Model'!$B$5</f>
        <v>-36743884.5954879</v>
      </c>
      <c r="O52" s="23">
        <f ca="1">'LU OLS Model'!$B$6*D52</f>
        <v>-1086148.2318768748</v>
      </c>
      <c r="P52" s="23">
        <f ca="1">'LU OLS Model'!$B$7*E52</f>
        <v>0</v>
      </c>
      <c r="Q52" s="23">
        <f>'LU OLS Model'!$B$8*F52</f>
        <v>10664575.627180042</v>
      </c>
      <c r="R52" s="23">
        <f>'LU OLS Model'!$B$9*G52</f>
        <v>41676939.240153126</v>
      </c>
      <c r="S52" s="23">
        <f>'LU OLS Model'!$B$10*H52</f>
        <v>-1951852.2174224884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ca="1" si="1"/>
        <v>12559629.822545905</v>
      </c>
    </row>
    <row r="53" spans="1:24" x14ac:dyDescent="0.25">
      <c r="A53" s="11">
        <f>'Monthly Data'!A53</f>
        <v>41365</v>
      </c>
      <c r="B53" s="6">
        <f t="shared" si="0"/>
        <v>2013</v>
      </c>
      <c r="C53">
        <f>'Monthly Data'!I53</f>
        <v>11972197.742000001</v>
      </c>
      <c r="D53">
        <f t="shared" ca="1" si="4"/>
        <v>326.58999999999997</v>
      </c>
      <c r="E53">
        <f t="shared" ca="1" si="4"/>
        <v>0.39</v>
      </c>
      <c r="F53">
        <f>'Monthly Data'!P53</f>
        <v>30</v>
      </c>
      <c r="G53" s="30">
        <f>'Monthly Data'!Q53</f>
        <v>6703.7</v>
      </c>
      <c r="H53">
        <f>'Monthly Data'!S53</f>
        <v>52</v>
      </c>
      <c r="I53" s="30">
        <f>'Monthly Data'!AE53</f>
        <v>0</v>
      </c>
      <c r="J53" s="4">
        <f>'Monthly Data'!AG53</f>
        <v>1</v>
      </c>
      <c r="K53" s="4">
        <f>'Monthly Data'!AH53</f>
        <v>0</v>
      </c>
      <c r="L53" s="4">
        <f>'Monthly Data'!AI53</f>
        <v>0</v>
      </c>
      <c r="N53" s="23">
        <f>'LU OLS Model'!$B$5</f>
        <v>-36743884.5954879</v>
      </c>
      <c r="O53" s="23">
        <f ca="1">'LU OLS Model'!$B$6*D53</f>
        <v>-636860.89705141657</v>
      </c>
      <c r="P53" s="23">
        <f ca="1">'LU OLS Model'!$B$7*E53</f>
        <v>7409.6801225738845</v>
      </c>
      <c r="Q53" s="23">
        <f>'LU OLS Model'!$B$8*F53</f>
        <v>10320557.058561331</v>
      </c>
      <c r="R53" s="23">
        <f>'LU OLS Model'!$B$9*G53</f>
        <v>41851118.60514313</v>
      </c>
      <c r="S53" s="23">
        <f>'LU OLS Model'!$B$10*H53</f>
        <v>-1990123.8295288116</v>
      </c>
      <c r="T53" s="23">
        <f>'LU OLS Model'!$B$11*I53</f>
        <v>0</v>
      </c>
      <c r="U53" s="23">
        <f>'LU OLS Model'!$B$12*J53</f>
        <v>-1041288.65545601</v>
      </c>
      <c r="V53" s="23">
        <f>'LU OLS Model'!$B$13*K53</f>
        <v>0</v>
      </c>
      <c r="W53" s="23">
        <f>'LU OLS Model'!$B$14*L53</f>
        <v>0</v>
      </c>
      <c r="X53" s="23">
        <f t="shared" ca="1" si="1"/>
        <v>11766927.3663029</v>
      </c>
    </row>
    <row r="54" spans="1:24" x14ac:dyDescent="0.25">
      <c r="A54" s="11">
        <f>'Monthly Data'!A54</f>
        <v>41395</v>
      </c>
      <c r="B54" s="6">
        <f t="shared" si="0"/>
        <v>2013</v>
      </c>
      <c r="C54">
        <f>'Monthly Data'!I54</f>
        <v>12329554.254999999</v>
      </c>
      <c r="D54">
        <f t="shared" ca="1" si="4"/>
        <v>144.96</v>
      </c>
      <c r="E54">
        <f t="shared" ca="1" si="4"/>
        <v>8.67</v>
      </c>
      <c r="F54">
        <f>'Monthly Data'!P54</f>
        <v>31</v>
      </c>
      <c r="G54" s="30">
        <f>'Monthly Data'!Q54</f>
        <v>6770.3</v>
      </c>
      <c r="H54">
        <f>'Monthly Data'!S54</f>
        <v>53</v>
      </c>
      <c r="I54" s="30">
        <f>'Monthly Data'!AE54</f>
        <v>0</v>
      </c>
      <c r="J54" s="4">
        <f>'Monthly Data'!AG54</f>
        <v>0</v>
      </c>
      <c r="K54" s="4">
        <f>'Monthly Data'!AH54</f>
        <v>0</v>
      </c>
      <c r="L54" s="4">
        <f>'Monthly Data'!AI54</f>
        <v>1</v>
      </c>
      <c r="N54" s="23">
        <f>'LU OLS Model'!$B$5</f>
        <v>-36743884.5954879</v>
      </c>
      <c r="O54" s="23">
        <f ca="1">'LU OLS Model'!$B$6*D54</f>
        <v>-282676.61482768413</v>
      </c>
      <c r="P54" s="23">
        <f ca="1">'LU OLS Model'!$B$7*E54</f>
        <v>164722.88887875789</v>
      </c>
      <c r="Q54" s="23">
        <f>'LU OLS Model'!$B$8*F54</f>
        <v>10664575.627180042</v>
      </c>
      <c r="R54" s="23">
        <f>'LU OLS Model'!$B$9*G54</f>
        <v>42266901.605441853</v>
      </c>
      <c r="S54" s="23">
        <f>'LU OLS Model'!$B$10*H54</f>
        <v>-2028395.4416351349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-1707342.3140862701</v>
      </c>
      <c r="X54" s="23">
        <f t="shared" ca="1" si="1"/>
        <v>12333901.155463658</v>
      </c>
    </row>
    <row r="55" spans="1:24" x14ac:dyDescent="0.25">
      <c r="A55" s="11">
        <f>'Monthly Data'!A55</f>
        <v>41426</v>
      </c>
      <c r="B55" s="6">
        <f t="shared" si="0"/>
        <v>2013</v>
      </c>
      <c r="C55">
        <f>'Monthly Data'!I55</f>
        <v>12519194.473000001</v>
      </c>
      <c r="D55">
        <f t="shared" ca="1" si="4"/>
        <v>41.510000000000005</v>
      </c>
      <c r="E55">
        <f t="shared" ca="1" si="4"/>
        <v>44.41</v>
      </c>
      <c r="F55">
        <f>'Monthly Data'!P55</f>
        <v>30</v>
      </c>
      <c r="G55" s="30">
        <f>'Monthly Data'!Q55</f>
        <v>6861.8</v>
      </c>
      <c r="H55">
        <f>'Monthly Data'!S55</f>
        <v>54</v>
      </c>
      <c r="I55" s="30">
        <f>'Monthly Data'!AE55</f>
        <v>0</v>
      </c>
      <c r="J55" s="4">
        <f>'Monthly Data'!AG55</f>
        <v>0</v>
      </c>
      <c r="K55" s="4">
        <f>'Monthly Data'!AH55</f>
        <v>0</v>
      </c>
      <c r="L55" s="4">
        <f>'Monthly Data'!AI55</f>
        <v>1</v>
      </c>
      <c r="N55" s="23">
        <f>'LU OLS Model'!$B$5</f>
        <v>-36743884.5954879</v>
      </c>
      <c r="O55" s="23">
        <f ca="1">'LU OLS Model'!$B$6*D55</f>
        <v>-80945.821478319311</v>
      </c>
      <c r="P55" s="23">
        <f ca="1">'LU OLS Model'!$B$7*E55</f>
        <v>843753.57498334919</v>
      </c>
      <c r="Q55" s="23">
        <f>'LU OLS Model'!$B$8*F55</f>
        <v>10320557.058561331</v>
      </c>
      <c r="R55" s="23">
        <f>'LU OLS Model'!$B$9*G55</f>
        <v>42838135.006753154</v>
      </c>
      <c r="S55" s="23">
        <f>'LU OLS Model'!$B$10*H55</f>
        <v>-2066667.0537414583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-1707342.3140862701</v>
      </c>
      <c r="X55" s="23">
        <f t="shared" ca="1" si="1"/>
        <v>13403605.855503887</v>
      </c>
    </row>
    <row r="56" spans="1:24" x14ac:dyDescent="0.25">
      <c r="A56" s="11">
        <f>'Monthly Data'!A56</f>
        <v>41456</v>
      </c>
      <c r="B56" s="6">
        <f t="shared" si="0"/>
        <v>2013</v>
      </c>
      <c r="C56">
        <f>'Monthly Data'!I56</f>
        <v>15242330.061000001</v>
      </c>
      <c r="D56">
        <f t="shared" ca="1" si="4"/>
        <v>5.01</v>
      </c>
      <c r="E56">
        <f t="shared" ca="1" si="4"/>
        <v>96.909999999999982</v>
      </c>
      <c r="F56">
        <f>'Monthly Data'!P56</f>
        <v>31</v>
      </c>
      <c r="G56" s="30">
        <f>'Monthly Data'!Q56</f>
        <v>6917.1</v>
      </c>
      <c r="H56">
        <f>'Monthly Data'!S56</f>
        <v>55</v>
      </c>
      <c r="I56" s="30">
        <f>'Monthly Data'!AE56</f>
        <v>0</v>
      </c>
      <c r="J56" s="4">
        <f>'Monthly Data'!AG56</f>
        <v>0</v>
      </c>
      <c r="K56" s="4">
        <f>'Monthly Data'!AH56</f>
        <v>0</v>
      </c>
      <c r="L56" s="4">
        <f>'Monthly Data'!AI56</f>
        <v>1</v>
      </c>
      <c r="N56" s="23">
        <f>'LU OLS Model'!$B$5</f>
        <v>-36743884.5954879</v>
      </c>
      <c r="O56" s="23">
        <f ca="1">'LU OLS Model'!$B$6*D56</f>
        <v>-9769.6594942514985</v>
      </c>
      <c r="P56" s="23">
        <f ca="1">'LU OLS Model'!$B$7*E56</f>
        <v>1841210.5145606026</v>
      </c>
      <c r="Q56" s="23">
        <f>'LU OLS Model'!$B$8*F56</f>
        <v>10664575.627180042</v>
      </c>
      <c r="R56" s="23">
        <f>'LU OLS Model'!$B$9*G56</f>
        <v>43183372.242736928</v>
      </c>
      <c r="S56" s="23">
        <f>'LU OLS Model'!$B$10*H56</f>
        <v>-2104938.6658477816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-1707342.3140862701</v>
      </c>
      <c r="X56" s="23">
        <f t="shared" ca="1" si="1"/>
        <v>15123223.149561368</v>
      </c>
    </row>
    <row r="57" spans="1:24" x14ac:dyDescent="0.25">
      <c r="A57" s="11">
        <f>'Monthly Data'!A57</f>
        <v>41487</v>
      </c>
      <c r="B57" s="6">
        <f t="shared" si="0"/>
        <v>2013</v>
      </c>
      <c r="C57">
        <f>'Monthly Data'!I57</f>
        <v>14587365.41</v>
      </c>
      <c r="D57">
        <f t="shared" ca="1" si="4"/>
        <v>12.719999999999999</v>
      </c>
      <c r="E57">
        <f t="shared" ca="1" si="4"/>
        <v>77.22999999999999</v>
      </c>
      <c r="F57">
        <f>'Monthly Data'!P57</f>
        <v>31</v>
      </c>
      <c r="G57" s="30">
        <f>'Monthly Data'!Q57</f>
        <v>6934.7</v>
      </c>
      <c r="H57">
        <f>'Monthly Data'!S57</f>
        <v>56</v>
      </c>
      <c r="I57" s="30">
        <f>'Monthly Data'!AE57</f>
        <v>0</v>
      </c>
      <c r="J57" s="4">
        <f>'Monthly Data'!AG57</f>
        <v>0</v>
      </c>
      <c r="K57" s="4">
        <f>'Monthly Data'!AH57</f>
        <v>0</v>
      </c>
      <c r="L57" s="4">
        <f>'Monthly Data'!AI57</f>
        <v>1</v>
      </c>
      <c r="N57" s="23">
        <f>'LU OLS Model'!$B$5</f>
        <v>-36743884.5954879</v>
      </c>
      <c r="O57" s="23">
        <f ca="1">'LU OLS Model'!$B$6*D57</f>
        <v>-24804.404943488833</v>
      </c>
      <c r="P57" s="23">
        <f ca="1">'LU OLS Model'!$B$7*E57</f>
        <v>1467306.6560676435</v>
      </c>
      <c r="Q57" s="23">
        <f>'LU OLS Model'!$B$8*F57</f>
        <v>10664575.627180042</v>
      </c>
      <c r="R57" s="23">
        <f>'LU OLS Model'!$B$9*G57</f>
        <v>43293248.831404455</v>
      </c>
      <c r="S57" s="23">
        <f>'LU OLS Model'!$B$10*H57</f>
        <v>-2143210.2779541048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-1707342.3140862701</v>
      </c>
      <c r="X57" s="23">
        <f t="shared" ca="1" si="1"/>
        <v>14805889.522180378</v>
      </c>
    </row>
    <row r="58" spans="1:24" x14ac:dyDescent="0.25">
      <c r="A58" s="11">
        <f>'Monthly Data'!A58</f>
        <v>41518</v>
      </c>
      <c r="B58" s="6">
        <f t="shared" si="0"/>
        <v>2013</v>
      </c>
      <c r="C58">
        <f>'Monthly Data'!I58</f>
        <v>13272017.319</v>
      </c>
      <c r="D58">
        <f t="shared" ca="1" si="4"/>
        <v>86.570000000000007</v>
      </c>
      <c r="E58">
        <f t="shared" ca="1" si="4"/>
        <v>19.899999999999999</v>
      </c>
      <c r="F58">
        <f>'Monthly Data'!P58</f>
        <v>30</v>
      </c>
      <c r="G58" s="30">
        <f>'Monthly Data'!Q58</f>
        <v>6906.9</v>
      </c>
      <c r="H58">
        <f>'Monthly Data'!S58</f>
        <v>57</v>
      </c>
      <c r="I58" s="30">
        <f>'Monthly Data'!AE58</f>
        <v>1</v>
      </c>
      <c r="J58" s="4">
        <f>'Monthly Data'!AG58</f>
        <v>0</v>
      </c>
      <c r="K58" s="4">
        <f>'Monthly Data'!AH58</f>
        <v>0</v>
      </c>
      <c r="L58" s="4">
        <f>'Monthly Data'!AI58</f>
        <v>0</v>
      </c>
      <c r="N58" s="23">
        <f>'LU OLS Model'!$B$5</f>
        <v>-36743884.5954879</v>
      </c>
      <c r="O58" s="23">
        <f ca="1">'LU OLS Model'!$B$6*D58</f>
        <v>-168814.2559715274</v>
      </c>
      <c r="P58" s="23">
        <f ca="1">'LU OLS Model'!$B$7*E58</f>
        <v>378083.67804928281</v>
      </c>
      <c r="Q58" s="23">
        <f>'LU OLS Model'!$B$8*F58</f>
        <v>10320557.058561331</v>
      </c>
      <c r="R58" s="23">
        <f>'LU OLS Model'!$B$9*G58</f>
        <v>43119693.765213698</v>
      </c>
      <c r="S58" s="23">
        <f>'LU OLS Model'!$B$10*H58</f>
        <v>-2181481.8900604281</v>
      </c>
      <c r="T58" s="23">
        <f>'LU OLS Model'!$B$11*I58</f>
        <v>-1051550.2365486601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ca="1" si="1"/>
        <v>13672603.523755794</v>
      </c>
    </row>
    <row r="59" spans="1:24" x14ac:dyDescent="0.25">
      <c r="A59" s="11">
        <f>'Monthly Data'!A59</f>
        <v>41548</v>
      </c>
      <c r="B59" s="6">
        <f t="shared" si="0"/>
        <v>2013</v>
      </c>
      <c r="C59">
        <f>'Monthly Data'!I59</f>
        <v>12991616.025000002</v>
      </c>
      <c r="D59">
        <f t="shared" ca="1" si="4"/>
        <v>270.3</v>
      </c>
      <c r="E59">
        <f t="shared" ca="1" si="4"/>
        <v>1.21</v>
      </c>
      <c r="F59">
        <f>'Monthly Data'!P59</f>
        <v>31</v>
      </c>
      <c r="G59" s="30">
        <f>'Monthly Data'!Q59</f>
        <v>6889</v>
      </c>
      <c r="H59">
        <f>'Monthly Data'!S59</f>
        <v>58</v>
      </c>
      <c r="I59" s="30">
        <f>'Monthly Data'!AE59</f>
        <v>1</v>
      </c>
      <c r="J59" s="4">
        <f>'Monthly Data'!AG59</f>
        <v>0</v>
      </c>
      <c r="K59" s="4">
        <f>'Monthly Data'!AH59</f>
        <v>0</v>
      </c>
      <c r="L59" s="4">
        <f>'Monthly Data'!AI59</f>
        <v>0</v>
      </c>
      <c r="N59" s="23">
        <f>'LU OLS Model'!$B$5</f>
        <v>-36743884.5954879</v>
      </c>
      <c r="O59" s="23">
        <f ca="1">'LU OLS Model'!$B$6*D59</f>
        <v>-527093.60504913772</v>
      </c>
      <c r="P59" s="23">
        <f ca="1">'LU OLS Model'!$B$7*E59</f>
        <v>22989.007559780512</v>
      </c>
      <c r="Q59" s="23">
        <f>'LU OLS Model'!$B$8*F59</f>
        <v>10664575.627180042</v>
      </c>
      <c r="R59" s="23">
        <f>'LU OLS Model'!$B$9*G59</f>
        <v>43007944.280148432</v>
      </c>
      <c r="S59" s="23">
        <f>'LU OLS Model'!$B$10*H59</f>
        <v>-2219753.5021667513</v>
      </c>
      <c r="T59" s="23">
        <f>'LU OLS Model'!$B$11*I59</f>
        <v>-1051550.2365486601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ca="1" si="1"/>
        <v>13153226.975635802</v>
      </c>
    </row>
    <row r="60" spans="1:24" x14ac:dyDescent="0.25">
      <c r="A60" s="11">
        <f>'Monthly Data'!A60</f>
        <v>41579</v>
      </c>
      <c r="B60" s="6">
        <f t="shared" si="0"/>
        <v>2013</v>
      </c>
      <c r="C60">
        <f>'Monthly Data'!I60</f>
        <v>12006063.484999999</v>
      </c>
      <c r="D60">
        <f t="shared" ca="1" si="4"/>
        <v>444.05</v>
      </c>
      <c r="E60">
        <f t="shared" ca="1" si="4"/>
        <v>0</v>
      </c>
      <c r="F60">
        <f>'Monthly Data'!P60</f>
        <v>30</v>
      </c>
      <c r="G60" s="30">
        <f>'Monthly Data'!Q60</f>
        <v>6863.8</v>
      </c>
      <c r="H60">
        <f>'Monthly Data'!S60</f>
        <v>59</v>
      </c>
      <c r="I60" s="30">
        <f>'Monthly Data'!AE60</f>
        <v>1</v>
      </c>
      <c r="J60" s="4">
        <f>'Monthly Data'!AG60</f>
        <v>0</v>
      </c>
      <c r="K60" s="4">
        <f>'Monthly Data'!AH60</f>
        <v>0</v>
      </c>
      <c r="L60" s="4">
        <f>'Monthly Data'!AI60</f>
        <v>0</v>
      </c>
      <c r="N60" s="23">
        <f>'LU OLS Model'!$B$5</f>
        <v>-36743884.5954879</v>
      </c>
      <c r="O60" s="23">
        <f ca="1">'LU OLS Model'!$B$6*D60</f>
        <v>-865911.63641165232</v>
      </c>
      <c r="P60" s="23">
        <f ca="1">'LU OLS Model'!$B$7*E60</f>
        <v>0</v>
      </c>
      <c r="Q60" s="23">
        <f>'LU OLS Model'!$B$8*F60</f>
        <v>10320557.058561331</v>
      </c>
      <c r="R60" s="23">
        <f>'LU OLS Model'!$B$9*G60</f>
        <v>42850620.9827381</v>
      </c>
      <c r="S60" s="23">
        <f>'LU OLS Model'!$B$10*H60</f>
        <v>-2258025.1142730745</v>
      </c>
      <c r="T60" s="23">
        <f>'LU OLS Model'!$B$11*I60</f>
        <v>-1051550.2365486601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ca="1" si="1"/>
        <v>12251806.458578145</v>
      </c>
    </row>
    <row r="61" spans="1:24" x14ac:dyDescent="0.25">
      <c r="A61" s="11">
        <f>'Monthly Data'!A61</f>
        <v>41609</v>
      </c>
      <c r="B61" s="6">
        <f t="shared" si="0"/>
        <v>2013</v>
      </c>
      <c r="C61">
        <f>'Monthly Data'!I61</f>
        <v>11873765.093</v>
      </c>
      <c r="D61">
        <f t="shared" ca="1" si="4"/>
        <v>684.01</v>
      </c>
      <c r="E61">
        <f t="shared" ca="1" si="4"/>
        <v>0</v>
      </c>
      <c r="F61">
        <f>'Monthly Data'!P61</f>
        <v>31</v>
      </c>
      <c r="G61" s="30">
        <f>'Monthly Data'!Q61</f>
        <v>6849.3</v>
      </c>
      <c r="H61">
        <f>'Monthly Data'!S61</f>
        <v>60</v>
      </c>
      <c r="I61" s="30">
        <f>'Monthly Data'!AE61</f>
        <v>0</v>
      </c>
      <c r="J61" s="4">
        <f>'Monthly Data'!AG61</f>
        <v>0</v>
      </c>
      <c r="K61" s="4">
        <f>'Monthly Data'!AH61</f>
        <v>1</v>
      </c>
      <c r="L61" s="4">
        <f>'Monthly Data'!AI61</f>
        <v>0</v>
      </c>
      <c r="N61" s="23">
        <f>'LU OLS Model'!$B$5</f>
        <v>-36743884.5954879</v>
      </c>
      <c r="O61" s="23">
        <f ca="1">'LU OLS Model'!$B$6*D61</f>
        <v>-1333841.2755814306</v>
      </c>
      <c r="P61" s="23">
        <f ca="1">'LU OLS Model'!$B$7*E61</f>
        <v>0</v>
      </c>
      <c r="Q61" s="23">
        <f>'LU OLS Model'!$B$8*F61</f>
        <v>10664575.627180042</v>
      </c>
      <c r="R61" s="23">
        <f>'LU OLS Model'!$B$9*G61</f>
        <v>42760097.656847239</v>
      </c>
      <c r="S61" s="23">
        <f>'LU OLS Model'!$B$10*H61</f>
        <v>-2296296.7263793983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-986240.09211876604</v>
      </c>
      <c r="W61" s="23">
        <f>'LU OLS Model'!$B$14*L61</f>
        <v>0</v>
      </c>
      <c r="X61" s="23">
        <f t="shared" ca="1" si="1"/>
        <v>12064410.594459787</v>
      </c>
    </row>
    <row r="62" spans="1:24" x14ac:dyDescent="0.25">
      <c r="A62" s="11">
        <v>41640</v>
      </c>
      <c r="B62" s="6">
        <f t="shared" si="0"/>
        <v>2014</v>
      </c>
      <c r="C62" s="30">
        <f>'Monthly Data'!I62</f>
        <v>12772928.206999999</v>
      </c>
      <c r="D62">
        <f t="shared" ca="1" si="4"/>
        <v>784.29</v>
      </c>
      <c r="E62">
        <f t="shared" ca="1" si="4"/>
        <v>0</v>
      </c>
      <c r="F62">
        <f>F50</f>
        <v>31</v>
      </c>
      <c r="G62" s="30">
        <f>'Monthly Data'!Q62</f>
        <v>6806.1</v>
      </c>
      <c r="H62">
        <f>H61+1</f>
        <v>61</v>
      </c>
      <c r="I62" s="30">
        <f>'Monthly Data'!AE62</f>
        <v>0</v>
      </c>
      <c r="J62">
        <f t="shared" ref="I62:L77" si="5">J50</f>
        <v>0</v>
      </c>
      <c r="K62">
        <f t="shared" si="5"/>
        <v>0</v>
      </c>
      <c r="L62">
        <f t="shared" si="5"/>
        <v>0</v>
      </c>
      <c r="N62" s="23">
        <f>'LU OLS Model'!$B$5</f>
        <v>-36743884.5954879</v>
      </c>
      <c r="O62" s="23">
        <f ca="1">'LU OLS Model'!$B$6*D62</f>
        <v>-1529390.4680132749</v>
      </c>
      <c r="P62" s="23">
        <f ca="1">'LU OLS Model'!$B$7*E62</f>
        <v>0</v>
      </c>
      <c r="Q62" s="23">
        <f>'LU OLS Model'!$B$8*F62</f>
        <v>10664575.627180042</v>
      </c>
      <c r="R62" s="23">
        <f>'LU OLS Model'!$B$9*G62</f>
        <v>42490400.575572394</v>
      </c>
      <c r="S62" s="23">
        <f>'LU OLS Model'!$B$10*H62</f>
        <v>-2334568.3384857215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ca="1" si="1"/>
        <v>12547132.80076554</v>
      </c>
    </row>
    <row r="63" spans="1:24" x14ac:dyDescent="0.25">
      <c r="A63" s="11">
        <v>41671</v>
      </c>
      <c r="B63" s="6">
        <f t="shared" si="0"/>
        <v>2014</v>
      </c>
      <c r="C63" s="30">
        <f>'Monthly Data'!I63</f>
        <v>11586289.765999999</v>
      </c>
      <c r="D63">
        <f t="shared" ref="D63:F78" ca="1" si="6">D51</f>
        <v>682.50999999999988</v>
      </c>
      <c r="E63">
        <f t="shared" ca="1" si="6"/>
        <v>0</v>
      </c>
      <c r="F63">
        <f t="shared" si="6"/>
        <v>28</v>
      </c>
      <c r="G63" s="30">
        <f>'Monthly Data'!Q63</f>
        <v>6772.3</v>
      </c>
      <c r="H63">
        <f t="shared" ref="H63:H126" si="7">H62+1</f>
        <v>62</v>
      </c>
      <c r="I63" s="30">
        <f>'Monthly Data'!AE63</f>
        <v>0</v>
      </c>
      <c r="J63">
        <f t="shared" si="5"/>
        <v>0</v>
      </c>
      <c r="K63">
        <f t="shared" si="5"/>
        <v>0</v>
      </c>
      <c r="L63">
        <f t="shared" ref="L63:L77" si="8">L51</f>
        <v>0</v>
      </c>
      <c r="N63" s="23">
        <f>'LU OLS Model'!$B$5</f>
        <v>-36743884.5954879</v>
      </c>
      <c r="O63" s="23">
        <f ca="1">'LU OLS Model'!$B$6*D63</f>
        <v>-1330916.2278286605</v>
      </c>
      <c r="P63" s="23">
        <f ca="1">'LU OLS Model'!$B$7*E63</f>
        <v>0</v>
      </c>
      <c r="Q63" s="23">
        <f>'LU OLS Model'!$B$8*F63</f>
        <v>9632519.9213239085</v>
      </c>
      <c r="R63" s="23">
        <f>'LU OLS Model'!$B$9*G63</f>
        <v>42279387.581426799</v>
      </c>
      <c r="S63" s="23">
        <f>'LU OLS Model'!$B$10*H63</f>
        <v>-2372839.9505920447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ca="1" si="1"/>
        <v>11464266.728842106</v>
      </c>
    </row>
    <row r="64" spans="1:24" x14ac:dyDescent="0.25">
      <c r="A64" s="11">
        <v>41699</v>
      </c>
      <c r="B64" s="6">
        <f t="shared" si="0"/>
        <v>2014</v>
      </c>
      <c r="C64" s="30">
        <f>'Monthly Data'!I64</f>
        <v>12718168.484999999</v>
      </c>
      <c r="D64">
        <f t="shared" ca="1" si="6"/>
        <v>556.99</v>
      </c>
      <c r="E64">
        <f t="shared" ca="1" si="6"/>
        <v>0</v>
      </c>
      <c r="F64">
        <f t="shared" si="6"/>
        <v>31</v>
      </c>
      <c r="G64" s="30">
        <f>'Monthly Data'!Q64</f>
        <v>6751.3</v>
      </c>
      <c r="H64">
        <f t="shared" si="7"/>
        <v>63</v>
      </c>
      <c r="I64" s="30">
        <f>'Monthly Data'!AE64</f>
        <v>0</v>
      </c>
      <c r="J64">
        <f t="shared" si="5"/>
        <v>0</v>
      </c>
      <c r="K64">
        <f t="shared" si="5"/>
        <v>0</v>
      </c>
      <c r="L64">
        <f t="shared" si="8"/>
        <v>0</v>
      </c>
      <c r="N64" s="23">
        <f>'LU OLS Model'!$B$5</f>
        <v>-36743884.5954879</v>
      </c>
      <c r="O64" s="23">
        <f ca="1">'LU OLS Model'!$B$6*D64</f>
        <v>-1086148.2318768748</v>
      </c>
      <c r="P64" s="23">
        <f ca="1">'LU OLS Model'!$B$7*E64</f>
        <v>0</v>
      </c>
      <c r="Q64" s="23">
        <f>'LU OLS Model'!$B$8*F64</f>
        <v>10664575.627180042</v>
      </c>
      <c r="R64" s="23">
        <f>'LU OLS Model'!$B$9*G64</f>
        <v>42148284.83358486</v>
      </c>
      <c r="S64" s="23">
        <f>'LU OLS Model'!$B$10*H64</f>
        <v>-2411111.562698368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ca="1" si="1"/>
        <v>12571716.070701759</v>
      </c>
    </row>
    <row r="65" spans="1:24" x14ac:dyDescent="0.25">
      <c r="A65" s="11">
        <v>41730</v>
      </c>
      <c r="B65" s="6">
        <f t="shared" si="0"/>
        <v>2014</v>
      </c>
      <c r="C65" s="30">
        <f>'Monthly Data'!I65</f>
        <v>11494836.318</v>
      </c>
      <c r="D65">
        <f t="shared" ca="1" si="6"/>
        <v>326.58999999999997</v>
      </c>
      <c r="E65">
        <f t="shared" ca="1" si="6"/>
        <v>0.39</v>
      </c>
      <c r="F65">
        <f t="shared" si="6"/>
        <v>30</v>
      </c>
      <c r="G65" s="30">
        <f>'Monthly Data'!Q65</f>
        <v>6785</v>
      </c>
      <c r="H65">
        <f t="shared" si="7"/>
        <v>64</v>
      </c>
      <c r="I65" s="30">
        <f>'Monthly Data'!AE65</f>
        <v>0</v>
      </c>
      <c r="J65">
        <f t="shared" si="5"/>
        <v>1</v>
      </c>
      <c r="K65">
        <f t="shared" si="5"/>
        <v>0</v>
      </c>
      <c r="L65">
        <f t="shared" si="8"/>
        <v>0</v>
      </c>
      <c r="N65" s="23">
        <f>'LU OLS Model'!$B$5</f>
        <v>-36743884.5954879</v>
      </c>
      <c r="O65" s="23">
        <f ca="1">'LU OLS Model'!$B$6*D65</f>
        <v>-636860.89705141657</v>
      </c>
      <c r="P65" s="23">
        <f ca="1">'LU OLS Model'!$B$7*E65</f>
        <v>7409.6801225738845</v>
      </c>
      <c r="Q65" s="23">
        <f>'LU OLS Model'!$B$8*F65</f>
        <v>10320557.058561331</v>
      </c>
      <c r="R65" s="23">
        <f>'LU OLS Model'!$B$9*G65</f>
        <v>42358673.528931208</v>
      </c>
      <c r="S65" s="23">
        <f>'LU OLS Model'!$B$10*H65</f>
        <v>-2449383.1748046912</v>
      </c>
      <c r="T65" s="23">
        <f>'LU OLS Model'!$B$11*I65</f>
        <v>0</v>
      </c>
      <c r="U65" s="23">
        <f>'LU OLS Model'!$B$12*J65</f>
        <v>-1041288.65545601</v>
      </c>
      <c r="V65" s="23">
        <f>'LU OLS Model'!$B$13*K65</f>
        <v>0</v>
      </c>
      <c r="W65" s="23">
        <f>'LU OLS Model'!$B$14*L65</f>
        <v>0</v>
      </c>
      <c r="X65" s="23">
        <f t="shared" ca="1" si="1"/>
        <v>11815222.944815099</v>
      </c>
    </row>
    <row r="66" spans="1:24" x14ac:dyDescent="0.25">
      <c r="A66" s="11">
        <v>41760</v>
      </c>
      <c r="B66" s="6">
        <f t="shared" si="0"/>
        <v>2014</v>
      </c>
      <c r="C66" s="30">
        <f>'Monthly Data'!I66</f>
        <v>11858207.989999998</v>
      </c>
      <c r="D66">
        <f t="shared" ca="1" si="6"/>
        <v>144.96</v>
      </c>
      <c r="E66">
        <f t="shared" ca="1" si="6"/>
        <v>8.67</v>
      </c>
      <c r="F66">
        <f t="shared" si="6"/>
        <v>31</v>
      </c>
      <c r="G66" s="30">
        <f>'Monthly Data'!Q66</f>
        <v>6842.6</v>
      </c>
      <c r="H66">
        <f t="shared" si="7"/>
        <v>65</v>
      </c>
      <c r="I66" s="30">
        <f>'Monthly Data'!AE66</f>
        <v>0</v>
      </c>
      <c r="J66">
        <f t="shared" si="5"/>
        <v>0</v>
      </c>
      <c r="K66">
        <f t="shared" si="5"/>
        <v>0</v>
      </c>
      <c r="L66">
        <f t="shared" si="8"/>
        <v>1</v>
      </c>
      <c r="N66" s="23">
        <f>'LU OLS Model'!$B$5</f>
        <v>-36743884.5954879</v>
      </c>
      <c r="O66" s="23">
        <f ca="1">'LU OLS Model'!$B$6*D66</f>
        <v>-282676.61482768413</v>
      </c>
      <c r="P66" s="23">
        <f ca="1">'LU OLS Model'!$B$7*E66</f>
        <v>164722.88887875789</v>
      </c>
      <c r="Q66" s="23">
        <f>'LU OLS Model'!$B$8*F66</f>
        <v>10664575.627180042</v>
      </c>
      <c r="R66" s="23">
        <f>'LU OLS Model'!$B$9*G66</f>
        <v>42718269.637297668</v>
      </c>
      <c r="S66" s="23">
        <f>'LU OLS Model'!$B$10*H66</f>
        <v>-2487654.7869110145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-1707342.3140862701</v>
      </c>
      <c r="X66" s="23">
        <f t="shared" ca="1" si="1"/>
        <v>12326009.842043594</v>
      </c>
    </row>
    <row r="67" spans="1:24" x14ac:dyDescent="0.25">
      <c r="A67" s="11">
        <v>41791</v>
      </c>
      <c r="B67" s="6">
        <f t="shared" ref="B67:B97" si="9">YEAR(A67)</f>
        <v>2014</v>
      </c>
      <c r="C67" s="30">
        <f>'Monthly Data'!I67</f>
        <v>12819088.591</v>
      </c>
      <c r="D67">
        <f t="shared" ca="1" si="6"/>
        <v>41.510000000000005</v>
      </c>
      <c r="E67">
        <f t="shared" ca="1" si="6"/>
        <v>44.41</v>
      </c>
      <c r="F67">
        <f t="shared" si="6"/>
        <v>30</v>
      </c>
      <c r="G67" s="30">
        <f>'Monthly Data'!Q67</f>
        <v>6912.9</v>
      </c>
      <c r="H67">
        <f t="shared" si="7"/>
        <v>66</v>
      </c>
      <c r="I67" s="30">
        <f>'Monthly Data'!AE67</f>
        <v>0</v>
      </c>
      <c r="J67">
        <f t="shared" si="5"/>
        <v>0</v>
      </c>
      <c r="K67">
        <f t="shared" si="5"/>
        <v>0</v>
      </c>
      <c r="L67">
        <f t="shared" si="8"/>
        <v>1</v>
      </c>
      <c r="N67" s="23">
        <f>'LU OLS Model'!$B$5</f>
        <v>-36743884.5954879</v>
      </c>
      <c r="O67" s="23">
        <f ca="1">'LU OLS Model'!$B$6*D67</f>
        <v>-80945.821478319311</v>
      </c>
      <c r="P67" s="23">
        <f ca="1">'LU OLS Model'!$B$7*E67</f>
        <v>843753.57498334919</v>
      </c>
      <c r="Q67" s="23">
        <f>'LU OLS Model'!$B$8*F67</f>
        <v>10320557.058561331</v>
      </c>
      <c r="R67" s="23">
        <f>'LU OLS Model'!$B$9*G67</f>
        <v>43157151.693168536</v>
      </c>
      <c r="S67" s="23">
        <f>'LU OLS Model'!$B$10*H67</f>
        <v>-2525926.3990173377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-1707342.3140862701</v>
      </c>
      <c r="X67" s="23">
        <f t="shared" ref="X67:X97" ca="1" si="10">SUM(N67:W67)</f>
        <v>13263363.19664339</v>
      </c>
    </row>
    <row r="68" spans="1:24" x14ac:dyDescent="0.25">
      <c r="A68" s="11">
        <v>41821</v>
      </c>
      <c r="B68" s="6">
        <f t="shared" si="9"/>
        <v>2014</v>
      </c>
      <c r="C68" s="30">
        <f>'Monthly Data'!I68</f>
        <v>14008809.457</v>
      </c>
      <c r="D68">
        <f t="shared" ca="1" si="6"/>
        <v>5.01</v>
      </c>
      <c r="E68">
        <f t="shared" ca="1" si="6"/>
        <v>96.909999999999982</v>
      </c>
      <c r="F68">
        <f t="shared" si="6"/>
        <v>31</v>
      </c>
      <c r="G68" s="30">
        <f>'Monthly Data'!Q68</f>
        <v>6957.8</v>
      </c>
      <c r="H68">
        <f t="shared" si="7"/>
        <v>67</v>
      </c>
      <c r="I68" s="30">
        <f>'Monthly Data'!AE68</f>
        <v>0</v>
      </c>
      <c r="J68">
        <f t="shared" si="5"/>
        <v>0</v>
      </c>
      <c r="K68">
        <f t="shared" si="5"/>
        <v>0</v>
      </c>
      <c r="L68">
        <f t="shared" si="8"/>
        <v>1</v>
      </c>
      <c r="N68" s="23">
        <f>'LU OLS Model'!$B$5</f>
        <v>-36743884.5954879</v>
      </c>
      <c r="O68" s="23">
        <f ca="1">'LU OLS Model'!$B$6*D68</f>
        <v>-9769.6594942514985</v>
      </c>
      <c r="P68" s="23">
        <f ca="1">'LU OLS Model'!$B$7*E68</f>
        <v>1841210.5145606026</v>
      </c>
      <c r="Q68" s="23">
        <f>'LU OLS Model'!$B$8*F68</f>
        <v>10664575.627180042</v>
      </c>
      <c r="R68" s="23">
        <f>'LU OLS Model'!$B$9*G68</f>
        <v>43437461.854030594</v>
      </c>
      <c r="S68" s="23">
        <f>'LU OLS Model'!$B$10*H68</f>
        <v>-2564198.011123661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-1707342.3140862701</v>
      </c>
      <c r="X68" s="23">
        <f t="shared" ca="1" si="10"/>
        <v>14918053.415579155</v>
      </c>
    </row>
    <row r="69" spans="1:24" x14ac:dyDescent="0.25">
      <c r="A69" s="11">
        <v>41852</v>
      </c>
      <c r="B69" s="6">
        <f t="shared" si="9"/>
        <v>2014</v>
      </c>
      <c r="C69" s="30">
        <f>'Monthly Data'!I69</f>
        <v>14091447.23</v>
      </c>
      <c r="D69">
        <f t="shared" ca="1" si="6"/>
        <v>12.719999999999999</v>
      </c>
      <c r="E69">
        <f t="shared" ca="1" si="6"/>
        <v>77.22999999999999</v>
      </c>
      <c r="F69">
        <f t="shared" si="6"/>
        <v>31</v>
      </c>
      <c r="G69" s="30">
        <f>'Monthly Data'!Q69</f>
        <v>6969.7</v>
      </c>
      <c r="H69">
        <f t="shared" si="7"/>
        <v>68</v>
      </c>
      <c r="I69" s="30">
        <f>'Monthly Data'!AE69</f>
        <v>0</v>
      </c>
      <c r="J69">
        <f t="shared" si="5"/>
        <v>0</v>
      </c>
      <c r="K69">
        <f t="shared" si="5"/>
        <v>0</v>
      </c>
      <c r="L69">
        <f t="shared" si="8"/>
        <v>1</v>
      </c>
      <c r="N69" s="23">
        <f>'LU OLS Model'!$B$5</f>
        <v>-36743884.5954879</v>
      </c>
      <c r="O69" s="23">
        <f ca="1">'LU OLS Model'!$B$6*D69</f>
        <v>-24804.404943488833</v>
      </c>
      <c r="P69" s="23">
        <f ca="1">'LU OLS Model'!$B$7*E69</f>
        <v>1467306.6560676435</v>
      </c>
      <c r="Q69" s="23">
        <f>'LU OLS Model'!$B$8*F69</f>
        <v>10664575.627180042</v>
      </c>
      <c r="R69" s="23">
        <f>'LU OLS Model'!$B$9*G69</f>
        <v>43511753.411141023</v>
      </c>
      <c r="S69" s="23">
        <f>'LU OLS Model'!$B$10*H69</f>
        <v>-2602469.6232299842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-1707342.3140862701</v>
      </c>
      <c r="X69" s="23">
        <f t="shared" ca="1" si="10"/>
        <v>14565134.756641068</v>
      </c>
    </row>
    <row r="70" spans="1:24" x14ac:dyDescent="0.25">
      <c r="A70" s="11">
        <v>41883</v>
      </c>
      <c r="B70" s="6">
        <f t="shared" si="9"/>
        <v>2014</v>
      </c>
      <c r="C70" s="30">
        <f>'Monthly Data'!I70</f>
        <v>13562155.984999999</v>
      </c>
      <c r="D70">
        <f t="shared" ca="1" si="6"/>
        <v>86.570000000000007</v>
      </c>
      <c r="E70">
        <f t="shared" ca="1" si="6"/>
        <v>19.899999999999999</v>
      </c>
      <c r="F70">
        <f t="shared" si="6"/>
        <v>30</v>
      </c>
      <c r="G70" s="30">
        <f>'Monthly Data'!Q70</f>
        <v>6944.1</v>
      </c>
      <c r="H70">
        <f t="shared" si="7"/>
        <v>69</v>
      </c>
      <c r="I70" s="30">
        <f>'Monthly Data'!AE70</f>
        <v>1</v>
      </c>
      <c r="J70">
        <f t="shared" si="5"/>
        <v>0</v>
      </c>
      <c r="K70">
        <f t="shared" si="5"/>
        <v>0</v>
      </c>
      <c r="L70">
        <f t="shared" si="8"/>
        <v>0</v>
      </c>
      <c r="N70" s="23">
        <f>'LU OLS Model'!$B$5</f>
        <v>-36743884.5954879</v>
      </c>
      <c r="O70" s="23">
        <f ca="1">'LU OLS Model'!$B$6*D70</f>
        <v>-168814.2559715274</v>
      </c>
      <c r="P70" s="23">
        <f ca="1">'LU OLS Model'!$B$7*E70</f>
        <v>378083.67804928281</v>
      </c>
      <c r="Q70" s="23">
        <f>'LU OLS Model'!$B$8*F70</f>
        <v>10320557.058561331</v>
      </c>
      <c r="R70" s="23">
        <f>'LU OLS Model'!$B$9*G70</f>
        <v>43351932.918533705</v>
      </c>
      <c r="S70" s="23">
        <f>'LU OLS Model'!$B$10*H70</f>
        <v>-2640741.2353363079</v>
      </c>
      <c r="T70" s="23">
        <f>'LU OLS Model'!$B$11*I70</f>
        <v>-1051550.2365486601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ca="1" si="10"/>
        <v>13445583.331799923</v>
      </c>
    </row>
    <row r="71" spans="1:24" x14ac:dyDescent="0.25">
      <c r="A71" s="11">
        <v>41913</v>
      </c>
      <c r="B71" s="6">
        <f t="shared" si="9"/>
        <v>2014</v>
      </c>
      <c r="C71" s="30">
        <f>'Monthly Data'!I71</f>
        <v>12773242.293000001</v>
      </c>
      <c r="D71">
        <f t="shared" ca="1" si="6"/>
        <v>270.3</v>
      </c>
      <c r="E71">
        <f t="shared" ca="1" si="6"/>
        <v>1.21</v>
      </c>
      <c r="F71">
        <f t="shared" si="6"/>
        <v>31</v>
      </c>
      <c r="G71" s="30">
        <f>'Monthly Data'!Q71</f>
        <v>6936.6</v>
      </c>
      <c r="H71">
        <f t="shared" si="7"/>
        <v>70</v>
      </c>
      <c r="I71" s="30">
        <f>'Monthly Data'!AE71</f>
        <v>1</v>
      </c>
      <c r="J71">
        <f t="shared" si="5"/>
        <v>0</v>
      </c>
      <c r="K71">
        <f t="shared" si="5"/>
        <v>0</v>
      </c>
      <c r="L71">
        <f t="shared" si="8"/>
        <v>0</v>
      </c>
      <c r="N71" s="23">
        <f>'LU OLS Model'!$B$5</f>
        <v>-36743884.5954879</v>
      </c>
      <c r="O71" s="23">
        <f ca="1">'LU OLS Model'!$B$6*D71</f>
        <v>-527093.60504913772</v>
      </c>
      <c r="P71" s="23">
        <f ca="1">'LU OLS Model'!$B$7*E71</f>
        <v>22989.007559780512</v>
      </c>
      <c r="Q71" s="23">
        <f>'LU OLS Model'!$B$8*F71</f>
        <v>10664575.627180042</v>
      </c>
      <c r="R71" s="23">
        <f>'LU OLS Model'!$B$9*G71</f>
        <v>43305110.508590162</v>
      </c>
      <c r="S71" s="23">
        <f>'LU OLS Model'!$B$10*H71</f>
        <v>-2679012.8474426311</v>
      </c>
      <c r="T71" s="23">
        <f>'LU OLS Model'!$B$11*I71</f>
        <v>-1051550.2365486601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ca="1" si="10"/>
        <v>12991133.858801654</v>
      </c>
    </row>
    <row r="72" spans="1:24" x14ac:dyDescent="0.25">
      <c r="A72" s="11">
        <v>41944</v>
      </c>
      <c r="B72" s="6">
        <f t="shared" si="9"/>
        <v>2014</v>
      </c>
      <c r="C72" s="30">
        <f>'Monthly Data'!I72</f>
        <v>11904214.238</v>
      </c>
      <c r="D72">
        <f t="shared" ca="1" si="6"/>
        <v>444.05</v>
      </c>
      <c r="E72">
        <f t="shared" ca="1" si="6"/>
        <v>0</v>
      </c>
      <c r="F72">
        <f t="shared" si="6"/>
        <v>30</v>
      </c>
      <c r="G72" s="30">
        <f>'Monthly Data'!Q72</f>
        <v>6914.3</v>
      </c>
      <c r="H72">
        <f t="shared" si="7"/>
        <v>71</v>
      </c>
      <c r="I72" s="30">
        <f>'Monthly Data'!AE72</f>
        <v>1</v>
      </c>
      <c r="J72">
        <f t="shared" si="5"/>
        <v>0</v>
      </c>
      <c r="K72">
        <f t="shared" si="5"/>
        <v>0</v>
      </c>
      <c r="L72">
        <f t="shared" si="8"/>
        <v>0</v>
      </c>
      <c r="N72" s="23">
        <f>'LU OLS Model'!$B$5</f>
        <v>-36743884.5954879</v>
      </c>
      <c r="O72" s="23">
        <f ca="1">'LU OLS Model'!$B$6*D72</f>
        <v>-865911.63641165232</v>
      </c>
      <c r="P72" s="23">
        <f ca="1">'LU OLS Model'!$B$7*E72</f>
        <v>0</v>
      </c>
      <c r="Q72" s="23">
        <f>'LU OLS Model'!$B$8*F72</f>
        <v>10320557.058561331</v>
      </c>
      <c r="R72" s="23">
        <f>'LU OLS Model'!$B$9*G72</f>
        <v>43165891.876358002</v>
      </c>
      <c r="S72" s="23">
        <f>'LU OLS Model'!$B$10*H72</f>
        <v>-2717284.4595489544</v>
      </c>
      <c r="T72" s="23">
        <f>'LU OLS Model'!$B$11*I72</f>
        <v>-1051550.2365486601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ca="1" si="10"/>
        <v>12107818.006922169</v>
      </c>
    </row>
    <row r="73" spans="1:24" x14ac:dyDescent="0.25">
      <c r="A73" s="11">
        <v>41974</v>
      </c>
      <c r="B73" s="6">
        <f t="shared" si="9"/>
        <v>2014</v>
      </c>
      <c r="C73" s="30">
        <f>'Monthly Data'!I73</f>
        <v>11928804.916999999</v>
      </c>
      <c r="D73">
        <f t="shared" ca="1" si="6"/>
        <v>684.01</v>
      </c>
      <c r="E73">
        <f t="shared" ca="1" si="6"/>
        <v>0</v>
      </c>
      <c r="F73">
        <f t="shared" si="6"/>
        <v>31</v>
      </c>
      <c r="G73" s="30">
        <f>'Monthly Data'!Q73</f>
        <v>6903.2</v>
      </c>
      <c r="H73">
        <f t="shared" si="7"/>
        <v>72</v>
      </c>
      <c r="I73" s="30">
        <f>'Monthly Data'!AE73</f>
        <v>0</v>
      </c>
      <c r="J73">
        <f t="shared" si="5"/>
        <v>0</v>
      </c>
      <c r="K73">
        <f t="shared" si="5"/>
        <v>1</v>
      </c>
      <c r="L73">
        <f t="shared" si="8"/>
        <v>0</v>
      </c>
      <c r="N73" s="23">
        <f>'LU OLS Model'!$B$5</f>
        <v>-36743884.5954879</v>
      </c>
      <c r="O73" s="23">
        <f ca="1">'LU OLS Model'!$B$6*D73</f>
        <v>-1333841.2755814306</v>
      </c>
      <c r="P73" s="23">
        <f ca="1">'LU OLS Model'!$B$7*E73</f>
        <v>0</v>
      </c>
      <c r="Q73" s="23">
        <f>'LU OLS Model'!$B$8*F73</f>
        <v>10664575.627180042</v>
      </c>
      <c r="R73" s="23">
        <f>'LU OLS Model'!$B$9*G73</f>
        <v>43096594.709641546</v>
      </c>
      <c r="S73" s="23">
        <f>'LU OLS Model'!$B$10*H73</f>
        <v>-2755556.0716552776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-986240.09211876604</v>
      </c>
      <c r="W73" s="23">
        <f>'LU OLS Model'!$B$14*L73</f>
        <v>0</v>
      </c>
      <c r="X73" s="23">
        <f t="shared" ca="1" si="10"/>
        <v>11941648.301978216</v>
      </c>
    </row>
    <row r="74" spans="1:24" x14ac:dyDescent="0.25">
      <c r="A74" s="11">
        <v>42005</v>
      </c>
      <c r="B74" s="6">
        <f t="shared" si="9"/>
        <v>2015</v>
      </c>
      <c r="D74">
        <f t="shared" ca="1" si="6"/>
        <v>784.29</v>
      </c>
      <c r="E74">
        <f t="shared" ca="1" si="6"/>
        <v>0</v>
      </c>
      <c r="F74">
        <f t="shared" si="6"/>
        <v>31</v>
      </c>
      <c r="G74" s="30">
        <f>G62*(1+SUMIF('Ontario Employment Growth'!B:B,B74,'Ontario Employment Growth'!G:G))</f>
        <v>6884.3701500000006</v>
      </c>
      <c r="H74">
        <f t="shared" si="7"/>
        <v>73</v>
      </c>
      <c r="I74">
        <f t="shared" si="5"/>
        <v>0</v>
      </c>
      <c r="J74">
        <f t="shared" si="5"/>
        <v>0</v>
      </c>
      <c r="K74">
        <f t="shared" si="5"/>
        <v>0</v>
      </c>
      <c r="L74">
        <f t="shared" si="8"/>
        <v>0</v>
      </c>
      <c r="N74" s="23">
        <f>'LU OLS Model'!$B$5</f>
        <v>-36743884.5954879</v>
      </c>
      <c r="O74" s="23">
        <f ca="1">'LU OLS Model'!$B$6*D74</f>
        <v>-1529390.4680132749</v>
      </c>
      <c r="P74" s="23">
        <f ca="1">'LU OLS Model'!$B$7*E74</f>
        <v>0</v>
      </c>
      <c r="Q74" s="23">
        <f>'LU OLS Model'!$B$8*F74</f>
        <v>10664575.627180042</v>
      </c>
      <c r="R74" s="23">
        <f>'LU OLS Model'!$B$9*G74</f>
        <v>42979040.182191484</v>
      </c>
      <c r="S74" s="23">
        <f>'LU OLS Model'!$B$10*H74</f>
        <v>-2793827.6837616009</v>
      </c>
      <c r="T74" s="23">
        <f>'LU OLS Model'!$B$11*I74</f>
        <v>0</v>
      </c>
      <c r="U74" s="23">
        <f>'LU OLS Model'!$B$12*J74</f>
        <v>0</v>
      </c>
      <c r="V74" s="23">
        <f>'LU OLS Model'!$B$13*K74</f>
        <v>0</v>
      </c>
      <c r="W74" s="23">
        <f>'LU OLS Model'!$B$14*L74</f>
        <v>0</v>
      </c>
      <c r="X74" s="23">
        <f t="shared" ca="1" si="10"/>
        <v>12576513.062108751</v>
      </c>
    </row>
    <row r="75" spans="1:24" x14ac:dyDescent="0.25">
      <c r="A75" s="11">
        <v>42036</v>
      </c>
      <c r="B75" s="6">
        <f t="shared" si="9"/>
        <v>2015</v>
      </c>
      <c r="D75">
        <f t="shared" ca="1" si="6"/>
        <v>682.50999999999988</v>
      </c>
      <c r="E75">
        <f t="shared" ca="1" si="6"/>
        <v>0</v>
      </c>
      <c r="F75">
        <f t="shared" si="6"/>
        <v>28</v>
      </c>
      <c r="G75" s="30">
        <f>G63*(1+SUMIF('Ontario Employment Growth'!B:B,B75,'Ontario Employment Growth'!G:G))</f>
        <v>6850.181450000001</v>
      </c>
      <c r="H75">
        <f t="shared" si="7"/>
        <v>74</v>
      </c>
      <c r="I75">
        <f t="shared" si="5"/>
        <v>0</v>
      </c>
      <c r="J75">
        <f t="shared" si="5"/>
        <v>0</v>
      </c>
      <c r="K75">
        <f t="shared" si="5"/>
        <v>0</v>
      </c>
      <c r="L75">
        <f t="shared" si="8"/>
        <v>0</v>
      </c>
      <c r="N75" s="23">
        <f>'LU OLS Model'!$B$5</f>
        <v>-36743884.5954879</v>
      </c>
      <c r="O75" s="23">
        <f ca="1">'LU OLS Model'!$B$6*D75</f>
        <v>-1330916.2278286605</v>
      </c>
      <c r="P75" s="23">
        <f ca="1">'LU OLS Model'!$B$7*E75</f>
        <v>0</v>
      </c>
      <c r="Q75" s="23">
        <f>'LU OLS Model'!$B$8*F75</f>
        <v>9632519.9213239085</v>
      </c>
      <c r="R75" s="23">
        <f>'LU OLS Model'!$B$9*G75</f>
        <v>42765600.538613208</v>
      </c>
      <c r="S75" s="23">
        <f>'LU OLS Model'!$B$10*H75</f>
        <v>-2832099.2958679241</v>
      </c>
      <c r="T75" s="23">
        <f>'LU OLS Model'!$B$11*I75</f>
        <v>0</v>
      </c>
      <c r="U75" s="23">
        <f>'LU OLS Model'!$B$12*J75</f>
        <v>0</v>
      </c>
      <c r="V75" s="23">
        <f>'LU OLS Model'!$B$13*K75</f>
        <v>0</v>
      </c>
      <c r="W75" s="23">
        <f>'LU OLS Model'!$B$14*L75</f>
        <v>0</v>
      </c>
      <c r="X75" s="23">
        <f t="shared" ca="1" si="10"/>
        <v>11491220.340752635</v>
      </c>
    </row>
    <row r="76" spans="1:24" x14ac:dyDescent="0.25">
      <c r="A76" s="11">
        <v>42064</v>
      </c>
      <c r="B76" s="6">
        <f t="shared" si="9"/>
        <v>2015</v>
      </c>
      <c r="D76">
        <f t="shared" ca="1" si="6"/>
        <v>556.99</v>
      </c>
      <c r="E76">
        <f t="shared" ca="1" si="6"/>
        <v>0</v>
      </c>
      <c r="F76">
        <f t="shared" si="6"/>
        <v>31</v>
      </c>
      <c r="G76" s="30">
        <f>G64*(1+SUMIF('Ontario Employment Growth'!B:B,B76,'Ontario Employment Growth'!G:G))</f>
        <v>6828.9399500000009</v>
      </c>
      <c r="H76">
        <f t="shared" si="7"/>
        <v>75</v>
      </c>
      <c r="I76">
        <f t="shared" si="5"/>
        <v>0</v>
      </c>
      <c r="J76">
        <f t="shared" si="5"/>
        <v>0</v>
      </c>
      <c r="K76">
        <f t="shared" si="5"/>
        <v>0</v>
      </c>
      <c r="L76">
        <f t="shared" si="8"/>
        <v>0</v>
      </c>
      <c r="N76" s="23">
        <f>'LU OLS Model'!$B$5</f>
        <v>-36743884.5954879</v>
      </c>
      <c r="O76" s="23">
        <f ca="1">'LU OLS Model'!$B$6*D76</f>
        <v>-1086148.2318768748</v>
      </c>
      <c r="P76" s="23">
        <f ca="1">'LU OLS Model'!$B$7*E76</f>
        <v>0</v>
      </c>
      <c r="Q76" s="23">
        <f>'LU OLS Model'!$B$8*F76</f>
        <v>10664575.627180042</v>
      </c>
      <c r="R76" s="23">
        <f>'LU OLS Model'!$B$9*G76</f>
        <v>42632990.109171093</v>
      </c>
      <c r="S76" s="23">
        <f>'LU OLS Model'!$B$10*H76</f>
        <v>-2870370.9079742474</v>
      </c>
      <c r="T76" s="23">
        <f>'LU OLS Model'!$B$11*I76</f>
        <v>0</v>
      </c>
      <c r="U76" s="23">
        <f>'LU OLS Model'!$B$12*J76</f>
        <v>0</v>
      </c>
      <c r="V76" s="23">
        <f>'LU OLS Model'!$B$13*K76</f>
        <v>0</v>
      </c>
      <c r="W76" s="23">
        <f>'LU OLS Model'!$B$14*L76</f>
        <v>0</v>
      </c>
      <c r="X76" s="23">
        <f t="shared" ca="1" si="10"/>
        <v>12597162.001012113</v>
      </c>
    </row>
    <row r="77" spans="1:24" x14ac:dyDescent="0.25">
      <c r="A77" s="11">
        <v>42095</v>
      </c>
      <c r="B77" s="6">
        <f t="shared" si="9"/>
        <v>2015</v>
      </c>
      <c r="D77">
        <f t="shared" ca="1" si="6"/>
        <v>326.58999999999997</v>
      </c>
      <c r="E77">
        <f t="shared" ca="1" si="6"/>
        <v>0.39</v>
      </c>
      <c r="F77">
        <f t="shared" si="6"/>
        <v>30</v>
      </c>
      <c r="G77" s="30">
        <f>G65*(1+SUMIF('Ontario Employment Growth'!B:B,B77,'Ontario Employment Growth'!G:G))</f>
        <v>6863.0275000000001</v>
      </c>
      <c r="H77">
        <f t="shared" si="7"/>
        <v>76</v>
      </c>
      <c r="I77">
        <f t="shared" si="5"/>
        <v>0</v>
      </c>
      <c r="J77">
        <f t="shared" si="5"/>
        <v>1</v>
      </c>
      <c r="K77">
        <f t="shared" si="5"/>
        <v>0</v>
      </c>
      <c r="L77">
        <f t="shared" si="8"/>
        <v>0</v>
      </c>
      <c r="N77" s="23">
        <f>'LU OLS Model'!$B$5</f>
        <v>-36743884.5954879</v>
      </c>
      <c r="O77" s="23">
        <f ca="1">'LU OLS Model'!$B$6*D77</f>
        <v>-636860.89705141657</v>
      </c>
      <c r="P77" s="23">
        <f ca="1">'LU OLS Model'!$B$7*E77</f>
        <v>7409.6801225738845</v>
      </c>
      <c r="Q77" s="23">
        <f>'LU OLS Model'!$B$8*F77</f>
        <v>10320557.058561331</v>
      </c>
      <c r="R77" s="23">
        <f>'LU OLS Model'!$B$9*G77</f>
        <v>42845798.274513915</v>
      </c>
      <c r="S77" s="23">
        <f>'LU OLS Model'!$B$10*H77</f>
        <v>-2908642.5200805711</v>
      </c>
      <c r="T77" s="23">
        <f>'LU OLS Model'!$B$11*I77</f>
        <v>0</v>
      </c>
      <c r="U77" s="23">
        <f>'LU OLS Model'!$B$12*J77</f>
        <v>-1041288.65545601</v>
      </c>
      <c r="V77" s="23">
        <f>'LU OLS Model'!$B$13*K77</f>
        <v>0</v>
      </c>
      <c r="W77" s="23">
        <f>'LU OLS Model'!$B$14*L77</f>
        <v>0</v>
      </c>
      <c r="X77" s="23">
        <f t="shared" ca="1" si="10"/>
        <v>11843088.345121928</v>
      </c>
    </row>
    <row r="78" spans="1:24" x14ac:dyDescent="0.25">
      <c r="A78" s="11">
        <v>42125</v>
      </c>
      <c r="B78" s="6">
        <f t="shared" si="9"/>
        <v>2015</v>
      </c>
      <c r="D78">
        <f t="shared" ca="1" si="6"/>
        <v>144.96</v>
      </c>
      <c r="E78">
        <f t="shared" ca="1" si="6"/>
        <v>8.67</v>
      </c>
      <c r="F78">
        <f t="shared" si="6"/>
        <v>31</v>
      </c>
      <c r="G78" s="30">
        <f>G66*(1+SUMIF('Ontario Employment Growth'!B:B,B78,'Ontario Employment Growth'!G:G))</f>
        <v>6921.2899000000007</v>
      </c>
      <c r="H78">
        <f t="shared" si="7"/>
        <v>77</v>
      </c>
      <c r="I78">
        <f t="shared" ref="I78:L93" si="11">I66</f>
        <v>0</v>
      </c>
      <c r="J78">
        <f t="shared" si="11"/>
        <v>0</v>
      </c>
      <c r="K78">
        <f t="shared" si="11"/>
        <v>0</v>
      </c>
      <c r="L78">
        <f t="shared" si="11"/>
        <v>1</v>
      </c>
      <c r="N78" s="23">
        <f>'LU OLS Model'!$B$5</f>
        <v>-36743884.5954879</v>
      </c>
      <c r="O78" s="23">
        <f ca="1">'LU OLS Model'!$B$6*D78</f>
        <v>-282676.61482768413</v>
      </c>
      <c r="P78" s="23">
        <f ca="1">'LU OLS Model'!$B$7*E78</f>
        <v>164722.88887875789</v>
      </c>
      <c r="Q78" s="23">
        <f>'LU OLS Model'!$B$8*F78</f>
        <v>10664575.627180042</v>
      </c>
      <c r="R78" s="23">
        <f>'LU OLS Model'!$B$9*G78</f>
        <v>43209529.738126598</v>
      </c>
      <c r="S78" s="23">
        <f>'LU OLS Model'!$B$10*H78</f>
        <v>-2946914.1321868943</v>
      </c>
      <c r="T78" s="23">
        <f>'LU OLS Model'!$B$11*I78</f>
        <v>0</v>
      </c>
      <c r="U78" s="23">
        <f>'LU OLS Model'!$B$12*J78</f>
        <v>0</v>
      </c>
      <c r="V78" s="23">
        <f>'LU OLS Model'!$B$13*K78</f>
        <v>0</v>
      </c>
      <c r="W78" s="23">
        <f>'LU OLS Model'!$B$14*L78</f>
        <v>-1707342.3140862701</v>
      </c>
      <c r="X78" s="23">
        <f t="shared" ca="1" si="10"/>
        <v>12358010.597596645</v>
      </c>
    </row>
    <row r="79" spans="1:24" x14ac:dyDescent="0.25">
      <c r="A79" s="11">
        <v>42156</v>
      </c>
      <c r="B79" s="6">
        <f t="shared" si="9"/>
        <v>2015</v>
      </c>
      <c r="D79">
        <f t="shared" ref="D79:F94" ca="1" si="12">D67</f>
        <v>41.510000000000005</v>
      </c>
      <c r="E79">
        <f t="shared" ca="1" si="12"/>
        <v>44.41</v>
      </c>
      <c r="F79">
        <f t="shared" si="12"/>
        <v>30</v>
      </c>
      <c r="G79" s="30">
        <f>G67*(1+SUMIF('Ontario Employment Growth'!B:B,B79,'Ontario Employment Growth'!G:G))</f>
        <v>6992.3983500000004</v>
      </c>
      <c r="H79">
        <f t="shared" si="7"/>
        <v>78</v>
      </c>
      <c r="I79">
        <f t="shared" si="11"/>
        <v>0</v>
      </c>
      <c r="J79">
        <f t="shared" si="11"/>
        <v>0</v>
      </c>
      <c r="K79">
        <f t="shared" si="11"/>
        <v>0</v>
      </c>
      <c r="L79">
        <f t="shared" si="11"/>
        <v>1</v>
      </c>
      <c r="N79" s="23">
        <f>'LU OLS Model'!$B$5</f>
        <v>-36743884.5954879</v>
      </c>
      <c r="O79" s="23">
        <f ca="1">'LU OLS Model'!$B$6*D79</f>
        <v>-80945.821478319311</v>
      </c>
      <c r="P79" s="23">
        <f ca="1">'LU OLS Model'!$B$7*E79</f>
        <v>843753.57498334919</v>
      </c>
      <c r="Q79" s="23">
        <f>'LU OLS Model'!$B$8*F79</f>
        <v>10320557.058561331</v>
      </c>
      <c r="R79" s="23">
        <f>'LU OLS Model'!$B$9*G79</f>
        <v>43653458.937639982</v>
      </c>
      <c r="S79" s="23">
        <f>'LU OLS Model'!$B$10*H79</f>
        <v>-2985185.7442932175</v>
      </c>
      <c r="T79" s="23">
        <f>'LU OLS Model'!$B$11*I79</f>
        <v>0</v>
      </c>
      <c r="U79" s="23">
        <f>'LU OLS Model'!$B$12*J79</f>
        <v>0</v>
      </c>
      <c r="V79" s="23">
        <f>'LU OLS Model'!$B$13*K79</f>
        <v>0</v>
      </c>
      <c r="W79" s="23">
        <f>'LU OLS Model'!$B$14*L79</f>
        <v>-1707342.3140862701</v>
      </c>
      <c r="X79" s="23">
        <f t="shared" ca="1" si="10"/>
        <v>13300411.095838957</v>
      </c>
    </row>
    <row r="80" spans="1:24" x14ac:dyDescent="0.25">
      <c r="A80" s="11">
        <v>42186</v>
      </c>
      <c r="B80" s="6">
        <f t="shared" si="9"/>
        <v>2015</v>
      </c>
      <c r="D80">
        <f t="shared" ca="1" si="12"/>
        <v>5.01</v>
      </c>
      <c r="E80">
        <f t="shared" ca="1" si="12"/>
        <v>96.909999999999982</v>
      </c>
      <c r="F80">
        <f t="shared" si="12"/>
        <v>31</v>
      </c>
      <c r="G80" s="30">
        <f>G68*(1+SUMIF('Ontario Employment Growth'!B:B,B80,'Ontario Employment Growth'!G:G))</f>
        <v>7037.8147000000008</v>
      </c>
      <c r="H80">
        <f t="shared" si="7"/>
        <v>79</v>
      </c>
      <c r="I80">
        <f t="shared" si="11"/>
        <v>0</v>
      </c>
      <c r="J80">
        <f t="shared" si="11"/>
        <v>0</v>
      </c>
      <c r="K80">
        <f t="shared" si="11"/>
        <v>0</v>
      </c>
      <c r="L80">
        <f t="shared" si="11"/>
        <v>1</v>
      </c>
      <c r="N80" s="23">
        <f>'LU OLS Model'!$B$5</f>
        <v>-36743884.5954879</v>
      </c>
      <c r="O80" s="23">
        <f ca="1">'LU OLS Model'!$B$6*D80</f>
        <v>-9769.6594942514985</v>
      </c>
      <c r="P80" s="23">
        <f ca="1">'LU OLS Model'!$B$7*E80</f>
        <v>1841210.5145606026</v>
      </c>
      <c r="Q80" s="23">
        <f>'LU OLS Model'!$B$8*F80</f>
        <v>10664575.627180042</v>
      </c>
      <c r="R80" s="23">
        <f>'LU OLS Model'!$B$9*G80</f>
        <v>43936992.66535195</v>
      </c>
      <c r="S80" s="23">
        <f>'LU OLS Model'!$B$10*H80</f>
        <v>-3023457.3563995408</v>
      </c>
      <c r="T80" s="23">
        <f>'LU OLS Model'!$B$11*I80</f>
        <v>0</v>
      </c>
      <c r="U80" s="23">
        <f>'LU OLS Model'!$B$12*J80</f>
        <v>0</v>
      </c>
      <c r="V80" s="23">
        <f>'LU OLS Model'!$B$13*K80</f>
        <v>0</v>
      </c>
      <c r="W80" s="23">
        <f>'LU OLS Model'!$B$14*L80</f>
        <v>-1707342.3140862701</v>
      </c>
      <c r="X80" s="23">
        <f t="shared" ca="1" si="10"/>
        <v>14958324.881624632</v>
      </c>
    </row>
    <row r="81" spans="1:24" x14ac:dyDescent="0.25">
      <c r="A81" s="11">
        <v>42217</v>
      </c>
      <c r="B81" s="6">
        <f t="shared" si="9"/>
        <v>2015</v>
      </c>
      <c r="D81">
        <f t="shared" ca="1" si="12"/>
        <v>12.719999999999999</v>
      </c>
      <c r="E81">
        <f t="shared" ca="1" si="12"/>
        <v>77.22999999999999</v>
      </c>
      <c r="F81">
        <f t="shared" si="12"/>
        <v>31</v>
      </c>
      <c r="G81" s="30">
        <f>G69*(1+SUMIF('Ontario Employment Growth'!B:B,B81,'Ontario Employment Growth'!G:G))</f>
        <v>7049.8515500000003</v>
      </c>
      <c r="H81">
        <f t="shared" si="7"/>
        <v>80</v>
      </c>
      <c r="I81">
        <f t="shared" si="11"/>
        <v>0</v>
      </c>
      <c r="J81">
        <f t="shared" si="11"/>
        <v>0</v>
      </c>
      <c r="K81">
        <f t="shared" si="11"/>
        <v>0</v>
      </c>
      <c r="L81">
        <f t="shared" si="11"/>
        <v>1</v>
      </c>
      <c r="N81" s="23">
        <f>'LU OLS Model'!$B$5</f>
        <v>-36743884.5954879</v>
      </c>
      <c r="O81" s="23">
        <f ca="1">'LU OLS Model'!$B$6*D81</f>
        <v>-24804.404943488833</v>
      </c>
      <c r="P81" s="23">
        <f ca="1">'LU OLS Model'!$B$7*E81</f>
        <v>1467306.6560676435</v>
      </c>
      <c r="Q81" s="23">
        <f>'LU OLS Model'!$B$8*F81</f>
        <v>10664575.627180042</v>
      </c>
      <c r="R81" s="23">
        <f>'LU OLS Model'!$B$9*G81</f>
        <v>44012138.575369149</v>
      </c>
      <c r="S81" s="23">
        <f>'LU OLS Model'!$B$10*H81</f>
        <v>-3061728.968505864</v>
      </c>
      <c r="T81" s="23">
        <f>'LU OLS Model'!$B$11*I81</f>
        <v>0</v>
      </c>
      <c r="U81" s="23">
        <f>'LU OLS Model'!$B$12*J81</f>
        <v>0</v>
      </c>
      <c r="V81" s="23">
        <f>'LU OLS Model'!$B$13*K81</f>
        <v>0</v>
      </c>
      <c r="W81" s="23">
        <f>'LU OLS Model'!$B$14*L81</f>
        <v>-1707342.3140862701</v>
      </c>
      <c r="X81" s="23">
        <f t="shared" ca="1" si="10"/>
        <v>14606260.575593315</v>
      </c>
    </row>
    <row r="82" spans="1:24" x14ac:dyDescent="0.25">
      <c r="A82" s="11">
        <v>42248</v>
      </c>
      <c r="B82" s="6">
        <f t="shared" si="9"/>
        <v>2015</v>
      </c>
      <c r="D82">
        <f t="shared" ca="1" si="12"/>
        <v>86.570000000000007</v>
      </c>
      <c r="E82">
        <f t="shared" ca="1" si="12"/>
        <v>19.899999999999999</v>
      </c>
      <c r="F82">
        <f t="shared" si="12"/>
        <v>30</v>
      </c>
      <c r="G82" s="30">
        <f>G70*(1+SUMIF('Ontario Employment Growth'!B:B,B82,'Ontario Employment Growth'!G:G))</f>
        <v>7023.9571500000011</v>
      </c>
      <c r="H82">
        <f t="shared" si="7"/>
        <v>81</v>
      </c>
      <c r="I82">
        <f t="shared" si="11"/>
        <v>1</v>
      </c>
      <c r="J82">
        <f t="shared" si="11"/>
        <v>0</v>
      </c>
      <c r="K82">
        <f t="shared" si="11"/>
        <v>0</v>
      </c>
      <c r="L82">
        <f t="shared" si="11"/>
        <v>0</v>
      </c>
      <c r="N82" s="23">
        <f>'LU OLS Model'!$B$5</f>
        <v>-36743884.5954879</v>
      </c>
      <c r="O82" s="23">
        <f ca="1">'LU OLS Model'!$B$6*D82</f>
        <v>-168814.2559715274</v>
      </c>
      <c r="P82" s="23">
        <f ca="1">'LU OLS Model'!$B$7*E82</f>
        <v>378083.67804928281</v>
      </c>
      <c r="Q82" s="23">
        <f>'LU OLS Model'!$B$8*F82</f>
        <v>10320557.058561331</v>
      </c>
      <c r="R82" s="23">
        <f>'LU OLS Model'!$B$9*G82</f>
        <v>43850480.14709685</v>
      </c>
      <c r="S82" s="23">
        <f>'LU OLS Model'!$B$10*H82</f>
        <v>-3100000.5806121873</v>
      </c>
      <c r="T82" s="23">
        <f>'LU OLS Model'!$B$11*I82</f>
        <v>-1051550.2365486601</v>
      </c>
      <c r="U82" s="23">
        <f>'LU OLS Model'!$B$12*J82</f>
        <v>0</v>
      </c>
      <c r="V82" s="23">
        <f>'LU OLS Model'!$B$13*K82</f>
        <v>0</v>
      </c>
      <c r="W82" s="23">
        <f>'LU OLS Model'!$B$14*L82</f>
        <v>0</v>
      </c>
      <c r="X82" s="23">
        <f t="shared" ca="1" si="10"/>
        <v>13484871.215087188</v>
      </c>
    </row>
    <row r="83" spans="1:24" x14ac:dyDescent="0.25">
      <c r="A83" s="11">
        <v>42278</v>
      </c>
      <c r="B83" s="6">
        <f t="shared" si="9"/>
        <v>2015</v>
      </c>
      <c r="D83">
        <f t="shared" ca="1" si="12"/>
        <v>270.3</v>
      </c>
      <c r="E83">
        <f t="shared" ca="1" si="12"/>
        <v>1.21</v>
      </c>
      <c r="F83">
        <f t="shared" si="12"/>
        <v>31</v>
      </c>
      <c r="G83" s="30">
        <f>G71*(1+SUMIF('Ontario Employment Growth'!B:B,B83,'Ontario Employment Growth'!G:G))</f>
        <v>7016.3709000000008</v>
      </c>
      <c r="H83">
        <f t="shared" si="7"/>
        <v>82</v>
      </c>
      <c r="I83">
        <f t="shared" si="11"/>
        <v>1</v>
      </c>
      <c r="J83">
        <f t="shared" si="11"/>
        <v>0</v>
      </c>
      <c r="K83">
        <f t="shared" si="11"/>
        <v>0</v>
      </c>
      <c r="L83">
        <f t="shared" si="11"/>
        <v>0</v>
      </c>
      <c r="N83" s="23">
        <f>'LU OLS Model'!$B$5</f>
        <v>-36743884.5954879</v>
      </c>
      <c r="O83" s="23">
        <f ca="1">'LU OLS Model'!$B$6*D83</f>
        <v>-527093.60504913772</v>
      </c>
      <c r="P83" s="23">
        <f ca="1">'LU OLS Model'!$B$7*E83</f>
        <v>22989.007559780512</v>
      </c>
      <c r="Q83" s="23">
        <f>'LU OLS Model'!$B$8*F83</f>
        <v>10664575.627180042</v>
      </c>
      <c r="R83" s="23">
        <f>'LU OLS Model'!$B$9*G83</f>
        <v>43803119.27943895</v>
      </c>
      <c r="S83" s="23">
        <f>'LU OLS Model'!$B$10*H83</f>
        <v>-3138272.1927185105</v>
      </c>
      <c r="T83" s="23">
        <f>'LU OLS Model'!$B$11*I83</f>
        <v>-1051550.2365486601</v>
      </c>
      <c r="U83" s="23">
        <f>'LU OLS Model'!$B$12*J83</f>
        <v>0</v>
      </c>
      <c r="V83" s="23">
        <f>'LU OLS Model'!$B$13*K83</f>
        <v>0</v>
      </c>
      <c r="W83" s="23">
        <f>'LU OLS Model'!$B$14*L83</f>
        <v>0</v>
      </c>
      <c r="X83" s="23">
        <f t="shared" ca="1" si="10"/>
        <v>13029883.284374563</v>
      </c>
    </row>
    <row r="84" spans="1:24" x14ac:dyDescent="0.25">
      <c r="A84" s="11">
        <v>42309</v>
      </c>
      <c r="B84" s="6">
        <f t="shared" si="9"/>
        <v>2015</v>
      </c>
      <c r="D84">
        <f t="shared" ca="1" si="12"/>
        <v>444.05</v>
      </c>
      <c r="E84">
        <f t="shared" ca="1" si="12"/>
        <v>0</v>
      </c>
      <c r="F84">
        <f t="shared" si="12"/>
        <v>30</v>
      </c>
      <c r="G84" s="30">
        <f>G72*(1+SUMIF('Ontario Employment Growth'!B:B,B84,'Ontario Employment Growth'!G:G))</f>
        <v>6993.8144500000008</v>
      </c>
      <c r="H84">
        <f t="shared" si="7"/>
        <v>83</v>
      </c>
      <c r="I84">
        <f t="shared" si="11"/>
        <v>1</v>
      </c>
      <c r="J84">
        <f t="shared" si="11"/>
        <v>0</v>
      </c>
      <c r="K84">
        <f t="shared" si="11"/>
        <v>0</v>
      </c>
      <c r="L84">
        <f t="shared" si="11"/>
        <v>0</v>
      </c>
      <c r="N84" s="23">
        <f>'LU OLS Model'!$B$5</f>
        <v>-36743884.5954879</v>
      </c>
      <c r="O84" s="23">
        <f ca="1">'LU OLS Model'!$B$6*D84</f>
        <v>-865911.63641165232</v>
      </c>
      <c r="P84" s="23">
        <f ca="1">'LU OLS Model'!$B$7*E84</f>
        <v>0</v>
      </c>
      <c r="Q84" s="23">
        <f>'LU OLS Model'!$B$8*F84</f>
        <v>10320557.058561331</v>
      </c>
      <c r="R84" s="23">
        <f>'LU OLS Model'!$B$9*G84</f>
        <v>43662299.632936127</v>
      </c>
      <c r="S84" s="23">
        <f>'LU OLS Model'!$B$10*H84</f>
        <v>-3176543.8048248338</v>
      </c>
      <c r="T84" s="23">
        <f>'LU OLS Model'!$B$11*I84</f>
        <v>-1051550.2365486601</v>
      </c>
      <c r="U84" s="23">
        <f>'LU OLS Model'!$B$12*J84</f>
        <v>0</v>
      </c>
      <c r="V84" s="23">
        <f>'LU OLS Model'!$B$13*K84</f>
        <v>0</v>
      </c>
      <c r="W84" s="23">
        <f>'LU OLS Model'!$B$14*L84</f>
        <v>0</v>
      </c>
      <c r="X84" s="23">
        <f t="shared" ca="1" si="10"/>
        <v>12144966.418224415</v>
      </c>
    </row>
    <row r="85" spans="1:24" x14ac:dyDescent="0.25">
      <c r="A85" s="11">
        <v>42339</v>
      </c>
      <c r="B85" s="6">
        <f t="shared" si="9"/>
        <v>2015</v>
      </c>
      <c r="D85">
        <f t="shared" ca="1" si="12"/>
        <v>684.01</v>
      </c>
      <c r="E85">
        <f t="shared" ca="1" si="12"/>
        <v>0</v>
      </c>
      <c r="F85">
        <f t="shared" si="12"/>
        <v>31</v>
      </c>
      <c r="G85" s="30">
        <f>G73*(1+SUMIF('Ontario Employment Growth'!B:B,B85,'Ontario Employment Growth'!G:G))</f>
        <v>6982.5868</v>
      </c>
      <c r="H85">
        <f t="shared" si="7"/>
        <v>84</v>
      </c>
      <c r="I85">
        <f t="shared" si="11"/>
        <v>0</v>
      </c>
      <c r="J85">
        <f t="shared" si="11"/>
        <v>0</v>
      </c>
      <c r="K85">
        <f t="shared" si="11"/>
        <v>1</v>
      </c>
      <c r="L85">
        <f t="shared" si="11"/>
        <v>0</v>
      </c>
      <c r="N85" s="23">
        <f>'LU OLS Model'!$B$5</f>
        <v>-36743884.5954879</v>
      </c>
      <c r="O85" s="23">
        <f ca="1">'LU OLS Model'!$B$6*D85</f>
        <v>-1333841.2755814306</v>
      </c>
      <c r="P85" s="23">
        <f ca="1">'LU OLS Model'!$B$7*E85</f>
        <v>0</v>
      </c>
      <c r="Q85" s="23">
        <f>'LU OLS Model'!$B$8*F85</f>
        <v>10664575.627180042</v>
      </c>
      <c r="R85" s="23">
        <f>'LU OLS Model'!$B$9*G85</f>
        <v>43592205.548802428</v>
      </c>
      <c r="S85" s="23">
        <f>'LU OLS Model'!$B$10*H85</f>
        <v>-3214815.416931157</v>
      </c>
      <c r="T85" s="23">
        <f>'LU OLS Model'!$B$11*I85</f>
        <v>0</v>
      </c>
      <c r="U85" s="23">
        <f>'LU OLS Model'!$B$12*J85</f>
        <v>0</v>
      </c>
      <c r="V85" s="23">
        <f>'LU OLS Model'!$B$13*K85</f>
        <v>-986240.09211876604</v>
      </c>
      <c r="W85" s="23">
        <f>'LU OLS Model'!$B$14*L85</f>
        <v>0</v>
      </c>
      <c r="X85" s="23">
        <f t="shared" ca="1" si="10"/>
        <v>11977999.795863219</v>
      </c>
    </row>
    <row r="86" spans="1:24" x14ac:dyDescent="0.25">
      <c r="A86" s="11">
        <v>42370</v>
      </c>
      <c r="B86" s="6">
        <f t="shared" si="9"/>
        <v>2016</v>
      </c>
      <c r="D86">
        <f t="shared" ca="1" si="12"/>
        <v>784.29</v>
      </c>
      <c r="E86">
        <f t="shared" ca="1" si="12"/>
        <v>0</v>
      </c>
      <c r="F86">
        <f t="shared" si="12"/>
        <v>31</v>
      </c>
      <c r="G86" s="30">
        <f>G74*(1+SUMIF('Ontario Employment Growth'!B:B,B86,'Ontario Employment Growth'!G:G))</f>
        <v>6961.8193141875008</v>
      </c>
      <c r="H86">
        <f t="shared" si="7"/>
        <v>85</v>
      </c>
      <c r="I86">
        <f t="shared" si="11"/>
        <v>0</v>
      </c>
      <c r="J86">
        <f t="shared" si="11"/>
        <v>0</v>
      </c>
      <c r="K86">
        <f t="shared" si="11"/>
        <v>0</v>
      </c>
      <c r="L86">
        <f t="shared" si="11"/>
        <v>0</v>
      </c>
      <c r="N86" s="23">
        <f>'LU OLS Model'!$B$5</f>
        <v>-36743884.5954879</v>
      </c>
      <c r="O86" s="23">
        <f ca="1">'LU OLS Model'!$B$6*D86</f>
        <v>-1529390.4680132749</v>
      </c>
      <c r="P86" s="23">
        <f ca="1">'LU OLS Model'!$B$7*E86</f>
        <v>0</v>
      </c>
      <c r="Q86" s="23">
        <f>'LU OLS Model'!$B$8*F86</f>
        <v>10664575.627180042</v>
      </c>
      <c r="R86" s="23">
        <f>'LU OLS Model'!$B$9*G86</f>
        <v>43462554.384241134</v>
      </c>
      <c r="S86" s="23">
        <f>'LU OLS Model'!$B$10*H86</f>
        <v>-3253087.0290374807</v>
      </c>
      <c r="T86" s="23">
        <f>'LU OLS Model'!$B$11*I86</f>
        <v>0</v>
      </c>
      <c r="U86" s="23">
        <f>'LU OLS Model'!$B$12*J86</f>
        <v>0</v>
      </c>
      <c r="V86" s="23">
        <f>'LU OLS Model'!$B$13*K86</f>
        <v>0</v>
      </c>
      <c r="W86" s="23">
        <f>'LU OLS Model'!$B$14*L86</f>
        <v>0</v>
      </c>
      <c r="X86" s="23">
        <f t="shared" ca="1" si="10"/>
        <v>12600767.918882521</v>
      </c>
    </row>
    <row r="87" spans="1:24" x14ac:dyDescent="0.25">
      <c r="A87" s="11">
        <v>42401</v>
      </c>
      <c r="B87" s="6">
        <f t="shared" si="9"/>
        <v>2016</v>
      </c>
      <c r="D87">
        <f t="shared" ca="1" si="12"/>
        <v>682.50999999999988</v>
      </c>
      <c r="E87">
        <f t="shared" ca="1" si="12"/>
        <v>0</v>
      </c>
      <c r="F87">
        <v>29</v>
      </c>
      <c r="G87" s="30">
        <f>G75*(1+SUMIF('Ontario Employment Growth'!B:B,B87,'Ontario Employment Growth'!G:G))</f>
        <v>6927.2459913125012</v>
      </c>
      <c r="H87">
        <f t="shared" si="7"/>
        <v>86</v>
      </c>
      <c r="I87">
        <f t="shared" si="11"/>
        <v>0</v>
      </c>
      <c r="J87">
        <f t="shared" si="11"/>
        <v>0</v>
      </c>
      <c r="K87">
        <f t="shared" si="11"/>
        <v>0</v>
      </c>
      <c r="L87">
        <f t="shared" si="11"/>
        <v>0</v>
      </c>
      <c r="N87" s="23">
        <f>'LU OLS Model'!$B$5</f>
        <v>-36743884.5954879</v>
      </c>
      <c r="O87" s="23">
        <f ca="1">'LU OLS Model'!$B$6*D87</f>
        <v>-1330916.2278286605</v>
      </c>
      <c r="P87" s="23">
        <f ca="1">'LU OLS Model'!$B$7*E87</f>
        <v>0</v>
      </c>
      <c r="Q87" s="23">
        <f>'LU OLS Model'!$B$8*F87</f>
        <v>9976538.4899426196</v>
      </c>
      <c r="R87" s="23">
        <f>'LU OLS Model'!$B$9*G87</f>
        <v>43246713.544672608</v>
      </c>
      <c r="S87" s="23">
        <f>'LU OLS Model'!$B$10*H87</f>
        <v>-3291358.641143804</v>
      </c>
      <c r="T87" s="23">
        <f>'LU OLS Model'!$B$11*I87</f>
        <v>0</v>
      </c>
      <c r="U87" s="23">
        <f>'LU OLS Model'!$B$12*J87</f>
        <v>0</v>
      </c>
      <c r="V87" s="23">
        <f>'LU OLS Model'!$B$13*K87</f>
        <v>0</v>
      </c>
      <c r="W87" s="23">
        <f>'LU OLS Model'!$B$14*L87</f>
        <v>0</v>
      </c>
      <c r="X87" s="23">
        <f t="shared" ca="1" si="10"/>
        <v>11857092.570154862</v>
      </c>
    </row>
    <row r="88" spans="1:24" x14ac:dyDescent="0.25">
      <c r="A88" s="11">
        <v>42430</v>
      </c>
      <c r="B88" s="6">
        <f t="shared" si="9"/>
        <v>2016</v>
      </c>
      <c r="D88">
        <f t="shared" ca="1" si="12"/>
        <v>556.99</v>
      </c>
      <c r="E88">
        <f t="shared" ca="1" si="12"/>
        <v>0</v>
      </c>
      <c r="F88">
        <f t="shared" si="12"/>
        <v>31</v>
      </c>
      <c r="G88" s="30">
        <f>G76*(1+SUMIF('Ontario Employment Growth'!B:B,B88,'Ontario Employment Growth'!G:G))</f>
        <v>6905.765524437501</v>
      </c>
      <c r="H88">
        <f t="shared" si="7"/>
        <v>87</v>
      </c>
      <c r="I88">
        <f t="shared" si="11"/>
        <v>0</v>
      </c>
      <c r="J88">
        <f t="shared" si="11"/>
        <v>0</v>
      </c>
      <c r="K88">
        <f t="shared" si="11"/>
        <v>0</v>
      </c>
      <c r="L88">
        <f t="shared" si="11"/>
        <v>0</v>
      </c>
      <c r="N88" s="23">
        <f>'LU OLS Model'!$B$5</f>
        <v>-36743884.5954879</v>
      </c>
      <c r="O88" s="23">
        <f ca="1">'LU OLS Model'!$B$6*D88</f>
        <v>-1086148.2318768748</v>
      </c>
      <c r="P88" s="23">
        <f ca="1">'LU OLS Model'!$B$7*E88</f>
        <v>0</v>
      </c>
      <c r="Q88" s="23">
        <f>'LU OLS Model'!$B$8*F88</f>
        <v>10664575.627180042</v>
      </c>
      <c r="R88" s="23">
        <f>'LU OLS Model'!$B$9*G88</f>
        <v>43112611.247899264</v>
      </c>
      <c r="S88" s="23">
        <f>'LU OLS Model'!$B$10*H88</f>
        <v>-3329630.2532501272</v>
      </c>
      <c r="T88" s="23">
        <f>'LU OLS Model'!$B$11*I88</f>
        <v>0</v>
      </c>
      <c r="U88" s="23">
        <f>'LU OLS Model'!$B$12*J88</f>
        <v>0</v>
      </c>
      <c r="V88" s="23">
        <f>'LU OLS Model'!$B$13*K88</f>
        <v>0</v>
      </c>
      <c r="W88" s="23">
        <f>'LU OLS Model'!$B$14*L88</f>
        <v>0</v>
      </c>
      <c r="X88" s="23">
        <f t="shared" ca="1" si="10"/>
        <v>12617523.794464404</v>
      </c>
    </row>
    <row r="89" spans="1:24" x14ac:dyDescent="0.25">
      <c r="A89" s="11">
        <v>42461</v>
      </c>
      <c r="B89" s="6">
        <f t="shared" si="9"/>
        <v>2016</v>
      </c>
      <c r="D89">
        <f t="shared" ca="1" si="12"/>
        <v>326.58999999999997</v>
      </c>
      <c r="E89">
        <f t="shared" ca="1" si="12"/>
        <v>0.39</v>
      </c>
      <c r="F89">
        <f t="shared" si="12"/>
        <v>30</v>
      </c>
      <c r="G89" s="30">
        <f>G77*(1+SUMIF('Ontario Employment Growth'!B:B,B89,'Ontario Employment Growth'!G:G))</f>
        <v>6940.2365593750001</v>
      </c>
      <c r="H89">
        <f t="shared" si="7"/>
        <v>88</v>
      </c>
      <c r="I89">
        <f t="shared" si="11"/>
        <v>0</v>
      </c>
      <c r="J89">
        <f t="shared" si="11"/>
        <v>1</v>
      </c>
      <c r="K89">
        <f t="shared" si="11"/>
        <v>0</v>
      </c>
      <c r="L89">
        <f t="shared" si="11"/>
        <v>0</v>
      </c>
      <c r="N89" s="23">
        <f>'LU OLS Model'!$B$5</f>
        <v>-36743884.5954879</v>
      </c>
      <c r="O89" s="23">
        <f ca="1">'LU OLS Model'!$B$6*D89</f>
        <v>-636860.89705141657</v>
      </c>
      <c r="P89" s="23">
        <f ca="1">'LU OLS Model'!$B$7*E89</f>
        <v>7409.6801225738845</v>
      </c>
      <c r="Q89" s="23">
        <f>'LU OLS Model'!$B$8*F89</f>
        <v>10320557.058561331</v>
      </c>
      <c r="R89" s="23">
        <f>'LU OLS Model'!$B$9*G89</f>
        <v>43327813.505102202</v>
      </c>
      <c r="S89" s="23">
        <f>'LU OLS Model'!$B$10*H89</f>
        <v>-3367901.8653564504</v>
      </c>
      <c r="T89" s="23">
        <f>'LU OLS Model'!$B$11*I89</f>
        <v>0</v>
      </c>
      <c r="U89" s="23">
        <f>'LU OLS Model'!$B$12*J89</f>
        <v>-1041288.65545601</v>
      </c>
      <c r="V89" s="23">
        <f>'LU OLS Model'!$B$13*K89</f>
        <v>0</v>
      </c>
      <c r="W89" s="23">
        <f>'LU OLS Model'!$B$14*L89</f>
        <v>0</v>
      </c>
      <c r="X89" s="23">
        <f t="shared" ca="1" si="10"/>
        <v>11865844.230434334</v>
      </c>
    </row>
    <row r="90" spans="1:24" x14ac:dyDescent="0.25">
      <c r="A90" s="11">
        <v>42491</v>
      </c>
      <c r="B90" s="6">
        <f t="shared" si="9"/>
        <v>2016</v>
      </c>
      <c r="D90">
        <f t="shared" ca="1" si="12"/>
        <v>144.96</v>
      </c>
      <c r="E90">
        <f t="shared" ca="1" si="12"/>
        <v>8.67</v>
      </c>
      <c r="F90">
        <f t="shared" si="12"/>
        <v>31</v>
      </c>
      <c r="G90" s="30">
        <f>G78*(1+SUMIF('Ontario Employment Growth'!B:B,B90,'Ontario Employment Growth'!G:G))</f>
        <v>6999.1544113750006</v>
      </c>
      <c r="H90">
        <f t="shared" si="7"/>
        <v>89</v>
      </c>
      <c r="I90">
        <f t="shared" si="11"/>
        <v>0</v>
      </c>
      <c r="J90">
        <f t="shared" si="11"/>
        <v>0</v>
      </c>
      <c r="K90">
        <f t="shared" si="11"/>
        <v>0</v>
      </c>
      <c r="L90">
        <f t="shared" si="11"/>
        <v>1</v>
      </c>
      <c r="N90" s="23">
        <f>'LU OLS Model'!$B$5</f>
        <v>-36743884.5954879</v>
      </c>
      <c r="O90" s="23">
        <f ca="1">'LU OLS Model'!$B$6*D90</f>
        <v>-282676.61482768413</v>
      </c>
      <c r="P90" s="23">
        <f ca="1">'LU OLS Model'!$B$7*E90</f>
        <v>164722.88887875789</v>
      </c>
      <c r="Q90" s="23">
        <f>'LU OLS Model'!$B$8*F90</f>
        <v>10664575.627180042</v>
      </c>
      <c r="R90" s="23">
        <f>'LU OLS Model'!$B$9*G90</f>
        <v>43695636.947680518</v>
      </c>
      <c r="S90" s="23">
        <f>'LU OLS Model'!$B$10*H90</f>
        <v>-3406173.4774627737</v>
      </c>
      <c r="T90" s="23">
        <f>'LU OLS Model'!$B$11*I90</f>
        <v>0</v>
      </c>
      <c r="U90" s="23">
        <f>'LU OLS Model'!$B$12*J90</f>
        <v>0</v>
      </c>
      <c r="V90" s="23">
        <f>'LU OLS Model'!$B$13*K90</f>
        <v>0</v>
      </c>
      <c r="W90" s="23">
        <f>'LU OLS Model'!$B$14*L90</f>
        <v>-1707342.3140862701</v>
      </c>
      <c r="X90" s="23">
        <f t="shared" ca="1" si="10"/>
        <v>12384858.461874684</v>
      </c>
    </row>
    <row r="91" spans="1:24" x14ac:dyDescent="0.25">
      <c r="A91" s="11">
        <v>42522</v>
      </c>
      <c r="B91" s="6">
        <f t="shared" si="9"/>
        <v>2016</v>
      </c>
      <c r="D91">
        <f t="shared" ca="1" si="12"/>
        <v>41.510000000000005</v>
      </c>
      <c r="E91">
        <f t="shared" ca="1" si="12"/>
        <v>44.41</v>
      </c>
      <c r="F91">
        <f t="shared" si="12"/>
        <v>30</v>
      </c>
      <c r="G91" s="30">
        <f>G79*(1+SUMIF('Ontario Employment Growth'!B:B,B91,'Ontario Employment Growth'!G:G))</f>
        <v>7071.0628314374999</v>
      </c>
      <c r="H91">
        <f t="shared" si="7"/>
        <v>90</v>
      </c>
      <c r="I91">
        <f t="shared" si="11"/>
        <v>0</v>
      </c>
      <c r="J91">
        <f t="shared" si="11"/>
        <v>0</v>
      </c>
      <c r="K91">
        <f t="shared" si="11"/>
        <v>0</v>
      </c>
      <c r="L91">
        <f t="shared" si="11"/>
        <v>1</v>
      </c>
      <c r="N91" s="23">
        <f>'LU OLS Model'!$B$5</f>
        <v>-36743884.5954879</v>
      </c>
      <c r="O91" s="23">
        <f ca="1">'LU OLS Model'!$B$6*D91</f>
        <v>-80945.821478319311</v>
      </c>
      <c r="P91" s="23">
        <f ca="1">'LU OLS Model'!$B$7*E91</f>
        <v>843753.57498334919</v>
      </c>
      <c r="Q91" s="23">
        <f>'LU OLS Model'!$B$8*F91</f>
        <v>10320557.058561331</v>
      </c>
      <c r="R91" s="23">
        <f>'LU OLS Model'!$B$9*G91</f>
        <v>44144560.350688428</v>
      </c>
      <c r="S91" s="23">
        <f>'LU OLS Model'!$B$10*H91</f>
        <v>-3444445.0895690969</v>
      </c>
      <c r="T91" s="23">
        <f>'LU OLS Model'!$B$11*I91</f>
        <v>0</v>
      </c>
      <c r="U91" s="23">
        <f>'LU OLS Model'!$B$12*J91</f>
        <v>0</v>
      </c>
      <c r="V91" s="23">
        <f>'LU OLS Model'!$B$13*K91</f>
        <v>0</v>
      </c>
      <c r="W91" s="23">
        <f>'LU OLS Model'!$B$14*L91</f>
        <v>-1707342.3140862701</v>
      </c>
      <c r="X91" s="23">
        <f t="shared" ca="1" si="10"/>
        <v>13332253.163611522</v>
      </c>
    </row>
    <row r="92" spans="1:24" x14ac:dyDescent="0.25">
      <c r="A92" s="11">
        <v>42552</v>
      </c>
      <c r="B92" s="6">
        <f t="shared" si="9"/>
        <v>2016</v>
      </c>
      <c r="D92">
        <f t="shared" ca="1" si="12"/>
        <v>5.01</v>
      </c>
      <c r="E92">
        <f t="shared" ca="1" si="12"/>
        <v>96.909999999999982</v>
      </c>
      <c r="F92">
        <f t="shared" si="12"/>
        <v>31</v>
      </c>
      <c r="G92" s="30">
        <f>G80*(1+SUMIF('Ontario Employment Growth'!B:B,B92,'Ontario Employment Growth'!G:G))</f>
        <v>7116.9901153750006</v>
      </c>
      <c r="H92">
        <f t="shared" si="7"/>
        <v>91</v>
      </c>
      <c r="I92">
        <f t="shared" si="11"/>
        <v>0</v>
      </c>
      <c r="J92">
        <f t="shared" si="11"/>
        <v>0</v>
      </c>
      <c r="K92">
        <f t="shared" si="11"/>
        <v>0</v>
      </c>
      <c r="L92">
        <f t="shared" si="11"/>
        <v>1</v>
      </c>
      <c r="N92" s="23">
        <f>'LU OLS Model'!$B$5</f>
        <v>-36743884.5954879</v>
      </c>
      <c r="O92" s="23">
        <f ca="1">'LU OLS Model'!$B$6*D92</f>
        <v>-9769.6594942514985</v>
      </c>
      <c r="P92" s="23">
        <f ca="1">'LU OLS Model'!$B$7*E92</f>
        <v>1841210.5145606026</v>
      </c>
      <c r="Q92" s="23">
        <f>'LU OLS Model'!$B$8*F92</f>
        <v>10664575.627180042</v>
      </c>
      <c r="R92" s="23">
        <f>'LU OLS Model'!$B$9*G92</f>
        <v>44431283.832837157</v>
      </c>
      <c r="S92" s="23">
        <f>'LU OLS Model'!$B$10*H92</f>
        <v>-3482716.7016754202</v>
      </c>
      <c r="T92" s="23">
        <f>'LU OLS Model'!$B$11*I92</f>
        <v>0</v>
      </c>
      <c r="U92" s="23">
        <f>'LU OLS Model'!$B$12*J92</f>
        <v>0</v>
      </c>
      <c r="V92" s="23">
        <f>'LU OLS Model'!$B$13*K92</f>
        <v>0</v>
      </c>
      <c r="W92" s="23">
        <f>'LU OLS Model'!$B$14*L92</f>
        <v>-1707342.3140862701</v>
      </c>
      <c r="X92" s="23">
        <f t="shared" ca="1" si="10"/>
        <v>14993356.703833958</v>
      </c>
    </row>
    <row r="93" spans="1:24" x14ac:dyDescent="0.25">
      <c r="A93" s="11">
        <v>42583</v>
      </c>
      <c r="B93" s="6">
        <f t="shared" si="9"/>
        <v>2016</v>
      </c>
      <c r="D93">
        <f t="shared" ca="1" si="12"/>
        <v>12.719999999999999</v>
      </c>
      <c r="E93">
        <f t="shared" ca="1" si="12"/>
        <v>77.22999999999999</v>
      </c>
      <c r="F93">
        <f t="shared" si="12"/>
        <v>31</v>
      </c>
      <c r="G93" s="30">
        <f>G81*(1+SUMIF('Ontario Employment Growth'!B:B,B93,'Ontario Employment Growth'!G:G))</f>
        <v>7129.1623799375002</v>
      </c>
      <c r="H93">
        <f t="shared" si="7"/>
        <v>92</v>
      </c>
      <c r="I93">
        <f t="shared" si="11"/>
        <v>0</v>
      </c>
      <c r="J93">
        <f t="shared" si="11"/>
        <v>0</v>
      </c>
      <c r="K93">
        <f t="shared" si="11"/>
        <v>0</v>
      </c>
      <c r="L93">
        <f t="shared" si="11"/>
        <v>1</v>
      </c>
      <c r="N93" s="23">
        <f>'LU OLS Model'!$B$5</f>
        <v>-36743884.5954879</v>
      </c>
      <c r="O93" s="23">
        <f ca="1">'LU OLS Model'!$B$6*D93</f>
        <v>-24804.404943488833</v>
      </c>
      <c r="P93" s="23">
        <f ca="1">'LU OLS Model'!$B$7*E93</f>
        <v>1467306.6560676435</v>
      </c>
      <c r="Q93" s="23">
        <f>'LU OLS Model'!$B$8*F93</f>
        <v>10664575.627180042</v>
      </c>
      <c r="R93" s="23">
        <f>'LU OLS Model'!$B$9*G93</f>
        <v>44507275.134342052</v>
      </c>
      <c r="S93" s="23">
        <f>'LU OLS Model'!$B$10*H93</f>
        <v>-3520988.3137817439</v>
      </c>
      <c r="T93" s="23">
        <f>'LU OLS Model'!$B$11*I93</f>
        <v>0</v>
      </c>
      <c r="U93" s="23">
        <f>'LU OLS Model'!$B$12*J93</f>
        <v>0</v>
      </c>
      <c r="V93" s="23">
        <f>'LU OLS Model'!$B$13*K93</f>
        <v>0</v>
      </c>
      <c r="W93" s="23">
        <f>'LU OLS Model'!$B$14*L93</f>
        <v>-1707342.3140862701</v>
      </c>
      <c r="X93" s="23">
        <f t="shared" ca="1" si="10"/>
        <v>14642137.789290337</v>
      </c>
    </row>
    <row r="94" spans="1:24" x14ac:dyDescent="0.25">
      <c r="A94" s="11">
        <v>42614</v>
      </c>
      <c r="B94" s="6">
        <f t="shared" si="9"/>
        <v>2016</v>
      </c>
      <c r="D94">
        <f t="shared" ca="1" si="12"/>
        <v>86.570000000000007</v>
      </c>
      <c r="E94">
        <f t="shared" ca="1" si="12"/>
        <v>19.899999999999999</v>
      </c>
      <c r="F94">
        <f t="shared" si="12"/>
        <v>30</v>
      </c>
      <c r="G94" s="30">
        <f>G82*(1+SUMIF('Ontario Employment Growth'!B:B,B94,'Ontario Employment Growth'!G:G))</f>
        <v>7102.9766679375007</v>
      </c>
      <c r="H94">
        <f t="shared" si="7"/>
        <v>93</v>
      </c>
      <c r="I94">
        <f t="shared" ref="I94:L97" si="13">I82</f>
        <v>1</v>
      </c>
      <c r="J94">
        <f t="shared" si="13"/>
        <v>0</v>
      </c>
      <c r="K94">
        <f t="shared" si="13"/>
        <v>0</v>
      </c>
      <c r="L94">
        <f t="shared" si="13"/>
        <v>0</v>
      </c>
      <c r="N94" s="23">
        <f>'LU OLS Model'!$B$5</f>
        <v>-36743884.5954879</v>
      </c>
      <c r="O94" s="23">
        <f ca="1">'LU OLS Model'!$B$6*D94</f>
        <v>-168814.2559715274</v>
      </c>
      <c r="P94" s="23">
        <f ca="1">'LU OLS Model'!$B$7*E94</f>
        <v>378083.67804928281</v>
      </c>
      <c r="Q94" s="23">
        <f>'LU OLS Model'!$B$8*F94</f>
        <v>10320557.058561331</v>
      </c>
      <c r="R94" s="23">
        <f>'LU OLS Model'!$B$9*G94</f>
        <v>44343798.048751689</v>
      </c>
      <c r="S94" s="23">
        <f>'LU OLS Model'!$B$10*H94</f>
        <v>-3559259.9258880671</v>
      </c>
      <c r="T94" s="23">
        <f>'LU OLS Model'!$B$11*I94</f>
        <v>-1051550.2365486601</v>
      </c>
      <c r="U94" s="23">
        <f>'LU OLS Model'!$B$12*J94</f>
        <v>0</v>
      </c>
      <c r="V94" s="23">
        <f>'LU OLS Model'!$B$13*K94</f>
        <v>0</v>
      </c>
      <c r="W94" s="23">
        <f>'LU OLS Model'!$B$14*L94</f>
        <v>0</v>
      </c>
      <c r="X94" s="23">
        <f t="shared" ca="1" si="10"/>
        <v>13518929.771466147</v>
      </c>
    </row>
    <row r="95" spans="1:24" x14ac:dyDescent="0.25">
      <c r="A95" s="11">
        <v>42644</v>
      </c>
      <c r="B95" s="6">
        <f t="shared" si="9"/>
        <v>2016</v>
      </c>
      <c r="D95">
        <f t="shared" ref="D95:F97" ca="1" si="14">D83</f>
        <v>270.3</v>
      </c>
      <c r="E95">
        <f t="shared" ca="1" si="14"/>
        <v>1.21</v>
      </c>
      <c r="F95">
        <f t="shared" si="14"/>
        <v>31</v>
      </c>
      <c r="G95" s="30">
        <f>G83*(1+SUMIF('Ontario Employment Growth'!B:B,B95,'Ontario Employment Growth'!G:G))</f>
        <v>7095.3050726250003</v>
      </c>
      <c r="H95">
        <f t="shared" si="7"/>
        <v>94</v>
      </c>
      <c r="I95">
        <f t="shared" si="13"/>
        <v>1</v>
      </c>
      <c r="J95">
        <f t="shared" si="13"/>
        <v>0</v>
      </c>
      <c r="K95">
        <f t="shared" si="13"/>
        <v>0</v>
      </c>
      <c r="L95">
        <f t="shared" si="13"/>
        <v>0</v>
      </c>
      <c r="N95" s="23">
        <f>'LU OLS Model'!$B$5</f>
        <v>-36743884.5954879</v>
      </c>
      <c r="O95" s="23">
        <f ca="1">'LU OLS Model'!$B$6*D95</f>
        <v>-527093.60504913772</v>
      </c>
      <c r="P95" s="23">
        <f ca="1">'LU OLS Model'!$B$7*E95</f>
        <v>22989.007559780512</v>
      </c>
      <c r="Q95" s="23">
        <f>'LU OLS Model'!$B$8*F95</f>
        <v>10664575.627180042</v>
      </c>
      <c r="R95" s="23">
        <f>'LU OLS Model'!$B$9*G95</f>
        <v>44295904.371332631</v>
      </c>
      <c r="S95" s="23">
        <f>'LU OLS Model'!$B$10*H95</f>
        <v>-3597531.5379943904</v>
      </c>
      <c r="T95" s="23">
        <f>'LU OLS Model'!$B$11*I95</f>
        <v>-1051550.2365486601</v>
      </c>
      <c r="U95" s="23">
        <f>'LU OLS Model'!$B$12*J95</f>
        <v>0</v>
      </c>
      <c r="V95" s="23">
        <f>'LU OLS Model'!$B$13*K95</f>
        <v>0</v>
      </c>
      <c r="W95" s="23">
        <f>'LU OLS Model'!$B$14*L95</f>
        <v>0</v>
      </c>
      <c r="X95" s="23">
        <f t="shared" ca="1" si="10"/>
        <v>13063409.030992363</v>
      </c>
    </row>
    <row r="96" spans="1:24" x14ac:dyDescent="0.25">
      <c r="A96" s="11">
        <v>42675</v>
      </c>
      <c r="B96" s="6">
        <f t="shared" si="9"/>
        <v>2016</v>
      </c>
      <c r="D96">
        <f t="shared" ca="1" si="14"/>
        <v>444.05</v>
      </c>
      <c r="E96">
        <f t="shared" ca="1" si="14"/>
        <v>0</v>
      </c>
      <c r="F96">
        <f t="shared" si="14"/>
        <v>30</v>
      </c>
      <c r="G96" s="30">
        <f>G84*(1+SUMIF('Ontario Employment Growth'!B:B,B96,'Ontario Employment Growth'!G:G))</f>
        <v>7072.4948625625002</v>
      </c>
      <c r="H96">
        <f t="shared" si="7"/>
        <v>95</v>
      </c>
      <c r="I96">
        <f t="shared" si="13"/>
        <v>1</v>
      </c>
      <c r="J96">
        <f t="shared" si="13"/>
        <v>0</v>
      </c>
      <c r="K96">
        <f t="shared" si="13"/>
        <v>0</v>
      </c>
      <c r="L96">
        <f t="shared" si="13"/>
        <v>0</v>
      </c>
      <c r="N96" s="23">
        <f>'LU OLS Model'!$B$5</f>
        <v>-36743884.5954879</v>
      </c>
      <c r="O96" s="23">
        <f ca="1">'LU OLS Model'!$B$6*D96</f>
        <v>-865911.63641165232</v>
      </c>
      <c r="P96" s="23">
        <f ca="1">'LU OLS Model'!$B$7*E96</f>
        <v>0</v>
      </c>
      <c r="Q96" s="23">
        <f>'LU OLS Model'!$B$8*F96</f>
        <v>10320557.058561331</v>
      </c>
      <c r="R96" s="23">
        <f>'LU OLS Model'!$B$9*G96</f>
        <v>44153500.503806651</v>
      </c>
      <c r="S96" s="23">
        <f>'LU OLS Model'!$B$10*H96</f>
        <v>-3635803.1501007136</v>
      </c>
      <c r="T96" s="23">
        <f>'LU OLS Model'!$B$11*I96</f>
        <v>-1051550.2365486601</v>
      </c>
      <c r="U96" s="23">
        <f>'LU OLS Model'!$B$12*J96</f>
        <v>0</v>
      </c>
      <c r="V96" s="23">
        <f>'LU OLS Model'!$B$13*K96</f>
        <v>0</v>
      </c>
      <c r="W96" s="23">
        <f>'LU OLS Model'!$B$14*L96</f>
        <v>0</v>
      </c>
      <c r="X96" s="23">
        <f t="shared" ca="1" si="10"/>
        <v>12176907.943819057</v>
      </c>
    </row>
    <row r="97" spans="1:24" x14ac:dyDescent="0.25">
      <c r="A97" s="11">
        <v>42705</v>
      </c>
      <c r="B97" s="6">
        <f t="shared" si="9"/>
        <v>2016</v>
      </c>
      <c r="D97">
        <f t="shared" ca="1" si="14"/>
        <v>684.01</v>
      </c>
      <c r="E97">
        <f t="shared" ca="1" si="14"/>
        <v>0</v>
      </c>
      <c r="F97">
        <f t="shared" si="14"/>
        <v>31</v>
      </c>
      <c r="G97" s="30">
        <f>G85*(1+SUMIF('Ontario Employment Growth'!B:B,B97,'Ontario Employment Growth'!G:G))</f>
        <v>7061.1409014999999</v>
      </c>
      <c r="H97">
        <f t="shared" si="7"/>
        <v>96</v>
      </c>
      <c r="I97">
        <f t="shared" si="13"/>
        <v>0</v>
      </c>
      <c r="J97">
        <f t="shared" si="13"/>
        <v>0</v>
      </c>
      <c r="K97">
        <f t="shared" si="13"/>
        <v>1</v>
      </c>
      <c r="L97">
        <f t="shared" si="13"/>
        <v>0</v>
      </c>
      <c r="N97" s="23">
        <f>'LU OLS Model'!$B$5</f>
        <v>-36743884.5954879</v>
      </c>
      <c r="O97" s="23">
        <f ca="1">'LU OLS Model'!$B$6*D97</f>
        <v>-1333841.2755814306</v>
      </c>
      <c r="P97" s="23">
        <f ca="1">'LU OLS Model'!$B$7*E97</f>
        <v>0</v>
      </c>
      <c r="Q97" s="23">
        <f>'LU OLS Model'!$B$8*F97</f>
        <v>10664575.627180042</v>
      </c>
      <c r="R97" s="23">
        <f>'LU OLS Model'!$B$9*G97</f>
        <v>44082617.861226454</v>
      </c>
      <c r="S97" s="23">
        <f>'LU OLS Model'!$B$10*H97</f>
        <v>-3674074.7622070368</v>
      </c>
      <c r="T97" s="23">
        <f>'LU OLS Model'!$B$11*I97</f>
        <v>0</v>
      </c>
      <c r="U97" s="23">
        <f>'LU OLS Model'!$B$12*J97</f>
        <v>0</v>
      </c>
      <c r="V97" s="23">
        <f>'LU OLS Model'!$B$13*K97</f>
        <v>-986240.09211876604</v>
      </c>
      <c r="W97" s="23">
        <f>'LU OLS Model'!$B$14*L97</f>
        <v>0</v>
      </c>
      <c r="X97" s="23">
        <f t="shared" ca="1" si="10"/>
        <v>12009152.763011364</v>
      </c>
    </row>
    <row r="98" spans="1:24" x14ac:dyDescent="0.25">
      <c r="A98" s="11">
        <v>42736</v>
      </c>
      <c r="B98" s="6">
        <f t="shared" ref="B98:B145" si="15">YEAR(A98)</f>
        <v>2017</v>
      </c>
      <c r="D98">
        <f t="shared" ref="D98:F117" ca="1" si="16">D86</f>
        <v>784.29</v>
      </c>
      <c r="E98">
        <f t="shared" ca="1" si="16"/>
        <v>0</v>
      </c>
      <c r="F98">
        <f t="shared" si="16"/>
        <v>31</v>
      </c>
      <c r="G98" s="30">
        <f>G86*(1+SUMIF('Ontario Employment Growth'!B:B,B98,'Ontario Employment Growth'!G:G))</f>
        <v>7040.1397814721104</v>
      </c>
      <c r="H98">
        <f t="shared" si="7"/>
        <v>97</v>
      </c>
      <c r="I98">
        <f t="shared" ref="I98:L117" si="17">I86</f>
        <v>0</v>
      </c>
      <c r="J98">
        <f t="shared" si="17"/>
        <v>0</v>
      </c>
      <c r="K98">
        <f t="shared" si="17"/>
        <v>0</v>
      </c>
      <c r="L98">
        <f t="shared" si="17"/>
        <v>0</v>
      </c>
      <c r="N98" s="23">
        <f>'LU OLS Model'!$B$5</f>
        <v>-36743884.5954879</v>
      </c>
      <c r="O98" s="23">
        <f ca="1">'LU OLS Model'!$B$6*D98</f>
        <v>-1529390.4680132749</v>
      </c>
      <c r="P98" s="23">
        <f ca="1">'LU OLS Model'!$B$7*E98</f>
        <v>0</v>
      </c>
      <c r="Q98" s="23">
        <f>'LU OLS Model'!$B$8*F98</f>
        <v>10664575.627180042</v>
      </c>
      <c r="R98" s="23">
        <f>'LU OLS Model'!$B$9*G98</f>
        <v>43951508.121063851</v>
      </c>
      <c r="S98" s="23">
        <f>'LU OLS Model'!$B$10*H98</f>
        <v>-3712346.3743133601</v>
      </c>
      <c r="T98" s="23">
        <f>'LU OLS Model'!$B$11*I98</f>
        <v>0</v>
      </c>
      <c r="U98" s="23">
        <f>'LU OLS Model'!$B$12*J98</f>
        <v>0</v>
      </c>
      <c r="V98" s="23">
        <f>'LU OLS Model'!$B$13*K98</f>
        <v>0</v>
      </c>
      <c r="W98" s="23">
        <f>'LU OLS Model'!$B$14*L98</f>
        <v>0</v>
      </c>
      <c r="X98" s="23">
        <f t="shared" ref="X98:X145" ca="1" si="18">SUM(N98:W98)</f>
        <v>12630462.310429359</v>
      </c>
    </row>
    <row r="99" spans="1:24" x14ac:dyDescent="0.25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>
        <f t="shared" si="16"/>
        <v>29</v>
      </c>
      <c r="G99" s="30">
        <f>G87*(1+SUMIF('Ontario Employment Growth'!B:B,B99,'Ontario Employment Growth'!G:G))</f>
        <v>7005.1775087147671</v>
      </c>
      <c r="H99">
        <f t="shared" si="7"/>
        <v>98</v>
      </c>
      <c r="I99">
        <f t="shared" si="17"/>
        <v>0</v>
      </c>
      <c r="J99">
        <f t="shared" si="17"/>
        <v>0</v>
      </c>
      <c r="K99">
        <f t="shared" si="17"/>
        <v>0</v>
      </c>
      <c r="L99">
        <f t="shared" si="17"/>
        <v>0</v>
      </c>
      <c r="N99" s="23">
        <f>'LU OLS Model'!$B$5</f>
        <v>-36743884.5954879</v>
      </c>
      <c r="O99" s="23">
        <f ca="1">'LU OLS Model'!$B$6*D99</f>
        <v>-1330916.2278286605</v>
      </c>
      <c r="P99" s="23">
        <f ca="1">'LU OLS Model'!$B$7*E99</f>
        <v>0</v>
      </c>
      <c r="Q99" s="23">
        <f>'LU OLS Model'!$B$8*F99</f>
        <v>9976538.4899426196</v>
      </c>
      <c r="R99" s="23">
        <f>'LU OLS Model'!$B$9*G99</f>
        <v>43733239.072050177</v>
      </c>
      <c r="S99" s="23">
        <f>'LU OLS Model'!$B$10*H99</f>
        <v>-3750617.9864196833</v>
      </c>
      <c r="T99" s="23">
        <f>'LU OLS Model'!$B$11*I99</f>
        <v>0</v>
      </c>
      <c r="U99" s="23">
        <f>'LU OLS Model'!$B$12*J99</f>
        <v>0</v>
      </c>
      <c r="V99" s="23">
        <f>'LU OLS Model'!$B$13*K99</f>
        <v>0</v>
      </c>
      <c r="W99" s="23">
        <f>'LU OLS Model'!$B$14*L99</f>
        <v>0</v>
      </c>
      <c r="X99" s="23">
        <f t="shared" ca="1" si="18"/>
        <v>11884358.752256552</v>
      </c>
    </row>
    <row r="100" spans="1:24" x14ac:dyDescent="0.25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>
        <f t="shared" si="16"/>
        <v>31</v>
      </c>
      <c r="G100" s="30">
        <f>G88*(1+SUMIF('Ontario Employment Growth'!B:B,B100,'Ontario Employment Growth'!G:G))</f>
        <v>6983.4553865874232</v>
      </c>
      <c r="H100">
        <f t="shared" si="7"/>
        <v>99</v>
      </c>
      <c r="I100">
        <f t="shared" si="17"/>
        <v>0</v>
      </c>
      <c r="J100">
        <f t="shared" si="17"/>
        <v>0</v>
      </c>
      <c r="K100">
        <f t="shared" si="17"/>
        <v>0</v>
      </c>
      <c r="L100">
        <f t="shared" si="17"/>
        <v>0</v>
      </c>
      <c r="N100" s="23">
        <f>'LU OLS Model'!$B$5</f>
        <v>-36743884.5954879</v>
      </c>
      <c r="O100" s="23">
        <f ca="1">'LU OLS Model'!$B$6*D100</f>
        <v>-1086148.2318768748</v>
      </c>
      <c r="P100" s="23">
        <f ca="1">'LU OLS Model'!$B$7*E100</f>
        <v>0</v>
      </c>
      <c r="Q100" s="23">
        <f>'LU OLS Model'!$B$8*F100</f>
        <v>10664575.627180042</v>
      </c>
      <c r="R100" s="23">
        <f>'LU OLS Model'!$B$9*G100</f>
        <v>43597628.124438137</v>
      </c>
      <c r="S100" s="23">
        <f>'LU OLS Model'!$B$10*H100</f>
        <v>-3788889.5985260066</v>
      </c>
      <c r="T100" s="23">
        <f>'LU OLS Model'!$B$11*I100</f>
        <v>0</v>
      </c>
      <c r="U100" s="23">
        <f>'LU OLS Model'!$B$12*J100</f>
        <v>0</v>
      </c>
      <c r="V100" s="23">
        <f>'LU OLS Model'!$B$13*K100</f>
        <v>0</v>
      </c>
      <c r="W100" s="23">
        <f>'LU OLS Model'!$B$14*L100</f>
        <v>0</v>
      </c>
      <c r="X100" s="23">
        <f t="shared" ca="1" si="18"/>
        <v>12643281.325727398</v>
      </c>
    </row>
    <row r="101" spans="1:24" x14ac:dyDescent="0.25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>
        <f t="shared" si="16"/>
        <v>30</v>
      </c>
      <c r="G101" s="30">
        <f>G89*(1+SUMIF('Ontario Employment Growth'!B:B,B101,'Ontario Employment Growth'!G:G))</f>
        <v>7018.3142206679686</v>
      </c>
      <c r="H101">
        <f t="shared" si="7"/>
        <v>100</v>
      </c>
      <c r="I101">
        <f t="shared" si="17"/>
        <v>0</v>
      </c>
      <c r="J101">
        <f t="shared" si="17"/>
        <v>1</v>
      </c>
      <c r="K101">
        <f t="shared" si="17"/>
        <v>0</v>
      </c>
      <c r="L101">
        <f t="shared" si="17"/>
        <v>0</v>
      </c>
      <c r="N101" s="23">
        <f>'LU OLS Model'!$B$5</f>
        <v>-36743884.5954879</v>
      </c>
      <c r="O101" s="23">
        <f ca="1">'LU OLS Model'!$B$6*D101</f>
        <v>-636860.89705141657</v>
      </c>
      <c r="P101" s="23">
        <f ca="1">'LU OLS Model'!$B$7*E101</f>
        <v>7409.6801225738845</v>
      </c>
      <c r="Q101" s="23">
        <f>'LU OLS Model'!$B$8*F101</f>
        <v>10320557.058561331</v>
      </c>
      <c r="R101" s="23">
        <f>'LU OLS Model'!$B$9*G101</f>
        <v>43815251.407034598</v>
      </c>
      <c r="S101" s="23">
        <f>'LU OLS Model'!$B$10*H101</f>
        <v>-3827161.2106323298</v>
      </c>
      <c r="T101" s="23">
        <f>'LU OLS Model'!$B$11*I101</f>
        <v>0</v>
      </c>
      <c r="U101" s="23">
        <f>'LU OLS Model'!$B$12*J101</f>
        <v>-1041288.65545601</v>
      </c>
      <c r="V101" s="23">
        <f>'LU OLS Model'!$B$13*K101</f>
        <v>0</v>
      </c>
      <c r="W101" s="23">
        <f>'LU OLS Model'!$B$14*L101</f>
        <v>0</v>
      </c>
      <c r="X101" s="23">
        <f t="shared" ca="1" si="18"/>
        <v>11894022.787090851</v>
      </c>
    </row>
    <row r="102" spans="1:24" x14ac:dyDescent="0.25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>
        <f t="shared" si="16"/>
        <v>31</v>
      </c>
      <c r="G102" s="30">
        <f>G90*(1+SUMIF('Ontario Employment Growth'!B:B,B102,'Ontario Employment Growth'!G:G))</f>
        <v>7077.8948985029692</v>
      </c>
      <c r="H102">
        <f t="shared" si="7"/>
        <v>101</v>
      </c>
      <c r="I102">
        <f t="shared" si="17"/>
        <v>0</v>
      </c>
      <c r="J102">
        <f t="shared" si="17"/>
        <v>0</v>
      </c>
      <c r="K102">
        <f t="shared" si="17"/>
        <v>0</v>
      </c>
      <c r="L102">
        <f t="shared" si="17"/>
        <v>1</v>
      </c>
      <c r="N102" s="23">
        <f>'LU OLS Model'!$B$5</f>
        <v>-36743884.5954879</v>
      </c>
      <c r="O102" s="23">
        <f ca="1">'LU OLS Model'!$B$6*D102</f>
        <v>-282676.61482768413</v>
      </c>
      <c r="P102" s="23">
        <f ca="1">'LU OLS Model'!$B$7*E102</f>
        <v>164722.88887875789</v>
      </c>
      <c r="Q102" s="23">
        <f>'LU OLS Model'!$B$8*F102</f>
        <v>10664575.627180042</v>
      </c>
      <c r="R102" s="23">
        <f>'LU OLS Model'!$B$9*G102</f>
        <v>44187212.863341928</v>
      </c>
      <c r="S102" s="23">
        <f>'LU OLS Model'!$B$10*H102</f>
        <v>-3865432.8227386535</v>
      </c>
      <c r="T102" s="23">
        <f>'LU OLS Model'!$B$11*I102</f>
        <v>0</v>
      </c>
      <c r="U102" s="23">
        <f>'LU OLS Model'!$B$12*J102</f>
        <v>0</v>
      </c>
      <c r="V102" s="23">
        <f>'LU OLS Model'!$B$13*K102</f>
        <v>0</v>
      </c>
      <c r="W102" s="23">
        <f>'LU OLS Model'!$B$14*L102</f>
        <v>-1707342.3140862701</v>
      </c>
      <c r="X102" s="23">
        <f t="shared" ca="1" si="18"/>
        <v>12417175.032260215</v>
      </c>
    </row>
    <row r="103" spans="1:24" x14ac:dyDescent="0.25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>
        <f t="shared" si="16"/>
        <v>30</v>
      </c>
      <c r="G103" s="30">
        <f>G91*(1+SUMIF('Ontario Employment Growth'!B:B,B103,'Ontario Employment Growth'!G:G))</f>
        <v>7150.6122882911714</v>
      </c>
      <c r="H103">
        <f t="shared" si="7"/>
        <v>102</v>
      </c>
      <c r="I103">
        <f t="shared" si="17"/>
        <v>0</v>
      </c>
      <c r="J103">
        <f t="shared" si="17"/>
        <v>0</v>
      </c>
      <c r="K103">
        <f t="shared" si="17"/>
        <v>0</v>
      </c>
      <c r="L103">
        <f t="shared" si="17"/>
        <v>1</v>
      </c>
      <c r="N103" s="23">
        <f>'LU OLS Model'!$B$5</f>
        <v>-36743884.5954879</v>
      </c>
      <c r="O103" s="23">
        <f ca="1">'LU OLS Model'!$B$6*D103</f>
        <v>-80945.821478319311</v>
      </c>
      <c r="P103" s="23">
        <f ca="1">'LU OLS Model'!$B$7*E103</f>
        <v>843753.57498334919</v>
      </c>
      <c r="Q103" s="23">
        <f>'LU OLS Model'!$B$8*F103</f>
        <v>10320557.058561331</v>
      </c>
      <c r="R103" s="23">
        <f>'LU OLS Model'!$B$9*G103</f>
        <v>44641186.654633671</v>
      </c>
      <c r="S103" s="23">
        <f>'LU OLS Model'!$B$10*H103</f>
        <v>-3903704.4348449768</v>
      </c>
      <c r="T103" s="23">
        <f>'LU OLS Model'!$B$11*I103</f>
        <v>0</v>
      </c>
      <c r="U103" s="23">
        <f>'LU OLS Model'!$B$12*J103</f>
        <v>0</v>
      </c>
      <c r="V103" s="23">
        <f>'LU OLS Model'!$B$13*K103</f>
        <v>0</v>
      </c>
      <c r="W103" s="23">
        <f>'LU OLS Model'!$B$14*L103</f>
        <v>-1707342.3140862701</v>
      </c>
      <c r="X103" s="23">
        <f t="shared" ca="1" si="18"/>
        <v>13369620.122280886</v>
      </c>
    </row>
    <row r="104" spans="1:24" x14ac:dyDescent="0.25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>
        <f t="shared" si="16"/>
        <v>31</v>
      </c>
      <c r="G104" s="30">
        <f>G92*(1+SUMIF('Ontario Employment Growth'!B:B,B104,'Ontario Employment Growth'!G:G))</f>
        <v>7197.0562541729696</v>
      </c>
      <c r="H104">
        <f t="shared" si="7"/>
        <v>103</v>
      </c>
      <c r="I104">
        <f t="shared" si="17"/>
        <v>0</v>
      </c>
      <c r="J104">
        <f t="shared" si="17"/>
        <v>0</v>
      </c>
      <c r="K104">
        <f t="shared" si="17"/>
        <v>0</v>
      </c>
      <c r="L104">
        <f t="shared" si="17"/>
        <v>1</v>
      </c>
      <c r="N104" s="23">
        <f>'LU OLS Model'!$B$5</f>
        <v>-36743884.5954879</v>
      </c>
      <c r="O104" s="23">
        <f ca="1">'LU OLS Model'!$B$6*D104</f>
        <v>-9769.6594942514985</v>
      </c>
      <c r="P104" s="23">
        <f ca="1">'LU OLS Model'!$B$7*E104</f>
        <v>1841210.5145606026</v>
      </c>
      <c r="Q104" s="23">
        <f>'LU OLS Model'!$B$8*F104</f>
        <v>10664575.627180042</v>
      </c>
      <c r="R104" s="23">
        <f>'LU OLS Model'!$B$9*G104</f>
        <v>44931135.775956579</v>
      </c>
      <c r="S104" s="23">
        <f>'LU OLS Model'!$B$10*H104</f>
        <v>-3941976.0469513</v>
      </c>
      <c r="T104" s="23">
        <f>'LU OLS Model'!$B$11*I104</f>
        <v>0</v>
      </c>
      <c r="U104" s="23">
        <f>'LU OLS Model'!$B$12*J104</f>
        <v>0</v>
      </c>
      <c r="V104" s="23">
        <f>'LU OLS Model'!$B$13*K104</f>
        <v>0</v>
      </c>
      <c r="W104" s="23">
        <f>'LU OLS Model'!$B$14*L104</f>
        <v>-1707342.3140862701</v>
      </c>
      <c r="X104" s="23">
        <f t="shared" ca="1" si="18"/>
        <v>15033949.301677501</v>
      </c>
    </row>
    <row r="105" spans="1:24" x14ac:dyDescent="0.25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>
        <f t="shared" si="16"/>
        <v>31</v>
      </c>
      <c r="G105" s="30">
        <f>G93*(1+SUMIF('Ontario Employment Growth'!B:B,B105,'Ontario Employment Growth'!G:G))</f>
        <v>7209.3654567117974</v>
      </c>
      <c r="H105">
        <f t="shared" si="7"/>
        <v>104</v>
      </c>
      <c r="I105">
        <f t="shared" si="17"/>
        <v>0</v>
      </c>
      <c r="J105">
        <f t="shared" si="17"/>
        <v>0</v>
      </c>
      <c r="K105">
        <f t="shared" si="17"/>
        <v>0</v>
      </c>
      <c r="L105">
        <f t="shared" si="17"/>
        <v>1</v>
      </c>
      <c r="N105" s="23">
        <f>'LU OLS Model'!$B$5</f>
        <v>-36743884.5954879</v>
      </c>
      <c r="O105" s="23">
        <f ca="1">'LU OLS Model'!$B$6*D105</f>
        <v>-24804.404943488833</v>
      </c>
      <c r="P105" s="23">
        <f ca="1">'LU OLS Model'!$B$7*E105</f>
        <v>1467306.6560676435</v>
      </c>
      <c r="Q105" s="23">
        <f>'LU OLS Model'!$B$8*F105</f>
        <v>10664575.627180042</v>
      </c>
      <c r="R105" s="23">
        <f>'LU OLS Model'!$B$9*G105</f>
        <v>45007981.979603395</v>
      </c>
      <c r="S105" s="23">
        <f>'LU OLS Model'!$B$10*H105</f>
        <v>-3980247.6590576232</v>
      </c>
      <c r="T105" s="23">
        <f>'LU OLS Model'!$B$11*I105</f>
        <v>0</v>
      </c>
      <c r="U105" s="23">
        <f>'LU OLS Model'!$B$12*J105</f>
        <v>0</v>
      </c>
      <c r="V105" s="23">
        <f>'LU OLS Model'!$B$13*K105</f>
        <v>0</v>
      </c>
      <c r="W105" s="23">
        <f>'LU OLS Model'!$B$14*L105</f>
        <v>-1707342.3140862701</v>
      </c>
      <c r="X105" s="23">
        <f t="shared" ca="1" si="18"/>
        <v>14683585.289275801</v>
      </c>
    </row>
    <row r="106" spans="1:24" x14ac:dyDescent="0.25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>
        <f t="shared" si="16"/>
        <v>30</v>
      </c>
      <c r="G106" s="30">
        <f>G94*(1+SUMIF('Ontario Employment Growth'!B:B,B106,'Ontario Employment Growth'!G:G))</f>
        <v>7182.8851554517978</v>
      </c>
      <c r="H106">
        <f t="shared" si="7"/>
        <v>105</v>
      </c>
      <c r="I106">
        <f t="shared" si="17"/>
        <v>1</v>
      </c>
      <c r="J106">
        <f t="shared" si="17"/>
        <v>0</v>
      </c>
      <c r="K106">
        <f t="shared" si="17"/>
        <v>0</v>
      </c>
      <c r="L106">
        <f t="shared" si="17"/>
        <v>0</v>
      </c>
      <c r="N106" s="23">
        <f>'LU OLS Model'!$B$5</f>
        <v>-36743884.5954879</v>
      </c>
      <c r="O106" s="23">
        <f ca="1">'LU OLS Model'!$B$6*D106</f>
        <v>-168814.2559715274</v>
      </c>
      <c r="P106" s="23">
        <f ca="1">'LU OLS Model'!$B$7*E106</f>
        <v>378083.67804928281</v>
      </c>
      <c r="Q106" s="23">
        <f>'LU OLS Model'!$B$8*F106</f>
        <v>10320557.058561331</v>
      </c>
      <c r="R106" s="23">
        <f>'LU OLS Model'!$B$9*G106</f>
        <v>44842665.776800148</v>
      </c>
      <c r="S106" s="23">
        <f>'LU OLS Model'!$B$10*H106</f>
        <v>-4018519.2711639465</v>
      </c>
      <c r="T106" s="23">
        <f>'LU OLS Model'!$B$11*I106</f>
        <v>-1051550.2365486601</v>
      </c>
      <c r="U106" s="23">
        <f>'LU OLS Model'!$B$12*J106</f>
        <v>0</v>
      </c>
      <c r="V106" s="23">
        <f>'LU OLS Model'!$B$13*K106</f>
        <v>0</v>
      </c>
      <c r="W106" s="23">
        <f>'LU OLS Model'!$B$14*L106</f>
        <v>0</v>
      </c>
      <c r="X106" s="23">
        <f t="shared" ca="1" si="18"/>
        <v>13558538.154238727</v>
      </c>
    </row>
    <row r="107" spans="1:24" x14ac:dyDescent="0.25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>
        <f t="shared" si="16"/>
        <v>31</v>
      </c>
      <c r="G107" s="30">
        <f>G95*(1+SUMIF('Ontario Employment Growth'!B:B,B107,'Ontario Employment Growth'!G:G))</f>
        <v>7175.1272546920318</v>
      </c>
      <c r="H107">
        <f t="shared" si="7"/>
        <v>106</v>
      </c>
      <c r="I107">
        <f t="shared" si="17"/>
        <v>1</v>
      </c>
      <c r="J107">
        <f t="shared" si="17"/>
        <v>0</v>
      </c>
      <c r="K107">
        <f t="shared" si="17"/>
        <v>0</v>
      </c>
      <c r="L107">
        <f t="shared" si="17"/>
        <v>0</v>
      </c>
      <c r="N107" s="23">
        <f>'LU OLS Model'!$B$5</f>
        <v>-36743884.5954879</v>
      </c>
      <c r="O107" s="23">
        <f ca="1">'LU OLS Model'!$B$6*D107</f>
        <v>-527093.60504913772</v>
      </c>
      <c r="P107" s="23">
        <f ca="1">'LU OLS Model'!$B$7*E107</f>
        <v>22989.007559780512</v>
      </c>
      <c r="Q107" s="23">
        <f>'LU OLS Model'!$B$8*F107</f>
        <v>10664575.627180042</v>
      </c>
      <c r="R107" s="23">
        <f>'LU OLS Model'!$B$9*G107</f>
        <v>44794233.295510128</v>
      </c>
      <c r="S107" s="23">
        <f>'LU OLS Model'!$B$10*H107</f>
        <v>-4056790.8832702697</v>
      </c>
      <c r="T107" s="23">
        <f>'LU OLS Model'!$B$11*I107</f>
        <v>-1051550.2365486601</v>
      </c>
      <c r="U107" s="23">
        <f>'LU OLS Model'!$B$12*J107</f>
        <v>0</v>
      </c>
      <c r="V107" s="23">
        <f>'LU OLS Model'!$B$13*K107</f>
        <v>0</v>
      </c>
      <c r="W107" s="23">
        <f>'LU OLS Model'!$B$14*L107</f>
        <v>0</v>
      </c>
      <c r="X107" s="23">
        <f t="shared" ca="1" si="18"/>
        <v>13102478.609893981</v>
      </c>
    </row>
    <row r="108" spans="1:24" x14ac:dyDescent="0.25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>
        <f t="shared" si="16"/>
        <v>30</v>
      </c>
      <c r="G108" s="30">
        <f>G96*(1+SUMIF('Ontario Employment Growth'!B:B,B108,'Ontario Employment Growth'!G:G))</f>
        <v>7152.0604297663285</v>
      </c>
      <c r="H108">
        <f t="shared" si="7"/>
        <v>107</v>
      </c>
      <c r="I108">
        <f t="shared" si="17"/>
        <v>1</v>
      </c>
      <c r="J108">
        <f t="shared" si="17"/>
        <v>0</v>
      </c>
      <c r="K108">
        <f t="shared" si="17"/>
        <v>0</v>
      </c>
      <c r="L108">
        <f t="shared" si="17"/>
        <v>0</v>
      </c>
      <c r="N108" s="23">
        <f>'LU OLS Model'!$B$5</f>
        <v>-36743884.5954879</v>
      </c>
      <c r="O108" s="23">
        <f ca="1">'LU OLS Model'!$B$6*D108</f>
        <v>-865911.63641165232</v>
      </c>
      <c r="P108" s="23">
        <f ca="1">'LU OLS Model'!$B$7*E108</f>
        <v>0</v>
      </c>
      <c r="Q108" s="23">
        <f>'LU OLS Model'!$B$8*F108</f>
        <v>10320557.058561331</v>
      </c>
      <c r="R108" s="23">
        <f>'LU OLS Model'!$B$9*G108</f>
        <v>44650227.384474479</v>
      </c>
      <c r="S108" s="23">
        <f>'LU OLS Model'!$B$10*H108</f>
        <v>-4095062.495376593</v>
      </c>
      <c r="T108" s="23">
        <f>'LU OLS Model'!$B$11*I108</f>
        <v>-1051550.2365486601</v>
      </c>
      <c r="U108" s="23">
        <f>'LU OLS Model'!$B$12*J108</f>
        <v>0</v>
      </c>
      <c r="V108" s="23">
        <f>'LU OLS Model'!$B$13*K108</f>
        <v>0</v>
      </c>
      <c r="W108" s="23">
        <f>'LU OLS Model'!$B$14*L108</f>
        <v>0</v>
      </c>
      <c r="X108" s="23">
        <f t="shared" ca="1" si="18"/>
        <v>12214375.479211006</v>
      </c>
    </row>
    <row r="109" spans="1:24" x14ac:dyDescent="0.25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>
        <f t="shared" si="16"/>
        <v>31</v>
      </c>
      <c r="G109" s="30">
        <f>G97*(1+SUMIF('Ontario Employment Growth'!B:B,B109,'Ontario Employment Growth'!G:G))</f>
        <v>7140.5787366418745</v>
      </c>
      <c r="H109">
        <f t="shared" si="7"/>
        <v>108</v>
      </c>
      <c r="I109">
        <f t="shared" si="17"/>
        <v>0</v>
      </c>
      <c r="J109">
        <f t="shared" si="17"/>
        <v>0</v>
      </c>
      <c r="K109">
        <f t="shared" si="17"/>
        <v>1</v>
      </c>
      <c r="L109">
        <f t="shared" si="17"/>
        <v>0</v>
      </c>
      <c r="N109" s="23">
        <f>'LU OLS Model'!$B$5</f>
        <v>-36743884.5954879</v>
      </c>
      <c r="O109" s="23">
        <f ca="1">'LU OLS Model'!$B$6*D109</f>
        <v>-1333841.2755814306</v>
      </c>
      <c r="P109" s="23">
        <f ca="1">'LU OLS Model'!$B$7*E109</f>
        <v>0</v>
      </c>
      <c r="Q109" s="23">
        <f>'LU OLS Model'!$B$8*F109</f>
        <v>10664575.627180042</v>
      </c>
      <c r="R109" s="23">
        <f>'LU OLS Model'!$B$9*G109</f>
        <v>44578547.312165245</v>
      </c>
      <c r="S109" s="23">
        <f>'LU OLS Model'!$B$10*H109</f>
        <v>-4133334.1074829167</v>
      </c>
      <c r="T109" s="23">
        <f>'LU OLS Model'!$B$11*I109</f>
        <v>0</v>
      </c>
      <c r="U109" s="23">
        <f>'LU OLS Model'!$B$12*J109</f>
        <v>0</v>
      </c>
      <c r="V109" s="23">
        <f>'LU OLS Model'!$B$13*K109</f>
        <v>-986240.09211876604</v>
      </c>
      <c r="W109" s="23">
        <f>'LU OLS Model'!$B$14*L109</f>
        <v>0</v>
      </c>
      <c r="X109" s="23">
        <f t="shared" ca="1" si="18"/>
        <v>12045822.868674275</v>
      </c>
    </row>
    <row r="110" spans="1:24" x14ac:dyDescent="0.25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>
        <f t="shared" si="16"/>
        <v>31</v>
      </c>
      <c r="G110" s="30">
        <f>G98*(1+SUMIF('Ontario Employment Growth'!B:B,B110,'Ontario Employment Growth'!G:G))</f>
        <v>7119.3413540136717</v>
      </c>
      <c r="H110">
        <f t="shared" si="7"/>
        <v>109</v>
      </c>
      <c r="I110">
        <f t="shared" si="17"/>
        <v>0</v>
      </c>
      <c r="J110">
        <f t="shared" si="17"/>
        <v>0</v>
      </c>
      <c r="K110">
        <f t="shared" si="17"/>
        <v>0</v>
      </c>
      <c r="L110">
        <f t="shared" si="17"/>
        <v>0</v>
      </c>
      <c r="N110" s="23">
        <f>'LU OLS Model'!$B$5</f>
        <v>-36743884.5954879</v>
      </c>
      <c r="O110" s="23">
        <f ca="1">'LU OLS Model'!$B$6*D110</f>
        <v>-1529390.4680132749</v>
      </c>
      <c r="P110" s="23">
        <f ca="1">'LU OLS Model'!$B$7*E110</f>
        <v>0</v>
      </c>
      <c r="Q110" s="23">
        <f>'LU OLS Model'!$B$8*F110</f>
        <v>10664575.627180042</v>
      </c>
      <c r="R110" s="23">
        <f>'LU OLS Model'!$B$9*G110</f>
        <v>44445962.587425821</v>
      </c>
      <c r="S110" s="23">
        <f>'LU OLS Model'!$B$10*H110</f>
        <v>-4171605.7195892399</v>
      </c>
      <c r="T110" s="23">
        <f>'LU OLS Model'!$B$11*I110</f>
        <v>0</v>
      </c>
      <c r="U110" s="23">
        <f>'LU OLS Model'!$B$12*J110</f>
        <v>0</v>
      </c>
      <c r="V110" s="23">
        <f>'LU OLS Model'!$B$13*K110</f>
        <v>0</v>
      </c>
      <c r="W110" s="23">
        <f>'LU OLS Model'!$B$14*L110</f>
        <v>0</v>
      </c>
      <c r="X110" s="23">
        <f t="shared" ca="1" si="18"/>
        <v>12665657.431515448</v>
      </c>
    </row>
    <row r="111" spans="1:24" x14ac:dyDescent="0.25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>
        <f t="shared" si="16"/>
        <v>29</v>
      </c>
      <c r="G111" s="30">
        <f>G99*(1+SUMIF('Ontario Employment Growth'!B:B,B111,'Ontario Employment Growth'!G:G))</f>
        <v>7083.9857556878078</v>
      </c>
      <c r="H111">
        <f t="shared" si="7"/>
        <v>110</v>
      </c>
      <c r="I111">
        <f t="shared" si="17"/>
        <v>0</v>
      </c>
      <c r="J111">
        <f t="shared" si="17"/>
        <v>0</v>
      </c>
      <c r="K111">
        <f t="shared" si="17"/>
        <v>0</v>
      </c>
      <c r="L111">
        <f t="shared" si="17"/>
        <v>0</v>
      </c>
      <c r="N111" s="23">
        <f>'LU OLS Model'!$B$5</f>
        <v>-36743884.5954879</v>
      </c>
      <c r="O111" s="23">
        <f ca="1">'LU OLS Model'!$B$6*D111</f>
        <v>-1330916.2278286605</v>
      </c>
      <c r="P111" s="23">
        <f ca="1">'LU OLS Model'!$B$7*E111</f>
        <v>0</v>
      </c>
      <c r="Q111" s="23">
        <f>'LU OLS Model'!$B$8*F111</f>
        <v>9976538.4899426196</v>
      </c>
      <c r="R111" s="23">
        <f>'LU OLS Model'!$B$9*G111</f>
        <v>44225238.011610739</v>
      </c>
      <c r="S111" s="23">
        <f>'LU OLS Model'!$B$10*H111</f>
        <v>-4209877.3316955632</v>
      </c>
      <c r="T111" s="23">
        <f>'LU OLS Model'!$B$11*I111</f>
        <v>0</v>
      </c>
      <c r="U111" s="23">
        <f>'LU OLS Model'!$B$12*J111</f>
        <v>0</v>
      </c>
      <c r="V111" s="23">
        <f>'LU OLS Model'!$B$13*K111</f>
        <v>0</v>
      </c>
      <c r="W111" s="23">
        <f>'LU OLS Model'!$B$14*L111</f>
        <v>0</v>
      </c>
      <c r="X111" s="23">
        <f t="shared" ca="1" si="18"/>
        <v>11917098.346541233</v>
      </c>
    </row>
    <row r="112" spans="1:24" x14ac:dyDescent="0.25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>
        <f t="shared" si="16"/>
        <v>31</v>
      </c>
      <c r="G112" s="30">
        <f>G100*(1+SUMIF('Ontario Employment Growth'!B:B,B112,'Ontario Employment Growth'!G:G))</f>
        <v>7062.0192596865318</v>
      </c>
      <c r="H112">
        <f t="shared" si="7"/>
        <v>111</v>
      </c>
      <c r="I112">
        <f t="shared" si="17"/>
        <v>0</v>
      </c>
      <c r="J112">
        <f t="shared" si="17"/>
        <v>0</v>
      </c>
      <c r="K112">
        <f t="shared" si="17"/>
        <v>0</v>
      </c>
      <c r="L112">
        <f t="shared" si="17"/>
        <v>0</v>
      </c>
      <c r="N112" s="23">
        <f>'LU OLS Model'!$B$5</f>
        <v>-36743884.5954879</v>
      </c>
      <c r="O112" s="23">
        <f ca="1">'LU OLS Model'!$B$6*D112</f>
        <v>-1086148.2318768748</v>
      </c>
      <c r="P112" s="23">
        <f ca="1">'LU OLS Model'!$B$7*E112</f>
        <v>0</v>
      </c>
      <c r="Q112" s="23">
        <f>'LU OLS Model'!$B$8*F112</f>
        <v>10664575.627180042</v>
      </c>
      <c r="R112" s="23">
        <f>'LU OLS Model'!$B$9*G112</f>
        <v>44088101.440838061</v>
      </c>
      <c r="S112" s="23">
        <f>'LU OLS Model'!$B$10*H112</f>
        <v>-4248148.9438018864</v>
      </c>
      <c r="T112" s="23">
        <f>'LU OLS Model'!$B$11*I112</f>
        <v>0</v>
      </c>
      <c r="U112" s="23">
        <f>'LU OLS Model'!$B$12*J112</f>
        <v>0</v>
      </c>
      <c r="V112" s="23">
        <f>'LU OLS Model'!$B$13*K112</f>
        <v>0</v>
      </c>
      <c r="W112" s="23">
        <f>'LU OLS Model'!$B$14*L112</f>
        <v>0</v>
      </c>
      <c r="X112" s="23">
        <f t="shared" ca="1" si="18"/>
        <v>12674495.296851441</v>
      </c>
    </row>
    <row r="113" spans="1:24" x14ac:dyDescent="0.25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>
        <f t="shared" si="16"/>
        <v>30</v>
      </c>
      <c r="G113" s="30">
        <f>G101*(1+SUMIF('Ontario Employment Growth'!B:B,B113,'Ontario Employment Growth'!G:G))</f>
        <v>7097.2702556504828</v>
      </c>
      <c r="H113">
        <f t="shared" si="7"/>
        <v>112</v>
      </c>
      <c r="I113">
        <f t="shared" si="17"/>
        <v>0</v>
      </c>
      <c r="J113">
        <f t="shared" si="17"/>
        <v>1</v>
      </c>
      <c r="K113">
        <f t="shared" si="17"/>
        <v>0</v>
      </c>
      <c r="L113">
        <f t="shared" si="17"/>
        <v>0</v>
      </c>
      <c r="N113" s="23">
        <f>'LU OLS Model'!$B$5</f>
        <v>-36743884.5954879</v>
      </c>
      <c r="O113" s="23">
        <f ca="1">'LU OLS Model'!$B$6*D113</f>
        <v>-636860.89705141657</v>
      </c>
      <c r="P113" s="23">
        <f ca="1">'LU OLS Model'!$B$7*E113</f>
        <v>7409.6801225738845</v>
      </c>
      <c r="Q113" s="23">
        <f>'LU OLS Model'!$B$8*F113</f>
        <v>10320557.058561331</v>
      </c>
      <c r="R113" s="23">
        <f>'LU OLS Model'!$B$9*G113</f>
        <v>44308172.985363737</v>
      </c>
      <c r="S113" s="23">
        <f>'LU OLS Model'!$B$10*H113</f>
        <v>-4286420.5559082096</v>
      </c>
      <c r="T113" s="23">
        <f>'LU OLS Model'!$B$11*I113</f>
        <v>0</v>
      </c>
      <c r="U113" s="23">
        <f>'LU OLS Model'!$B$12*J113</f>
        <v>-1041288.65545601</v>
      </c>
      <c r="V113" s="23">
        <f>'LU OLS Model'!$B$13*K113</f>
        <v>0</v>
      </c>
      <c r="W113" s="23">
        <f>'LU OLS Model'!$B$14*L113</f>
        <v>0</v>
      </c>
      <c r="X113" s="23">
        <f t="shared" ca="1" si="18"/>
        <v>11927685.020144109</v>
      </c>
    </row>
    <row r="114" spans="1:24" x14ac:dyDescent="0.25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>
        <f t="shared" si="16"/>
        <v>31</v>
      </c>
      <c r="G114" s="30">
        <f>G102*(1+SUMIF('Ontario Employment Growth'!B:B,B114,'Ontario Employment Growth'!G:G))</f>
        <v>7157.5212161111276</v>
      </c>
      <c r="H114">
        <f t="shared" si="7"/>
        <v>113</v>
      </c>
      <c r="I114">
        <f t="shared" si="17"/>
        <v>0</v>
      </c>
      <c r="J114">
        <f t="shared" si="17"/>
        <v>0</v>
      </c>
      <c r="K114">
        <f t="shared" si="17"/>
        <v>0</v>
      </c>
      <c r="L114">
        <f t="shared" si="17"/>
        <v>1</v>
      </c>
      <c r="N114" s="23">
        <f>'LU OLS Model'!$B$5</f>
        <v>-36743884.5954879</v>
      </c>
      <c r="O114" s="23">
        <f ca="1">'LU OLS Model'!$B$6*D114</f>
        <v>-282676.61482768413</v>
      </c>
      <c r="P114" s="23">
        <f ca="1">'LU OLS Model'!$B$7*E114</f>
        <v>164722.88887875789</v>
      </c>
      <c r="Q114" s="23">
        <f>'LU OLS Model'!$B$8*F114</f>
        <v>10664575.627180042</v>
      </c>
      <c r="R114" s="23">
        <f>'LU OLS Model'!$B$9*G114</f>
        <v>44684319.008054525</v>
      </c>
      <c r="S114" s="23">
        <f>'LU OLS Model'!$B$10*H114</f>
        <v>-4324692.1680145329</v>
      </c>
      <c r="T114" s="23">
        <f>'LU OLS Model'!$B$11*I114</f>
        <v>0</v>
      </c>
      <c r="U114" s="23">
        <f>'LU OLS Model'!$B$12*J114</f>
        <v>0</v>
      </c>
      <c r="V114" s="23">
        <f>'LU OLS Model'!$B$13*K114</f>
        <v>0</v>
      </c>
      <c r="W114" s="23">
        <f>'LU OLS Model'!$B$14*L114</f>
        <v>-1707342.3140862701</v>
      </c>
      <c r="X114" s="23">
        <f t="shared" ca="1" si="18"/>
        <v>12455021.831696931</v>
      </c>
    </row>
    <row r="115" spans="1:24" x14ac:dyDescent="0.25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>
        <f t="shared" si="16"/>
        <v>30</v>
      </c>
      <c r="G115" s="30">
        <f>G103*(1+SUMIF('Ontario Employment Growth'!B:B,B115,'Ontario Employment Growth'!G:G))</f>
        <v>7231.0566765344465</v>
      </c>
      <c r="H115">
        <f t="shared" si="7"/>
        <v>114</v>
      </c>
      <c r="I115">
        <f t="shared" si="17"/>
        <v>0</v>
      </c>
      <c r="J115">
        <f t="shared" si="17"/>
        <v>0</v>
      </c>
      <c r="K115">
        <f t="shared" si="17"/>
        <v>0</v>
      </c>
      <c r="L115">
        <f t="shared" si="17"/>
        <v>1</v>
      </c>
      <c r="N115" s="23">
        <f>'LU OLS Model'!$B$5</f>
        <v>-36743884.5954879</v>
      </c>
      <c r="O115" s="23">
        <f ca="1">'LU OLS Model'!$B$6*D115</f>
        <v>-80945.821478319311</v>
      </c>
      <c r="P115" s="23">
        <f ca="1">'LU OLS Model'!$B$7*E115</f>
        <v>843753.57498334919</v>
      </c>
      <c r="Q115" s="23">
        <f>'LU OLS Model'!$B$8*F115</f>
        <v>10320557.058561331</v>
      </c>
      <c r="R115" s="23">
        <f>'LU OLS Model'!$B$9*G115</f>
        <v>45143400.004498295</v>
      </c>
      <c r="S115" s="23">
        <f>'LU OLS Model'!$B$10*H115</f>
        <v>-4362963.7801208561</v>
      </c>
      <c r="T115" s="23">
        <f>'LU OLS Model'!$B$11*I115</f>
        <v>0</v>
      </c>
      <c r="U115" s="23">
        <f>'LU OLS Model'!$B$12*J115</f>
        <v>0</v>
      </c>
      <c r="V115" s="23">
        <f>'LU OLS Model'!$B$13*K115</f>
        <v>0</v>
      </c>
      <c r="W115" s="23">
        <f>'LU OLS Model'!$B$14*L115</f>
        <v>-1707342.3140862701</v>
      </c>
      <c r="X115" s="23">
        <f t="shared" ca="1" si="18"/>
        <v>13412574.12686963</v>
      </c>
    </row>
    <row r="116" spans="1:24" x14ac:dyDescent="0.25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>
        <f t="shared" si="16"/>
        <v>31</v>
      </c>
      <c r="G116" s="30">
        <f>G104*(1+SUMIF('Ontario Employment Growth'!B:B,B116,'Ontario Employment Growth'!G:G))</f>
        <v>7278.0231370324154</v>
      </c>
      <c r="H116">
        <f t="shared" si="7"/>
        <v>115</v>
      </c>
      <c r="I116">
        <f t="shared" si="17"/>
        <v>0</v>
      </c>
      <c r="J116">
        <f t="shared" si="17"/>
        <v>0</v>
      </c>
      <c r="K116">
        <f t="shared" si="17"/>
        <v>0</v>
      </c>
      <c r="L116">
        <f t="shared" si="17"/>
        <v>1</v>
      </c>
      <c r="N116" s="23">
        <f>'LU OLS Model'!$B$5</f>
        <v>-36743884.5954879</v>
      </c>
      <c r="O116" s="23">
        <f ca="1">'LU OLS Model'!$B$6*D116</f>
        <v>-9769.6594942514985</v>
      </c>
      <c r="P116" s="23">
        <f ca="1">'LU OLS Model'!$B$7*E116</f>
        <v>1841210.5145606026</v>
      </c>
      <c r="Q116" s="23">
        <f>'LU OLS Model'!$B$8*F116</f>
        <v>10664575.627180042</v>
      </c>
      <c r="R116" s="23">
        <f>'LU OLS Model'!$B$9*G116</f>
        <v>45436611.053436086</v>
      </c>
      <c r="S116" s="23">
        <f>'LU OLS Model'!$B$10*H116</f>
        <v>-4401235.3922271794</v>
      </c>
      <c r="T116" s="23">
        <f>'LU OLS Model'!$B$11*I116</f>
        <v>0</v>
      </c>
      <c r="U116" s="23">
        <f>'LU OLS Model'!$B$12*J116</f>
        <v>0</v>
      </c>
      <c r="V116" s="23">
        <f>'LU OLS Model'!$B$13*K116</f>
        <v>0</v>
      </c>
      <c r="W116" s="23">
        <f>'LU OLS Model'!$B$14*L116</f>
        <v>-1707342.3140862701</v>
      </c>
      <c r="X116" s="23">
        <f t="shared" ca="1" si="18"/>
        <v>15080165.233881127</v>
      </c>
    </row>
    <row r="117" spans="1:24" x14ac:dyDescent="0.25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>
        <f t="shared" si="16"/>
        <v>31</v>
      </c>
      <c r="G117" s="30">
        <f>G105*(1+SUMIF('Ontario Employment Growth'!B:B,B117,'Ontario Employment Growth'!G:G))</f>
        <v>7290.470818099805</v>
      </c>
      <c r="H117">
        <f t="shared" si="7"/>
        <v>116</v>
      </c>
      <c r="I117">
        <f t="shared" si="17"/>
        <v>0</v>
      </c>
      <c r="J117">
        <f t="shared" si="17"/>
        <v>0</v>
      </c>
      <c r="K117">
        <f t="shared" si="17"/>
        <v>0</v>
      </c>
      <c r="L117">
        <f t="shared" si="17"/>
        <v>1</v>
      </c>
      <c r="N117" s="23">
        <f>'LU OLS Model'!$B$5</f>
        <v>-36743884.5954879</v>
      </c>
      <c r="O117" s="23">
        <f ca="1">'LU OLS Model'!$B$6*D117</f>
        <v>-24804.404943488833</v>
      </c>
      <c r="P117" s="23">
        <f ca="1">'LU OLS Model'!$B$7*E117</f>
        <v>1467306.6560676435</v>
      </c>
      <c r="Q117" s="23">
        <f>'LU OLS Model'!$B$8*F117</f>
        <v>10664575.627180042</v>
      </c>
      <c r="R117" s="23">
        <f>'LU OLS Model'!$B$9*G117</f>
        <v>45514321.776873939</v>
      </c>
      <c r="S117" s="23">
        <f>'LU OLS Model'!$B$10*H117</f>
        <v>-4439507.0043335026</v>
      </c>
      <c r="T117" s="23">
        <f>'LU OLS Model'!$B$11*I117</f>
        <v>0</v>
      </c>
      <c r="U117" s="23">
        <f>'LU OLS Model'!$B$12*J117</f>
        <v>0</v>
      </c>
      <c r="V117" s="23">
        <f>'LU OLS Model'!$B$13*K117</f>
        <v>0</v>
      </c>
      <c r="W117" s="23">
        <f>'LU OLS Model'!$B$14*L117</f>
        <v>-1707342.3140862701</v>
      </c>
      <c r="X117" s="23">
        <f t="shared" ca="1" si="18"/>
        <v>14730665.741270464</v>
      </c>
    </row>
    <row r="118" spans="1:24" x14ac:dyDescent="0.25">
      <c r="A118" s="11">
        <v>43344</v>
      </c>
      <c r="B118" s="6">
        <f t="shared" si="15"/>
        <v>2018</v>
      </c>
      <c r="D118">
        <f t="shared" ref="D118:F137" ca="1" si="19">D106</f>
        <v>86.570000000000007</v>
      </c>
      <c r="E118">
        <f t="shared" ca="1" si="19"/>
        <v>19.899999999999999</v>
      </c>
      <c r="F118">
        <f t="shared" si="19"/>
        <v>30</v>
      </c>
      <c r="G118" s="30">
        <f>G106*(1+SUMIF('Ontario Employment Growth'!B:B,B118,'Ontario Employment Growth'!G:G))</f>
        <v>7263.6926134506302</v>
      </c>
      <c r="H118">
        <f t="shared" si="7"/>
        <v>117</v>
      </c>
      <c r="I118">
        <f t="shared" ref="I118:L137" si="20">I106</f>
        <v>1</v>
      </c>
      <c r="J118">
        <f t="shared" si="20"/>
        <v>0</v>
      </c>
      <c r="K118">
        <f t="shared" si="20"/>
        <v>0</v>
      </c>
      <c r="L118">
        <f t="shared" si="20"/>
        <v>0</v>
      </c>
      <c r="N118" s="23">
        <f>'LU OLS Model'!$B$5</f>
        <v>-36743884.5954879</v>
      </c>
      <c r="O118" s="23">
        <f ca="1">'LU OLS Model'!$B$6*D118</f>
        <v>-168814.2559715274</v>
      </c>
      <c r="P118" s="23">
        <f ca="1">'LU OLS Model'!$B$7*E118</f>
        <v>378083.67804928281</v>
      </c>
      <c r="Q118" s="23">
        <f>'LU OLS Model'!$B$8*F118</f>
        <v>10320557.058561331</v>
      </c>
      <c r="R118" s="23">
        <f>'LU OLS Model'!$B$9*G118</f>
        <v>45347145.766789146</v>
      </c>
      <c r="S118" s="23">
        <f>'LU OLS Model'!$B$10*H118</f>
        <v>-4477778.6164398259</v>
      </c>
      <c r="T118" s="23">
        <f>'LU OLS Model'!$B$11*I118</f>
        <v>-1051550.2365486601</v>
      </c>
      <c r="U118" s="23">
        <f>'LU OLS Model'!$B$12*J118</f>
        <v>0</v>
      </c>
      <c r="V118" s="23">
        <f>'LU OLS Model'!$B$13*K118</f>
        <v>0</v>
      </c>
      <c r="W118" s="23">
        <f>'LU OLS Model'!$B$14*L118</f>
        <v>0</v>
      </c>
      <c r="X118" s="23">
        <f t="shared" ca="1" si="18"/>
        <v>13603758.798951844</v>
      </c>
    </row>
    <row r="119" spans="1:24" x14ac:dyDescent="0.25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>
        <f t="shared" si="19"/>
        <v>31</v>
      </c>
      <c r="G119" s="30">
        <f>G107*(1+SUMIF('Ontario Employment Growth'!B:B,B119,'Ontario Employment Growth'!G:G))</f>
        <v>7255.8474363073174</v>
      </c>
      <c r="H119">
        <f t="shared" si="7"/>
        <v>118</v>
      </c>
      <c r="I119">
        <f t="shared" si="20"/>
        <v>1</v>
      </c>
      <c r="J119">
        <f t="shared" si="20"/>
        <v>0</v>
      </c>
      <c r="K119">
        <f t="shared" si="20"/>
        <v>0</v>
      </c>
      <c r="L119">
        <f t="shared" si="20"/>
        <v>0</v>
      </c>
      <c r="N119" s="23">
        <f>'LU OLS Model'!$B$5</f>
        <v>-36743884.5954879</v>
      </c>
      <c r="O119" s="23">
        <f ca="1">'LU OLS Model'!$B$6*D119</f>
        <v>-527093.60504913772</v>
      </c>
      <c r="P119" s="23">
        <f ca="1">'LU OLS Model'!$B$7*E119</f>
        <v>22989.007559780512</v>
      </c>
      <c r="Q119" s="23">
        <f>'LU OLS Model'!$B$8*F119</f>
        <v>10664575.627180042</v>
      </c>
      <c r="R119" s="23">
        <f>'LU OLS Model'!$B$9*G119</f>
        <v>45298168.420084618</v>
      </c>
      <c r="S119" s="23">
        <f>'LU OLS Model'!$B$10*H119</f>
        <v>-4516050.2285461491</v>
      </c>
      <c r="T119" s="23">
        <f>'LU OLS Model'!$B$11*I119</f>
        <v>-1051550.2365486601</v>
      </c>
      <c r="U119" s="23">
        <f>'LU OLS Model'!$B$12*J119</f>
        <v>0</v>
      </c>
      <c r="V119" s="23">
        <f>'LU OLS Model'!$B$13*K119</f>
        <v>0</v>
      </c>
      <c r="W119" s="23">
        <f>'LU OLS Model'!$B$14*L119</f>
        <v>0</v>
      </c>
      <c r="X119" s="23">
        <f t="shared" ca="1" si="18"/>
        <v>13147154.38919259</v>
      </c>
    </row>
    <row r="120" spans="1:24" x14ac:dyDescent="0.25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>
        <f t="shared" si="19"/>
        <v>30</v>
      </c>
      <c r="G120" s="30">
        <f>G108*(1+SUMIF('Ontario Employment Growth'!B:B,B120,'Ontario Employment Growth'!G:G))</f>
        <v>7232.5211096011999</v>
      </c>
      <c r="H120">
        <f t="shared" si="7"/>
        <v>119</v>
      </c>
      <c r="I120">
        <f t="shared" si="20"/>
        <v>1</v>
      </c>
      <c r="J120">
        <f t="shared" si="20"/>
        <v>0</v>
      </c>
      <c r="K120">
        <f t="shared" si="20"/>
        <v>0</v>
      </c>
      <c r="L120">
        <f t="shared" si="20"/>
        <v>0</v>
      </c>
      <c r="N120" s="23">
        <f>'LU OLS Model'!$B$5</f>
        <v>-36743884.5954879</v>
      </c>
      <c r="O120" s="23">
        <f ca="1">'LU OLS Model'!$B$6*D120</f>
        <v>-865911.63641165232</v>
      </c>
      <c r="P120" s="23">
        <f ca="1">'LU OLS Model'!$B$7*E120</f>
        <v>0</v>
      </c>
      <c r="Q120" s="23">
        <f>'LU OLS Model'!$B$8*F120</f>
        <v>10320557.058561331</v>
      </c>
      <c r="R120" s="23">
        <f>'LU OLS Model'!$B$9*G120</f>
        <v>45152542.442549817</v>
      </c>
      <c r="S120" s="23">
        <f>'LU OLS Model'!$B$10*H120</f>
        <v>-4554321.8406524723</v>
      </c>
      <c r="T120" s="23">
        <f>'LU OLS Model'!$B$11*I120</f>
        <v>-1051550.2365486601</v>
      </c>
      <c r="U120" s="23">
        <f>'LU OLS Model'!$B$12*J120</f>
        <v>0</v>
      </c>
      <c r="V120" s="23">
        <f>'LU OLS Model'!$B$13*K120</f>
        <v>0</v>
      </c>
      <c r="W120" s="23">
        <f>'LU OLS Model'!$B$14*L120</f>
        <v>0</v>
      </c>
      <c r="X120" s="23">
        <f t="shared" ca="1" si="18"/>
        <v>12257431.192010464</v>
      </c>
    </row>
    <row r="121" spans="1:24" x14ac:dyDescent="0.25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>
        <f t="shared" si="19"/>
        <v>31</v>
      </c>
      <c r="G121" s="30">
        <f>G109*(1+SUMIF('Ontario Employment Growth'!B:B,B121,'Ontario Employment Growth'!G:G))</f>
        <v>7220.9102474290958</v>
      </c>
      <c r="H121">
        <f t="shared" si="7"/>
        <v>120</v>
      </c>
      <c r="I121">
        <f t="shared" si="20"/>
        <v>0</v>
      </c>
      <c r="J121">
        <f t="shared" si="20"/>
        <v>0</v>
      </c>
      <c r="K121">
        <f t="shared" si="20"/>
        <v>1</v>
      </c>
      <c r="L121">
        <f t="shared" si="20"/>
        <v>0</v>
      </c>
      <c r="N121" s="23">
        <f>'LU OLS Model'!$B$5</f>
        <v>-36743884.5954879</v>
      </c>
      <c r="O121" s="23">
        <f ca="1">'LU OLS Model'!$B$6*D121</f>
        <v>-1333841.2755814306</v>
      </c>
      <c r="P121" s="23">
        <f ca="1">'LU OLS Model'!$B$7*E121</f>
        <v>0</v>
      </c>
      <c r="Q121" s="23">
        <f>'LU OLS Model'!$B$8*F121</f>
        <v>10664575.627180042</v>
      </c>
      <c r="R121" s="23">
        <f>'LU OLS Model'!$B$9*G121</f>
        <v>45080055.969427109</v>
      </c>
      <c r="S121" s="23">
        <f>'LU OLS Model'!$B$10*H121</f>
        <v>-4592593.4527587965</v>
      </c>
      <c r="T121" s="23">
        <f>'LU OLS Model'!$B$11*I121</f>
        <v>0</v>
      </c>
      <c r="U121" s="23">
        <f>'LU OLS Model'!$B$12*J121</f>
        <v>0</v>
      </c>
      <c r="V121" s="23">
        <f>'LU OLS Model'!$B$13*K121</f>
        <v>-986240.09211876604</v>
      </c>
      <c r="W121" s="23">
        <f>'LU OLS Model'!$B$14*L121</f>
        <v>0</v>
      </c>
      <c r="X121" s="23">
        <f t="shared" ca="1" si="18"/>
        <v>12088072.180660259</v>
      </c>
    </row>
    <row r="122" spans="1:24" x14ac:dyDescent="0.25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>
        <f t="shared" si="19"/>
        <v>31</v>
      </c>
      <c r="G122" s="30">
        <f>G110*(1+SUMIF('Ontario Employment Growth'!B:B,B122,'Ontario Employment Growth'!G:G))</f>
        <v>7199.4339442463252</v>
      </c>
      <c r="H122">
        <f t="shared" si="7"/>
        <v>121</v>
      </c>
      <c r="I122">
        <f t="shared" si="20"/>
        <v>0</v>
      </c>
      <c r="J122">
        <f t="shared" si="20"/>
        <v>0</v>
      </c>
      <c r="K122">
        <f t="shared" si="20"/>
        <v>0</v>
      </c>
      <c r="L122">
        <f t="shared" si="20"/>
        <v>0</v>
      </c>
      <c r="N122" s="23">
        <f>'LU OLS Model'!$B$5</f>
        <v>-36743884.5954879</v>
      </c>
      <c r="O122" s="23">
        <f ca="1">'LU OLS Model'!$B$6*D122</f>
        <v>-1529390.4680132749</v>
      </c>
      <c r="P122" s="23">
        <f ca="1">'LU OLS Model'!$B$7*E122</f>
        <v>0</v>
      </c>
      <c r="Q122" s="23">
        <f>'LU OLS Model'!$B$8*F122</f>
        <v>10664575.627180042</v>
      </c>
      <c r="R122" s="23">
        <f>'LU OLS Model'!$B$9*G122</f>
        <v>44945979.666534357</v>
      </c>
      <c r="S122" s="23">
        <f>'LU OLS Model'!$B$10*H122</f>
        <v>-4630865.0648651198</v>
      </c>
      <c r="T122" s="23">
        <f>'LU OLS Model'!$B$11*I122</f>
        <v>0</v>
      </c>
      <c r="U122" s="23">
        <f>'LU OLS Model'!$B$12*J122</f>
        <v>0</v>
      </c>
      <c r="V122" s="23">
        <f>'LU OLS Model'!$B$13*K122</f>
        <v>0</v>
      </c>
      <c r="W122" s="23">
        <f>'LU OLS Model'!$B$14*L122</f>
        <v>0</v>
      </c>
      <c r="X122" s="23">
        <f t="shared" ca="1" si="18"/>
        <v>12706415.165348105</v>
      </c>
    </row>
    <row r="123" spans="1:24" x14ac:dyDescent="0.25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>
        <f t="shared" si="19"/>
        <v>29</v>
      </c>
      <c r="G123" s="30">
        <f>G111*(1+SUMIF('Ontario Employment Growth'!B:B,B123,'Ontario Employment Growth'!G:G))</f>
        <v>7163.6805954392958</v>
      </c>
      <c r="H123">
        <f t="shared" si="7"/>
        <v>122</v>
      </c>
      <c r="I123">
        <f t="shared" si="20"/>
        <v>0</v>
      </c>
      <c r="J123">
        <f t="shared" si="20"/>
        <v>0</v>
      </c>
      <c r="K123">
        <f t="shared" si="20"/>
        <v>0</v>
      </c>
      <c r="L123">
        <f t="shared" si="20"/>
        <v>0</v>
      </c>
      <c r="N123" s="23">
        <f>'LU OLS Model'!$B$5</f>
        <v>-36743884.5954879</v>
      </c>
      <c r="O123" s="23">
        <f ca="1">'LU OLS Model'!$B$6*D123</f>
        <v>-1330916.2278286605</v>
      </c>
      <c r="P123" s="23">
        <f ca="1">'LU OLS Model'!$B$7*E123</f>
        <v>0</v>
      </c>
      <c r="Q123" s="23">
        <f>'LU OLS Model'!$B$8*F123</f>
        <v>9976538.4899426196</v>
      </c>
      <c r="R123" s="23">
        <f>'LU OLS Model'!$B$9*G123</f>
        <v>44722771.939241365</v>
      </c>
      <c r="S123" s="23">
        <f>'LU OLS Model'!$B$10*H123</f>
        <v>-4669136.676971443</v>
      </c>
      <c r="T123" s="23">
        <f>'LU OLS Model'!$B$11*I123</f>
        <v>0</v>
      </c>
      <c r="U123" s="23">
        <f>'LU OLS Model'!$B$12*J123</f>
        <v>0</v>
      </c>
      <c r="V123" s="23">
        <f>'LU OLS Model'!$B$13*K123</f>
        <v>0</v>
      </c>
      <c r="W123" s="23">
        <f>'LU OLS Model'!$B$14*L123</f>
        <v>0</v>
      </c>
      <c r="X123" s="23">
        <f t="shared" ca="1" si="18"/>
        <v>11955372.92889598</v>
      </c>
    </row>
    <row r="124" spans="1:24" x14ac:dyDescent="0.25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>
        <f t="shared" si="19"/>
        <v>31</v>
      </c>
      <c r="G124" s="30">
        <f>G112*(1+SUMIF('Ontario Employment Growth'!B:B,B124,'Ontario Employment Growth'!G:G))</f>
        <v>7141.466976358005</v>
      </c>
      <c r="H124">
        <f t="shared" si="7"/>
        <v>123</v>
      </c>
      <c r="I124">
        <f t="shared" si="20"/>
        <v>0</v>
      </c>
      <c r="J124">
        <f t="shared" si="20"/>
        <v>0</v>
      </c>
      <c r="K124">
        <f t="shared" si="20"/>
        <v>0</v>
      </c>
      <c r="L124">
        <f t="shared" si="20"/>
        <v>0</v>
      </c>
      <c r="N124" s="23">
        <f>'LU OLS Model'!$B$5</f>
        <v>-36743884.5954879</v>
      </c>
      <c r="O124" s="23">
        <f ca="1">'LU OLS Model'!$B$6*D124</f>
        <v>-1086148.2318768748</v>
      </c>
      <c r="P124" s="23">
        <f ca="1">'LU OLS Model'!$B$7*E124</f>
        <v>0</v>
      </c>
      <c r="Q124" s="23">
        <f>'LU OLS Model'!$B$8*F124</f>
        <v>10664575.627180042</v>
      </c>
      <c r="R124" s="23">
        <f>'LU OLS Model'!$B$9*G124</f>
        <v>44584092.582047492</v>
      </c>
      <c r="S124" s="23">
        <f>'LU OLS Model'!$B$10*H124</f>
        <v>-4707408.2890777662</v>
      </c>
      <c r="T124" s="23">
        <f>'LU OLS Model'!$B$11*I124</f>
        <v>0</v>
      </c>
      <c r="U124" s="23">
        <f>'LU OLS Model'!$B$12*J124</f>
        <v>0</v>
      </c>
      <c r="V124" s="23">
        <f>'LU OLS Model'!$B$13*K124</f>
        <v>0</v>
      </c>
      <c r="W124" s="23">
        <f>'LU OLS Model'!$B$14*L124</f>
        <v>0</v>
      </c>
      <c r="X124" s="23">
        <f t="shared" ca="1" si="18"/>
        <v>12711227.092784993</v>
      </c>
    </row>
    <row r="125" spans="1:24" x14ac:dyDescent="0.25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>
        <f t="shared" si="19"/>
        <v>30</v>
      </c>
      <c r="G125" s="30">
        <f>G113*(1+SUMIF('Ontario Employment Growth'!B:B,B125,'Ontario Employment Growth'!G:G))</f>
        <v>7177.1145460265507</v>
      </c>
      <c r="H125">
        <f t="shared" si="7"/>
        <v>124</v>
      </c>
      <c r="I125">
        <f t="shared" si="20"/>
        <v>0</v>
      </c>
      <c r="J125">
        <f t="shared" si="20"/>
        <v>1</v>
      </c>
      <c r="K125">
        <f t="shared" si="20"/>
        <v>0</v>
      </c>
      <c r="L125">
        <f t="shared" si="20"/>
        <v>0</v>
      </c>
      <c r="N125" s="23">
        <f>'LU OLS Model'!$B$5</f>
        <v>-36743884.5954879</v>
      </c>
      <c r="O125" s="23">
        <f ca="1">'LU OLS Model'!$B$6*D125</f>
        <v>-636860.89705141657</v>
      </c>
      <c r="P125" s="23">
        <f ca="1">'LU OLS Model'!$B$7*E125</f>
        <v>7409.6801225738845</v>
      </c>
      <c r="Q125" s="23">
        <f>'LU OLS Model'!$B$8*F125</f>
        <v>10320557.058561331</v>
      </c>
      <c r="R125" s="23">
        <f>'LU OLS Model'!$B$9*G125</f>
        <v>44806639.931449078</v>
      </c>
      <c r="S125" s="23">
        <f>'LU OLS Model'!$B$10*H125</f>
        <v>-4745679.9011840895</v>
      </c>
      <c r="T125" s="23">
        <f>'LU OLS Model'!$B$11*I125</f>
        <v>0</v>
      </c>
      <c r="U125" s="23">
        <f>'LU OLS Model'!$B$12*J125</f>
        <v>-1041288.65545601</v>
      </c>
      <c r="V125" s="23">
        <f>'LU OLS Model'!$B$13*K125</f>
        <v>0</v>
      </c>
      <c r="W125" s="23">
        <f>'LU OLS Model'!$B$14*L125</f>
        <v>0</v>
      </c>
      <c r="X125" s="23">
        <f t="shared" ca="1" si="18"/>
        <v>11966892.620953571</v>
      </c>
    </row>
    <row r="126" spans="1:24" x14ac:dyDescent="0.25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>
        <f t="shared" si="19"/>
        <v>31</v>
      </c>
      <c r="G126" s="30">
        <f>G114*(1+SUMIF('Ontario Employment Growth'!B:B,B126,'Ontario Employment Growth'!G:G))</f>
        <v>7238.0433297923773</v>
      </c>
      <c r="H126">
        <f t="shared" si="7"/>
        <v>125</v>
      </c>
      <c r="I126">
        <f t="shared" si="20"/>
        <v>0</v>
      </c>
      <c r="J126">
        <f t="shared" si="20"/>
        <v>0</v>
      </c>
      <c r="K126">
        <f t="shared" si="20"/>
        <v>0</v>
      </c>
      <c r="L126">
        <f t="shared" si="20"/>
        <v>1</v>
      </c>
      <c r="N126" s="23">
        <f>'LU OLS Model'!$B$5</f>
        <v>-36743884.5954879</v>
      </c>
      <c r="O126" s="23">
        <f ca="1">'LU OLS Model'!$B$6*D126</f>
        <v>-282676.61482768413</v>
      </c>
      <c r="P126" s="23">
        <f ca="1">'LU OLS Model'!$B$7*E126</f>
        <v>164722.88887875789</v>
      </c>
      <c r="Q126" s="23">
        <f>'LU OLS Model'!$B$8*F126</f>
        <v>10664575.627180042</v>
      </c>
      <c r="R126" s="23">
        <f>'LU OLS Model'!$B$9*G126</f>
        <v>45187017.596895128</v>
      </c>
      <c r="S126" s="23">
        <f>'LU OLS Model'!$B$10*H126</f>
        <v>-4783951.5132904127</v>
      </c>
      <c r="T126" s="23">
        <f>'LU OLS Model'!$B$11*I126</f>
        <v>0</v>
      </c>
      <c r="U126" s="23">
        <f>'LU OLS Model'!$B$12*J126</f>
        <v>0</v>
      </c>
      <c r="V126" s="23">
        <f>'LU OLS Model'!$B$13*K126</f>
        <v>0</v>
      </c>
      <c r="W126" s="23">
        <f>'LU OLS Model'!$B$14*L126</f>
        <v>-1707342.3140862701</v>
      </c>
      <c r="X126" s="23">
        <f t="shared" ca="1" si="18"/>
        <v>12498461.075261656</v>
      </c>
    </row>
    <row r="127" spans="1:24" x14ac:dyDescent="0.25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>
        <f t="shared" si="19"/>
        <v>30</v>
      </c>
      <c r="G127" s="30">
        <f>G115*(1+SUMIF('Ontario Employment Growth'!B:B,B127,'Ontario Employment Growth'!G:G))</f>
        <v>7312.4060641454589</v>
      </c>
      <c r="H127">
        <f t="shared" ref="H127:H145" si="21">H126+1</f>
        <v>126</v>
      </c>
      <c r="I127">
        <f t="shared" si="20"/>
        <v>0</v>
      </c>
      <c r="J127">
        <f t="shared" si="20"/>
        <v>0</v>
      </c>
      <c r="K127">
        <f t="shared" si="20"/>
        <v>0</v>
      </c>
      <c r="L127">
        <f t="shared" si="20"/>
        <v>1</v>
      </c>
      <c r="N127" s="23">
        <f>'LU OLS Model'!$B$5</f>
        <v>-36743884.5954879</v>
      </c>
      <c r="O127" s="23">
        <f ca="1">'LU OLS Model'!$B$6*D127</f>
        <v>-80945.821478319311</v>
      </c>
      <c r="P127" s="23">
        <f ca="1">'LU OLS Model'!$B$7*E127</f>
        <v>843753.57498334919</v>
      </c>
      <c r="Q127" s="23">
        <f>'LU OLS Model'!$B$8*F127</f>
        <v>10320557.058561331</v>
      </c>
      <c r="R127" s="23">
        <f>'LU OLS Model'!$B$9*G127</f>
        <v>45651263.2545489</v>
      </c>
      <c r="S127" s="23">
        <f>'LU OLS Model'!$B$10*H127</f>
        <v>-4822223.125396736</v>
      </c>
      <c r="T127" s="23">
        <f>'LU OLS Model'!$B$11*I127</f>
        <v>0</v>
      </c>
      <c r="U127" s="23">
        <f>'LU OLS Model'!$B$12*J127</f>
        <v>0</v>
      </c>
      <c r="V127" s="23">
        <f>'LU OLS Model'!$B$13*K127</f>
        <v>0</v>
      </c>
      <c r="W127" s="23">
        <f>'LU OLS Model'!$B$14*L127</f>
        <v>-1707342.3140862701</v>
      </c>
      <c r="X127" s="23">
        <f t="shared" ca="1" si="18"/>
        <v>13461178.031644356</v>
      </c>
    </row>
    <row r="128" spans="1:24" x14ac:dyDescent="0.25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>
        <f t="shared" si="19"/>
        <v>31</v>
      </c>
      <c r="G128" s="30">
        <f>G116*(1+SUMIF('Ontario Employment Growth'!B:B,B128,'Ontario Employment Growth'!G:G))</f>
        <v>7359.9008973240298</v>
      </c>
      <c r="H128">
        <f t="shared" si="21"/>
        <v>127</v>
      </c>
      <c r="I128">
        <f t="shared" si="20"/>
        <v>0</v>
      </c>
      <c r="J128">
        <f t="shared" si="20"/>
        <v>0</v>
      </c>
      <c r="K128">
        <f t="shared" si="20"/>
        <v>0</v>
      </c>
      <c r="L128">
        <f t="shared" si="20"/>
        <v>1</v>
      </c>
      <c r="N128" s="23">
        <f>'LU OLS Model'!$B$5</f>
        <v>-36743884.5954879</v>
      </c>
      <c r="O128" s="23">
        <f ca="1">'LU OLS Model'!$B$6*D128</f>
        <v>-9769.6594942514985</v>
      </c>
      <c r="P128" s="23">
        <f ca="1">'LU OLS Model'!$B$7*E128</f>
        <v>1841210.5145606026</v>
      </c>
      <c r="Q128" s="23">
        <f>'LU OLS Model'!$B$8*F128</f>
        <v>10664575.627180042</v>
      </c>
      <c r="R128" s="23">
        <f>'LU OLS Model'!$B$9*G128</f>
        <v>45947772.927787237</v>
      </c>
      <c r="S128" s="23">
        <f>'LU OLS Model'!$B$10*H128</f>
        <v>-4860494.7375030592</v>
      </c>
      <c r="T128" s="23">
        <f>'LU OLS Model'!$B$11*I128</f>
        <v>0</v>
      </c>
      <c r="U128" s="23">
        <f>'LU OLS Model'!$B$12*J128</f>
        <v>0</v>
      </c>
      <c r="V128" s="23">
        <f>'LU OLS Model'!$B$13*K128</f>
        <v>0</v>
      </c>
      <c r="W128" s="23">
        <f>'LU OLS Model'!$B$14*L128</f>
        <v>-1707342.3140862701</v>
      </c>
      <c r="X128" s="23">
        <f t="shared" ca="1" si="18"/>
        <v>15132067.762956399</v>
      </c>
    </row>
    <row r="129" spans="1:24" x14ac:dyDescent="0.25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>
        <f t="shared" si="19"/>
        <v>31</v>
      </c>
      <c r="G129" s="30">
        <f>G117*(1+SUMIF('Ontario Employment Growth'!B:B,B129,'Ontario Employment Growth'!G:G))</f>
        <v>7372.4886148034275</v>
      </c>
      <c r="H129">
        <f t="shared" si="21"/>
        <v>128</v>
      </c>
      <c r="I129">
        <f t="shared" si="20"/>
        <v>0</v>
      </c>
      <c r="J129">
        <f t="shared" si="20"/>
        <v>0</v>
      </c>
      <c r="K129">
        <f t="shared" si="20"/>
        <v>0</v>
      </c>
      <c r="L129">
        <f t="shared" si="20"/>
        <v>1</v>
      </c>
      <c r="N129" s="23">
        <f>'LU OLS Model'!$B$5</f>
        <v>-36743884.5954879</v>
      </c>
      <c r="O129" s="23">
        <f ca="1">'LU OLS Model'!$B$6*D129</f>
        <v>-24804.404943488833</v>
      </c>
      <c r="P129" s="23">
        <f ca="1">'LU OLS Model'!$B$7*E129</f>
        <v>1467306.6560676435</v>
      </c>
      <c r="Q129" s="23">
        <f>'LU OLS Model'!$B$8*F129</f>
        <v>10664575.627180042</v>
      </c>
      <c r="R129" s="23">
        <f>'LU OLS Model'!$B$9*G129</f>
        <v>46026357.896863766</v>
      </c>
      <c r="S129" s="23">
        <f>'LU OLS Model'!$B$10*H129</f>
        <v>-4898766.3496093825</v>
      </c>
      <c r="T129" s="23">
        <f>'LU OLS Model'!$B$11*I129</f>
        <v>0</v>
      </c>
      <c r="U129" s="23">
        <f>'LU OLS Model'!$B$12*J129</f>
        <v>0</v>
      </c>
      <c r="V129" s="23">
        <f>'LU OLS Model'!$B$13*K129</f>
        <v>0</v>
      </c>
      <c r="W129" s="23">
        <f>'LU OLS Model'!$B$14*L129</f>
        <v>-1707342.3140862701</v>
      </c>
      <c r="X129" s="23">
        <f t="shared" ca="1" si="18"/>
        <v>14783442.515984412</v>
      </c>
    </row>
    <row r="130" spans="1:24" x14ac:dyDescent="0.25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>
        <f t="shared" si="19"/>
        <v>30</v>
      </c>
      <c r="G130" s="30">
        <f>G118*(1+SUMIF('Ontario Employment Growth'!B:B,B130,'Ontario Employment Growth'!G:G))</f>
        <v>7345.4091553519493</v>
      </c>
      <c r="H130">
        <f t="shared" si="21"/>
        <v>129</v>
      </c>
      <c r="I130">
        <f t="shared" si="20"/>
        <v>1</v>
      </c>
      <c r="J130">
        <f t="shared" si="20"/>
        <v>0</v>
      </c>
      <c r="K130">
        <f t="shared" si="20"/>
        <v>0</v>
      </c>
      <c r="L130">
        <f t="shared" si="20"/>
        <v>0</v>
      </c>
      <c r="N130" s="23">
        <f>'LU OLS Model'!$B$5</f>
        <v>-36743884.5954879</v>
      </c>
      <c r="O130" s="23">
        <f ca="1">'LU OLS Model'!$B$6*D130</f>
        <v>-168814.2559715274</v>
      </c>
      <c r="P130" s="23">
        <f ca="1">'LU OLS Model'!$B$7*E130</f>
        <v>378083.67804928281</v>
      </c>
      <c r="Q130" s="23">
        <f>'LU OLS Model'!$B$8*F130</f>
        <v>10320557.058561331</v>
      </c>
      <c r="R130" s="23">
        <f>'LU OLS Model'!$B$9*G130</f>
        <v>45857301.156665519</v>
      </c>
      <c r="S130" s="23">
        <f>'LU OLS Model'!$B$10*H130</f>
        <v>-4937037.9617157057</v>
      </c>
      <c r="T130" s="23">
        <f>'LU OLS Model'!$B$11*I130</f>
        <v>-1051550.2365486601</v>
      </c>
      <c r="U130" s="23">
        <f>'LU OLS Model'!$B$12*J130</f>
        <v>0</v>
      </c>
      <c r="V130" s="23">
        <f>'LU OLS Model'!$B$13*K130</f>
        <v>0</v>
      </c>
      <c r="W130" s="23">
        <f>'LU OLS Model'!$B$14*L130</f>
        <v>0</v>
      </c>
      <c r="X130" s="23">
        <f t="shared" ca="1" si="18"/>
        <v>13654654.843552338</v>
      </c>
    </row>
    <row r="131" spans="1:24" x14ac:dyDescent="0.25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>
        <f t="shared" si="19"/>
        <v>31</v>
      </c>
      <c r="G131" s="30">
        <f>G119*(1+SUMIF('Ontario Employment Growth'!B:B,B131,'Ontario Employment Growth'!G:G))</f>
        <v>7337.4757199657743</v>
      </c>
      <c r="H131">
        <f t="shared" si="21"/>
        <v>130</v>
      </c>
      <c r="I131">
        <f t="shared" si="20"/>
        <v>1</v>
      </c>
      <c r="J131">
        <f t="shared" si="20"/>
        <v>0</v>
      </c>
      <c r="K131">
        <f t="shared" si="20"/>
        <v>0</v>
      </c>
      <c r="L131">
        <f t="shared" si="20"/>
        <v>0</v>
      </c>
      <c r="N131" s="23">
        <f>'LU OLS Model'!$B$5</f>
        <v>-36743884.5954879</v>
      </c>
      <c r="O131" s="23">
        <f ca="1">'LU OLS Model'!$B$6*D131</f>
        <v>-527093.60504913772</v>
      </c>
      <c r="P131" s="23">
        <f ca="1">'LU OLS Model'!$B$7*E131</f>
        <v>22989.007559780512</v>
      </c>
      <c r="Q131" s="23">
        <f>'LU OLS Model'!$B$8*F131</f>
        <v>10664575.627180042</v>
      </c>
      <c r="R131" s="23">
        <f>'LU OLS Model'!$B$9*G131</f>
        <v>45807772.814810567</v>
      </c>
      <c r="S131" s="23">
        <f>'LU OLS Model'!$B$10*H131</f>
        <v>-4975309.5738220289</v>
      </c>
      <c r="T131" s="23">
        <f>'LU OLS Model'!$B$11*I131</f>
        <v>-1051550.2365486601</v>
      </c>
      <c r="U131" s="23">
        <f>'LU OLS Model'!$B$12*J131</f>
        <v>0</v>
      </c>
      <c r="V131" s="23">
        <f>'LU OLS Model'!$B$13*K131</f>
        <v>0</v>
      </c>
      <c r="W131" s="23">
        <f>'LU OLS Model'!$B$14*L131</f>
        <v>0</v>
      </c>
      <c r="X131" s="23">
        <f t="shared" ca="1" si="18"/>
        <v>13197499.43864266</v>
      </c>
    </row>
    <row r="132" spans="1:24" x14ac:dyDescent="0.25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>
        <f t="shared" si="19"/>
        <v>30</v>
      </c>
      <c r="G132" s="30">
        <f>G120*(1+SUMIF('Ontario Employment Growth'!B:B,B132,'Ontario Employment Growth'!G:G))</f>
        <v>7313.8869720842131</v>
      </c>
      <c r="H132">
        <f t="shared" si="21"/>
        <v>131</v>
      </c>
      <c r="I132">
        <f t="shared" si="20"/>
        <v>1</v>
      </c>
      <c r="J132">
        <f t="shared" si="20"/>
        <v>0</v>
      </c>
      <c r="K132">
        <f t="shared" si="20"/>
        <v>0</v>
      </c>
      <c r="L132">
        <f t="shared" si="20"/>
        <v>0</v>
      </c>
      <c r="N132" s="23">
        <f>'LU OLS Model'!$B$5</f>
        <v>-36743884.5954879</v>
      </c>
      <c r="O132" s="23">
        <f ca="1">'LU OLS Model'!$B$6*D132</f>
        <v>-865911.63641165232</v>
      </c>
      <c r="P132" s="23">
        <f ca="1">'LU OLS Model'!$B$7*E132</f>
        <v>0</v>
      </c>
      <c r="Q132" s="23">
        <f>'LU OLS Model'!$B$8*F132</f>
        <v>10320557.058561331</v>
      </c>
      <c r="R132" s="23">
        <f>'LU OLS Model'!$B$9*G132</f>
        <v>45660508.5450285</v>
      </c>
      <c r="S132" s="23">
        <f>'LU OLS Model'!$B$10*H132</f>
        <v>-5013581.1859283522</v>
      </c>
      <c r="T132" s="23">
        <f>'LU OLS Model'!$B$11*I132</f>
        <v>-1051550.2365486601</v>
      </c>
      <c r="U132" s="23">
        <f>'LU OLS Model'!$B$12*J132</f>
        <v>0</v>
      </c>
      <c r="V132" s="23">
        <f>'LU OLS Model'!$B$13*K132</f>
        <v>0</v>
      </c>
      <c r="W132" s="23">
        <f>'LU OLS Model'!$B$14*L132</f>
        <v>0</v>
      </c>
      <c r="X132" s="23">
        <f t="shared" ca="1" si="18"/>
        <v>12306137.949213268</v>
      </c>
    </row>
    <row r="133" spans="1:24" x14ac:dyDescent="0.25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>
        <f t="shared" si="19"/>
        <v>31</v>
      </c>
      <c r="G133" s="30">
        <f>G121*(1+SUMIF('Ontario Employment Growth'!B:B,B133,'Ontario Employment Growth'!G:G))</f>
        <v>7302.1454877126725</v>
      </c>
      <c r="H133">
        <f t="shared" si="21"/>
        <v>132</v>
      </c>
      <c r="I133">
        <f t="shared" si="20"/>
        <v>0</v>
      </c>
      <c r="J133">
        <f t="shared" si="20"/>
        <v>0</v>
      </c>
      <c r="K133">
        <f t="shared" si="20"/>
        <v>1</v>
      </c>
      <c r="L133">
        <f t="shared" si="20"/>
        <v>0</v>
      </c>
      <c r="N133" s="23">
        <f>'LU OLS Model'!$B$5</f>
        <v>-36743884.5954879</v>
      </c>
      <c r="O133" s="23">
        <f ca="1">'LU OLS Model'!$B$6*D133</f>
        <v>-1333841.2755814306</v>
      </c>
      <c r="P133" s="23">
        <f ca="1">'LU OLS Model'!$B$7*E133</f>
        <v>0</v>
      </c>
      <c r="Q133" s="23">
        <f>'LU OLS Model'!$B$8*F133</f>
        <v>10664575.627180042</v>
      </c>
      <c r="R133" s="23">
        <f>'LU OLS Model'!$B$9*G133</f>
        <v>45587206.599083163</v>
      </c>
      <c r="S133" s="23">
        <f>'LU OLS Model'!$B$10*H133</f>
        <v>-5051852.7980346754</v>
      </c>
      <c r="T133" s="23">
        <f>'LU OLS Model'!$B$11*I133</f>
        <v>0</v>
      </c>
      <c r="U133" s="23">
        <f>'LU OLS Model'!$B$12*J133</f>
        <v>0</v>
      </c>
      <c r="V133" s="23">
        <f>'LU OLS Model'!$B$13*K133</f>
        <v>-986240.09211876604</v>
      </c>
      <c r="W133" s="23">
        <f>'LU OLS Model'!$B$14*L133</f>
        <v>0</v>
      </c>
      <c r="X133" s="23">
        <f t="shared" ca="1" si="18"/>
        <v>12135963.465040434</v>
      </c>
    </row>
    <row r="134" spans="1:24" x14ac:dyDescent="0.25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>
        <f t="shared" si="19"/>
        <v>31</v>
      </c>
      <c r="G134" s="30">
        <f>G122*(1+SUMIF('Ontario Employment Growth'!B:B,B134,'Ontario Employment Growth'!G:G))</f>
        <v>7280.4275761190966</v>
      </c>
      <c r="H134">
        <f t="shared" si="21"/>
        <v>133</v>
      </c>
      <c r="I134">
        <f t="shared" si="20"/>
        <v>0</v>
      </c>
      <c r="J134">
        <f t="shared" si="20"/>
        <v>0</v>
      </c>
      <c r="K134">
        <f t="shared" si="20"/>
        <v>0</v>
      </c>
      <c r="L134">
        <f t="shared" si="20"/>
        <v>0</v>
      </c>
      <c r="N134" s="23">
        <f>'LU OLS Model'!$B$5</f>
        <v>-36743884.5954879</v>
      </c>
      <c r="O134" s="23">
        <f ca="1">'LU OLS Model'!$B$6*D134</f>
        <v>-1529390.4680132749</v>
      </c>
      <c r="P134" s="23">
        <f ca="1">'LU OLS Model'!$B$7*E134</f>
        <v>0</v>
      </c>
      <c r="Q134" s="23">
        <f>'LU OLS Model'!$B$8*F134</f>
        <v>10664575.627180042</v>
      </c>
      <c r="R134" s="23">
        <f>'LU OLS Model'!$B$9*G134</f>
        <v>45451621.937782869</v>
      </c>
      <c r="S134" s="23">
        <f>'LU OLS Model'!$B$10*H134</f>
        <v>-5090124.4101409987</v>
      </c>
      <c r="T134" s="23">
        <f>'LU OLS Model'!$B$11*I134</f>
        <v>0</v>
      </c>
      <c r="U134" s="23">
        <f>'LU OLS Model'!$B$12*J134</f>
        <v>0</v>
      </c>
      <c r="V134" s="23">
        <f>'LU OLS Model'!$B$13*K134</f>
        <v>0</v>
      </c>
      <c r="W134" s="23">
        <f>'LU OLS Model'!$B$14*L134</f>
        <v>0</v>
      </c>
      <c r="X134" s="23">
        <f t="shared" ca="1" si="18"/>
        <v>12752798.091320738</v>
      </c>
    </row>
    <row r="135" spans="1:24" x14ac:dyDescent="0.25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>
        <f t="shared" si="19"/>
        <v>29</v>
      </c>
      <c r="G135" s="30">
        <f>G123*(1+SUMIF('Ontario Employment Growth'!B:B,B135,'Ontario Employment Growth'!G:G))</f>
        <v>7244.2720021379873</v>
      </c>
      <c r="H135">
        <f t="shared" si="21"/>
        <v>134</v>
      </c>
      <c r="I135">
        <f t="shared" si="20"/>
        <v>0</v>
      </c>
      <c r="J135">
        <f t="shared" si="20"/>
        <v>0</v>
      </c>
      <c r="K135">
        <f t="shared" si="20"/>
        <v>0</v>
      </c>
      <c r="L135">
        <f t="shared" si="20"/>
        <v>0</v>
      </c>
      <c r="N135" s="23">
        <f>'LU OLS Model'!$B$5</f>
        <v>-36743884.5954879</v>
      </c>
      <c r="O135" s="23">
        <f ca="1">'LU OLS Model'!$B$6*D135</f>
        <v>-1330916.2278286605</v>
      </c>
      <c r="P135" s="23">
        <f ca="1">'LU OLS Model'!$B$7*E135</f>
        <v>0</v>
      </c>
      <c r="Q135" s="23">
        <f>'LU OLS Model'!$B$8*F135</f>
        <v>9976538.4899426196</v>
      </c>
      <c r="R135" s="23">
        <f>'LU OLS Model'!$B$9*G135</f>
        <v>45225903.123557828</v>
      </c>
      <c r="S135" s="23">
        <f>'LU OLS Model'!$B$10*H135</f>
        <v>-5128396.0222473219</v>
      </c>
      <c r="T135" s="23">
        <f>'LU OLS Model'!$B$11*I135</f>
        <v>0</v>
      </c>
      <c r="U135" s="23">
        <f>'LU OLS Model'!$B$12*J135</f>
        <v>0</v>
      </c>
      <c r="V135" s="23">
        <f>'LU OLS Model'!$B$13*K135</f>
        <v>0</v>
      </c>
      <c r="W135" s="23">
        <f>'LU OLS Model'!$B$14*L135</f>
        <v>0</v>
      </c>
      <c r="X135" s="23">
        <f t="shared" ca="1" si="18"/>
        <v>11999244.767936565</v>
      </c>
    </row>
    <row r="136" spans="1:24" x14ac:dyDescent="0.25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>
        <f t="shared" si="19"/>
        <v>31</v>
      </c>
      <c r="G136" s="30">
        <f>G124*(1+SUMIF('Ontario Employment Growth'!B:B,B136,'Ontario Employment Growth'!G:G))</f>
        <v>7221.8084798420323</v>
      </c>
      <c r="H136">
        <f t="shared" si="21"/>
        <v>135</v>
      </c>
      <c r="I136">
        <f t="shared" si="20"/>
        <v>0</v>
      </c>
      <c r="J136">
        <f t="shared" si="20"/>
        <v>0</v>
      </c>
      <c r="K136">
        <f t="shared" si="20"/>
        <v>0</v>
      </c>
      <c r="L136">
        <f t="shared" si="20"/>
        <v>0</v>
      </c>
      <c r="N136" s="23">
        <f>'LU OLS Model'!$B$5</f>
        <v>-36743884.5954879</v>
      </c>
      <c r="O136" s="23">
        <f ca="1">'LU OLS Model'!$B$6*D136</f>
        <v>-1086148.2318768748</v>
      </c>
      <c r="P136" s="23">
        <f ca="1">'LU OLS Model'!$B$7*E136</f>
        <v>0</v>
      </c>
      <c r="Q136" s="23">
        <f>'LU OLS Model'!$B$8*F136</f>
        <v>10664575.627180042</v>
      </c>
      <c r="R136" s="23">
        <f>'LU OLS Model'!$B$9*G136</f>
        <v>45085663.623595521</v>
      </c>
      <c r="S136" s="23">
        <f>'LU OLS Model'!$B$10*H136</f>
        <v>-5166667.6343536451</v>
      </c>
      <c r="T136" s="23">
        <f>'LU OLS Model'!$B$11*I136</f>
        <v>0</v>
      </c>
      <c r="U136" s="23">
        <f>'LU OLS Model'!$B$12*J136</f>
        <v>0</v>
      </c>
      <c r="V136" s="23">
        <f>'LU OLS Model'!$B$13*K136</f>
        <v>0</v>
      </c>
      <c r="W136" s="23">
        <f>'LU OLS Model'!$B$14*L136</f>
        <v>0</v>
      </c>
      <c r="X136" s="23">
        <f t="shared" ca="1" si="18"/>
        <v>12753538.789057143</v>
      </c>
    </row>
    <row r="137" spans="1:24" x14ac:dyDescent="0.25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>
        <f t="shared" si="19"/>
        <v>30</v>
      </c>
      <c r="G137" s="30">
        <f>G125*(1+SUMIF('Ontario Employment Growth'!B:B,B137,'Ontario Employment Growth'!G:G))</f>
        <v>7257.8570846693492</v>
      </c>
      <c r="H137">
        <f t="shared" si="21"/>
        <v>136</v>
      </c>
      <c r="I137">
        <f t="shared" si="20"/>
        <v>0</v>
      </c>
      <c r="J137">
        <f t="shared" si="20"/>
        <v>1</v>
      </c>
      <c r="K137">
        <f t="shared" si="20"/>
        <v>0</v>
      </c>
      <c r="L137">
        <f t="shared" si="20"/>
        <v>0</v>
      </c>
      <c r="N137" s="23">
        <f>'LU OLS Model'!$B$5</f>
        <v>-36743884.5954879</v>
      </c>
      <c r="O137" s="23">
        <f ca="1">'LU OLS Model'!$B$6*D137</f>
        <v>-636860.89705141657</v>
      </c>
      <c r="P137" s="23">
        <f ca="1">'LU OLS Model'!$B$7*E137</f>
        <v>7409.6801225738845</v>
      </c>
      <c r="Q137" s="23">
        <f>'LU OLS Model'!$B$8*F137</f>
        <v>10320557.058561331</v>
      </c>
      <c r="R137" s="23">
        <f>'LU OLS Model'!$B$9*G137</f>
        <v>45310714.630677879</v>
      </c>
      <c r="S137" s="23">
        <f>'LU OLS Model'!$B$10*H137</f>
        <v>-5204939.2464599684</v>
      </c>
      <c r="T137" s="23">
        <f>'LU OLS Model'!$B$11*I137</f>
        <v>0</v>
      </c>
      <c r="U137" s="23">
        <f>'LU OLS Model'!$B$12*J137</f>
        <v>-1041288.65545601</v>
      </c>
      <c r="V137" s="23">
        <f>'LU OLS Model'!$B$13*K137</f>
        <v>0</v>
      </c>
      <c r="W137" s="23">
        <f>'LU OLS Model'!$B$14*L137</f>
        <v>0</v>
      </c>
      <c r="X137" s="23">
        <f t="shared" ca="1" si="18"/>
        <v>12011707.974906493</v>
      </c>
    </row>
    <row r="138" spans="1:24" x14ac:dyDescent="0.25">
      <c r="A138" s="11">
        <v>43952</v>
      </c>
      <c r="B138" s="6">
        <f t="shared" si="15"/>
        <v>2020</v>
      </c>
      <c r="D138">
        <f t="shared" ref="D138:F145" ca="1" si="22">D126</f>
        <v>144.96</v>
      </c>
      <c r="E138">
        <f t="shared" ca="1" si="22"/>
        <v>8.67</v>
      </c>
      <c r="F138">
        <f t="shared" si="22"/>
        <v>31</v>
      </c>
      <c r="G138" s="30">
        <f>G126*(1+SUMIF('Ontario Employment Growth'!B:B,B138,'Ontario Employment Growth'!G:G))</f>
        <v>7319.4713172525417</v>
      </c>
      <c r="H138">
        <f t="shared" si="21"/>
        <v>137</v>
      </c>
      <c r="I138">
        <f t="shared" ref="I138:L145" si="23">I126</f>
        <v>0</v>
      </c>
      <c r="J138">
        <f t="shared" si="23"/>
        <v>0</v>
      </c>
      <c r="K138">
        <f t="shared" si="23"/>
        <v>0</v>
      </c>
      <c r="L138">
        <f t="shared" si="23"/>
        <v>1</v>
      </c>
      <c r="N138" s="23">
        <f>'LU OLS Model'!$B$5</f>
        <v>-36743884.5954879</v>
      </c>
      <c r="O138" s="23">
        <f ca="1">'LU OLS Model'!$B$6*D138</f>
        <v>-282676.61482768413</v>
      </c>
      <c r="P138" s="23">
        <f ca="1">'LU OLS Model'!$B$7*E138</f>
        <v>164722.88887875789</v>
      </c>
      <c r="Q138" s="23">
        <f>'LU OLS Model'!$B$8*F138</f>
        <v>10664575.627180042</v>
      </c>
      <c r="R138" s="23">
        <f>'LU OLS Model'!$B$9*G138</f>
        <v>45695371.544860199</v>
      </c>
      <c r="S138" s="23">
        <f>'LU OLS Model'!$B$10*H138</f>
        <v>-5243210.8585662926</v>
      </c>
      <c r="T138" s="23">
        <f>'LU OLS Model'!$B$11*I138</f>
        <v>0</v>
      </c>
      <c r="U138" s="23">
        <f>'LU OLS Model'!$B$12*J138</f>
        <v>0</v>
      </c>
      <c r="V138" s="23">
        <f>'LU OLS Model'!$B$13*K138</f>
        <v>0</v>
      </c>
      <c r="W138" s="23">
        <f>'LU OLS Model'!$B$14*L138</f>
        <v>-1707342.3140862701</v>
      </c>
      <c r="X138" s="23">
        <f t="shared" ca="1" si="18"/>
        <v>12547555.677950848</v>
      </c>
    </row>
    <row r="139" spans="1:24" x14ac:dyDescent="0.25">
      <c r="A139" s="11">
        <v>43983</v>
      </c>
      <c r="B139" s="6">
        <f t="shared" si="15"/>
        <v>2020</v>
      </c>
      <c r="D139">
        <f t="shared" ca="1" si="22"/>
        <v>41.510000000000005</v>
      </c>
      <c r="E139">
        <f t="shared" ca="1" si="22"/>
        <v>44.41</v>
      </c>
      <c r="F139">
        <f t="shared" si="22"/>
        <v>30</v>
      </c>
      <c r="G139" s="30">
        <f>G127*(1+SUMIF('Ontario Employment Growth'!B:B,B139,'Ontario Employment Growth'!G:G))</f>
        <v>7394.6706323670951</v>
      </c>
      <c r="H139">
        <f t="shared" si="21"/>
        <v>138</v>
      </c>
      <c r="I139">
        <f t="shared" si="23"/>
        <v>0</v>
      </c>
      <c r="J139">
        <f t="shared" si="23"/>
        <v>0</v>
      </c>
      <c r="K139">
        <f t="shared" si="23"/>
        <v>0</v>
      </c>
      <c r="L139">
        <f t="shared" si="23"/>
        <v>1</v>
      </c>
      <c r="N139" s="23">
        <f>'LU OLS Model'!$B$5</f>
        <v>-36743884.5954879</v>
      </c>
      <c r="O139" s="23">
        <f ca="1">'LU OLS Model'!$B$6*D139</f>
        <v>-80945.821478319311</v>
      </c>
      <c r="P139" s="23">
        <f ca="1">'LU OLS Model'!$B$7*E139</f>
        <v>843753.57498334919</v>
      </c>
      <c r="Q139" s="23">
        <f>'LU OLS Model'!$B$8*F139</f>
        <v>10320557.058561331</v>
      </c>
      <c r="R139" s="23">
        <f>'LU OLS Model'!$B$9*G139</f>
        <v>46164839.966162577</v>
      </c>
      <c r="S139" s="23">
        <f>'LU OLS Model'!$B$10*H139</f>
        <v>-5281482.4706726158</v>
      </c>
      <c r="T139" s="23">
        <f>'LU OLS Model'!$B$11*I139</f>
        <v>0</v>
      </c>
      <c r="U139" s="23">
        <f>'LU OLS Model'!$B$12*J139</f>
        <v>0</v>
      </c>
      <c r="V139" s="23">
        <f>'LU OLS Model'!$B$13*K139</f>
        <v>0</v>
      </c>
      <c r="W139" s="23">
        <f>'LU OLS Model'!$B$14*L139</f>
        <v>-1707342.3140862701</v>
      </c>
      <c r="X139" s="23">
        <f t="shared" ca="1" si="18"/>
        <v>13515495.397982154</v>
      </c>
    </row>
    <row r="140" spans="1:24" x14ac:dyDescent="0.25">
      <c r="A140" s="11">
        <v>44013</v>
      </c>
      <c r="B140" s="6">
        <f t="shared" si="15"/>
        <v>2020</v>
      </c>
      <c r="D140">
        <f t="shared" ca="1" si="22"/>
        <v>5.01</v>
      </c>
      <c r="E140">
        <f t="shared" ca="1" si="22"/>
        <v>96.909999999999982</v>
      </c>
      <c r="F140">
        <f t="shared" si="22"/>
        <v>31</v>
      </c>
      <c r="G140" s="30">
        <f>G128*(1+SUMIF('Ontario Employment Growth'!B:B,B140,'Ontario Employment Growth'!G:G))</f>
        <v>7442.6997824189248</v>
      </c>
      <c r="H140">
        <f t="shared" si="21"/>
        <v>139</v>
      </c>
      <c r="I140">
        <f t="shared" si="23"/>
        <v>0</v>
      </c>
      <c r="J140">
        <f t="shared" si="23"/>
        <v>0</v>
      </c>
      <c r="K140">
        <f t="shared" si="23"/>
        <v>0</v>
      </c>
      <c r="L140">
        <f t="shared" si="23"/>
        <v>1</v>
      </c>
      <c r="N140" s="23">
        <f>'LU OLS Model'!$B$5</f>
        <v>-36743884.5954879</v>
      </c>
      <c r="O140" s="23">
        <f ca="1">'LU OLS Model'!$B$6*D140</f>
        <v>-9769.6594942514985</v>
      </c>
      <c r="P140" s="23">
        <f ca="1">'LU OLS Model'!$B$7*E140</f>
        <v>1841210.5145606026</v>
      </c>
      <c r="Q140" s="23">
        <f>'LU OLS Model'!$B$8*F140</f>
        <v>10664575.627180042</v>
      </c>
      <c r="R140" s="23">
        <f>'LU OLS Model'!$B$9*G140</f>
        <v>46464685.373224847</v>
      </c>
      <c r="S140" s="23">
        <f>'LU OLS Model'!$B$10*H140</f>
        <v>-5319754.082778939</v>
      </c>
      <c r="T140" s="23">
        <f>'LU OLS Model'!$B$11*I140</f>
        <v>0</v>
      </c>
      <c r="U140" s="23">
        <f>'LU OLS Model'!$B$12*J140</f>
        <v>0</v>
      </c>
      <c r="V140" s="23">
        <f>'LU OLS Model'!$B$13*K140</f>
        <v>0</v>
      </c>
      <c r="W140" s="23">
        <f>'LU OLS Model'!$B$14*L140</f>
        <v>-1707342.3140862701</v>
      </c>
      <c r="X140" s="23">
        <f t="shared" ca="1" si="18"/>
        <v>15189720.863118131</v>
      </c>
    </row>
    <row r="141" spans="1:24" x14ac:dyDescent="0.25">
      <c r="A141" s="11">
        <v>44044</v>
      </c>
      <c r="B141" s="6">
        <f t="shared" si="15"/>
        <v>2020</v>
      </c>
      <c r="D141">
        <f t="shared" ca="1" si="22"/>
        <v>12.719999999999999</v>
      </c>
      <c r="E141">
        <f t="shared" ca="1" si="22"/>
        <v>77.22999999999999</v>
      </c>
      <c r="F141">
        <f t="shared" si="22"/>
        <v>31</v>
      </c>
      <c r="G141" s="30">
        <f>G129*(1+SUMIF('Ontario Employment Growth'!B:B,B141,'Ontario Employment Growth'!G:G))</f>
        <v>7455.4291117199655</v>
      </c>
      <c r="H141">
        <f t="shared" si="21"/>
        <v>140</v>
      </c>
      <c r="I141">
        <f t="shared" si="23"/>
        <v>0</v>
      </c>
      <c r="J141">
        <f t="shared" si="23"/>
        <v>0</v>
      </c>
      <c r="K141">
        <f t="shared" si="23"/>
        <v>0</v>
      </c>
      <c r="L141">
        <f t="shared" si="23"/>
        <v>1</v>
      </c>
      <c r="N141" s="23">
        <f>'LU OLS Model'!$B$5</f>
        <v>-36743884.5954879</v>
      </c>
      <c r="O141" s="23">
        <f ca="1">'LU OLS Model'!$B$6*D141</f>
        <v>-24804.404943488833</v>
      </c>
      <c r="P141" s="23">
        <f ca="1">'LU OLS Model'!$B$7*E141</f>
        <v>1467306.6560676435</v>
      </c>
      <c r="Q141" s="23">
        <f>'LU OLS Model'!$B$8*F141</f>
        <v>10664575.627180042</v>
      </c>
      <c r="R141" s="23">
        <f>'LU OLS Model'!$B$9*G141</f>
        <v>46544154.423203483</v>
      </c>
      <c r="S141" s="23">
        <f>'LU OLS Model'!$B$10*H141</f>
        <v>-5358025.6948852623</v>
      </c>
      <c r="T141" s="23">
        <f>'LU OLS Model'!$B$11*I141</f>
        <v>0</v>
      </c>
      <c r="U141" s="23">
        <f>'LU OLS Model'!$B$12*J141</f>
        <v>0</v>
      </c>
      <c r="V141" s="23">
        <f>'LU OLS Model'!$B$13*K141</f>
        <v>0</v>
      </c>
      <c r="W141" s="23">
        <f>'LU OLS Model'!$B$14*L141</f>
        <v>-1707342.3140862701</v>
      </c>
      <c r="X141" s="23">
        <f t="shared" ca="1" si="18"/>
        <v>14841979.697048251</v>
      </c>
    </row>
    <row r="142" spans="1:24" x14ac:dyDescent="0.25">
      <c r="A142" s="11">
        <v>44075</v>
      </c>
      <c r="B142" s="6">
        <f t="shared" si="15"/>
        <v>2020</v>
      </c>
      <c r="D142">
        <f t="shared" ca="1" si="22"/>
        <v>86.570000000000007</v>
      </c>
      <c r="E142">
        <f t="shared" ca="1" si="22"/>
        <v>19.899999999999999</v>
      </c>
      <c r="F142">
        <f t="shared" si="22"/>
        <v>30</v>
      </c>
      <c r="G142" s="30">
        <f>G130*(1+SUMIF('Ontario Employment Growth'!B:B,B142,'Ontario Employment Growth'!G:G))</f>
        <v>7428.0450083496589</v>
      </c>
      <c r="H142">
        <f t="shared" si="21"/>
        <v>141</v>
      </c>
      <c r="I142">
        <f t="shared" si="23"/>
        <v>1</v>
      </c>
      <c r="J142">
        <f t="shared" si="23"/>
        <v>0</v>
      </c>
      <c r="K142">
        <f t="shared" si="23"/>
        <v>0</v>
      </c>
      <c r="L142">
        <f t="shared" si="23"/>
        <v>0</v>
      </c>
      <c r="N142" s="23">
        <f>'LU OLS Model'!$B$5</f>
        <v>-36743884.5954879</v>
      </c>
      <c r="O142" s="23">
        <f ca="1">'LU OLS Model'!$B$6*D142</f>
        <v>-168814.2559715274</v>
      </c>
      <c r="P142" s="23">
        <f ca="1">'LU OLS Model'!$B$7*E142</f>
        <v>378083.67804928281</v>
      </c>
      <c r="Q142" s="23">
        <f>'LU OLS Model'!$B$8*F142</f>
        <v>10320557.058561331</v>
      </c>
      <c r="R142" s="23">
        <f>'LU OLS Model'!$B$9*G142</f>
        <v>46373195.79467801</v>
      </c>
      <c r="S142" s="23">
        <f>'LU OLS Model'!$B$10*H142</f>
        <v>-5396297.3069915855</v>
      </c>
      <c r="T142" s="23">
        <f>'LU OLS Model'!$B$11*I142</f>
        <v>-1051550.2365486601</v>
      </c>
      <c r="U142" s="23">
        <f>'LU OLS Model'!$B$12*J142</f>
        <v>0</v>
      </c>
      <c r="V142" s="23">
        <f>'LU OLS Model'!$B$13*K142</f>
        <v>0</v>
      </c>
      <c r="W142" s="23">
        <f>'LU OLS Model'!$B$14*L142</f>
        <v>0</v>
      </c>
      <c r="X142" s="23">
        <f t="shared" ca="1" si="18"/>
        <v>13711290.13628895</v>
      </c>
    </row>
    <row r="143" spans="1:24" x14ac:dyDescent="0.25">
      <c r="A143" s="11">
        <v>44105</v>
      </c>
      <c r="B143" s="6">
        <f t="shared" si="15"/>
        <v>2020</v>
      </c>
      <c r="D143">
        <f t="shared" ca="1" si="22"/>
        <v>270.3</v>
      </c>
      <c r="E143">
        <f t="shared" ca="1" si="22"/>
        <v>1.21</v>
      </c>
      <c r="F143">
        <f t="shared" si="22"/>
        <v>31</v>
      </c>
      <c r="G143" s="30">
        <f>G131*(1+SUMIF('Ontario Employment Growth'!B:B,B143,'Ontario Employment Growth'!G:G))</f>
        <v>7420.0223218153888</v>
      </c>
      <c r="H143">
        <f t="shared" si="21"/>
        <v>142</v>
      </c>
      <c r="I143">
        <f t="shared" si="23"/>
        <v>1</v>
      </c>
      <c r="J143">
        <f t="shared" si="23"/>
        <v>0</v>
      </c>
      <c r="K143">
        <f t="shared" si="23"/>
        <v>0</v>
      </c>
      <c r="L143">
        <f t="shared" si="23"/>
        <v>0</v>
      </c>
      <c r="N143" s="23">
        <f>'LU OLS Model'!$B$5</f>
        <v>-36743884.5954879</v>
      </c>
      <c r="O143" s="23">
        <f ca="1">'LU OLS Model'!$B$6*D143</f>
        <v>-527093.60504913772</v>
      </c>
      <c r="P143" s="23">
        <f ca="1">'LU OLS Model'!$B$7*E143</f>
        <v>22989.007559780512</v>
      </c>
      <c r="Q143" s="23">
        <f>'LU OLS Model'!$B$8*F143</f>
        <v>10664575.627180042</v>
      </c>
      <c r="R143" s="23">
        <f>'LU OLS Model'!$B$9*G143</f>
        <v>46323110.258977182</v>
      </c>
      <c r="S143" s="23">
        <f>'LU OLS Model'!$B$10*H143</f>
        <v>-5434568.9190979088</v>
      </c>
      <c r="T143" s="23">
        <f>'LU OLS Model'!$B$11*I143</f>
        <v>-1051550.2365486601</v>
      </c>
      <c r="U143" s="23">
        <f>'LU OLS Model'!$B$12*J143</f>
        <v>0</v>
      </c>
      <c r="V143" s="23">
        <f>'LU OLS Model'!$B$13*K143</f>
        <v>0</v>
      </c>
      <c r="W143" s="23">
        <f>'LU OLS Model'!$B$14*L143</f>
        <v>0</v>
      </c>
      <c r="X143" s="23">
        <f t="shared" ca="1" si="18"/>
        <v>13253577.537533397</v>
      </c>
    </row>
    <row r="144" spans="1:24" x14ac:dyDescent="0.25">
      <c r="A144" s="11">
        <v>44136</v>
      </c>
      <c r="B144" s="6">
        <f t="shared" si="15"/>
        <v>2020</v>
      </c>
      <c r="D144">
        <f t="shared" ca="1" si="22"/>
        <v>444.05</v>
      </c>
      <c r="E144">
        <f t="shared" ca="1" si="22"/>
        <v>0</v>
      </c>
      <c r="F144">
        <f t="shared" si="22"/>
        <v>30</v>
      </c>
      <c r="G144" s="30">
        <f>G132*(1+SUMIF('Ontario Employment Growth'!B:B,B144,'Ontario Employment Growth'!G:G))</f>
        <v>7396.1682005201601</v>
      </c>
      <c r="H144">
        <f t="shared" si="21"/>
        <v>143</v>
      </c>
      <c r="I144">
        <f t="shared" si="23"/>
        <v>1</v>
      </c>
      <c r="J144">
        <f t="shared" si="23"/>
        <v>0</v>
      </c>
      <c r="K144">
        <f t="shared" si="23"/>
        <v>0</v>
      </c>
      <c r="L144">
        <f t="shared" si="23"/>
        <v>0</v>
      </c>
      <c r="N144" s="23">
        <f>'LU OLS Model'!$B$5</f>
        <v>-36743884.5954879</v>
      </c>
      <c r="O144" s="23">
        <f ca="1">'LU OLS Model'!$B$6*D144</f>
        <v>-865911.63641165232</v>
      </c>
      <c r="P144" s="23">
        <f ca="1">'LU OLS Model'!$B$7*E144</f>
        <v>0</v>
      </c>
      <c r="Q144" s="23">
        <f>'LU OLS Model'!$B$8*F144</f>
        <v>10320557.058561331</v>
      </c>
      <c r="R144" s="23">
        <f>'LU OLS Model'!$B$9*G144</f>
        <v>46174189.266160071</v>
      </c>
      <c r="S144" s="23">
        <f>'LU OLS Model'!$B$10*H144</f>
        <v>-5472840.531204232</v>
      </c>
      <c r="T144" s="23">
        <f>'LU OLS Model'!$B$11*I144</f>
        <v>-1051550.2365486601</v>
      </c>
      <c r="U144" s="23">
        <f>'LU OLS Model'!$B$12*J144</f>
        <v>0</v>
      </c>
      <c r="V144" s="23">
        <f>'LU OLS Model'!$B$13*K144</f>
        <v>0</v>
      </c>
      <c r="W144" s="23">
        <f>'LU OLS Model'!$B$14*L144</f>
        <v>0</v>
      </c>
      <c r="X144" s="23">
        <f t="shared" ca="1" si="18"/>
        <v>12360559.32506896</v>
      </c>
    </row>
    <row r="145" spans="1:24" x14ac:dyDescent="0.25">
      <c r="A145" s="11">
        <v>44166</v>
      </c>
      <c r="B145" s="6">
        <f t="shared" si="15"/>
        <v>2020</v>
      </c>
      <c r="D145">
        <f t="shared" ca="1" si="22"/>
        <v>684.01</v>
      </c>
      <c r="E145">
        <f t="shared" ca="1" si="22"/>
        <v>0</v>
      </c>
      <c r="F145">
        <f t="shared" si="22"/>
        <v>31</v>
      </c>
      <c r="G145" s="30">
        <f>G133*(1+SUMIF('Ontario Employment Growth'!B:B,B145,'Ontario Employment Growth'!G:G))</f>
        <v>7384.2946244494397</v>
      </c>
      <c r="H145">
        <f t="shared" si="21"/>
        <v>144</v>
      </c>
      <c r="I145">
        <f t="shared" si="23"/>
        <v>0</v>
      </c>
      <c r="J145">
        <f t="shared" si="23"/>
        <v>0</v>
      </c>
      <c r="K145">
        <f t="shared" si="23"/>
        <v>1</v>
      </c>
      <c r="L145">
        <f t="shared" si="23"/>
        <v>0</v>
      </c>
      <c r="N145" s="23">
        <f>'LU OLS Model'!$B$5</f>
        <v>-36743884.5954879</v>
      </c>
      <c r="O145" s="23">
        <f ca="1">'LU OLS Model'!$B$6*D145</f>
        <v>-1333841.2755814306</v>
      </c>
      <c r="P145" s="23">
        <f ca="1">'LU OLS Model'!$B$7*E145</f>
        <v>0</v>
      </c>
      <c r="Q145" s="23">
        <f>'LU OLS Model'!$B$8*F145</f>
        <v>10664575.627180042</v>
      </c>
      <c r="R145" s="23">
        <f>'LU OLS Model'!$B$9*G145</f>
        <v>46100062.673322842</v>
      </c>
      <c r="S145" s="23">
        <f>'LU OLS Model'!$B$10*H145</f>
        <v>-5511112.1433105553</v>
      </c>
      <c r="T145" s="23">
        <f>'LU OLS Model'!$B$11*I145</f>
        <v>0</v>
      </c>
      <c r="U145" s="23">
        <f>'LU OLS Model'!$B$12*J145</f>
        <v>0</v>
      </c>
      <c r="V145" s="23">
        <f>'LU OLS Model'!$B$13*K145</f>
        <v>-986240.09211876604</v>
      </c>
      <c r="W145" s="23">
        <f>'LU OLS Model'!$B$14*L145</f>
        <v>0</v>
      </c>
      <c r="X145" s="23">
        <f t="shared" ca="1" si="18"/>
        <v>12189560.194004234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22"/>
  <sheetViews>
    <sheetView topLeftCell="K1" workbookViewId="0">
      <pane xSplit="22644" topLeftCell="AO1"/>
      <selection activeCell="AM11" sqref="AM11"/>
      <selection pane="topRight" activeCell="AO1" sqref="AO1"/>
    </sheetView>
  </sheetViews>
  <sheetFormatPr defaultRowHeight="13.2" x14ac:dyDescent="0.25"/>
  <cols>
    <col min="1" max="1" width="3" customWidth="1"/>
    <col min="2" max="2" width="5" bestFit="1" customWidth="1"/>
    <col min="3" max="3" width="10" bestFit="1" customWidth="1"/>
    <col min="4" max="4" width="7.33203125" customWidth="1"/>
    <col min="5" max="5" width="12" hidden="1" customWidth="1"/>
    <col min="6" max="6" width="3" customWidth="1"/>
    <col min="7" max="7" width="5" bestFit="1" customWidth="1"/>
    <col min="8" max="8" width="10" bestFit="1" customWidth="1"/>
    <col min="9" max="9" width="7.33203125" customWidth="1"/>
    <col min="10" max="10" width="12" hidden="1" customWidth="1"/>
    <col min="11" max="11" width="3" customWidth="1"/>
    <col min="12" max="12" width="5" bestFit="1" customWidth="1"/>
    <col min="13" max="13" width="11.21875" bestFit="1" customWidth="1"/>
    <col min="14" max="14" width="8.109375" customWidth="1"/>
    <col min="15" max="15" width="12" hidden="1" customWidth="1"/>
    <col min="16" max="16" width="3" customWidth="1"/>
    <col min="17" max="17" width="5" bestFit="1" customWidth="1"/>
    <col min="18" max="18" width="10" bestFit="1" customWidth="1"/>
    <col min="19" max="19" width="7.33203125" customWidth="1"/>
    <col min="20" max="20" width="3" customWidth="1"/>
    <col min="21" max="21" width="6.6640625" customWidth="1"/>
    <col min="22" max="22" width="9.109375" customWidth="1"/>
    <col min="23" max="23" width="7.33203125" customWidth="1"/>
    <col min="24" max="24" width="12" hidden="1" customWidth="1"/>
    <col min="25" max="25" width="3" customWidth="1"/>
    <col min="26" max="26" width="5" bestFit="1" customWidth="1"/>
    <col min="27" max="27" width="11.33203125" bestFit="1" customWidth="1"/>
    <col min="28" max="28" width="7.33203125" customWidth="1"/>
    <col min="29" max="29" width="12" hidden="1" customWidth="1"/>
  </cols>
  <sheetData>
    <row r="1" spans="2:30" x14ac:dyDescent="0.25">
      <c r="U1" s="148" t="s">
        <v>94</v>
      </c>
    </row>
    <row r="2" spans="2:30" x14ac:dyDescent="0.25">
      <c r="B2" s="150" t="s">
        <v>101</v>
      </c>
      <c r="C2" s="150"/>
      <c r="D2" s="148" t="s">
        <v>80</v>
      </c>
      <c r="G2" s="151" t="s">
        <v>102</v>
      </c>
      <c r="H2" s="151"/>
      <c r="I2" s="149" t="s">
        <v>80</v>
      </c>
      <c r="J2" s="119"/>
      <c r="K2" s="119"/>
      <c r="L2" s="151" t="s">
        <v>103</v>
      </c>
      <c r="M2" s="151"/>
      <c r="N2" s="149" t="s">
        <v>80</v>
      </c>
      <c r="Q2" s="150" t="s">
        <v>93</v>
      </c>
      <c r="R2" s="150"/>
      <c r="S2" s="148" t="s">
        <v>80</v>
      </c>
      <c r="U2" s="148"/>
      <c r="V2" s="148" t="s">
        <v>108</v>
      </c>
      <c r="W2" s="148" t="s">
        <v>80</v>
      </c>
      <c r="Z2" t="s">
        <v>100</v>
      </c>
      <c r="AA2" s="2"/>
      <c r="AB2" s="148" t="s">
        <v>80</v>
      </c>
    </row>
    <row r="3" spans="2:30" x14ac:dyDescent="0.25">
      <c r="B3" s="2" t="s">
        <v>33</v>
      </c>
      <c r="C3" s="2" t="s">
        <v>107</v>
      </c>
      <c r="D3" s="148"/>
      <c r="G3" s="137" t="s">
        <v>33</v>
      </c>
      <c r="H3" s="138" t="s">
        <v>195</v>
      </c>
      <c r="I3" s="149"/>
      <c r="J3" s="119"/>
      <c r="K3" s="119"/>
      <c r="L3" s="137" t="s">
        <v>33</v>
      </c>
      <c r="M3" s="138" t="s">
        <v>196</v>
      </c>
      <c r="N3" s="149"/>
      <c r="Q3" s="2" t="s">
        <v>33</v>
      </c>
      <c r="R3" s="2" t="s">
        <v>107</v>
      </c>
      <c r="S3" s="148"/>
      <c r="U3" s="2" t="s">
        <v>33</v>
      </c>
      <c r="V3" s="148"/>
      <c r="W3" s="148"/>
      <c r="Z3" s="2" t="s">
        <v>33</v>
      </c>
      <c r="AA3" s="2" t="s">
        <v>109</v>
      </c>
      <c r="AB3" s="148"/>
    </row>
    <row r="4" spans="2:30" x14ac:dyDescent="0.25">
      <c r="B4">
        <v>2009</v>
      </c>
      <c r="C4" s="4">
        <f>SUMIF('Monthly Data'!$B$2:$B$97,B4,'Monthly Data'!T$2:T$97)/12</f>
        <v>23107.416666666668</v>
      </c>
      <c r="D4" s="8"/>
      <c r="G4" s="119">
        <v>2009</v>
      </c>
      <c r="H4" s="121">
        <f>SUMIF('Monthly Data'!$B$2:$B$97,G4,'Monthly Data'!U$2:U$97)/12+53</f>
        <v>3319.4166666666665</v>
      </c>
      <c r="I4" s="139"/>
      <c r="J4" s="119"/>
      <c r="K4" s="119"/>
      <c r="L4" s="119">
        <v>2009</v>
      </c>
      <c r="M4" s="121">
        <f>SUMIF('Monthly Data'!$B$2:$B$97,L4,'Monthly Data'!X$2:X$97)/12-53</f>
        <v>295.16666666666669</v>
      </c>
      <c r="N4" s="139"/>
      <c r="Q4">
        <v>2009</v>
      </c>
      <c r="R4" s="4">
        <f>SUMIF('Monthly Data'!$B$2:$B$97,Q4,'Monthly Data'!Z$2:Z$97)/12</f>
        <v>3</v>
      </c>
      <c r="S4" s="8"/>
      <c r="U4">
        <v>2009</v>
      </c>
      <c r="V4" s="4">
        <f>SUMIF('Monthly Data'!$B$2:$B$97,U4,'Monthly Data'!AA$2:AA$97)/12</f>
        <v>5114</v>
      </c>
      <c r="W4" s="13"/>
      <c r="Z4">
        <v>2009</v>
      </c>
      <c r="AA4" s="4">
        <f>SUMIF('Monthly Data'!$B$2:$B$97,Z4,'Monthly Data'!AB$2:AB$97)/12</f>
        <v>162.58333333333334</v>
      </c>
      <c r="AB4" s="13"/>
    </row>
    <row r="5" spans="2:30" x14ac:dyDescent="0.25">
      <c r="B5">
        <v>2010</v>
      </c>
      <c r="C5" s="4">
        <f>SUMIF('Monthly Data'!$B$2:$B$97,B5,'Monthly Data'!T$2:T$97)/12</f>
        <v>23163.416666666668</v>
      </c>
      <c r="D5" s="13">
        <f>(C5-C4)/C4</f>
        <v>2.4234643278312519E-3</v>
      </c>
      <c r="E5" s="10">
        <f>D5+1</f>
        <v>1.0024234643278314</v>
      </c>
      <c r="F5" s="10"/>
      <c r="G5" s="119">
        <v>2010</v>
      </c>
      <c r="H5" s="121">
        <f>SUMIF('Monthly Data'!$B$2:$B$97,G5,'Monthly Data'!U$2:U$97)/12+53</f>
        <v>3300</v>
      </c>
      <c r="I5" s="139">
        <f>(H5-H4)/H4</f>
        <v>-5.849421334069696E-3</v>
      </c>
      <c r="J5" s="140">
        <f>I5+1</f>
        <v>0.99415057866593026</v>
      </c>
      <c r="K5" s="140"/>
      <c r="L5" s="119">
        <v>2010</v>
      </c>
      <c r="M5" s="121">
        <f>SUMIF('Monthly Data'!$B$2:$B$97,L5,'Monthly Data'!X$2:X$97)/12-53</f>
        <v>293.83333333333331</v>
      </c>
      <c r="N5" s="139">
        <f>(M5-M4)/M4</f>
        <v>-4.5172219085263844E-3</v>
      </c>
      <c r="O5" s="10">
        <f>N5+1</f>
        <v>0.99548277809147356</v>
      </c>
      <c r="P5" s="10"/>
      <c r="Q5">
        <v>2010</v>
      </c>
      <c r="R5" s="4">
        <f>SUMIF('Monthly Data'!$B$2:$B$97,Q5,'Monthly Data'!Z$2:Z$97)/12</f>
        <v>3</v>
      </c>
      <c r="S5" s="8">
        <f>(R5-R4)/R4</f>
        <v>0</v>
      </c>
      <c r="U5">
        <v>2010</v>
      </c>
      <c r="V5" s="4">
        <f>SUMIF('Monthly Data'!$B$2:$B$97,U5,'Monthly Data'!AA$2:AA$97)/12</f>
        <v>5117.25</v>
      </c>
      <c r="W5" s="13">
        <f>(V5-V4)/V4</f>
        <v>6.3551036370746968E-4</v>
      </c>
      <c r="X5" s="10">
        <f>W5+1</f>
        <v>1.0006355103637075</v>
      </c>
      <c r="Y5" s="10"/>
      <c r="Z5">
        <v>2010</v>
      </c>
      <c r="AA5" s="4">
        <f>SUMIF('Monthly Data'!$B$2:$B$97,Z5,'Monthly Data'!AB$2:AB$97)/12</f>
        <v>158.25</v>
      </c>
      <c r="AB5" s="13">
        <f>(AA5-AA4)/AA4</f>
        <v>-2.665299846232707E-2</v>
      </c>
      <c r="AC5" s="10">
        <f>AB5+1</f>
        <v>0.97334700153767295</v>
      </c>
    </row>
    <row r="6" spans="2:30" x14ac:dyDescent="0.25">
      <c r="B6">
        <v>2011</v>
      </c>
      <c r="C6" s="4">
        <f>SUMIF('Monthly Data'!$B$2:$B$97,B6,'Monthly Data'!T$2:T$97)/12</f>
        <v>23212.083333333332</v>
      </c>
      <c r="D6" s="13">
        <f>(C6-C5)/C5</f>
        <v>2.1010141710526686E-3</v>
      </c>
      <c r="E6" s="10">
        <f>D6+1</f>
        <v>1.0021010141710527</v>
      </c>
      <c r="F6" s="10"/>
      <c r="G6" s="119">
        <v>2011</v>
      </c>
      <c r="H6" s="121">
        <f>SUMIF('Monthly Data'!$B$2:$B$97,G6,'Monthly Data'!U$2:U$97)/12+53</f>
        <v>3297.75</v>
      </c>
      <c r="I6" s="139">
        <f>(H6-H5)/H5</f>
        <v>-6.8181818181818187E-4</v>
      </c>
      <c r="J6" s="140">
        <f>I6+1</f>
        <v>0.99931818181818177</v>
      </c>
      <c r="K6" s="140"/>
      <c r="L6" s="119">
        <v>2011</v>
      </c>
      <c r="M6" s="121">
        <f>SUMIF('Monthly Data'!$B$2:$B$97,L6,'Monthly Data'!X$2:X$97)/12-53</f>
        <v>291.08333333333331</v>
      </c>
      <c r="N6" s="139">
        <f>(M6-M5)/M5</f>
        <v>-9.3590470788428824E-3</v>
      </c>
      <c r="O6" s="10">
        <f>N6+1</f>
        <v>0.99064095292115717</v>
      </c>
      <c r="P6" s="10"/>
      <c r="Q6">
        <v>2011</v>
      </c>
      <c r="R6" s="4">
        <f>SUMIF('Monthly Data'!$B$2:$B$97,Q6,'Monthly Data'!Z$2:Z$97)/12</f>
        <v>3</v>
      </c>
      <c r="S6" s="8">
        <f>(R6-R5)/R5</f>
        <v>0</v>
      </c>
      <c r="U6">
        <v>2011</v>
      </c>
      <c r="V6" s="4">
        <f>SUMIF('Monthly Data'!$B$2:$B$97,U6,'Monthly Data'!AA$2:AA$97)/12</f>
        <v>5119.583333333333</v>
      </c>
      <c r="W6" s="13">
        <f>(V6-V5)/V5</f>
        <v>4.5597407461684113E-4</v>
      </c>
      <c r="X6" s="10">
        <f>W6+1</f>
        <v>1.0004559740746168</v>
      </c>
      <c r="Y6" s="10"/>
      <c r="Z6">
        <v>2011</v>
      </c>
      <c r="AA6" s="4">
        <f>SUMIF('Monthly Data'!$B$2:$B$97,Z6,'Monthly Data'!AB$2:AB$97)/12</f>
        <v>155.5</v>
      </c>
      <c r="AB6" s="13">
        <f>(AA6-AA5)/AA5</f>
        <v>-1.7377567140600316E-2</v>
      </c>
      <c r="AC6" s="10">
        <f>AB6+1</f>
        <v>0.98262243285939965</v>
      </c>
    </row>
    <row r="7" spans="2:30" x14ac:dyDescent="0.25">
      <c r="B7" s="9">
        <v>2012</v>
      </c>
      <c r="C7" s="4">
        <f>SUMIF('Monthly Data'!$B$2:$B$97,B7,'Monthly Data'!T$2:T$97)/12</f>
        <v>23192.5</v>
      </c>
      <c r="D7" s="13">
        <f>(C7-C6)/C6</f>
        <v>-8.4366978405638396E-4</v>
      </c>
      <c r="E7" s="10">
        <f>D7+1</f>
        <v>0.99915633021594363</v>
      </c>
      <c r="F7" s="10"/>
      <c r="G7" s="119">
        <v>2012</v>
      </c>
      <c r="H7" s="121">
        <f>SUMIF('Monthly Data'!$B$2:$B$97,G7,'Monthly Data'!U$2:U$97)/12+53</f>
        <v>3249.8333333333335</v>
      </c>
      <c r="I7" s="139">
        <f>(H7-H6)/H6</f>
        <v>-1.4530108912642413E-2</v>
      </c>
      <c r="J7" s="140">
        <f>I7+1</f>
        <v>0.98546989108735761</v>
      </c>
      <c r="K7" s="140"/>
      <c r="L7" s="119">
        <v>2012</v>
      </c>
      <c r="M7" s="121">
        <f>SUMIF('Monthly Data'!$B$2:$B$97,L7,'Monthly Data'!X$2:X$97)/12-53</f>
        <v>306.58333333333331</v>
      </c>
      <c r="N7" s="139">
        <f>(M7-M6)/M6</f>
        <v>5.3249355854566277E-2</v>
      </c>
      <c r="O7" s="10">
        <f>N7+1</f>
        <v>1.0532493558545664</v>
      </c>
      <c r="P7" s="10"/>
      <c r="Q7" s="9">
        <v>2012</v>
      </c>
      <c r="R7" s="4">
        <f>SUMIF('Monthly Data'!$B$2:$B$97,Q7,'Monthly Data'!Z$2:Z$97)/12</f>
        <v>3</v>
      </c>
      <c r="S7" s="8">
        <f>(R7-R6)/R6</f>
        <v>0</v>
      </c>
      <c r="U7" s="9">
        <v>2012</v>
      </c>
      <c r="V7" s="121">
        <f>SUMIF('Monthly Data'!$B$2:$B$97,U7,'Monthly Data'!AA$2:AA$97)/12</f>
        <v>5126</v>
      </c>
      <c r="W7" s="13">
        <f>(V7-V6)/V6</f>
        <v>1.2533572068039985E-3</v>
      </c>
      <c r="X7" s="10">
        <f>W7+1</f>
        <v>1.0012533572068041</v>
      </c>
      <c r="Y7" s="10"/>
      <c r="Z7" s="9">
        <v>2012</v>
      </c>
      <c r="AA7" s="4">
        <f>SUMIF('Monthly Data'!$B$2:$B$97,Z7,'Monthly Data'!AB$2:AB$97)/12</f>
        <v>152</v>
      </c>
      <c r="AB7" s="13">
        <f>(AA7-AA6)/AA6</f>
        <v>-2.2508038585209004E-2</v>
      </c>
      <c r="AC7" s="10">
        <f>AB7+1</f>
        <v>0.977491961414791</v>
      </c>
    </row>
    <row r="8" spans="2:30" x14ac:dyDescent="0.25">
      <c r="B8">
        <v>2013</v>
      </c>
      <c r="C8" s="4">
        <f>SUMIF('Monthly Data'!$B$2:$B$97,B8,'Monthly Data'!T$2:T$97)/12</f>
        <v>23467.5</v>
      </c>
      <c r="D8" s="13">
        <f>(C8-C7)/C7</f>
        <v>1.1857281448744206E-2</v>
      </c>
      <c r="E8" s="10">
        <f>D8+1</f>
        <v>1.0118572814487443</v>
      </c>
      <c r="F8" s="10"/>
      <c r="G8" s="119">
        <v>2013</v>
      </c>
      <c r="H8" s="121">
        <f>SUMIF('Monthly Data'!$B$2:$B$97,G8,'Monthly Data'!U$2:U$97)/12+53</f>
        <v>3212.75</v>
      </c>
      <c r="I8" s="139">
        <f>(H8-H7)/H7</f>
        <v>-1.1410841581619617E-2</v>
      </c>
      <c r="J8" s="140">
        <f>I8+1</f>
        <v>0.98858915841838035</v>
      </c>
      <c r="K8" s="140"/>
      <c r="L8" s="119">
        <v>2013</v>
      </c>
      <c r="M8" s="121">
        <f>SUMIF('Monthly Data'!$B$2:$B$97,L8,'Monthly Data'!X$2:X$97)/12-53</f>
        <v>317.75</v>
      </c>
      <c r="N8" s="139">
        <f>(M8-M7)/M7</f>
        <v>3.6422941016580654E-2</v>
      </c>
      <c r="O8" s="10">
        <f>N8+1</f>
        <v>1.0364229410165806</v>
      </c>
      <c r="P8" s="10"/>
      <c r="Q8">
        <v>2013</v>
      </c>
      <c r="R8" s="4">
        <f>SUMIF('Monthly Data'!$B$2:$B$97,Q8,'Monthly Data'!Z$2:Z$97)/12</f>
        <v>3</v>
      </c>
      <c r="S8" s="8">
        <f>(R8-R7)/R7</f>
        <v>0</v>
      </c>
      <c r="U8">
        <v>2013</v>
      </c>
      <c r="V8" s="4">
        <f>SUMIF('Monthly Data'!$B$2:$B$97,U8,'Monthly Data'!AA$2:AA$97)/12</f>
        <v>5384.916666666667</v>
      </c>
      <c r="W8" s="13">
        <f>(V8-V7)/V7</f>
        <v>5.0510469501885868E-2</v>
      </c>
      <c r="X8" s="10">
        <f>W8+1</f>
        <v>1.0505104695018859</v>
      </c>
      <c r="Y8" s="10"/>
      <c r="Z8">
        <v>2013</v>
      </c>
      <c r="AA8" s="4">
        <f>SUMIF('Monthly Data'!$B$2:$B$97,Z8,'Monthly Data'!AB$2:AB$97)/12</f>
        <v>150.83333333333334</v>
      </c>
      <c r="AB8" s="13">
        <f>(AA8-AA7)/AA7</f>
        <v>-7.6754385964911661E-3</v>
      </c>
      <c r="AC8" s="10">
        <f>AB8+1</f>
        <v>0.99232456140350889</v>
      </c>
    </row>
    <row r="9" spans="2:30" s="20" customFormat="1" x14ac:dyDescent="0.25">
      <c r="B9" s="30">
        <v>2014</v>
      </c>
      <c r="C9" s="4">
        <f>SUMIF('Monthly Data'!$B$2:$B$97,B9,'Monthly Data'!T$2:T$97)/12</f>
        <v>23852.583333333332</v>
      </c>
      <c r="D9" s="13">
        <f>(C9-C8)/C8</f>
        <v>1.6409218422641189E-2</v>
      </c>
      <c r="E9" s="10">
        <f>D9+1</f>
        <v>1.0164092184226412</v>
      </c>
      <c r="G9" s="119">
        <v>2014</v>
      </c>
      <c r="H9" s="121">
        <f>SUMIF('Monthly Data'!$B$2:$B$97,G9,'Monthly Data'!U$2:U$97)/12</f>
        <v>3051.3333333333335</v>
      </c>
      <c r="I9" s="139">
        <f>(H9-H8)/H8</f>
        <v>-5.0242523279640967E-2</v>
      </c>
      <c r="J9" s="140">
        <f>I9+1</f>
        <v>0.94975747672035904</v>
      </c>
      <c r="K9" s="113"/>
      <c r="L9" s="119">
        <v>2014</v>
      </c>
      <c r="M9" s="121">
        <f>SUMIF('Monthly Data'!$B$2:$B$97,L9,'Monthly Data'!X$2:X$97)/12</f>
        <v>324.5</v>
      </c>
      <c r="N9" s="139">
        <f>(M9-M8)/M8</f>
        <v>2.1243115656963022E-2</v>
      </c>
      <c r="O9" s="10">
        <f>N9+1</f>
        <v>1.021243115656963</v>
      </c>
      <c r="Q9" s="30">
        <v>2014</v>
      </c>
      <c r="R9" s="4">
        <f>SUMIF('Monthly Data'!$B$2:$B$97,Q9,'Monthly Data'!Z$2:Z$97)/12</f>
        <v>3</v>
      </c>
      <c r="S9" s="8">
        <f>(R9-R8)/R8</f>
        <v>0</v>
      </c>
      <c r="T9" s="30"/>
      <c r="U9" s="30">
        <v>2014</v>
      </c>
      <c r="V9" s="4">
        <f>SUMIF('Monthly Data'!$B$2:$B$97,U9,'Monthly Data'!AA$2:AA$97)/12</f>
        <v>5228.083333333333</v>
      </c>
      <c r="W9" s="13">
        <f>(V9-V8)/V8</f>
        <v>-2.9124560887664731E-2</v>
      </c>
      <c r="X9" s="10">
        <f>W9+1</f>
        <v>0.97087543911233531</v>
      </c>
      <c r="Y9" s="10"/>
      <c r="Z9" s="30">
        <v>2014</v>
      </c>
      <c r="AA9" s="4">
        <f>SUMIF('Monthly Data'!$B$2:$B$97,Z9,'Monthly Data'!AB$2:AB$97)/12</f>
        <v>146.5</v>
      </c>
      <c r="AB9" s="13">
        <f>(AA9-AA8)/AA8</f>
        <v>-2.8729281767955861E-2</v>
      </c>
      <c r="AC9" s="10">
        <f>AB9+1</f>
        <v>0.97127071823204414</v>
      </c>
      <c r="AD9" s="30"/>
    </row>
    <row r="10" spans="2:30" s="20" customFormat="1" x14ac:dyDescent="0.25">
      <c r="B10" s="20">
        <v>2015</v>
      </c>
      <c r="C10" s="21">
        <f t="shared" ref="C10:C15" si="0">C9*(1+D10)</f>
        <v>24004.475833780409</v>
      </c>
      <c r="D10" s="28">
        <f>E10-1</f>
        <v>6.3679685476587533E-3</v>
      </c>
      <c r="E10" s="20">
        <f>GEOMEAN(E5:E9)</f>
        <v>1.0063679685476588</v>
      </c>
      <c r="G10" s="113">
        <v>2015</v>
      </c>
      <c r="H10" s="114">
        <f t="shared" ref="H10:H15" si="1">H9*(1+I10)</f>
        <v>3000.3728711861681</v>
      </c>
      <c r="I10" s="141">
        <f>J10-1</f>
        <v>-1.6701047240713973E-2</v>
      </c>
      <c r="J10" s="113">
        <f>GEOMEAN(J5:J9)</f>
        <v>0.98329895275928603</v>
      </c>
      <c r="K10" s="113"/>
      <c r="L10" s="113">
        <v>2015</v>
      </c>
      <c r="M10" s="114">
        <f t="shared" ref="M10:M15" si="2">M9*(1+N10)</f>
        <v>330.70760277267368</v>
      </c>
      <c r="N10" s="141">
        <f>O10-1</f>
        <v>1.9129746603000486E-2</v>
      </c>
      <c r="O10" s="20">
        <f>GEOMEAN(O5:O9)</f>
        <v>1.0191297466030005</v>
      </c>
      <c r="Q10" s="20">
        <v>2015</v>
      </c>
      <c r="R10" s="21">
        <f t="shared" ref="R10:R15" si="3">R9*(1+S10)</f>
        <v>3</v>
      </c>
      <c r="S10" s="22">
        <v>0</v>
      </c>
      <c r="U10" s="20">
        <v>2015</v>
      </c>
      <c r="V10" s="114">
        <v>5336.5</v>
      </c>
      <c r="W10" s="28">
        <f t="shared" ref="W10:W15" si="4">(V10-V9)/V9</f>
        <v>2.0737363916030472E-2</v>
      </c>
      <c r="X10" s="20">
        <f>GEOMEAN(X5:X9)</f>
        <v>1.004422321445201</v>
      </c>
      <c r="Z10" s="20">
        <v>2015</v>
      </c>
      <c r="AA10" s="21">
        <f t="shared" ref="AA10:AA15" si="5">AA9*(1+AB10)</f>
        <v>143.47952986235688</v>
      </c>
      <c r="AB10" s="28">
        <f>AC10-1</f>
        <v>-2.061754360165946E-2</v>
      </c>
      <c r="AC10" s="20">
        <f>GEOMEAN(AC5:AC9)</f>
        <v>0.97938245639834054</v>
      </c>
    </row>
    <row r="11" spans="2:30" s="20" customFormat="1" x14ac:dyDescent="0.25">
      <c r="B11" s="20">
        <v>2016</v>
      </c>
      <c r="C11" s="21">
        <f t="shared" si="0"/>
        <v>24157.335580892955</v>
      </c>
      <c r="D11" s="28">
        <f>D10</f>
        <v>6.3679685476587533E-3</v>
      </c>
      <c r="G11" s="113">
        <v>2016</v>
      </c>
      <c r="H11" s="114">
        <f t="shared" si="1"/>
        <v>2950.2635021247315</v>
      </c>
      <c r="I11" s="141">
        <f>I10</f>
        <v>-1.6701047240713973E-2</v>
      </c>
      <c r="J11" s="113"/>
      <c r="K11" s="113"/>
      <c r="L11" s="113">
        <v>2016</v>
      </c>
      <c r="M11" s="114">
        <f t="shared" si="2"/>
        <v>337.03395541340069</v>
      </c>
      <c r="N11" s="141">
        <f>N10</f>
        <v>1.9129746603000486E-2</v>
      </c>
      <c r="Q11" s="20">
        <v>2016</v>
      </c>
      <c r="R11" s="21">
        <f t="shared" si="3"/>
        <v>3</v>
      </c>
      <c r="S11" s="22">
        <f>S10</f>
        <v>0</v>
      </c>
      <c r="U11" s="20">
        <v>2016</v>
      </c>
      <c r="V11" s="21">
        <v>5348.5</v>
      </c>
      <c r="W11" s="28">
        <f t="shared" si="4"/>
        <v>2.2486648552422E-3</v>
      </c>
      <c r="Z11" s="20">
        <v>2016</v>
      </c>
      <c r="AA11" s="21">
        <f t="shared" si="5"/>
        <v>140.52133439947414</v>
      </c>
      <c r="AB11" s="28">
        <f>AB10</f>
        <v>-2.061754360165946E-2</v>
      </c>
    </row>
    <row r="12" spans="2:30" s="20" customFormat="1" x14ac:dyDescent="0.25">
      <c r="B12" s="20">
        <v>2017</v>
      </c>
      <c r="C12" s="21">
        <f t="shared" si="0"/>
        <v>24311.16873406732</v>
      </c>
      <c r="D12" s="28">
        <f>D11</f>
        <v>6.3679685476587533E-3</v>
      </c>
      <c r="G12" s="113">
        <v>2017</v>
      </c>
      <c r="H12" s="114">
        <f t="shared" si="1"/>
        <v>2900.9910120031923</v>
      </c>
      <c r="I12" s="141">
        <f>I11</f>
        <v>-1.6701047240713973E-2</v>
      </c>
      <c r="J12" s="113"/>
      <c r="K12" s="113"/>
      <c r="L12" s="113">
        <v>2017</v>
      </c>
      <c r="M12" s="114">
        <f t="shared" si="2"/>
        <v>343.48132957706599</v>
      </c>
      <c r="N12" s="141">
        <f>N11</f>
        <v>1.9129746603000486E-2</v>
      </c>
      <c r="Q12" s="20">
        <v>2017</v>
      </c>
      <c r="R12" s="21">
        <f t="shared" si="3"/>
        <v>3</v>
      </c>
      <c r="S12" s="22">
        <f>S11</f>
        <v>0</v>
      </c>
      <c r="U12" s="20">
        <v>2017</v>
      </c>
      <c r="V12" s="21">
        <v>5360.5</v>
      </c>
      <c r="W12" s="28">
        <f t="shared" si="4"/>
        <v>2.2436197064597549E-3</v>
      </c>
      <c r="Z12" s="20">
        <v>2017</v>
      </c>
      <c r="AA12" s="21">
        <f t="shared" si="5"/>
        <v>137.6241296605296</v>
      </c>
      <c r="AB12" s="28">
        <f>AB11</f>
        <v>-2.061754360165946E-2</v>
      </c>
    </row>
    <row r="13" spans="2:30" s="20" customFormat="1" x14ac:dyDescent="0.25">
      <c r="B13" s="20">
        <v>2018</v>
      </c>
      <c r="C13" s="21">
        <f t="shared" si="0"/>
        <v>24465.981491922685</v>
      </c>
      <c r="D13" s="28">
        <f>D12</f>
        <v>6.3679685476587533E-3</v>
      </c>
      <c r="G13" s="113">
        <v>2018</v>
      </c>
      <c r="H13" s="114">
        <f t="shared" si="1"/>
        <v>2852.5414240668401</v>
      </c>
      <c r="I13" s="141">
        <f>I12</f>
        <v>-1.6701047240713973E-2</v>
      </c>
      <c r="J13" s="113"/>
      <c r="K13" s="113"/>
      <c r="L13" s="113">
        <v>2018</v>
      </c>
      <c r="M13" s="114">
        <f t="shared" si="2"/>
        <v>350.05204037473698</v>
      </c>
      <c r="N13" s="141">
        <f>N12</f>
        <v>1.9129746603000486E-2</v>
      </c>
      <c r="Q13" s="20">
        <v>2018</v>
      </c>
      <c r="R13" s="21">
        <f t="shared" si="3"/>
        <v>3</v>
      </c>
      <c r="S13" s="22">
        <f>S12</f>
        <v>0</v>
      </c>
      <c r="U13" s="20">
        <v>2018</v>
      </c>
      <c r="V13" s="21">
        <v>5372.5</v>
      </c>
      <c r="W13" s="28">
        <f t="shared" si="4"/>
        <v>2.2385971457886391E-3</v>
      </c>
      <c r="Z13" s="20">
        <v>2018</v>
      </c>
      <c r="AA13" s="21">
        <f t="shared" si="5"/>
        <v>134.78665816661319</v>
      </c>
      <c r="AB13" s="28">
        <f>AB12</f>
        <v>-2.061754360165946E-2</v>
      </c>
    </row>
    <row r="14" spans="2:30" s="20" customFormat="1" x14ac:dyDescent="0.25">
      <c r="B14" s="20">
        <v>2019</v>
      </c>
      <c r="C14" s="21">
        <f t="shared" si="0"/>
        <v>24621.780092550849</v>
      </c>
      <c r="D14" s="28">
        <f>D13</f>
        <v>6.3679685476587533E-3</v>
      </c>
      <c r="G14" s="113">
        <v>2019</v>
      </c>
      <c r="H14" s="114">
        <f t="shared" si="1"/>
        <v>2804.9009949874062</v>
      </c>
      <c r="I14" s="141">
        <f>I13</f>
        <v>-1.6701047240713973E-2</v>
      </c>
      <c r="J14" s="113"/>
      <c r="K14" s="113"/>
      <c r="L14" s="113">
        <v>2019</v>
      </c>
      <c r="M14" s="114">
        <f t="shared" si="2"/>
        <v>356.74844720496901</v>
      </c>
      <c r="N14" s="141">
        <f>N13</f>
        <v>1.9129746603000486E-2</v>
      </c>
      <c r="Q14" s="20">
        <v>2019</v>
      </c>
      <c r="R14" s="21">
        <f t="shared" si="3"/>
        <v>3</v>
      </c>
      <c r="S14" s="22">
        <f>S13</f>
        <v>0</v>
      </c>
      <c r="U14" s="20">
        <v>2019</v>
      </c>
      <c r="V14" s="21">
        <v>5384.5</v>
      </c>
      <c r="W14" s="28">
        <f t="shared" si="4"/>
        <v>2.2335970218706376E-3</v>
      </c>
      <c r="Z14" s="20">
        <v>2019</v>
      </c>
      <c r="AA14" s="21">
        <f t="shared" si="5"/>
        <v>132.00768836494109</v>
      </c>
      <c r="AB14" s="28">
        <f>AB13</f>
        <v>-2.061754360165946E-2</v>
      </c>
    </row>
    <row r="15" spans="2:30" s="20" customFormat="1" x14ac:dyDescent="0.25">
      <c r="B15" s="20">
        <v>2020</v>
      </c>
      <c r="C15" s="21">
        <f t="shared" si="0"/>
        <v>24778.570813767583</v>
      </c>
      <c r="D15" s="28">
        <f>D14</f>
        <v>6.3679685476587533E-3</v>
      </c>
      <c r="G15" s="113">
        <v>2020</v>
      </c>
      <c r="H15" s="114">
        <f t="shared" si="1"/>
        <v>2758.0562109645957</v>
      </c>
      <c r="I15" s="141">
        <f>I14</f>
        <v>-1.6701047240713973E-2</v>
      </c>
      <c r="J15" s="113"/>
      <c r="K15" s="113"/>
      <c r="L15" s="113">
        <v>2020</v>
      </c>
      <c r="M15" s="114">
        <f t="shared" si="2"/>
        <v>363.57295460101398</v>
      </c>
      <c r="N15" s="141">
        <f>N14</f>
        <v>1.9129746603000486E-2</v>
      </c>
      <c r="Q15" s="20">
        <v>2020</v>
      </c>
      <c r="R15" s="21">
        <f t="shared" si="3"/>
        <v>3</v>
      </c>
      <c r="S15" s="22">
        <f>S14</f>
        <v>0</v>
      </c>
      <c r="U15" s="20">
        <v>2020</v>
      </c>
      <c r="V15" s="21">
        <v>5396.5</v>
      </c>
      <c r="W15" s="28">
        <f t="shared" si="4"/>
        <v>2.228619184696815E-3</v>
      </c>
      <c r="Z15" s="20">
        <v>2020</v>
      </c>
      <c r="AA15" s="21">
        <f t="shared" si="5"/>
        <v>129.28601409432264</v>
      </c>
      <c r="AB15" s="28">
        <f>AB14</f>
        <v>-2.061754360165946E-2</v>
      </c>
    </row>
    <row r="16" spans="2:30" x14ac:dyDescent="0.25">
      <c r="H16" s="32" t="s">
        <v>197</v>
      </c>
    </row>
    <row r="17" spans="3:22" x14ac:dyDescent="0.25">
      <c r="C17" s="104"/>
      <c r="H17" s="32" t="s">
        <v>198</v>
      </c>
      <c r="V17" s="21"/>
    </row>
    <row r="20" spans="3:22" x14ac:dyDescent="0.25">
      <c r="V20" s="30"/>
    </row>
    <row r="21" spans="3:22" x14ac:dyDescent="0.25">
      <c r="V21" s="30"/>
    </row>
    <row r="22" spans="3:22" x14ac:dyDescent="0.25">
      <c r="V22" s="30"/>
    </row>
  </sheetData>
  <mergeCells count="12">
    <mergeCell ref="B2:C2"/>
    <mergeCell ref="G2:H2"/>
    <mergeCell ref="L2:M2"/>
    <mergeCell ref="Q2:R2"/>
    <mergeCell ref="U1:U2"/>
    <mergeCell ref="AB2:AB3"/>
    <mergeCell ref="D2:D3"/>
    <mergeCell ref="I2:I3"/>
    <mergeCell ref="N2:N3"/>
    <mergeCell ref="S2:S3"/>
    <mergeCell ref="W2:W3"/>
    <mergeCell ref="V2:V3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D17"/>
  <sheetViews>
    <sheetView topLeftCell="B1" workbookViewId="0">
      <selection activeCell="R33" sqref="R33"/>
    </sheetView>
  </sheetViews>
  <sheetFormatPr defaultRowHeight="13.2" x14ac:dyDescent="0.25"/>
  <cols>
    <col min="1" max="1" width="3" style="30" customWidth="1"/>
    <col min="2" max="2" width="5" style="30" bestFit="1" customWidth="1"/>
    <col min="3" max="3" width="10" style="30" bestFit="1" customWidth="1"/>
    <col min="4" max="4" width="7.33203125" style="30" customWidth="1"/>
    <col min="5" max="5" width="12" style="30" hidden="1" customWidth="1"/>
    <col min="6" max="6" width="3" style="30" customWidth="1"/>
    <col min="7" max="7" width="5" style="30" bestFit="1" customWidth="1"/>
    <col min="8" max="8" width="10" style="30" bestFit="1" customWidth="1"/>
    <col min="9" max="9" width="7.33203125" style="30" customWidth="1"/>
    <col min="10" max="10" width="12" style="30" hidden="1" customWidth="1"/>
    <col min="11" max="11" width="3" style="30" customWidth="1"/>
    <col min="12" max="12" width="5" style="30" bestFit="1" customWidth="1"/>
    <col min="13" max="13" width="11.21875" style="30" bestFit="1" customWidth="1"/>
    <col min="14" max="14" width="8.109375" style="30" customWidth="1"/>
    <col min="15" max="15" width="12" style="30" hidden="1" customWidth="1"/>
    <col min="16" max="16" width="3" style="30" customWidth="1"/>
    <col min="17" max="17" width="5" style="30" bestFit="1" customWidth="1"/>
    <col min="18" max="18" width="10" style="30" bestFit="1" customWidth="1"/>
    <col min="19" max="19" width="7.33203125" style="30" customWidth="1"/>
    <col min="20" max="20" width="3" style="30" customWidth="1"/>
    <col min="21" max="21" width="6.6640625" style="30" customWidth="1"/>
    <col min="22" max="22" width="9.109375" style="30" customWidth="1"/>
    <col min="23" max="23" width="7.33203125" style="30" customWidth="1"/>
    <col min="24" max="24" width="12" style="30" hidden="1" customWidth="1"/>
    <col min="25" max="25" width="3" style="30" customWidth="1"/>
    <col min="26" max="26" width="5" style="30" bestFit="1" customWidth="1"/>
    <col min="27" max="27" width="11.33203125" style="30" bestFit="1" customWidth="1"/>
    <col min="28" max="28" width="7.33203125" style="30" customWidth="1"/>
    <col min="29" max="29" width="12" style="30" hidden="1" customWidth="1"/>
    <col min="30" max="16384" width="8.88671875" style="30"/>
  </cols>
  <sheetData>
    <row r="1" spans="2:30" x14ac:dyDescent="0.25">
      <c r="U1" s="148" t="s">
        <v>94</v>
      </c>
    </row>
    <row r="2" spans="2:30" x14ac:dyDescent="0.25">
      <c r="B2" s="150" t="s">
        <v>101</v>
      </c>
      <c r="C2" s="150"/>
      <c r="D2" s="148" t="s">
        <v>80</v>
      </c>
      <c r="G2" s="151" t="s">
        <v>102</v>
      </c>
      <c r="H2" s="151"/>
      <c r="I2" s="149" t="s">
        <v>80</v>
      </c>
      <c r="J2" s="119"/>
      <c r="K2" s="119"/>
      <c r="L2" s="151" t="s">
        <v>103</v>
      </c>
      <c r="M2" s="151"/>
      <c r="N2" s="149" t="s">
        <v>80</v>
      </c>
      <c r="Q2" s="150" t="s">
        <v>93</v>
      </c>
      <c r="R2" s="150"/>
      <c r="S2" s="148" t="s">
        <v>80</v>
      </c>
      <c r="U2" s="148"/>
      <c r="V2" s="148" t="s">
        <v>108</v>
      </c>
      <c r="W2" s="148" t="s">
        <v>80</v>
      </c>
      <c r="Z2" s="30" t="s">
        <v>100</v>
      </c>
      <c r="AA2" s="2"/>
      <c r="AB2" s="148" t="s">
        <v>80</v>
      </c>
    </row>
    <row r="3" spans="2:30" x14ac:dyDescent="0.25">
      <c r="B3" s="2" t="s">
        <v>33</v>
      </c>
      <c r="C3" s="2" t="s">
        <v>107</v>
      </c>
      <c r="D3" s="148"/>
      <c r="G3" s="137" t="s">
        <v>33</v>
      </c>
      <c r="H3" s="138" t="s">
        <v>195</v>
      </c>
      <c r="I3" s="149"/>
      <c r="J3" s="119"/>
      <c r="K3" s="119"/>
      <c r="L3" s="137" t="s">
        <v>33</v>
      </c>
      <c r="M3" s="138" t="s">
        <v>196</v>
      </c>
      <c r="N3" s="149"/>
      <c r="Q3" s="2" t="s">
        <v>33</v>
      </c>
      <c r="R3" s="2" t="s">
        <v>107</v>
      </c>
      <c r="S3" s="148"/>
      <c r="U3" s="2" t="s">
        <v>33</v>
      </c>
      <c r="V3" s="148"/>
      <c r="W3" s="148"/>
      <c r="Z3" s="2" t="s">
        <v>33</v>
      </c>
      <c r="AA3" s="2" t="s">
        <v>109</v>
      </c>
      <c r="AB3" s="148"/>
    </row>
    <row r="4" spans="2:30" x14ac:dyDescent="0.25">
      <c r="B4" s="30">
        <v>2009</v>
      </c>
      <c r="C4" s="4">
        <f>SUMIF('Monthly Data'!$B$2:$B$97,B4,'Monthly Data'!T$2:T$97)/12</f>
        <v>23107.416666666668</v>
      </c>
      <c r="D4" s="8"/>
      <c r="G4" s="119">
        <v>2009</v>
      </c>
      <c r="H4" s="121">
        <f>SUMIF('Monthly Data'!$B$2:$B$97,G4,'Monthly Data'!U$2:U$97)/12</f>
        <v>3266.4166666666665</v>
      </c>
      <c r="I4" s="139"/>
      <c r="J4" s="119"/>
      <c r="K4" s="119"/>
      <c r="L4" s="119">
        <v>2009</v>
      </c>
      <c r="M4" s="121">
        <f>SUMIF('Monthly Data'!$B$2:$B$97,L4,'Monthly Data'!X$2:X$97)/12-53</f>
        <v>295.16666666666669</v>
      </c>
      <c r="N4" s="139"/>
      <c r="Q4" s="30">
        <v>2009</v>
      </c>
      <c r="R4" s="4">
        <f>SUMIF('Monthly Data'!$B$2:$B$97,Q4,'Monthly Data'!Z$2:Z$97)/12</f>
        <v>3</v>
      </c>
      <c r="S4" s="8"/>
      <c r="U4" s="30">
        <v>2009</v>
      </c>
      <c r="V4" s="4">
        <f>SUMIF('Monthly Data'!$B$2:$B$97,U4,'Monthly Data'!AA$2:AA$97)/12</f>
        <v>5114</v>
      </c>
      <c r="W4" s="13"/>
      <c r="Z4" s="30">
        <v>2009</v>
      </c>
      <c r="AA4" s="4">
        <f>SUMIF('Monthly Data'!$B$2:$B$97,Z4,'Monthly Data'!AB$2:AB$97)/12</f>
        <v>162.58333333333334</v>
      </c>
      <c r="AB4" s="13"/>
    </row>
    <row r="5" spans="2:30" x14ac:dyDescent="0.25">
      <c r="B5" s="30">
        <v>2010</v>
      </c>
      <c r="C5" s="4">
        <f>SUMIF('Monthly Data'!$B$2:$B$97,B5,'Monthly Data'!T$2:T$97)/12</f>
        <v>23163.416666666668</v>
      </c>
      <c r="D5" s="13">
        <f>(C5-C4)/C4</f>
        <v>2.4234643278312519E-3</v>
      </c>
      <c r="E5" s="10">
        <f>D5+1</f>
        <v>1.0024234643278314</v>
      </c>
      <c r="F5" s="10"/>
      <c r="G5" s="119">
        <v>2010</v>
      </c>
      <c r="H5" s="121">
        <f>SUMIF('Monthly Data'!$B$2:$B$97,G5,'Monthly Data'!U$2:U$97)/12</f>
        <v>3247</v>
      </c>
      <c r="I5" s="139">
        <f>(H5-H4)/H4</f>
        <v>-5.9443324744240167E-3</v>
      </c>
      <c r="J5" s="140">
        <f>I5+1</f>
        <v>0.99405566752557595</v>
      </c>
      <c r="K5" s="140"/>
      <c r="L5" s="119">
        <v>2010</v>
      </c>
      <c r="M5" s="121">
        <f>SUMIF('Monthly Data'!$B$2:$B$97,L5,'Monthly Data'!X$2:X$97)/12</f>
        <v>346.83333333333331</v>
      </c>
      <c r="N5" s="139">
        <f>(M5-M4)/M4</f>
        <v>0.17504234895539231</v>
      </c>
      <c r="O5" s="10">
        <f>N5+1</f>
        <v>1.1750423489553923</v>
      </c>
      <c r="P5" s="10"/>
      <c r="Q5" s="30">
        <v>2010</v>
      </c>
      <c r="R5" s="4">
        <f>SUMIF('Monthly Data'!$B$2:$B$97,Q5,'Monthly Data'!Z$2:Z$97)/12</f>
        <v>3</v>
      </c>
      <c r="S5" s="8">
        <f>(R5-R4)/R4</f>
        <v>0</v>
      </c>
      <c r="U5" s="30">
        <v>2010</v>
      </c>
      <c r="V5" s="4">
        <f>SUMIF('Monthly Data'!$B$2:$B$97,U5,'Monthly Data'!AA$2:AA$97)/12</f>
        <v>5117.25</v>
      </c>
      <c r="W5" s="13">
        <f>(V5-V4)/V4</f>
        <v>6.3551036370746968E-4</v>
      </c>
      <c r="X5" s="10">
        <f>W5+1</f>
        <v>1.0006355103637075</v>
      </c>
      <c r="Y5" s="10"/>
      <c r="Z5" s="30">
        <v>2010</v>
      </c>
      <c r="AA5" s="4">
        <f>SUMIF('Monthly Data'!$B$2:$B$97,Z5,'Monthly Data'!AB$2:AB$97)/12</f>
        <v>158.25</v>
      </c>
      <c r="AB5" s="13">
        <f>(AA5-AA4)/AA4</f>
        <v>-2.665299846232707E-2</v>
      </c>
      <c r="AC5" s="10">
        <f>AB5+1</f>
        <v>0.97334700153767295</v>
      </c>
    </row>
    <row r="6" spans="2:30" x14ac:dyDescent="0.25">
      <c r="B6" s="30">
        <v>2011</v>
      </c>
      <c r="C6" s="4">
        <f>SUMIF('Monthly Data'!$B$2:$B$97,B6,'Monthly Data'!T$2:T$97)/12</f>
        <v>23212.083333333332</v>
      </c>
      <c r="D6" s="13">
        <f>(C6-C5)/C5</f>
        <v>2.1010141710526686E-3</v>
      </c>
      <c r="E6" s="10">
        <f>D6+1</f>
        <v>1.0021010141710527</v>
      </c>
      <c r="F6" s="10"/>
      <c r="G6" s="119">
        <v>2011</v>
      </c>
      <c r="H6" s="121">
        <f>SUMIF('Monthly Data'!$B$2:$B$97,G6,'Monthly Data'!U$2:U$97)/12</f>
        <v>3244.75</v>
      </c>
      <c r="I6" s="139">
        <f>(H6-H5)/H5</f>
        <v>-6.9294733600246377E-4</v>
      </c>
      <c r="J6" s="140">
        <f>I6+1</f>
        <v>0.99930705266399755</v>
      </c>
      <c r="K6" s="140"/>
      <c r="L6" s="119">
        <v>2011</v>
      </c>
      <c r="M6" s="121">
        <f>SUMIF('Monthly Data'!$B$2:$B$97,L6,'Monthly Data'!X$2:X$97)/12</f>
        <v>344.08333333333331</v>
      </c>
      <c r="N6" s="139">
        <f>(M6-M5)/M5</f>
        <v>-7.928880345987507E-3</v>
      </c>
      <c r="O6" s="10">
        <f>N6+1</f>
        <v>0.99207111965401251</v>
      </c>
      <c r="P6" s="10"/>
      <c r="Q6" s="30">
        <v>2011</v>
      </c>
      <c r="R6" s="4">
        <f>SUMIF('Monthly Data'!$B$2:$B$97,Q6,'Monthly Data'!Z$2:Z$97)/12</f>
        <v>3</v>
      </c>
      <c r="S6" s="8">
        <f>(R6-R5)/R5</f>
        <v>0</v>
      </c>
      <c r="U6" s="30">
        <v>2011</v>
      </c>
      <c r="V6" s="4">
        <f>SUMIF('Monthly Data'!$B$2:$B$97,U6,'Monthly Data'!AA$2:AA$97)/12</f>
        <v>5119.583333333333</v>
      </c>
      <c r="W6" s="13">
        <f>(V6-V5)/V5</f>
        <v>4.5597407461684113E-4</v>
      </c>
      <c r="X6" s="10">
        <f>W6+1</f>
        <v>1.0004559740746168</v>
      </c>
      <c r="Y6" s="10"/>
      <c r="Z6" s="30">
        <v>2011</v>
      </c>
      <c r="AA6" s="4">
        <f>SUMIF('Monthly Data'!$B$2:$B$97,Z6,'Monthly Data'!AB$2:AB$97)/12</f>
        <v>155.5</v>
      </c>
      <c r="AB6" s="13">
        <f>(AA6-AA5)/AA5</f>
        <v>-1.7377567140600316E-2</v>
      </c>
      <c r="AC6" s="10">
        <f>AB6+1</f>
        <v>0.98262243285939965</v>
      </c>
    </row>
    <row r="7" spans="2:30" x14ac:dyDescent="0.25">
      <c r="B7" s="9">
        <v>2012</v>
      </c>
      <c r="C7" s="4">
        <f>SUMIF('Monthly Data'!$B$2:$B$97,B7,'Monthly Data'!T$2:T$97)/12</f>
        <v>23192.5</v>
      </c>
      <c r="D7" s="13">
        <f>(C7-C6)/C6</f>
        <v>-8.4366978405638396E-4</v>
      </c>
      <c r="E7" s="10">
        <f>D7+1</f>
        <v>0.99915633021594363</v>
      </c>
      <c r="F7" s="10"/>
      <c r="G7" s="119">
        <v>2012</v>
      </c>
      <c r="H7" s="121">
        <f>SUMIF('Monthly Data'!$B$2:$B$97,G7,'Monthly Data'!U$2:U$97)/12</f>
        <v>3196.8333333333335</v>
      </c>
      <c r="I7" s="139">
        <f>(H7-H6)/H6</f>
        <v>-1.4767444846803765E-2</v>
      </c>
      <c r="J7" s="140">
        <f>I7+1</f>
        <v>0.98523255515319619</v>
      </c>
      <c r="K7" s="140"/>
      <c r="L7" s="119">
        <v>2012</v>
      </c>
      <c r="M7" s="121">
        <f>SUMIF('Monthly Data'!$B$2:$B$97,L7,'Monthly Data'!X$2:X$97)/12</f>
        <v>359.58333333333331</v>
      </c>
      <c r="N7" s="139">
        <f>(M7-M6)/M6</f>
        <v>4.5047226931460405E-2</v>
      </c>
      <c r="O7" s="10">
        <f>N7+1</f>
        <v>1.0450472269314603</v>
      </c>
      <c r="P7" s="10"/>
      <c r="Q7" s="9">
        <v>2012</v>
      </c>
      <c r="R7" s="4">
        <f>SUMIF('Monthly Data'!$B$2:$B$97,Q7,'Monthly Data'!Z$2:Z$97)/12</f>
        <v>3</v>
      </c>
      <c r="S7" s="8">
        <f>(R7-R6)/R6</f>
        <v>0</v>
      </c>
      <c r="U7" s="9">
        <v>2012</v>
      </c>
      <c r="V7" s="121">
        <f>SUMIF('Monthly Data'!$B$2:$B$97,U7,'Monthly Data'!AA$2:AA$97)/12</f>
        <v>5126</v>
      </c>
      <c r="W7" s="13">
        <f>(V7-V6)/V6</f>
        <v>1.2533572068039985E-3</v>
      </c>
      <c r="X7" s="10">
        <f>W7+1</f>
        <v>1.0012533572068041</v>
      </c>
      <c r="Y7" s="10"/>
      <c r="Z7" s="9">
        <v>2012</v>
      </c>
      <c r="AA7" s="4">
        <f>SUMIF('Monthly Data'!$B$2:$B$97,Z7,'Monthly Data'!AB$2:AB$97)/12</f>
        <v>152</v>
      </c>
      <c r="AB7" s="13">
        <f>(AA7-AA6)/AA6</f>
        <v>-2.2508038585209004E-2</v>
      </c>
      <c r="AC7" s="10">
        <f>AB7+1</f>
        <v>0.977491961414791</v>
      </c>
    </row>
    <row r="8" spans="2:30" x14ac:dyDescent="0.25">
      <c r="B8" s="30">
        <v>2013</v>
      </c>
      <c r="C8" s="4">
        <f>SUMIF('Monthly Data'!$B$2:$B$97,B8,'Monthly Data'!T$2:T$97)/12</f>
        <v>23467.5</v>
      </c>
      <c r="D8" s="13">
        <f>(C8-C7)/C7</f>
        <v>1.1857281448744206E-2</v>
      </c>
      <c r="E8" s="10">
        <f>D8+1</f>
        <v>1.0118572814487443</v>
      </c>
      <c r="F8" s="10"/>
      <c r="G8" s="119">
        <v>2013</v>
      </c>
      <c r="H8" s="121">
        <f>SUMIF('Monthly Data'!$B$2:$B$97,G8,'Monthly Data'!U$2:U$97)/12</f>
        <v>3159.75</v>
      </c>
      <c r="I8" s="139">
        <f>(H8-H7)/H7</f>
        <v>-1.1600020853970121E-2</v>
      </c>
      <c r="J8" s="140">
        <f>I8+1</f>
        <v>0.98839997914602984</v>
      </c>
      <c r="K8" s="140"/>
      <c r="L8" s="119">
        <v>2013</v>
      </c>
      <c r="M8" s="121">
        <f>SUMIF('Monthly Data'!$B$2:$B$97,L8,'Monthly Data'!X$2:X$97)/12</f>
        <v>370.75</v>
      </c>
      <c r="N8" s="139">
        <f>(M8-M7)/M7</f>
        <v>3.1054461181923575E-2</v>
      </c>
      <c r="O8" s="10">
        <f>N8+1</f>
        <v>1.0310544611819237</v>
      </c>
      <c r="P8" s="10"/>
      <c r="Q8" s="30">
        <v>2013</v>
      </c>
      <c r="R8" s="4">
        <f>SUMIF('Monthly Data'!$B$2:$B$97,Q8,'Monthly Data'!Z$2:Z$97)/12</f>
        <v>3</v>
      </c>
      <c r="S8" s="8">
        <f>(R8-R7)/R7</f>
        <v>0</v>
      </c>
      <c r="U8" s="30">
        <v>2013</v>
      </c>
      <c r="V8" s="4">
        <f>SUMIF('Monthly Data'!$B$2:$B$97,U8,'Monthly Data'!AA$2:AA$97)/12</f>
        <v>5384.916666666667</v>
      </c>
      <c r="W8" s="13">
        <f>(V8-V7)/V7</f>
        <v>5.0510469501885868E-2</v>
      </c>
      <c r="X8" s="10">
        <f>W8+1</f>
        <v>1.0505104695018859</v>
      </c>
      <c r="Y8" s="10"/>
      <c r="Z8" s="30">
        <v>2013</v>
      </c>
      <c r="AA8" s="4">
        <f>SUMIF('Monthly Data'!$B$2:$B$97,Z8,'Monthly Data'!AB$2:AB$97)/12</f>
        <v>150.83333333333334</v>
      </c>
      <c r="AB8" s="13">
        <f>(AA8-AA7)/AA7</f>
        <v>-7.6754385964911661E-3</v>
      </c>
      <c r="AC8" s="10">
        <f>AB8+1</f>
        <v>0.99232456140350889</v>
      </c>
    </row>
    <row r="9" spans="2:30" s="20" customFormat="1" x14ac:dyDescent="0.25">
      <c r="B9" s="30">
        <v>2014</v>
      </c>
      <c r="C9" s="4">
        <f>SUMIF('Monthly Data'!$B$2:$B$97,B9,'Monthly Data'!T$2:T$97)/12</f>
        <v>23852.583333333332</v>
      </c>
      <c r="D9" s="13">
        <f>(C9-C8)/C8</f>
        <v>1.6409218422641189E-2</v>
      </c>
      <c r="E9" s="10">
        <f>D9+1</f>
        <v>1.0164092184226412</v>
      </c>
      <c r="G9" s="119">
        <v>2014</v>
      </c>
      <c r="H9" s="121">
        <f>SUMIF('Monthly Data'!$B$2:$B$97,G9,'Monthly Data'!U$2:U$97)/12</f>
        <v>3051.3333333333335</v>
      </c>
      <c r="I9" s="139">
        <f>(H9-H8)/H8</f>
        <v>-3.4311786270010768E-2</v>
      </c>
      <c r="J9" s="140">
        <f>I9+1</f>
        <v>0.96568821372998925</v>
      </c>
      <c r="K9" s="113"/>
      <c r="L9" s="119">
        <v>2014</v>
      </c>
      <c r="M9" s="121">
        <f>SUMIF('Monthly Data'!$B$2:$B$97,L9,'Monthly Data'!X$2:X$97)/12</f>
        <v>324.5</v>
      </c>
      <c r="N9" s="139">
        <f>(M9-M8)/M8</f>
        <v>-0.12474713418745785</v>
      </c>
      <c r="O9" s="10">
        <f>N9+1</f>
        <v>0.87525286581254214</v>
      </c>
      <c r="Q9" s="30">
        <v>2014</v>
      </c>
      <c r="R9" s="4">
        <f>SUMIF('Monthly Data'!$B$2:$B$97,Q9,'Monthly Data'!Z$2:Z$97)/12</f>
        <v>3</v>
      </c>
      <c r="S9" s="8">
        <f>(R9-R8)/R8</f>
        <v>0</v>
      </c>
      <c r="T9" s="30"/>
      <c r="U9" s="30">
        <v>2014</v>
      </c>
      <c r="V9" s="4">
        <f>SUMIF('Monthly Data'!$B$2:$B$97,U9,'Monthly Data'!AA$2:AA$97)/12</f>
        <v>5228.083333333333</v>
      </c>
      <c r="W9" s="13">
        <f>(V9-V8)/V8</f>
        <v>-2.9124560887664731E-2</v>
      </c>
      <c r="X9" s="10">
        <f>W9+1</f>
        <v>0.97087543911233531</v>
      </c>
      <c r="Y9" s="10"/>
      <c r="Z9" s="30">
        <v>2014</v>
      </c>
      <c r="AA9" s="4">
        <f>SUMIF('Monthly Data'!$B$2:$B$97,Z9,'Monthly Data'!AB$2:AB$97)/12</f>
        <v>146.5</v>
      </c>
      <c r="AB9" s="13">
        <f>(AA9-AA8)/AA8</f>
        <v>-2.8729281767955861E-2</v>
      </c>
      <c r="AC9" s="10">
        <f>AB9+1</f>
        <v>0.97127071823204414</v>
      </c>
      <c r="AD9" s="30"/>
    </row>
    <row r="10" spans="2:30" s="20" customFormat="1" x14ac:dyDescent="0.25">
      <c r="B10" s="20">
        <v>2015</v>
      </c>
      <c r="C10" s="21">
        <f t="shared" ref="C10:C15" si="0">C9*(1+D10)</f>
        <v>24004.475833780409</v>
      </c>
      <c r="D10" s="28">
        <f>E10-1</f>
        <v>6.3679685476587533E-3</v>
      </c>
      <c r="E10" s="20">
        <f>GEOMEAN(E5:E9)</f>
        <v>1.0063679685476588</v>
      </c>
      <c r="G10" s="113">
        <v>2015</v>
      </c>
      <c r="H10" s="114">
        <f t="shared" ref="H10:H15" si="1">H9*(1+I10)</f>
        <v>3010.0469347592793</v>
      </c>
      <c r="I10" s="141">
        <f>J10-1</f>
        <v>-1.353060910226811E-2</v>
      </c>
      <c r="J10" s="113">
        <f>GEOMEAN(J5:J9)</f>
        <v>0.98646939089773189</v>
      </c>
      <c r="K10" s="113"/>
      <c r="L10" s="113">
        <v>2015</v>
      </c>
      <c r="M10" s="114">
        <f t="shared" ref="M10:M15" si="2">M9*(1+N10)</f>
        <v>330.70760277267368</v>
      </c>
      <c r="N10" s="141">
        <f>O10-1</f>
        <v>1.9129746603000486E-2</v>
      </c>
      <c r="O10" s="20">
        <f>GEOMEAN(O5:O9)</f>
        <v>1.0191297466030005</v>
      </c>
      <c r="Q10" s="20">
        <v>2015</v>
      </c>
      <c r="R10" s="21">
        <f t="shared" ref="R10:R15" si="3">R9*(1+S10)</f>
        <v>3</v>
      </c>
      <c r="S10" s="22">
        <v>0</v>
      </c>
      <c r="U10" s="20">
        <v>2015</v>
      </c>
      <c r="V10" s="114">
        <v>5336.5</v>
      </c>
      <c r="W10" s="28">
        <f t="shared" ref="W10:W15" si="4">(V10-V9)/V9</f>
        <v>2.0737363916030472E-2</v>
      </c>
      <c r="X10" s="20">
        <f>GEOMEAN(X5:X9)</f>
        <v>1.004422321445201</v>
      </c>
      <c r="Z10" s="20">
        <v>2015</v>
      </c>
      <c r="AA10" s="21">
        <f t="shared" ref="AA10:AA15" si="5">AA9*(1+AB10)</f>
        <v>143.47952986235688</v>
      </c>
      <c r="AB10" s="28">
        <f>AC10-1</f>
        <v>-2.061754360165946E-2</v>
      </c>
      <c r="AC10" s="20">
        <f>GEOMEAN(AC5:AC9)</f>
        <v>0.97938245639834054</v>
      </c>
    </row>
    <row r="11" spans="2:30" s="20" customFormat="1" x14ac:dyDescent="0.25">
      <c r="B11" s="20">
        <v>2016</v>
      </c>
      <c r="C11" s="21">
        <f t="shared" si="0"/>
        <v>24157.335580892955</v>
      </c>
      <c r="D11" s="28">
        <f>D10</f>
        <v>6.3679685476587533E-3</v>
      </c>
      <c r="G11" s="113">
        <v>2016</v>
      </c>
      <c r="H11" s="114">
        <f t="shared" si="1"/>
        <v>2969.3191663055713</v>
      </c>
      <c r="I11" s="141">
        <f>I10</f>
        <v>-1.353060910226811E-2</v>
      </c>
      <c r="J11" s="113"/>
      <c r="K11" s="113"/>
      <c r="L11" s="113">
        <v>2016</v>
      </c>
      <c r="M11" s="114">
        <f t="shared" si="2"/>
        <v>337.03395541340069</v>
      </c>
      <c r="N11" s="141">
        <f>N10</f>
        <v>1.9129746603000486E-2</v>
      </c>
      <c r="Q11" s="20">
        <v>2016</v>
      </c>
      <c r="R11" s="21">
        <f t="shared" si="3"/>
        <v>3</v>
      </c>
      <c r="S11" s="22">
        <f>S10</f>
        <v>0</v>
      </c>
      <c r="U11" s="20">
        <v>2016</v>
      </c>
      <c r="V11" s="21">
        <v>5348.5</v>
      </c>
      <c r="W11" s="28">
        <f t="shared" si="4"/>
        <v>2.2486648552422E-3</v>
      </c>
      <c r="Z11" s="20">
        <v>2016</v>
      </c>
      <c r="AA11" s="21">
        <f t="shared" si="5"/>
        <v>140.52133439947414</v>
      </c>
      <c r="AB11" s="28">
        <f>AB10</f>
        <v>-2.061754360165946E-2</v>
      </c>
    </row>
    <row r="12" spans="2:30" s="20" customFormat="1" x14ac:dyDescent="0.25">
      <c r="B12" s="20">
        <v>2017</v>
      </c>
      <c r="C12" s="21">
        <f t="shared" si="0"/>
        <v>24311.16873406732</v>
      </c>
      <c r="D12" s="28">
        <f>D11</f>
        <v>6.3679685476587533E-3</v>
      </c>
      <c r="G12" s="113">
        <v>2017</v>
      </c>
      <c r="H12" s="114">
        <f t="shared" si="1"/>
        <v>2929.142469366418</v>
      </c>
      <c r="I12" s="141">
        <f>I11</f>
        <v>-1.353060910226811E-2</v>
      </c>
      <c r="J12" s="113"/>
      <c r="K12" s="113"/>
      <c r="L12" s="113">
        <v>2017</v>
      </c>
      <c r="M12" s="114">
        <f t="shared" si="2"/>
        <v>343.48132957706599</v>
      </c>
      <c r="N12" s="141">
        <f>N11</f>
        <v>1.9129746603000486E-2</v>
      </c>
      <c r="Q12" s="20">
        <v>2017</v>
      </c>
      <c r="R12" s="21">
        <f t="shared" si="3"/>
        <v>3</v>
      </c>
      <c r="S12" s="22">
        <f>S11</f>
        <v>0</v>
      </c>
      <c r="U12" s="20">
        <v>2017</v>
      </c>
      <c r="V12" s="21">
        <v>5360.5</v>
      </c>
      <c r="W12" s="28">
        <f t="shared" si="4"/>
        <v>2.2436197064597549E-3</v>
      </c>
      <c r="Z12" s="20">
        <v>2017</v>
      </c>
      <c r="AA12" s="21">
        <f t="shared" si="5"/>
        <v>137.6241296605296</v>
      </c>
      <c r="AB12" s="28">
        <f>AB11</f>
        <v>-2.061754360165946E-2</v>
      </c>
    </row>
    <row r="13" spans="2:30" s="20" customFormat="1" x14ac:dyDescent="0.25">
      <c r="B13" s="20">
        <v>2018</v>
      </c>
      <c r="C13" s="21">
        <f t="shared" si="0"/>
        <v>24465.981491922685</v>
      </c>
      <c r="D13" s="28">
        <f>D12</f>
        <v>6.3679685476587533E-3</v>
      </c>
      <c r="G13" s="113">
        <v>2018</v>
      </c>
      <c r="H13" s="114">
        <f t="shared" si="1"/>
        <v>2889.5093876085689</v>
      </c>
      <c r="I13" s="141">
        <f>I12</f>
        <v>-1.353060910226811E-2</v>
      </c>
      <c r="J13" s="113"/>
      <c r="K13" s="113"/>
      <c r="L13" s="113">
        <v>2018</v>
      </c>
      <c r="M13" s="114">
        <f t="shared" si="2"/>
        <v>350.05204037473698</v>
      </c>
      <c r="N13" s="141">
        <f>N12</f>
        <v>1.9129746603000486E-2</v>
      </c>
      <c r="Q13" s="20">
        <v>2018</v>
      </c>
      <c r="R13" s="21">
        <f t="shared" si="3"/>
        <v>3</v>
      </c>
      <c r="S13" s="22">
        <f>S12</f>
        <v>0</v>
      </c>
      <c r="U13" s="20">
        <v>2018</v>
      </c>
      <c r="V13" s="21">
        <v>5372.5</v>
      </c>
      <c r="W13" s="28">
        <f t="shared" si="4"/>
        <v>2.2385971457886391E-3</v>
      </c>
      <c r="Z13" s="20">
        <v>2018</v>
      </c>
      <c r="AA13" s="21">
        <f t="shared" si="5"/>
        <v>134.78665816661319</v>
      </c>
      <c r="AB13" s="28">
        <f>AB12</f>
        <v>-2.061754360165946E-2</v>
      </c>
    </row>
    <row r="14" spans="2:30" s="20" customFormat="1" x14ac:dyDescent="0.25">
      <c r="B14" s="20">
        <v>2019</v>
      </c>
      <c r="C14" s="21">
        <f t="shared" si="0"/>
        <v>24621.780092550849</v>
      </c>
      <c r="D14" s="28">
        <f>D13</f>
        <v>6.3679685476587533E-3</v>
      </c>
      <c r="G14" s="113">
        <v>2019</v>
      </c>
      <c r="H14" s="114">
        <f t="shared" si="1"/>
        <v>2850.4125655875032</v>
      </c>
      <c r="I14" s="141">
        <f>I13</f>
        <v>-1.353060910226811E-2</v>
      </c>
      <c r="J14" s="113"/>
      <c r="K14" s="113"/>
      <c r="L14" s="113">
        <v>2019</v>
      </c>
      <c r="M14" s="114">
        <f t="shared" si="2"/>
        <v>356.74844720496901</v>
      </c>
      <c r="N14" s="141">
        <f>N13</f>
        <v>1.9129746603000486E-2</v>
      </c>
      <c r="Q14" s="20">
        <v>2019</v>
      </c>
      <c r="R14" s="21">
        <f t="shared" si="3"/>
        <v>3</v>
      </c>
      <c r="S14" s="22">
        <f>S13</f>
        <v>0</v>
      </c>
      <c r="U14" s="20">
        <v>2019</v>
      </c>
      <c r="V14" s="21">
        <v>5384.5</v>
      </c>
      <c r="W14" s="28">
        <f t="shared" si="4"/>
        <v>2.2335970218706376E-3</v>
      </c>
      <c r="Z14" s="20">
        <v>2019</v>
      </c>
      <c r="AA14" s="21">
        <f t="shared" si="5"/>
        <v>132.00768836494109</v>
      </c>
      <c r="AB14" s="28">
        <f>AB13</f>
        <v>-2.061754360165946E-2</v>
      </c>
    </row>
    <row r="15" spans="2:30" s="20" customFormat="1" x14ac:dyDescent="0.25">
      <c r="B15" s="20">
        <v>2020</v>
      </c>
      <c r="C15" s="21">
        <f t="shared" si="0"/>
        <v>24778.570813767583</v>
      </c>
      <c r="D15" s="28">
        <f>D14</f>
        <v>6.3679685476587533E-3</v>
      </c>
      <c r="G15" s="113">
        <v>2020</v>
      </c>
      <c r="H15" s="114">
        <f t="shared" si="1"/>
        <v>2811.8447473823453</v>
      </c>
      <c r="I15" s="141">
        <f>I14</f>
        <v>-1.353060910226811E-2</v>
      </c>
      <c r="J15" s="113"/>
      <c r="K15" s="113"/>
      <c r="L15" s="113">
        <v>2020</v>
      </c>
      <c r="M15" s="114">
        <f t="shared" si="2"/>
        <v>363.57295460101398</v>
      </c>
      <c r="N15" s="141">
        <f>N14</f>
        <v>1.9129746603000486E-2</v>
      </c>
      <c r="Q15" s="20">
        <v>2020</v>
      </c>
      <c r="R15" s="21">
        <f t="shared" si="3"/>
        <v>3</v>
      </c>
      <c r="S15" s="22">
        <f>S14</f>
        <v>0</v>
      </c>
      <c r="U15" s="20">
        <v>2020</v>
      </c>
      <c r="V15" s="21">
        <v>5396.5</v>
      </c>
      <c r="W15" s="28">
        <f t="shared" si="4"/>
        <v>2.228619184696815E-3</v>
      </c>
      <c r="Z15" s="20">
        <v>2020</v>
      </c>
      <c r="AA15" s="21">
        <f t="shared" si="5"/>
        <v>129.28601409432264</v>
      </c>
      <c r="AB15" s="28">
        <f>AB14</f>
        <v>-2.061754360165946E-2</v>
      </c>
    </row>
    <row r="16" spans="2:30" x14ac:dyDescent="0.25">
      <c r="H16" s="32"/>
    </row>
    <row r="17" spans="3:22" x14ac:dyDescent="0.25">
      <c r="C17" s="104"/>
      <c r="H17" s="32"/>
      <c r="V17" s="21"/>
    </row>
  </sheetData>
  <mergeCells count="12">
    <mergeCell ref="V2:V3"/>
    <mergeCell ref="W2:W3"/>
    <mergeCell ref="AB2:AB3"/>
    <mergeCell ref="U1:U2"/>
    <mergeCell ref="B2:C2"/>
    <mergeCell ref="D2:D3"/>
    <mergeCell ref="G2:H2"/>
    <mergeCell ref="I2:I3"/>
    <mergeCell ref="L2:M2"/>
    <mergeCell ref="N2:N3"/>
    <mergeCell ref="Q2:R2"/>
    <mergeCell ref="S2:S3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opLeftCell="A28" workbookViewId="0">
      <selection activeCell="C38" sqref="C38"/>
    </sheetView>
  </sheetViews>
  <sheetFormatPr defaultRowHeight="13.2" x14ac:dyDescent="0.25"/>
  <cols>
    <col min="1" max="1" width="14.5546875" bestFit="1" customWidth="1"/>
    <col min="2" max="2" width="5" bestFit="1" customWidth="1"/>
    <col min="3" max="3" width="11.109375" bestFit="1" customWidth="1"/>
    <col min="4" max="4" width="7.6640625" customWidth="1"/>
    <col min="5" max="5" width="11.109375" bestFit="1" customWidth="1"/>
    <col min="6" max="6" width="7.6640625" customWidth="1"/>
    <col min="7" max="7" width="3.88671875" customWidth="1"/>
    <col min="8" max="8" width="5" bestFit="1" customWidth="1"/>
    <col min="9" max="9" width="11.33203125" bestFit="1" customWidth="1"/>
    <col min="10" max="10" width="7.6640625" customWidth="1"/>
    <col min="11" max="11" width="10.33203125" bestFit="1" customWidth="1"/>
    <col min="12" max="12" width="7.6640625" customWidth="1"/>
    <col min="13" max="13" width="3.88671875" customWidth="1"/>
    <col min="14" max="14" width="5" bestFit="1" customWidth="1"/>
    <col min="15" max="15" width="11.33203125" bestFit="1" customWidth="1"/>
    <col min="16" max="16" width="7.6640625" customWidth="1"/>
    <col min="17" max="17" width="11.6640625" bestFit="1" customWidth="1"/>
    <col min="18" max="18" width="7.6640625" customWidth="1"/>
    <col min="19" max="19" width="3.88671875" customWidth="1"/>
    <col min="20" max="20" width="5" bestFit="1" customWidth="1"/>
    <col min="21" max="21" width="11.109375" bestFit="1" customWidth="1"/>
    <col min="22" max="22" width="7.6640625" customWidth="1"/>
    <col min="23" max="23" width="11.109375" bestFit="1" customWidth="1"/>
    <col min="24" max="24" width="7.6640625" customWidth="1"/>
    <col min="25" max="25" width="4.109375" customWidth="1"/>
    <col min="26" max="26" width="5" bestFit="1" customWidth="1"/>
    <col min="27" max="27" width="10.5546875" bestFit="1" customWidth="1"/>
    <col min="28" max="28" width="10.33203125" bestFit="1" customWidth="1"/>
    <col min="29" max="29" width="7.6640625" customWidth="1"/>
    <col min="30" max="30" width="3.88671875" customWidth="1"/>
    <col min="31" max="31" width="5" bestFit="1" customWidth="1"/>
    <col min="33" max="33" width="10.33203125" bestFit="1" customWidth="1"/>
    <col min="34" max="34" width="7.6640625" customWidth="1"/>
  </cols>
  <sheetData>
    <row r="1" spans="1:34" x14ac:dyDescent="0.25">
      <c r="A1" s="12" t="s">
        <v>19</v>
      </c>
    </row>
    <row r="2" spans="1:34" ht="12.75" customHeight="1" x14ac:dyDescent="0.25">
      <c r="C2" s="2" t="s">
        <v>34</v>
      </c>
      <c r="D2" s="148" t="s">
        <v>80</v>
      </c>
      <c r="F2" s="148" t="s">
        <v>80</v>
      </c>
      <c r="I2" s="2" t="s">
        <v>28</v>
      </c>
      <c r="J2" s="148" t="s">
        <v>80</v>
      </c>
      <c r="L2" s="148" t="s">
        <v>80</v>
      </c>
      <c r="O2" s="2" t="s">
        <v>27</v>
      </c>
      <c r="P2" s="148" t="s">
        <v>80</v>
      </c>
      <c r="R2" s="148" t="s">
        <v>80</v>
      </c>
      <c r="U2" s="2" t="s">
        <v>29</v>
      </c>
      <c r="V2" s="148" t="s">
        <v>80</v>
      </c>
      <c r="X2" s="148" t="s">
        <v>80</v>
      </c>
      <c r="AA2" s="2" t="s">
        <v>94</v>
      </c>
      <c r="AC2" s="148" t="s">
        <v>80</v>
      </c>
      <c r="AF2" s="2" t="s">
        <v>100</v>
      </c>
      <c r="AH2" s="148" t="s">
        <v>80</v>
      </c>
    </row>
    <row r="3" spans="1:34" x14ac:dyDescent="0.25">
      <c r="B3" s="2" t="s">
        <v>33</v>
      </c>
      <c r="C3" s="2" t="s">
        <v>35</v>
      </c>
      <c r="D3" s="148"/>
      <c r="E3" s="16" t="s">
        <v>61</v>
      </c>
      <c r="F3" s="148"/>
      <c r="H3" s="2" t="s">
        <v>33</v>
      </c>
      <c r="I3" s="2" t="s">
        <v>35</v>
      </c>
      <c r="J3" s="148"/>
      <c r="K3" s="16" t="s">
        <v>61</v>
      </c>
      <c r="L3" s="148"/>
      <c r="N3" s="2" t="s">
        <v>33</v>
      </c>
      <c r="O3" s="2" t="s">
        <v>35</v>
      </c>
      <c r="P3" s="148"/>
      <c r="Q3" s="16" t="s">
        <v>61</v>
      </c>
      <c r="R3" s="148"/>
      <c r="T3" s="2" t="s">
        <v>33</v>
      </c>
      <c r="U3" s="2" t="s">
        <v>35</v>
      </c>
      <c r="V3" s="148"/>
      <c r="W3" s="16" t="s">
        <v>61</v>
      </c>
      <c r="X3" s="148"/>
      <c r="Z3" s="2" t="s">
        <v>33</v>
      </c>
      <c r="AA3" s="2" t="s">
        <v>35</v>
      </c>
      <c r="AB3" s="16" t="s">
        <v>61</v>
      </c>
      <c r="AC3" s="148"/>
      <c r="AE3" s="2" t="s">
        <v>33</v>
      </c>
      <c r="AF3" s="2" t="s">
        <v>35</v>
      </c>
      <c r="AG3" s="16" t="s">
        <v>61</v>
      </c>
      <c r="AH3" s="148"/>
    </row>
    <row r="4" spans="1:34" x14ac:dyDescent="0.25">
      <c r="B4">
        <v>2009</v>
      </c>
      <c r="C4" s="4">
        <f>SUMIF('Res Normalized Monthly'!$B$2:$B$145,B4,'Res Normalized Monthly'!C$2:C$145)</f>
        <v>196461749.94190001</v>
      </c>
      <c r="D4" s="8"/>
      <c r="E4" s="4">
        <f ca="1">SUMIF('Res Normalized Monthly'!$B$2:$B$145,B4,'Res Normalized Monthly'!N$2:N$145)</f>
        <v>199546506.20707685</v>
      </c>
      <c r="F4" s="8"/>
      <c r="H4">
        <v>2009</v>
      </c>
      <c r="I4" s="4">
        <f>SUMIF('GS &lt; 50 Normalized Monthly'!$B$2:$B$145,B4,'GS &lt; 50 Normalized Monthly'!C$2:C$145)</f>
        <v>93350686.924999997</v>
      </c>
      <c r="J4" s="8"/>
      <c r="K4" s="4">
        <f ca="1">SUMIF('GS &lt; 50 Normalized Monthly'!$B$2:$B$145,B4,'GS &lt; 50 Normalized Monthly'!V$2:V$145)</f>
        <v>96482575.492475733</v>
      </c>
      <c r="L4" s="8"/>
      <c r="N4">
        <v>2009</v>
      </c>
      <c r="O4" s="4">
        <f>SUMIF('GS &gt; 50 Normalized Monthly'!$B$2:$B$145,B4,'GS &gt; 50 Normalized Monthly'!C$2:C$145)</f>
        <v>270117289.67619997</v>
      </c>
      <c r="P4" s="8"/>
      <c r="Q4" s="4">
        <f ca="1">SUMIF('GS &gt; 50 Normalized Monthly'!$B$2:$B$145,B4,'GS &gt; 50 Normalized Monthly'!Z$2:Z$145)</f>
        <v>271420409.96163136</v>
      </c>
      <c r="R4" s="8"/>
      <c r="T4">
        <v>2009</v>
      </c>
      <c r="U4" s="4">
        <f>SUMIF('LU Normalized Monthly'!$B$2:$B$145,B4,'LU Normalized Monthly'!C$2:C$145)</f>
        <v>148002868.85999998</v>
      </c>
      <c r="V4" s="8"/>
      <c r="W4" s="4">
        <f ca="1">SUMIF('LU Normalized Monthly'!$B$2:$B$145,B4,'LU Normalized Monthly'!X$2:X$145)</f>
        <v>149122149.37073734</v>
      </c>
      <c r="X4" s="8"/>
      <c r="Z4">
        <v>2009</v>
      </c>
      <c r="AA4" s="4">
        <f>SUMIF('Monthly Data'!$B$2:$B$145,Z4,'Monthly Data'!J$2:J$145)</f>
        <v>3992184.5421686745</v>
      </c>
      <c r="AB4" s="4">
        <f t="shared" ref="AB4:AB9" si="0">AA4</f>
        <v>3992184.5421686745</v>
      </c>
      <c r="AC4" s="8"/>
      <c r="AE4">
        <v>2009</v>
      </c>
      <c r="AF4" s="4">
        <f>SUMIF('Monthly Data'!$B$2:$B$145,AE4,'Monthly Data'!L$2:L$145)</f>
        <v>2256948.7499999995</v>
      </c>
      <c r="AG4" s="4">
        <f t="shared" ref="AG4:AG9" si="1">AF4</f>
        <v>2256948.7499999995</v>
      </c>
      <c r="AH4" s="8"/>
    </row>
    <row r="5" spans="1:34" x14ac:dyDescent="0.25">
      <c r="B5">
        <v>2010</v>
      </c>
      <c r="C5" s="4">
        <f>SUMIF('Res Normalized Monthly'!$B$2:$B$145,B5,'Res Normalized Monthly'!C$2:C$145)</f>
        <v>197410764.39520001</v>
      </c>
      <c r="D5" s="8">
        <f>(C5-C4)/C4</f>
        <v>4.8305303886413157E-3</v>
      </c>
      <c r="E5" s="4">
        <f ca="1">SUMIF('Res Normalized Monthly'!$B$2:$B$145,B5,'Res Normalized Monthly'!N$2:N$145)</f>
        <v>196067449.81953228</v>
      </c>
      <c r="F5" s="8">
        <f ca="1">(E5-E4)/E4</f>
        <v>-1.743481483927474E-2</v>
      </c>
      <c r="H5">
        <v>2010</v>
      </c>
      <c r="I5" s="4">
        <f>SUMIF('GS &lt; 50 Normalized Monthly'!$B$2:$B$145,B5,'GS &lt; 50 Normalized Monthly'!C$2:C$145)</f>
        <v>94126083.127000004</v>
      </c>
      <c r="J5" s="8">
        <f>(I5-I4)/I4</f>
        <v>8.3062720537126575E-3</v>
      </c>
      <c r="K5" s="4">
        <f ca="1">SUMIF('GS &lt; 50 Normalized Monthly'!$B$2:$B$145,B5,'GS &lt; 50 Normalized Monthly'!V$2:V$145)</f>
        <v>94604326.046246737</v>
      </c>
      <c r="L5" s="8">
        <f t="shared" ref="L5:L15" ca="1" si="2">(K5-K4)/K4</f>
        <v>-1.9467239930545516E-2</v>
      </c>
      <c r="N5">
        <v>2010</v>
      </c>
      <c r="O5" s="4">
        <f>SUMIF('GS &gt; 50 Normalized Monthly'!$B$2:$B$145,B5,'GS &gt; 50 Normalized Monthly'!C$2:C$145)</f>
        <v>273806097.95489997</v>
      </c>
      <c r="P5" s="8">
        <f>(O5-O4)/O4</f>
        <v>1.3656320493671142E-2</v>
      </c>
      <c r="Q5" s="4">
        <f ca="1">SUMIF('GS &gt; 50 Normalized Monthly'!$B$2:$B$145,B5,'GS &gt; 50 Normalized Monthly'!Z$2:Z$145)</f>
        <v>272534006.54536551</v>
      </c>
      <c r="R5" s="8">
        <f ca="1">(Q5-Q4)/Q4</f>
        <v>4.1028476225924773E-3</v>
      </c>
      <c r="T5">
        <v>2010</v>
      </c>
      <c r="U5" s="4">
        <f>SUMIF('LU Normalized Monthly'!$B$2:$B$145,B5,'LU Normalized Monthly'!C$2:C$145)</f>
        <v>149058789.9682</v>
      </c>
      <c r="V5" s="8">
        <f>(U5-U4)/U4</f>
        <v>7.1344637866367216E-3</v>
      </c>
      <c r="W5" s="4">
        <f ca="1">SUMIF('LU Normalized Monthly'!$B$2:$B$145,B5,'LU Normalized Monthly'!X$2:X$145)</f>
        <v>149917703.69742325</v>
      </c>
      <c r="X5" s="8">
        <f ca="1">(W5-W4)/W4</f>
        <v>5.3349172476588463E-3</v>
      </c>
      <c r="Y5" s="10"/>
      <c r="Z5">
        <v>2010</v>
      </c>
      <c r="AA5" s="4">
        <f>SUMIF('Monthly Data'!$B$2:$B$145,Z5,'Monthly Data'!J$2:J$145)</f>
        <v>4076824</v>
      </c>
      <c r="AB5" s="4">
        <f t="shared" si="0"/>
        <v>4076824</v>
      </c>
      <c r="AC5" s="13">
        <f>(AB5-AB4)/AB4</f>
        <v>2.1201288902678528E-2</v>
      </c>
      <c r="AE5">
        <v>2010</v>
      </c>
      <c r="AF5" s="4">
        <f>SUMIF('Monthly Data'!$B$2:$B$145,AE5,'Monthly Data'!L$2:L$145)</f>
        <v>2229012.04</v>
      </c>
      <c r="AG5" s="4">
        <f t="shared" si="1"/>
        <v>2229012.04</v>
      </c>
      <c r="AH5" s="13">
        <f>(AG5-AG4)/AG4</f>
        <v>-1.2378087894109028E-2</v>
      </c>
    </row>
    <row r="6" spans="1:34" x14ac:dyDescent="0.25">
      <c r="B6">
        <v>2011</v>
      </c>
      <c r="C6" s="132">
        <f>SUMIF('Res Normalized Monthly'!$B$2:$B$145,B6,'Res Normalized Monthly'!C$2:C$145)</f>
        <v>191104338.41010001</v>
      </c>
      <c r="D6" s="133">
        <f t="shared" ref="D6:F11" si="3">(C6-C5)/C5</f>
        <v>-3.1945704705722423E-2</v>
      </c>
      <c r="E6" s="132">
        <f ca="1">SUMIF('Res Normalized Monthly'!$B$2:$B$145,B6,'Res Normalized Monthly'!N$2:N$145)</f>
        <v>192468474.32717651</v>
      </c>
      <c r="F6" s="133">
        <f t="shared" ca="1" si="3"/>
        <v>-1.8355803044658326E-2</v>
      </c>
      <c r="G6" s="9"/>
      <c r="H6" s="9">
        <v>2011</v>
      </c>
      <c r="I6" s="132">
        <f>SUMIF('GS &lt; 50 Normalized Monthly'!$B$2:$B$145,B6,'GS &lt; 50 Normalized Monthly'!C$2:C$145)</f>
        <v>93008634.910999998</v>
      </c>
      <c r="J6" s="133">
        <f>(I6-I5)/I5</f>
        <v>-1.1871823185208758E-2</v>
      </c>
      <c r="K6" s="132">
        <f ca="1">SUMIF('GS &lt; 50 Normalized Monthly'!$B$2:$B$145,B6,'GS &lt; 50 Normalized Monthly'!V$2:V$145)</f>
        <v>93451849.38676247</v>
      </c>
      <c r="L6" s="133">
        <f t="shared" ca="1" si="2"/>
        <v>-1.2182071451160554E-2</v>
      </c>
      <c r="M6" s="9"/>
      <c r="N6" s="9">
        <v>2011</v>
      </c>
      <c r="O6" s="132">
        <f>SUMIF('GS &gt; 50 Normalized Monthly'!$B$2:$B$145,B6,'GS &gt; 50 Normalized Monthly'!C$2:C$145)</f>
        <v>273712584.15109998</v>
      </c>
      <c r="P6" s="133">
        <f>(O6-O5)/O5</f>
        <v>-3.4153294794548363E-4</v>
      </c>
      <c r="Q6" s="132">
        <f ca="1">SUMIF('GS &gt; 50 Normalized Monthly'!$B$2:$B$145,B6,'GS &gt; 50 Normalized Monthly'!Z$2:Z$145)</f>
        <v>276373014.81373316</v>
      </c>
      <c r="R6" s="133">
        <f t="shared" ref="R6:R11" ca="1" si="4">(Q6-Q5)/Q5</f>
        <v>1.4086345836363045E-2</v>
      </c>
      <c r="S6" s="9"/>
      <c r="T6" s="9">
        <v>2011</v>
      </c>
      <c r="U6" s="132">
        <f>SUMIF('LU Normalized Monthly'!$B$2:$B$145,B6,'LU Normalized Monthly'!C$2:C$145)</f>
        <v>154491718.44549999</v>
      </c>
      <c r="V6" s="133">
        <f>(U6-U5)/U5</f>
        <v>3.6448226088907888E-2</v>
      </c>
      <c r="W6" s="132">
        <f ca="1">SUMIF('LU Normalized Monthly'!$B$2:$B$145,B6,'LU Normalized Monthly'!X$2:X$145)</f>
        <v>153782310.92120907</v>
      </c>
      <c r="X6" s="133">
        <f t="shared" ref="X6:X11" ca="1" si="5">(W6-W5)/W5</f>
        <v>2.5778191157367906E-2</v>
      </c>
      <c r="Y6" s="134"/>
      <c r="Z6" s="9">
        <v>2011</v>
      </c>
      <c r="AA6" s="132">
        <f>SUMIF('Monthly Data'!$B$2:$B$145,Z6,'Monthly Data'!J$2:J$145)</f>
        <v>4142238</v>
      </c>
      <c r="AB6" s="132">
        <f t="shared" si="0"/>
        <v>4142238</v>
      </c>
      <c r="AC6" s="135">
        <f t="shared" ref="AC6:AC11" si="6">(AB6-AB5)/AB5</f>
        <v>1.60453333281005E-2</v>
      </c>
      <c r="AD6" s="9"/>
      <c r="AE6" s="9">
        <v>2011</v>
      </c>
      <c r="AF6" s="132">
        <f>SUMIF('Monthly Data'!$B$2:$B$145,AE6,'Monthly Data'!L$2:L$145)</f>
        <v>1517655.06</v>
      </c>
      <c r="AG6" s="132">
        <f t="shared" si="1"/>
        <v>1517655.06</v>
      </c>
      <c r="AH6" s="135">
        <f t="shared" ref="AH6:AH11" si="7">(AG6-AG5)/AG5</f>
        <v>-0.31913554850067116</v>
      </c>
    </row>
    <row r="7" spans="1:34" x14ac:dyDescent="0.25">
      <c r="B7" s="9">
        <v>2012</v>
      </c>
      <c r="C7" s="132">
        <f>SUMIF('Res Normalized Monthly'!$B$2:$B$145,B7,'Res Normalized Monthly'!C$2:C$145)</f>
        <v>184953208.6112</v>
      </c>
      <c r="D7" s="133">
        <f t="shared" si="3"/>
        <v>-3.21872849673355E-2</v>
      </c>
      <c r="E7" s="132">
        <f ca="1">SUMIF('Res Normalized Monthly'!$B$2:$B$145,B7,'Res Normalized Monthly'!N$2:N$145)</f>
        <v>187753433.52981678</v>
      </c>
      <c r="F7" s="133">
        <f t="shared" ca="1" si="3"/>
        <v>-2.4497730414512732E-2</v>
      </c>
      <c r="G7" s="9"/>
      <c r="H7" s="9">
        <v>2012</v>
      </c>
      <c r="I7" s="132">
        <f>SUMIF('GS &lt; 50 Normalized Monthly'!$B$2:$B$145,B7,'GS &lt; 50 Normalized Monthly'!C$2:C$145)</f>
        <v>88608640.897100002</v>
      </c>
      <c r="J7" s="133">
        <f>(I7-I6)/I6</f>
        <v>-4.7307371171615979E-2</v>
      </c>
      <c r="K7" s="132">
        <f ca="1">SUMIF('GS &lt; 50 Normalized Monthly'!$B$2:$B$145,B7,'GS &lt; 50 Normalized Monthly'!V$2:V$145)</f>
        <v>90368676.187782571</v>
      </c>
      <c r="L7" s="133">
        <f t="shared" ca="1" si="2"/>
        <v>-3.2992104695753977E-2</v>
      </c>
      <c r="M7" s="9"/>
      <c r="N7" s="9">
        <v>2012</v>
      </c>
      <c r="O7" s="132">
        <f>SUMIF('GS &gt; 50 Normalized Monthly'!$B$2:$B$145,B7,'GS &gt; 50 Normalized Monthly'!C$2:C$145)</f>
        <v>274473667.94679999</v>
      </c>
      <c r="P7" s="133">
        <f>(O7-O6)/O6</f>
        <v>2.7805948274554518E-3</v>
      </c>
      <c r="Q7" s="132">
        <f ca="1">SUMIF('GS &gt; 50 Normalized Monthly'!$B$2:$B$145,B7,'GS &gt; 50 Normalized Monthly'!Z$2:Z$145)</f>
        <v>274828836.04837596</v>
      </c>
      <c r="R7" s="133">
        <f t="shared" ca="1" si="4"/>
        <v>-5.5872993475789409E-3</v>
      </c>
      <c r="S7" s="9"/>
      <c r="T7" s="9">
        <v>2012</v>
      </c>
      <c r="U7" s="132">
        <f>SUMIF('LU Normalized Monthly'!$B$2:$B$145,B7,'LU Normalized Monthly'!C$2:C$145)</f>
        <v>155448434.65640002</v>
      </c>
      <c r="V7" s="133">
        <f>(U7-U6)/U6</f>
        <v>6.192669875942503E-3</v>
      </c>
      <c r="W7" s="132">
        <f ca="1">SUMIF('LU Normalized Monthly'!$B$2:$B$145,B7,'LU Normalized Monthly'!X$2:X$145)</f>
        <v>151928995.37292206</v>
      </c>
      <c r="X7" s="133">
        <f t="shared" ca="1" si="5"/>
        <v>-1.2051552205094363E-2</v>
      </c>
      <c r="Y7" s="134"/>
      <c r="Z7" s="9">
        <v>2012</v>
      </c>
      <c r="AA7" s="132">
        <f>SUMIF('Monthly Data'!$B$2:$B$145,Z7,'Monthly Data'!J$2:J$145)</f>
        <v>4555371</v>
      </c>
      <c r="AB7" s="132">
        <f t="shared" si="0"/>
        <v>4555371</v>
      </c>
      <c r="AC7" s="135">
        <f t="shared" si="6"/>
        <v>9.973666409317862E-2</v>
      </c>
      <c r="AD7" s="9"/>
      <c r="AE7" s="9">
        <v>2012</v>
      </c>
      <c r="AF7" s="132">
        <f>SUMIF('Monthly Data'!$B$2:$B$145,AE7,'Monthly Data'!L$2:L$145)</f>
        <v>1484560.47</v>
      </c>
      <c r="AG7" s="132">
        <f t="shared" si="1"/>
        <v>1484560.47</v>
      </c>
      <c r="AH7" s="135">
        <f t="shared" si="7"/>
        <v>-2.1806397825339892E-2</v>
      </c>
    </row>
    <row r="8" spans="1:34" x14ac:dyDescent="0.25">
      <c r="B8">
        <v>2013</v>
      </c>
      <c r="C8" s="132">
        <f>SUMIF('Res Normalized Monthly'!$B$2:$B$145,B8,'Res Normalized Monthly'!C$2:C$145)</f>
        <v>189348695.8743</v>
      </c>
      <c r="D8" s="133">
        <f t="shared" si="3"/>
        <v>2.3765401509416289E-2</v>
      </c>
      <c r="E8" s="132">
        <f ca="1">SUMIF('Res Normalized Monthly'!$B$2:$B$145,B8,'Res Normalized Monthly'!N$2:N$145)</f>
        <v>187855597.68140596</v>
      </c>
      <c r="F8" s="133">
        <f t="shared" ca="1" si="3"/>
        <v>5.4413999077657614E-4</v>
      </c>
      <c r="G8" s="9"/>
      <c r="H8" s="9">
        <v>2013</v>
      </c>
      <c r="I8" s="132">
        <f>SUMIF('GS &lt; 50 Normalized Monthly'!$B$2:$B$145,B8,'GS &lt; 50 Normalized Monthly'!C$2:C$145)</f>
        <v>86375577.059599996</v>
      </c>
      <c r="J8" s="133">
        <f>(I8-I7)/I7</f>
        <v>-2.5201422963853293E-2</v>
      </c>
      <c r="K8" s="132">
        <f ca="1">SUMIF('GS &lt; 50 Normalized Monthly'!$B$2:$B$145,B8,'GS &lt; 50 Normalized Monthly'!V$2:V$145)</f>
        <v>87743514.941602722</v>
      </c>
      <c r="L8" s="133">
        <f t="shared" ca="1" si="2"/>
        <v>-2.9049460022241187E-2</v>
      </c>
      <c r="M8" s="9"/>
      <c r="N8" s="9">
        <v>2013</v>
      </c>
      <c r="O8" s="132">
        <f>SUMIF('GS &gt; 50 Normalized Monthly'!$B$2:$B$145,B8,'GS &gt; 50 Normalized Monthly'!C$2:C$145)</f>
        <v>279458000.47820002</v>
      </c>
      <c r="P8" s="133">
        <f>(O8-O7)/O7</f>
        <v>1.8159601861574989E-2</v>
      </c>
      <c r="Q8" s="132">
        <f ca="1">SUMIF('GS &gt; 50 Normalized Monthly'!$B$2:$B$145,B8,'GS &gt; 50 Normalized Monthly'!Z$2:Z$145)</f>
        <v>278356828.05248821</v>
      </c>
      <c r="R8" s="133">
        <f t="shared" ca="1" si="4"/>
        <v>1.2837051798637457E-2</v>
      </c>
      <c r="S8" s="9"/>
      <c r="T8" s="9">
        <v>2013</v>
      </c>
      <c r="U8" s="132">
        <f>SUMIF('LU Normalized Monthly'!$B$2:$B$145,B8,'LU Normalized Monthly'!C$2:C$145)</f>
        <v>153943745.77000001</v>
      </c>
      <c r="V8" s="133">
        <f>(U8-U7)/U7</f>
        <v>-9.679665734337867E-3</v>
      </c>
      <c r="W8" s="132">
        <f ca="1">SUMIF('LU Normalized Monthly'!$B$2:$B$145,B8,'LU Normalized Monthly'!X$2:X$145)</f>
        <v>155099352.4017114</v>
      </c>
      <c r="X8" s="133">
        <f t="shared" ca="1" si="5"/>
        <v>2.0867359920385457E-2</v>
      </c>
      <c r="Y8" s="134"/>
      <c r="Z8" s="9">
        <v>2013</v>
      </c>
      <c r="AA8" s="132">
        <f>SUMIF('Monthly Data'!$B$2:$B$145,Z8,'Monthly Data'!J$2:J$145)</f>
        <v>3336835</v>
      </c>
      <c r="AB8" s="132">
        <f t="shared" si="0"/>
        <v>3336835</v>
      </c>
      <c r="AC8" s="135">
        <f t="shared" si="6"/>
        <v>-0.26749434897838176</v>
      </c>
      <c r="AD8" s="9"/>
      <c r="AE8" s="9">
        <v>2013</v>
      </c>
      <c r="AF8" s="132">
        <f>SUMIF('Monthly Data'!$B$2:$B$145,AE8,'Monthly Data'!L$2:L$145)</f>
        <v>1499819.8</v>
      </c>
      <c r="AG8" s="132">
        <f t="shared" si="1"/>
        <v>1499819.8</v>
      </c>
      <c r="AH8" s="135">
        <f t="shared" si="7"/>
        <v>1.0278685380865675E-2</v>
      </c>
    </row>
    <row r="9" spans="1:34" s="20" customFormat="1" x14ac:dyDescent="0.25">
      <c r="B9" s="30">
        <v>2014</v>
      </c>
      <c r="C9" s="132">
        <f>SUMIF('Res Normalized Monthly'!$B$2:$B$145,B9,'Res Normalized Monthly'!C$2:C$145)</f>
        <v>192061408.34380001</v>
      </c>
      <c r="D9" s="133">
        <f t="shared" si="3"/>
        <v>1.4326544246710059E-2</v>
      </c>
      <c r="E9" s="132">
        <f ca="1">SUMIF('Res Normalized Monthly'!$B$2:$B$145,B9,'Res Normalized Monthly'!N$2:N$145)</f>
        <v>189757911.12226292</v>
      </c>
      <c r="F9" s="133">
        <f t="shared" ca="1" si="3"/>
        <v>1.0126466628283259E-2</v>
      </c>
      <c r="G9" s="136"/>
      <c r="H9" s="9">
        <v>2014</v>
      </c>
      <c r="I9" s="132">
        <f>SUMIF('GS &lt; 50 Normalized Monthly'!$B$2:$B$145,B9,'GS &lt; 50 Normalized Monthly'!C$2:C$145)</f>
        <v>91470554.884800017</v>
      </c>
      <c r="J9" s="133">
        <f>(I9-I8)/I8</f>
        <v>5.898632459131864E-2</v>
      </c>
      <c r="K9" s="132">
        <f ca="1">SUMIF('GS &lt; 50 Normalized Monthly'!$B$2:$B$145,B9,'GS &lt; 50 Normalized Monthly'!V$2:V$145)</f>
        <v>92820327.819156781</v>
      </c>
      <c r="L9" s="133">
        <f t="shared" ca="1" si="2"/>
        <v>5.7859693459202173E-2</v>
      </c>
      <c r="M9" s="136"/>
      <c r="N9" s="9">
        <v>2014</v>
      </c>
      <c r="O9" s="132">
        <f>SUMIF('GS &gt; 50 Normalized Monthly'!$B$2:$B$145,B9,'GS &gt; 50 Normalized Monthly'!C$2:C$145)</f>
        <v>272498127.16669995</v>
      </c>
      <c r="P9" s="133">
        <f>(O9-O8)/O8</f>
        <v>-2.4904899124700491E-2</v>
      </c>
      <c r="Q9" s="132">
        <f ca="1">SUMIF('GS &gt; 50 Normalized Monthly'!$B$2:$B$145,B9,'GS &gt; 50 Normalized Monthly'!Z$2:Z$145)</f>
        <v>272478959.22987044</v>
      </c>
      <c r="R9" s="133">
        <f ca="1">(Q9-Q8)/Q8</f>
        <v>-2.111630910490693E-2</v>
      </c>
      <c r="S9" s="136"/>
      <c r="T9" s="9">
        <v>2014</v>
      </c>
      <c r="U9" s="132">
        <f>SUMIF('LU Normalized Monthly'!$B$2:$B$145,B9,'LU Normalized Monthly'!C$2:C$145)</f>
        <v>151518193.477</v>
      </c>
      <c r="V9" s="133">
        <f>(U9-U8)/U8</f>
        <v>-1.5756095064907116E-2</v>
      </c>
      <c r="W9" s="132">
        <f ca="1">SUMIF('LU Normalized Monthly'!$B$2:$B$145,B9,'LU Normalized Monthly'!X$2:X$145)</f>
        <v>153957083.2555337</v>
      </c>
      <c r="X9" s="133">
        <f ca="1">(W9-W8)/W8</f>
        <v>-7.3647576762229279E-3</v>
      </c>
      <c r="Y9" s="134"/>
      <c r="Z9" s="9">
        <v>2014</v>
      </c>
      <c r="AA9" s="132">
        <f>SUMIF('Monthly Data'!$B$2:$B$145,Z9,'Monthly Data'!J$2:J$145)</f>
        <v>1817916.7936968291</v>
      </c>
      <c r="AB9" s="132">
        <f t="shared" si="0"/>
        <v>1817916.7936968291</v>
      </c>
      <c r="AC9" s="135">
        <f>(AB9-AB8)/AB8</f>
        <v>-0.45519727715130381</v>
      </c>
      <c r="AD9" s="136"/>
      <c r="AE9" s="9">
        <v>2014</v>
      </c>
      <c r="AF9" s="132">
        <f>SUMIF('Monthly Data'!$B$2:$B$145,AE9,'Monthly Data'!L$2:L$145)</f>
        <v>1247036.4200000002</v>
      </c>
      <c r="AG9" s="132">
        <f t="shared" si="1"/>
        <v>1247036.4200000002</v>
      </c>
      <c r="AH9" s="135">
        <f>(AG9-AG8)/AG8</f>
        <v>-0.16854250090577541</v>
      </c>
    </row>
    <row r="10" spans="1:34" s="20" customFormat="1" x14ac:dyDescent="0.25">
      <c r="B10" s="20">
        <v>2015</v>
      </c>
      <c r="C10" s="21"/>
      <c r="D10" s="22"/>
      <c r="E10" s="21">
        <f ca="1">SUMIF('Res Normalized Monthly'!$B$2:$B$145,B10,'Res Normalized Monthly'!N$2:N$145)</f>
        <v>187846946.93631631</v>
      </c>
      <c r="F10" s="22">
        <f t="shared" ca="1" si="3"/>
        <v>-1.0070537637376078E-2</v>
      </c>
      <c r="H10" s="20">
        <v>2015</v>
      </c>
      <c r="I10" s="21"/>
      <c r="J10" s="22"/>
      <c r="K10" s="21">
        <f ca="1">SUMIF('GS &lt; 50 Normalized Monthly'!$B$2:$B$145,B10,'GS &lt; 50 Normalized Monthly'!V$2:V$145)</f>
        <v>96525307.400662139</v>
      </c>
      <c r="L10" s="22">
        <f t="shared" ca="1" si="2"/>
        <v>3.9915605434230152E-2</v>
      </c>
      <c r="N10" s="20">
        <v>2015</v>
      </c>
      <c r="O10" s="21"/>
      <c r="P10" s="22"/>
      <c r="Q10" s="21">
        <f ca="1">SUMIF('GS &gt; 50 Normalized Monthly'!$B$2:$B$145,B10,'GS &gt; 50 Normalized Monthly'!Z$2:Z$145)</f>
        <v>273251617.9552204</v>
      </c>
      <c r="R10" s="22">
        <f t="shared" ca="1" si="4"/>
        <v>2.8356638161485615E-3</v>
      </c>
      <c r="T10" s="20">
        <v>2015</v>
      </c>
      <c r="U10" s="21"/>
      <c r="V10" s="21"/>
      <c r="W10" s="21">
        <f ca="1">SUMIF('LU Normalized Monthly'!$B$2:$B$145,B10,'LU Normalized Monthly'!X$2:X$145)</f>
        <v>154368711.61319837</v>
      </c>
      <c r="X10" s="22">
        <f t="shared" ca="1" si="5"/>
        <v>2.6736565084275153E-3</v>
      </c>
      <c r="Y10" s="103"/>
      <c r="Z10" s="20">
        <v>2015</v>
      </c>
      <c r="AA10" s="21"/>
      <c r="AB10" s="21">
        <v>1814577.0773553622</v>
      </c>
      <c r="AC10" s="28">
        <f t="shared" si="6"/>
        <v>-1.8371117715874044E-3</v>
      </c>
      <c r="AE10" s="20">
        <v>2015</v>
      </c>
      <c r="AF10" s="21"/>
      <c r="AG10" s="21">
        <f>AG9*(1+'Connection count GS Adjusted '!AB10)</f>
        <v>1221325.5922377929</v>
      </c>
      <c r="AH10" s="28">
        <f t="shared" si="7"/>
        <v>-2.0617543601659401E-2</v>
      </c>
    </row>
    <row r="11" spans="1:34" s="20" customFormat="1" x14ac:dyDescent="0.25">
      <c r="B11" s="20">
        <v>2016</v>
      </c>
      <c r="C11" s="21"/>
      <c r="D11" s="22"/>
      <c r="E11" s="21">
        <f ca="1">SUMIF('Res Normalized Monthly'!$B$2:$B$145,B11,'Res Normalized Monthly'!N$2:N$145)</f>
        <v>185951799.75322267</v>
      </c>
      <c r="F11" s="22">
        <f t="shared" ca="1" si="3"/>
        <v>-1.0088783522982293E-2</v>
      </c>
      <c r="H11" s="20">
        <v>2016</v>
      </c>
      <c r="I11" s="21"/>
      <c r="J11" s="22"/>
      <c r="K11" s="21">
        <f ca="1">SUMIF('GS &lt; 50 Normalized Monthly'!$B$2:$B$145,B11,'GS &lt; 50 Normalized Monthly'!V$2:V$145)</f>
        <v>94406782.171978414</v>
      </c>
      <c r="L11" s="22">
        <f t="shared" ca="1" si="2"/>
        <v>-2.1947873420283898E-2</v>
      </c>
      <c r="N11" s="20">
        <v>2016</v>
      </c>
      <c r="O11" s="21"/>
      <c r="P11" s="22"/>
      <c r="Q11" s="21">
        <f ca="1">SUMIF('GS &gt; 50 Normalized Monthly'!$B$2:$B$145,B11,'GS &gt; 50 Normalized Monthly'!Z$2:Z$145)</f>
        <v>273969108.33876514</v>
      </c>
      <c r="R11" s="22">
        <f t="shared" ca="1" si="4"/>
        <v>2.6257498085970094E-3</v>
      </c>
      <c r="T11" s="20">
        <v>2016</v>
      </c>
      <c r="U11" s="21"/>
      <c r="V11" s="21"/>
      <c r="W11" s="21">
        <f ca="1">SUMIF('LU Normalized Monthly'!$B$2:$B$145,B11,'LU Normalized Monthly'!X$2:X$145)</f>
        <v>155062234.14183554</v>
      </c>
      <c r="X11" s="22">
        <f t="shared" ca="1" si="5"/>
        <v>4.4926366320587685E-3</v>
      </c>
      <c r="Z11" s="20">
        <v>2016</v>
      </c>
      <c r="AA11" s="21"/>
      <c r="AB11" s="21">
        <v>1818158.4601505373</v>
      </c>
      <c r="AC11" s="28">
        <f t="shared" si="6"/>
        <v>1.9736735572537505E-3</v>
      </c>
      <c r="AE11" s="20">
        <v>2016</v>
      </c>
      <c r="AF11" s="21"/>
      <c r="AG11" s="21">
        <f>AG10*(1+'Connection count GS Adjusted '!AB11)</f>
        <v>1196144.8585880077</v>
      </c>
      <c r="AH11" s="28">
        <f t="shared" si="7"/>
        <v>-2.0617543601659384E-2</v>
      </c>
    </row>
    <row r="12" spans="1:34" s="20" customFormat="1" x14ac:dyDescent="0.25">
      <c r="B12" s="20">
        <v>2017</v>
      </c>
      <c r="C12" s="21"/>
      <c r="D12" s="22"/>
      <c r="E12" s="21">
        <f ca="1">SUMIF('Res Normalized Monthly'!$B$2:$B$145,B12,'Res Normalized Monthly'!N$2:N$145)</f>
        <v>184072570.29515868</v>
      </c>
      <c r="F12" s="22">
        <f ca="1">(E12-E11)/E11</f>
        <v>-1.0106003064008643E-2</v>
      </c>
      <c r="H12" s="20">
        <v>2017</v>
      </c>
      <c r="I12" s="21"/>
      <c r="J12" s="22"/>
      <c r="K12" s="21">
        <f ca="1">SUMIF('GS &lt; 50 Normalized Monthly'!$B$2:$B$145,B12,'GS &lt; 50 Normalized Monthly'!V$2:V$145)</f>
        <v>92323638.533219546</v>
      </c>
      <c r="L12" s="22">
        <f t="shared" ca="1" si="2"/>
        <v>-2.2065614258137287E-2</v>
      </c>
      <c r="N12" s="20">
        <v>2017</v>
      </c>
      <c r="O12" s="21"/>
      <c r="P12" s="22"/>
      <c r="Q12" s="21">
        <f ca="1">SUMIF('GS &gt; 50 Normalized Monthly'!$B$2:$B$145,B12,'GS &gt; 50 Normalized Monthly'!Z$2:Z$145)</f>
        <v>274745148.26889813</v>
      </c>
      <c r="R12" s="22">
        <f ca="1">(Q12-Q11)/Q11</f>
        <v>2.8325818733307886E-3</v>
      </c>
      <c r="T12" s="20">
        <v>2017</v>
      </c>
      <c r="U12" s="21"/>
      <c r="V12" s="21"/>
      <c r="W12" s="21">
        <f ca="1">SUMIF('LU Normalized Monthly'!$B$2:$B$145,B12,'LU Normalized Monthly'!X$2:X$145)</f>
        <v>155477670.03301656</v>
      </c>
      <c r="X12" s="22">
        <f ca="1">(W12-W11)/W11</f>
        <v>2.6791558465552767E-3</v>
      </c>
      <c r="Z12" s="20">
        <v>2017</v>
      </c>
      <c r="AA12" s="21"/>
      <c r="AB12" s="21">
        <v>1821739.8429457126</v>
      </c>
      <c r="AC12" s="28">
        <f>(AB12-AB11)/AB11</f>
        <v>1.9697858430220536E-3</v>
      </c>
      <c r="AE12" s="20">
        <v>2017</v>
      </c>
      <c r="AF12" s="21"/>
      <c r="AG12" s="21">
        <f>AG11*(1+'Connection count GS Adjusted '!AB12)</f>
        <v>1171483.2898121688</v>
      </c>
      <c r="AH12" s="28">
        <f>(AG12-AG11)/AG11</f>
        <v>-2.0617543601659377E-2</v>
      </c>
    </row>
    <row r="13" spans="1:34" s="20" customFormat="1" x14ac:dyDescent="0.25">
      <c r="B13" s="20">
        <v>2018</v>
      </c>
      <c r="C13" s="21"/>
      <c r="D13" s="22"/>
      <c r="E13" s="21">
        <f ca="1">SUMIF('Res Normalized Monthly'!$B$2:$B$145,B13,'Res Normalized Monthly'!N$2:N$145)</f>
        <v>182209359.92569673</v>
      </c>
      <c r="F13" s="22">
        <f ca="1">(E13-E12)/E12</f>
        <v>-1.0122151097658455E-2</v>
      </c>
      <c r="H13" s="20">
        <v>2018</v>
      </c>
      <c r="I13" s="21"/>
      <c r="J13" s="22"/>
      <c r="K13" s="21">
        <f ca="1">SUMIF('GS &lt; 50 Normalized Monthly'!$B$2:$B$145,B13,'GS &lt; 50 Normalized Monthly'!V$2:V$145)</f>
        <v>90275285.574780762</v>
      </c>
      <c r="L13" s="22">
        <f t="shared" ca="1" si="2"/>
        <v>-2.2186657620753902E-2</v>
      </c>
      <c r="N13" s="20">
        <v>2018</v>
      </c>
      <c r="O13" s="21"/>
      <c r="P13" s="22"/>
      <c r="Q13" s="21">
        <f ca="1">SUMIF('GS &gt; 50 Normalized Monthly'!$B$2:$B$145,B13,'GS &gt; 50 Normalized Monthly'!Z$2:Z$145)</f>
        <v>275580396.42801851</v>
      </c>
      <c r="R13" s="22">
        <f ca="1">(Q13-Q12)/Q12</f>
        <v>3.0400833804821482E-3</v>
      </c>
      <c r="T13" s="20">
        <v>2018</v>
      </c>
      <c r="U13" s="21"/>
      <c r="V13" s="21"/>
      <c r="W13" s="21">
        <f ca="1">SUMIF('LU Normalized Monthly'!$B$2:$B$145,B13,'LU Normalized Monthly'!X$2:X$145)</f>
        <v>155959779.58958554</v>
      </c>
      <c r="X13" s="22">
        <f ca="1">(W13-W12)/W12</f>
        <v>3.1008282827148202E-3</v>
      </c>
      <c r="Z13" s="20">
        <v>2018</v>
      </c>
      <c r="AA13" s="21"/>
      <c r="AB13" s="21">
        <v>1825321.2257408875</v>
      </c>
      <c r="AC13" s="28">
        <f>(AB13-AB12)/AB12</f>
        <v>1.9659134146090933E-3</v>
      </c>
      <c r="AE13" s="20">
        <v>2018</v>
      </c>
      <c r="AF13" s="21"/>
      <c r="AG13" s="21">
        <f>AG12*(1+'Connection count GS Adjusted '!AB13)</f>
        <v>1147330.1820058511</v>
      </c>
      <c r="AH13" s="28">
        <f>(AG13-AG12)/AG12</f>
        <v>-2.0617543601659363E-2</v>
      </c>
    </row>
    <row r="14" spans="1:34" s="20" customFormat="1" x14ac:dyDescent="0.25">
      <c r="B14" s="20">
        <v>2019</v>
      </c>
      <c r="C14" s="21"/>
      <c r="D14" s="22"/>
      <c r="E14" s="21">
        <f ca="1">SUMIF('Res Normalized Monthly'!$B$2:$B$145,B14,'Res Normalized Monthly'!N$2:N$145)</f>
        <v>180362270.65388906</v>
      </c>
      <c r="F14" s="22">
        <f ca="1">(E14-E13)/E13</f>
        <v>-1.0137181056784877E-2</v>
      </c>
      <c r="H14" s="20">
        <v>2019</v>
      </c>
      <c r="I14" s="21"/>
      <c r="J14" s="22"/>
      <c r="K14" s="21">
        <f ca="1">SUMIF('GS &lt; 50 Normalized Monthly'!$B$2:$B$145,B14,'GS &lt; 50 Normalized Monthly'!V$2:V$145)</f>
        <v>88261142.255866542</v>
      </c>
      <c r="L14" s="22">
        <f t="shared" ca="1" si="2"/>
        <v>-2.2311126529151511E-2</v>
      </c>
      <c r="N14" s="20">
        <v>2019</v>
      </c>
      <c r="O14" s="21"/>
      <c r="P14" s="22"/>
      <c r="Q14" s="21">
        <f ca="1">SUMIF('GS &gt; 50 Normalized Monthly'!$B$2:$B$145,B14,'GS &gt; 50 Normalized Monthly'!Z$2:Z$145)</f>
        <v>276475518.90870243</v>
      </c>
      <c r="R14" s="22">
        <f ca="1">(Q14-Q13)/Q13</f>
        <v>3.2481355433340063E-3</v>
      </c>
      <c r="T14" s="20">
        <v>2019</v>
      </c>
      <c r="U14" s="21"/>
      <c r="V14" s="21"/>
      <c r="W14" s="21">
        <f ca="1">SUMIF('LU Normalized Monthly'!$B$2:$B$145,B14,'LU Normalized Monthly'!X$2:X$145)</f>
        <v>156509312.89027819</v>
      </c>
      <c r="X14" s="22">
        <f ca="1">(W14-W13)/W13</f>
        <v>3.5235578181680351E-3</v>
      </c>
      <c r="Z14" s="20">
        <v>2019</v>
      </c>
      <c r="AA14" s="21"/>
      <c r="AB14" s="21">
        <v>1828902.6085360628</v>
      </c>
      <c r="AC14" s="28">
        <f>(AB14-AB13)/AB13</f>
        <v>1.9620561820408579E-3</v>
      </c>
      <c r="AE14" s="20">
        <v>2019</v>
      </c>
      <c r="AF14" s="21"/>
      <c r="AG14" s="21">
        <f>AG13*(1+'Connection count GS Adjusted '!AB14)</f>
        <v>1123675.0519528456</v>
      </c>
      <c r="AH14" s="28">
        <f>(AG14-AG13)/AG13</f>
        <v>-2.061754360165937E-2</v>
      </c>
    </row>
    <row r="15" spans="1:34" s="20" customFormat="1" x14ac:dyDescent="0.25">
      <c r="B15" s="20">
        <v>2020</v>
      </c>
      <c r="C15" s="21"/>
      <c r="D15" s="22"/>
      <c r="E15" s="21">
        <f ca="1">SUMIF('Res Normalized Monthly'!$B$2:$B$145,B15,'Res Normalized Monthly'!N$2:N$145)</f>
        <v>178531405.13837859</v>
      </c>
      <c r="F15" s="22">
        <f ca="1">(E15-E14)/E14</f>
        <v>-1.0151044943450826E-2</v>
      </c>
      <c r="H15" s="20">
        <v>2020</v>
      </c>
      <c r="I15" s="21"/>
      <c r="J15" s="22"/>
      <c r="K15" s="21">
        <f ca="1">SUMIF('GS &lt; 50 Normalized Monthly'!$B$2:$B$145,B15,'GS &lt; 50 Normalized Monthly'!V$2:V$145)</f>
        <v>86280637.239671066</v>
      </c>
      <c r="L15" s="22">
        <f t="shared" ca="1" si="2"/>
        <v>-2.2439150067354082E-2</v>
      </c>
      <c r="N15" s="20">
        <v>2020</v>
      </c>
      <c r="O15" s="21"/>
      <c r="P15" s="22"/>
      <c r="Q15" s="21">
        <f ca="1">SUMIF('GS &gt; 50 Normalized Monthly'!$B$2:$B$145,B15,'GS &gt; 50 Normalized Monthly'!Z$2:Z$145)</f>
        <v>277431189.29706728</v>
      </c>
      <c r="R15" s="22">
        <f ca="1">(Q15-Q14)/Q14</f>
        <v>3.4566184815822058E-3</v>
      </c>
      <c r="T15" s="20">
        <v>2020</v>
      </c>
      <c r="U15" s="21"/>
      <c r="V15" s="21"/>
      <c r="W15" s="21">
        <f ca="1">SUMIF('LU Normalized Monthly'!$B$2:$B$145,B15,'LU Normalized Monthly'!X$2:X$145)</f>
        <v>157127028.45221585</v>
      </c>
      <c r="X15" s="22">
        <f ca="1">(W15-W14)/W14</f>
        <v>3.9468294284232992E-3</v>
      </c>
      <c r="Z15" s="20">
        <v>2020</v>
      </c>
      <c r="AA15" s="21"/>
      <c r="AB15" s="21">
        <v>1832483.9913312381</v>
      </c>
      <c r="AC15" s="28">
        <f>(AB15-AB14)/AB14</f>
        <v>1.9582140560464329E-3</v>
      </c>
      <c r="AE15" s="20">
        <v>2020</v>
      </c>
      <c r="AF15" s="21"/>
      <c r="AG15" s="21">
        <f>AG14*(1+'Connection count GS Adjusted '!AB15)</f>
        <v>1100507.632575111</v>
      </c>
      <c r="AH15" s="28">
        <f>(AG15-AG14)/AG14</f>
        <v>-2.061754360165937E-2</v>
      </c>
    </row>
  </sheetData>
  <mergeCells count="10">
    <mergeCell ref="D2:D3"/>
    <mergeCell ref="AH2:AH3"/>
    <mergeCell ref="F2:F3"/>
    <mergeCell ref="L2:L3"/>
    <mergeCell ref="R2:R3"/>
    <mergeCell ref="X2:X3"/>
    <mergeCell ref="AC2:AC3"/>
    <mergeCell ref="J2:J3"/>
    <mergeCell ref="P2:P3"/>
    <mergeCell ref="V2:V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topLeftCell="A61" workbookViewId="0"/>
  </sheetViews>
  <sheetFormatPr defaultRowHeight="13.2" x14ac:dyDescent="0.25"/>
  <cols>
    <col min="2" max="3" width="12.6640625" bestFit="1" customWidth="1"/>
    <col min="5" max="5" width="14.6640625" bestFit="1" customWidth="1"/>
    <col min="6" max="8" width="12" bestFit="1" customWidth="1"/>
    <col min="10" max="10" width="22.33203125" bestFit="1" customWidth="1"/>
  </cols>
  <sheetData>
    <row r="1" spans="1:17" x14ac:dyDescent="0.25">
      <c r="A1" s="2" t="s">
        <v>0</v>
      </c>
      <c r="B1" s="2" t="s">
        <v>41</v>
      </c>
      <c r="C1" s="2" t="s">
        <v>42</v>
      </c>
      <c r="E1" s="7" t="s">
        <v>9</v>
      </c>
      <c r="F1" s="17" t="s">
        <v>63</v>
      </c>
      <c r="G1" s="17" t="s">
        <v>64</v>
      </c>
      <c r="H1" s="17" t="s">
        <v>65</v>
      </c>
      <c r="I1" s="17" t="s">
        <v>66</v>
      </c>
      <c r="J1" s="17" t="s">
        <v>67</v>
      </c>
      <c r="K1" s="17" t="s">
        <v>68</v>
      </c>
      <c r="L1" s="17" t="s">
        <v>69</v>
      </c>
      <c r="M1" s="16" t="s">
        <v>76</v>
      </c>
      <c r="N1" s="16" t="s">
        <v>70</v>
      </c>
      <c r="O1" s="16" t="s">
        <v>71</v>
      </c>
      <c r="P1" s="16" t="s">
        <v>72</v>
      </c>
      <c r="Q1" s="16" t="s">
        <v>73</v>
      </c>
    </row>
    <row r="2" spans="1:17" x14ac:dyDescent="0.25">
      <c r="A2" s="1">
        <v>34335</v>
      </c>
      <c r="B2" s="2">
        <v>999.89999999999986</v>
      </c>
      <c r="C2" s="2">
        <v>0</v>
      </c>
      <c r="E2">
        <v>1994</v>
      </c>
      <c r="F2">
        <f t="shared" ref="F2:F18" ca="1" si="0">OFFSET($B$2,(ROW()-2)*12+COLUMN()-6,0)</f>
        <v>999.89999999999986</v>
      </c>
      <c r="G2">
        <f t="shared" ref="G2:Q17" ca="1" si="1">OFFSET($B$2,(ROW()-2)*12+COLUMN()-6,0)</f>
        <v>788.09999999999991</v>
      </c>
      <c r="H2">
        <f t="shared" ca="1" si="1"/>
        <v>611.10000000000014</v>
      </c>
      <c r="I2">
        <f t="shared" ca="1" si="1"/>
        <v>350.79999999999995</v>
      </c>
      <c r="J2">
        <f t="shared" ca="1" si="1"/>
        <v>210.79999999999998</v>
      </c>
      <c r="K2">
        <f t="shared" ca="1" si="1"/>
        <v>36</v>
      </c>
      <c r="L2">
        <f t="shared" ca="1" si="1"/>
        <v>3.4</v>
      </c>
      <c r="M2">
        <f t="shared" ca="1" si="1"/>
        <v>37.4</v>
      </c>
      <c r="N2">
        <f t="shared" ca="1" si="1"/>
        <v>109.30000000000003</v>
      </c>
      <c r="O2">
        <f t="shared" ca="1" si="1"/>
        <v>277.39999999999998</v>
      </c>
      <c r="P2">
        <f t="shared" ca="1" si="1"/>
        <v>420.1</v>
      </c>
      <c r="Q2">
        <f t="shared" ca="1" si="1"/>
        <v>648.79999999999995</v>
      </c>
    </row>
    <row r="3" spans="1:17" x14ac:dyDescent="0.25">
      <c r="A3" s="1">
        <v>34366</v>
      </c>
      <c r="B3" s="2">
        <v>788.09999999999991</v>
      </c>
      <c r="C3" s="2">
        <v>0</v>
      </c>
      <c r="E3">
        <v>1995</v>
      </c>
      <c r="F3">
        <f t="shared" ca="1" si="0"/>
        <v>716.39999999999986</v>
      </c>
      <c r="G3">
        <f t="shared" ca="1" si="1"/>
        <v>772.69999999999993</v>
      </c>
      <c r="H3">
        <f t="shared" ca="1" si="1"/>
        <v>523.4</v>
      </c>
      <c r="I3">
        <f t="shared" ca="1" si="1"/>
        <v>436.59999999999991</v>
      </c>
      <c r="J3">
        <f t="shared" ca="1" si="1"/>
        <v>164.19999999999993</v>
      </c>
      <c r="K3">
        <f t="shared" ca="1" si="1"/>
        <v>25.499999999999996</v>
      </c>
      <c r="L3">
        <f t="shared" ca="1" si="1"/>
        <v>8.4</v>
      </c>
      <c r="M3">
        <f t="shared" ca="1" si="1"/>
        <v>11.9</v>
      </c>
      <c r="N3">
        <f t="shared" ca="1" si="1"/>
        <v>160.69999999999999</v>
      </c>
      <c r="O3">
        <f t="shared" ca="1" si="1"/>
        <v>223</v>
      </c>
      <c r="P3">
        <f t="shared" ca="1" si="1"/>
        <v>562</v>
      </c>
      <c r="Q3">
        <f t="shared" ca="1" si="1"/>
        <v>800.69999999999982</v>
      </c>
    </row>
    <row r="4" spans="1:17" x14ac:dyDescent="0.25">
      <c r="A4" s="1">
        <v>34394</v>
      </c>
      <c r="B4" s="2">
        <v>611.10000000000014</v>
      </c>
      <c r="C4" s="2">
        <v>0</v>
      </c>
      <c r="E4">
        <v>1996</v>
      </c>
      <c r="F4">
        <f t="shared" ca="1" si="0"/>
        <v>842.8</v>
      </c>
      <c r="G4">
        <f t="shared" ca="1" si="1"/>
        <v>726.4000000000002</v>
      </c>
      <c r="H4">
        <f t="shared" ca="1" si="1"/>
        <v>648.89999999999986</v>
      </c>
      <c r="I4">
        <f t="shared" ca="1" si="1"/>
        <v>401.69999999999987</v>
      </c>
      <c r="J4">
        <f t="shared" ca="1" si="1"/>
        <v>211.79999999999995</v>
      </c>
      <c r="K4">
        <f t="shared" ca="1" si="1"/>
        <v>24.5</v>
      </c>
      <c r="L4">
        <f t="shared" ca="1" si="1"/>
        <v>6.3000000000000007</v>
      </c>
      <c r="M4">
        <f t="shared" ca="1" si="1"/>
        <v>11.100000000000001</v>
      </c>
      <c r="N4">
        <f t="shared" ca="1" si="1"/>
        <v>89.5</v>
      </c>
      <c r="O4">
        <f t="shared" ca="1" si="1"/>
        <v>312.7</v>
      </c>
      <c r="P4">
        <f t="shared" ca="1" si="1"/>
        <v>563.5</v>
      </c>
      <c r="Q4">
        <f t="shared" ca="1" si="1"/>
        <v>567.70000000000005</v>
      </c>
    </row>
    <row r="5" spans="1:17" x14ac:dyDescent="0.25">
      <c r="A5" s="1">
        <v>34425</v>
      </c>
      <c r="B5" s="2">
        <v>350.79999999999995</v>
      </c>
      <c r="C5" s="2">
        <v>0</v>
      </c>
      <c r="E5">
        <v>1997</v>
      </c>
      <c r="F5">
        <f t="shared" ca="1" si="0"/>
        <v>839.99999999999977</v>
      </c>
      <c r="G5">
        <f t="shared" ca="1" si="1"/>
        <v>651.79999999999995</v>
      </c>
      <c r="H5">
        <f t="shared" ca="1" si="1"/>
        <v>666.60000000000014</v>
      </c>
      <c r="I5">
        <f t="shared" ca="1" si="1"/>
        <v>399.09999999999991</v>
      </c>
      <c r="J5">
        <f t="shared" ca="1" si="1"/>
        <v>265.7999999999999</v>
      </c>
      <c r="K5">
        <f t="shared" ca="1" si="1"/>
        <v>23.2</v>
      </c>
      <c r="L5">
        <f t="shared" ca="1" si="1"/>
        <v>20.2</v>
      </c>
      <c r="M5">
        <f t="shared" ca="1" si="1"/>
        <v>31.099999999999998</v>
      </c>
      <c r="N5">
        <f t="shared" ca="1" si="1"/>
        <v>130.90000000000003</v>
      </c>
      <c r="O5">
        <f t="shared" ca="1" si="1"/>
        <v>324.49999999999994</v>
      </c>
      <c r="P5">
        <f t="shared" ca="1" si="1"/>
        <v>523.29999999999995</v>
      </c>
      <c r="Q5">
        <f t="shared" ca="1" si="1"/>
        <v>678.69999999999993</v>
      </c>
    </row>
    <row r="6" spans="1:17" x14ac:dyDescent="0.25">
      <c r="A6" s="1">
        <v>34455</v>
      </c>
      <c r="B6" s="2">
        <v>210.79999999999998</v>
      </c>
      <c r="C6" s="2">
        <v>4.8</v>
      </c>
      <c r="E6">
        <v>1998</v>
      </c>
      <c r="F6">
        <f t="shared" ca="1" si="0"/>
        <v>768.89999999999986</v>
      </c>
      <c r="G6">
        <f t="shared" ca="1" si="1"/>
        <v>590.80000000000007</v>
      </c>
      <c r="H6">
        <f t="shared" ca="1" si="1"/>
        <v>565.70000000000016</v>
      </c>
      <c r="I6">
        <f t="shared" ca="1" si="1"/>
        <v>316.2999999999999</v>
      </c>
      <c r="J6">
        <f t="shared" ca="1" si="1"/>
        <v>77.600000000000023</v>
      </c>
      <c r="K6">
        <f t="shared" ca="1" si="1"/>
        <v>63.600000000000009</v>
      </c>
      <c r="L6">
        <f t="shared" ca="1" si="1"/>
        <v>13.499999999999998</v>
      </c>
      <c r="M6">
        <f t="shared" ca="1" si="1"/>
        <v>15.100000000000001</v>
      </c>
      <c r="N6">
        <f t="shared" ca="1" si="1"/>
        <v>83.500000000000014</v>
      </c>
      <c r="O6">
        <f t="shared" ca="1" si="1"/>
        <v>260.59999999999991</v>
      </c>
      <c r="P6">
        <f t="shared" ca="1" si="1"/>
        <v>442.09999999999997</v>
      </c>
      <c r="Q6">
        <f t="shared" ca="1" si="1"/>
        <v>584.20000000000005</v>
      </c>
    </row>
    <row r="7" spans="1:17" x14ac:dyDescent="0.25">
      <c r="A7" s="1">
        <v>34486</v>
      </c>
      <c r="B7" s="2">
        <v>36</v>
      </c>
      <c r="C7" s="2">
        <v>59</v>
      </c>
      <c r="E7">
        <v>1999</v>
      </c>
      <c r="F7">
        <f t="shared" ca="1" si="0"/>
        <v>826.09999999999991</v>
      </c>
      <c r="G7">
        <f t="shared" ca="1" si="1"/>
        <v>603</v>
      </c>
      <c r="H7">
        <f t="shared" ca="1" si="1"/>
        <v>624.5</v>
      </c>
      <c r="I7">
        <f t="shared" ca="1" si="1"/>
        <v>327.79999999999995</v>
      </c>
      <c r="J7">
        <f t="shared" ca="1" si="1"/>
        <v>99.800000000000011</v>
      </c>
      <c r="K7">
        <f t="shared" ca="1" si="1"/>
        <v>30.099999999999998</v>
      </c>
      <c r="L7">
        <f t="shared" ca="1" si="1"/>
        <v>3.9</v>
      </c>
      <c r="M7">
        <f t="shared" ca="1" si="1"/>
        <v>29.099999999999998</v>
      </c>
      <c r="N7">
        <f t="shared" ca="1" si="1"/>
        <v>66.800000000000011</v>
      </c>
      <c r="O7">
        <f t="shared" ca="1" si="1"/>
        <v>315.49999999999994</v>
      </c>
      <c r="P7">
        <f t="shared" ca="1" si="1"/>
        <v>403.09999999999991</v>
      </c>
      <c r="Q7">
        <f t="shared" ca="1" si="1"/>
        <v>653.70000000000005</v>
      </c>
    </row>
    <row r="8" spans="1:17" x14ac:dyDescent="0.25">
      <c r="A8" s="1">
        <v>34516</v>
      </c>
      <c r="B8" s="2">
        <v>3.4</v>
      </c>
      <c r="C8" s="2">
        <v>92.999999999999986</v>
      </c>
      <c r="E8">
        <v>2000</v>
      </c>
      <c r="F8">
        <f t="shared" ca="1" si="0"/>
        <v>814.5</v>
      </c>
      <c r="G8">
        <f t="shared" ca="1" si="1"/>
        <v>682.60000000000014</v>
      </c>
      <c r="H8">
        <f t="shared" ca="1" si="1"/>
        <v>489.6</v>
      </c>
      <c r="I8">
        <f t="shared" ca="1" si="1"/>
        <v>383.99999999999989</v>
      </c>
      <c r="J8">
        <f t="shared" ca="1" si="1"/>
        <v>160</v>
      </c>
      <c r="K8">
        <f t="shared" ca="1" si="1"/>
        <v>65.5</v>
      </c>
      <c r="L8">
        <f t="shared" ca="1" si="1"/>
        <v>17.399999999999999</v>
      </c>
      <c r="M8">
        <f t="shared" ca="1" si="1"/>
        <v>20.099999999999998</v>
      </c>
      <c r="N8">
        <f t="shared" ca="1" si="1"/>
        <v>136.30000000000001</v>
      </c>
      <c r="O8">
        <f t="shared" ca="1" si="1"/>
        <v>281.19999999999993</v>
      </c>
      <c r="P8">
        <f t="shared" ca="1" si="1"/>
        <v>485.7</v>
      </c>
      <c r="Q8">
        <f t="shared" ca="1" si="1"/>
        <v>834.8</v>
      </c>
    </row>
    <row r="9" spans="1:17" x14ac:dyDescent="0.25">
      <c r="A9" s="1">
        <v>34547</v>
      </c>
      <c r="B9" s="2">
        <v>37.4</v>
      </c>
      <c r="C9" s="2">
        <v>39</v>
      </c>
      <c r="E9">
        <v>2001</v>
      </c>
      <c r="F9">
        <f t="shared" ca="1" si="0"/>
        <v>775.19999999999982</v>
      </c>
      <c r="G9">
        <f t="shared" ca="1" si="1"/>
        <v>677.09999999999991</v>
      </c>
      <c r="H9">
        <f t="shared" ca="1" si="1"/>
        <v>635.59999999999991</v>
      </c>
      <c r="I9">
        <f t="shared" ca="1" si="1"/>
        <v>325.59999999999991</v>
      </c>
      <c r="J9">
        <f t="shared" ca="1" si="1"/>
        <v>126.80000000000001</v>
      </c>
      <c r="K9">
        <f t="shared" ca="1" si="1"/>
        <v>36.700000000000003</v>
      </c>
      <c r="L9">
        <f t="shared" ca="1" si="1"/>
        <v>17.100000000000001</v>
      </c>
      <c r="M9">
        <f t="shared" ca="1" si="1"/>
        <v>4</v>
      </c>
      <c r="N9">
        <f t="shared" ca="1" si="1"/>
        <v>94.700000000000017</v>
      </c>
      <c r="O9">
        <f t="shared" ca="1" si="1"/>
        <v>259.89999999999998</v>
      </c>
      <c r="P9">
        <f t="shared" ca="1" si="1"/>
        <v>388.89999999999992</v>
      </c>
      <c r="Q9">
        <f t="shared" ca="1" si="1"/>
        <v>578.29999999999995</v>
      </c>
    </row>
    <row r="10" spans="1:17" x14ac:dyDescent="0.25">
      <c r="A10" s="1">
        <v>34578</v>
      </c>
      <c r="B10" s="2">
        <v>109.30000000000003</v>
      </c>
      <c r="C10" s="2">
        <v>5.5</v>
      </c>
      <c r="E10">
        <v>2002</v>
      </c>
      <c r="F10">
        <f t="shared" ca="1" si="0"/>
        <v>639.4000000000002</v>
      </c>
      <c r="G10">
        <f t="shared" ca="1" si="1"/>
        <v>601.90000000000009</v>
      </c>
      <c r="H10">
        <f t="shared" ca="1" si="1"/>
        <v>572.50000000000011</v>
      </c>
      <c r="I10">
        <f t="shared" ca="1" si="1"/>
        <v>336.89999999999992</v>
      </c>
      <c r="J10">
        <f t="shared" ca="1" si="1"/>
        <v>220.29999999999995</v>
      </c>
      <c r="K10">
        <f t="shared" ca="1" si="1"/>
        <v>49.599999999999994</v>
      </c>
      <c r="L10">
        <f t="shared" ca="1" si="1"/>
        <v>4</v>
      </c>
      <c r="M10">
        <f t="shared" ca="1" si="1"/>
        <v>6.5000000000000009</v>
      </c>
      <c r="N10">
        <f t="shared" ca="1" si="1"/>
        <v>45.2</v>
      </c>
      <c r="O10">
        <f t="shared" ca="1" si="1"/>
        <v>332.79999999999995</v>
      </c>
      <c r="P10">
        <f t="shared" ca="1" si="1"/>
        <v>490.7</v>
      </c>
      <c r="Q10">
        <f t="shared" ca="1" si="1"/>
        <v>671.59999999999991</v>
      </c>
    </row>
    <row r="11" spans="1:17" x14ac:dyDescent="0.25">
      <c r="A11" s="1">
        <v>34608</v>
      </c>
      <c r="B11" s="2">
        <v>277.39999999999998</v>
      </c>
      <c r="C11" s="2">
        <v>0</v>
      </c>
      <c r="E11">
        <v>2003</v>
      </c>
      <c r="F11">
        <f t="shared" ca="1" si="0"/>
        <v>921</v>
      </c>
      <c r="G11">
        <f t="shared" ca="1" si="1"/>
        <v>784.5</v>
      </c>
      <c r="H11">
        <f t="shared" ca="1" si="1"/>
        <v>625.79999999999995</v>
      </c>
      <c r="I11">
        <f t="shared" ca="1" si="1"/>
        <v>412.4</v>
      </c>
      <c r="J11">
        <f t="shared" ca="1" si="1"/>
        <v>168.4</v>
      </c>
      <c r="K11">
        <f t="shared" ca="1" si="1"/>
        <v>45.9</v>
      </c>
      <c r="L11">
        <f t="shared" ca="1" si="1"/>
        <v>3.7</v>
      </c>
      <c r="M11">
        <f t="shared" ca="1" si="1"/>
        <v>11.4</v>
      </c>
      <c r="N11">
        <f t="shared" ca="1" si="1"/>
        <v>66.8</v>
      </c>
      <c r="O11">
        <f t="shared" ca="1" si="1"/>
        <v>313.7</v>
      </c>
      <c r="P11">
        <f t="shared" ca="1" si="1"/>
        <v>435.2</v>
      </c>
      <c r="Q11">
        <f t="shared" ca="1" si="1"/>
        <v>652.70000000000005</v>
      </c>
    </row>
    <row r="12" spans="1:17" x14ac:dyDescent="0.25">
      <c r="A12" s="1">
        <v>34639</v>
      </c>
      <c r="B12" s="2">
        <v>420.1</v>
      </c>
      <c r="C12" s="2">
        <v>0</v>
      </c>
      <c r="E12">
        <v>2004</v>
      </c>
      <c r="F12">
        <f t="shared" ca="1" si="0"/>
        <v>981.8</v>
      </c>
      <c r="G12">
        <f t="shared" ca="1" si="1"/>
        <v>706.1</v>
      </c>
      <c r="H12">
        <f t="shared" ca="1" si="1"/>
        <v>530.1</v>
      </c>
      <c r="I12">
        <f t="shared" ca="1" si="1"/>
        <v>358.1</v>
      </c>
      <c r="J12">
        <f t="shared" ca="1" si="1"/>
        <v>154.9</v>
      </c>
      <c r="K12">
        <f t="shared" ca="1" si="1"/>
        <v>71.400000000000006</v>
      </c>
      <c r="L12">
        <f t="shared" ca="1" si="1"/>
        <v>6.9</v>
      </c>
      <c r="M12">
        <f t="shared" ca="1" si="1"/>
        <v>31.5</v>
      </c>
      <c r="N12">
        <f t="shared" ca="1" si="1"/>
        <v>61.3</v>
      </c>
      <c r="O12">
        <f t="shared" ca="1" si="1"/>
        <v>276</v>
      </c>
      <c r="P12">
        <f t="shared" ca="1" si="1"/>
        <v>452.3</v>
      </c>
      <c r="Q12">
        <f t="shared" ca="1" si="1"/>
        <v>722.8</v>
      </c>
    </row>
    <row r="13" spans="1:17" x14ac:dyDescent="0.25">
      <c r="A13" s="1">
        <v>34669</v>
      </c>
      <c r="B13" s="2">
        <v>648.79999999999995</v>
      </c>
      <c r="C13" s="2">
        <v>0</v>
      </c>
      <c r="E13">
        <v>2005</v>
      </c>
      <c r="F13">
        <f t="shared" ca="1" si="0"/>
        <v>862.4</v>
      </c>
      <c r="G13">
        <f t="shared" ca="1" si="1"/>
        <v>676.1</v>
      </c>
      <c r="H13">
        <f t="shared" ca="1" si="1"/>
        <v>635.4</v>
      </c>
      <c r="I13">
        <f t="shared" ca="1" si="1"/>
        <v>337.2</v>
      </c>
      <c r="J13">
        <f t="shared" ca="1" si="1"/>
        <v>212.4</v>
      </c>
      <c r="K13">
        <f t="shared" ca="1" si="1"/>
        <v>18.399999999999999</v>
      </c>
      <c r="L13">
        <f t="shared" ca="1" si="1"/>
        <v>2.1</v>
      </c>
      <c r="M13">
        <f t="shared" ca="1" si="1"/>
        <v>4.2</v>
      </c>
      <c r="N13">
        <f t="shared" ca="1" si="1"/>
        <v>56.4</v>
      </c>
      <c r="O13">
        <f t="shared" ca="1" si="1"/>
        <v>272.7</v>
      </c>
      <c r="P13">
        <f t="shared" ca="1" si="1"/>
        <v>432</v>
      </c>
      <c r="Q13">
        <f t="shared" ca="1" si="1"/>
        <v>735.5</v>
      </c>
    </row>
    <row r="14" spans="1:17" x14ac:dyDescent="0.25">
      <c r="A14" s="1">
        <v>34700</v>
      </c>
      <c r="B14" s="2">
        <v>716.39999999999986</v>
      </c>
      <c r="C14" s="2">
        <v>0</v>
      </c>
      <c r="E14">
        <v>2006</v>
      </c>
      <c r="F14">
        <f t="shared" ca="1" si="0"/>
        <v>653.5</v>
      </c>
      <c r="G14">
        <f t="shared" ca="1" si="1"/>
        <v>679.8</v>
      </c>
      <c r="H14">
        <f t="shared" ca="1" si="1"/>
        <v>571.4</v>
      </c>
      <c r="I14">
        <f t="shared" ca="1" si="1"/>
        <v>309.7</v>
      </c>
      <c r="J14">
        <f t="shared" ca="1" si="1"/>
        <v>145</v>
      </c>
      <c r="K14">
        <f t="shared" ca="1" si="1"/>
        <v>36.4</v>
      </c>
      <c r="L14">
        <f t="shared" ca="1" si="1"/>
        <v>3.7</v>
      </c>
      <c r="M14">
        <f t="shared" ca="1" si="1"/>
        <v>10.4</v>
      </c>
      <c r="N14">
        <f t="shared" ca="1" si="1"/>
        <v>97.9</v>
      </c>
      <c r="O14">
        <f t="shared" ca="1" si="1"/>
        <v>301.60000000000002</v>
      </c>
      <c r="P14">
        <f t="shared" ca="1" si="1"/>
        <v>391.1</v>
      </c>
      <c r="Q14">
        <f t="shared" ca="1" si="1"/>
        <v>541.6</v>
      </c>
    </row>
    <row r="15" spans="1:17" x14ac:dyDescent="0.25">
      <c r="A15" s="1">
        <v>34731</v>
      </c>
      <c r="B15" s="2">
        <v>772.69999999999993</v>
      </c>
      <c r="C15" s="2">
        <v>0</v>
      </c>
      <c r="E15">
        <v>2007</v>
      </c>
      <c r="F15">
        <f t="shared" ca="1" si="0"/>
        <v>712.6</v>
      </c>
      <c r="G15">
        <f t="shared" ca="1" si="1"/>
        <v>775.5</v>
      </c>
      <c r="H15">
        <f t="shared" ca="1" si="1"/>
        <v>588.29999999999995</v>
      </c>
      <c r="I15">
        <f t="shared" ca="1" si="1"/>
        <v>358.6</v>
      </c>
      <c r="J15">
        <f t="shared" ca="1" si="1"/>
        <v>150.19999999999999</v>
      </c>
      <c r="K15">
        <f t="shared" ca="1" si="1"/>
        <v>29.4</v>
      </c>
      <c r="L15">
        <f t="shared" ca="1" si="1"/>
        <v>15.7</v>
      </c>
      <c r="M15">
        <f t="shared" ca="1" si="1"/>
        <v>12.1</v>
      </c>
      <c r="N15">
        <f t="shared" ca="1" si="1"/>
        <v>54.8</v>
      </c>
      <c r="O15">
        <f t="shared" ca="1" si="1"/>
        <v>174.9</v>
      </c>
      <c r="P15">
        <f t="shared" ca="1" si="1"/>
        <v>474.2</v>
      </c>
      <c r="Q15">
        <f t="shared" ca="1" si="1"/>
        <v>716.1</v>
      </c>
    </row>
    <row r="16" spans="1:17" x14ac:dyDescent="0.25">
      <c r="A16" s="1">
        <v>34759</v>
      </c>
      <c r="B16" s="2">
        <v>523.4</v>
      </c>
      <c r="C16" s="2">
        <v>0</v>
      </c>
      <c r="E16">
        <v>2008</v>
      </c>
      <c r="F16">
        <f t="shared" ca="1" si="0"/>
        <v>685.1</v>
      </c>
      <c r="G16">
        <f t="shared" ca="1" si="1"/>
        <v>715.1</v>
      </c>
      <c r="H16">
        <f t="shared" ca="1" si="1"/>
        <v>641</v>
      </c>
      <c r="I16">
        <f t="shared" ca="1" si="1"/>
        <v>274</v>
      </c>
      <c r="J16">
        <f t="shared" ca="1" si="1"/>
        <v>188.5</v>
      </c>
      <c r="K16">
        <f t="shared" ca="1" si="1"/>
        <v>23.3</v>
      </c>
      <c r="L16">
        <f t="shared" ca="1" si="1"/>
        <v>1.5</v>
      </c>
      <c r="M16">
        <f t="shared" ca="1" si="1"/>
        <v>16.3</v>
      </c>
      <c r="N16">
        <f t="shared" ca="1" si="1"/>
        <v>97.8</v>
      </c>
      <c r="O16">
        <f t="shared" ca="1" si="1"/>
        <v>301.60000000000002</v>
      </c>
      <c r="P16">
        <f t="shared" ca="1" si="1"/>
        <v>459.9</v>
      </c>
      <c r="Q16">
        <f t="shared" ca="1" si="1"/>
        <v>708.5</v>
      </c>
    </row>
    <row r="17" spans="1:17" x14ac:dyDescent="0.25">
      <c r="A17" s="1">
        <v>34790</v>
      </c>
      <c r="B17" s="2">
        <v>436.59999999999991</v>
      </c>
      <c r="C17" s="2">
        <v>0</v>
      </c>
      <c r="E17">
        <v>2009</v>
      </c>
      <c r="F17">
        <f t="shared" ca="1" si="0"/>
        <v>887.1</v>
      </c>
      <c r="G17">
        <f t="shared" ca="1" si="1"/>
        <v>653.79999999999995</v>
      </c>
      <c r="H17">
        <f t="shared" ca="1" si="1"/>
        <v>555.6</v>
      </c>
      <c r="I17">
        <f t="shared" ca="1" si="1"/>
        <v>326.3</v>
      </c>
      <c r="J17">
        <f t="shared" ca="1" si="1"/>
        <v>165.3</v>
      </c>
      <c r="K17">
        <f t="shared" ca="1" si="1"/>
        <v>59.2</v>
      </c>
      <c r="L17">
        <f t="shared" ca="1" si="1"/>
        <v>11.8</v>
      </c>
      <c r="M17">
        <f t="shared" ca="1" si="1"/>
        <v>20.6</v>
      </c>
      <c r="N17">
        <f t="shared" ca="1" si="1"/>
        <v>100.9</v>
      </c>
      <c r="O17">
        <f t="shared" ca="1" si="1"/>
        <v>330.2</v>
      </c>
      <c r="P17">
        <f t="shared" ca="1" si="1"/>
        <v>384.5</v>
      </c>
      <c r="Q17">
        <f t="shared" ca="1" si="1"/>
        <v>696.8</v>
      </c>
    </row>
    <row r="18" spans="1:17" x14ac:dyDescent="0.25">
      <c r="A18" s="1">
        <v>34820</v>
      </c>
      <c r="B18" s="2">
        <v>164.19999999999993</v>
      </c>
      <c r="C18" s="2">
        <v>0</v>
      </c>
      <c r="E18">
        <v>2010</v>
      </c>
      <c r="F18">
        <f t="shared" ca="1" si="0"/>
        <v>750.59999999999991</v>
      </c>
      <c r="G18">
        <f t="shared" ref="G18:Q18" ca="1" si="2">OFFSET($B$2,(ROW()-2)*12+COLUMN()-6,0)</f>
        <v>620.40000000000009</v>
      </c>
      <c r="H18">
        <f t="shared" ca="1" si="2"/>
        <v>451.89999999999992</v>
      </c>
      <c r="I18">
        <f t="shared" ca="1" si="2"/>
        <v>243.49999999999989</v>
      </c>
      <c r="J18">
        <f t="shared" ca="1" si="2"/>
        <v>110.2</v>
      </c>
      <c r="K18">
        <f t="shared" ca="1" si="2"/>
        <v>38.300000000000004</v>
      </c>
      <c r="L18">
        <f t="shared" ca="1" si="2"/>
        <v>3.4000000000000004</v>
      </c>
      <c r="M18">
        <f t="shared" ca="1" si="2"/>
        <v>10.100000000000001</v>
      </c>
      <c r="N18">
        <f t="shared" ca="1" si="2"/>
        <v>99.40000000000002</v>
      </c>
      <c r="O18">
        <f t="shared" ca="1" si="2"/>
        <v>284.69999999999993</v>
      </c>
      <c r="P18">
        <f t="shared" ca="1" si="2"/>
        <v>451.4</v>
      </c>
      <c r="Q18">
        <f t="shared" ca="1" si="2"/>
        <v>713.49999999999989</v>
      </c>
    </row>
    <row r="19" spans="1:17" x14ac:dyDescent="0.25">
      <c r="A19" s="1">
        <v>34851</v>
      </c>
      <c r="B19" s="2">
        <v>25.499999999999996</v>
      </c>
      <c r="C19" s="2">
        <v>66.8</v>
      </c>
      <c r="E19">
        <v>2011</v>
      </c>
      <c r="F19">
        <f t="shared" ref="F19:Q21" ca="1" si="3">OFFSET($B$2,(ROW()-2)*12+COLUMN()-6,0)</f>
        <v>853.19999999999982</v>
      </c>
      <c r="G19">
        <f t="shared" ca="1" si="3"/>
        <v>700.39999999999986</v>
      </c>
      <c r="H19">
        <f t="shared" ca="1" si="3"/>
        <v>595.70000000000016</v>
      </c>
      <c r="I19">
        <f t="shared" ca="1" si="3"/>
        <v>350.99999999999989</v>
      </c>
      <c r="J19">
        <f t="shared" ca="1" si="3"/>
        <v>89.40000000000002</v>
      </c>
      <c r="K19">
        <f t="shared" ca="1" si="3"/>
        <v>25.2</v>
      </c>
      <c r="L19">
        <f t="shared" ca="1" si="3"/>
        <v>0</v>
      </c>
      <c r="M19">
        <f t="shared" ca="1" si="3"/>
        <v>7</v>
      </c>
      <c r="N19">
        <f t="shared" ca="1" si="3"/>
        <v>72.5</v>
      </c>
      <c r="O19">
        <f t="shared" ca="1" si="3"/>
        <v>266.49999999999994</v>
      </c>
      <c r="P19">
        <f t="shared" ca="1" si="3"/>
        <v>394.7</v>
      </c>
      <c r="Q19">
        <f t="shared" ca="1" si="3"/>
        <v>623.09999999999991</v>
      </c>
    </row>
    <row r="20" spans="1:17" x14ac:dyDescent="0.25">
      <c r="A20" s="1">
        <v>34881</v>
      </c>
      <c r="B20" s="2">
        <v>8.4</v>
      </c>
      <c r="C20" s="2">
        <v>105.69999999999999</v>
      </c>
      <c r="E20">
        <v>2012</v>
      </c>
      <c r="F20">
        <f t="shared" ca="1" si="3"/>
        <v>712.69999999999993</v>
      </c>
      <c r="G20">
        <f t="shared" ca="1" si="3"/>
        <v>604.40000000000009</v>
      </c>
      <c r="H20">
        <f t="shared" ca="1" si="3"/>
        <v>412.19999999999993</v>
      </c>
      <c r="I20">
        <f t="shared" ca="1" si="3"/>
        <v>358.9</v>
      </c>
      <c r="J20">
        <f t="shared" ca="1" si="3"/>
        <v>94.000000000000014</v>
      </c>
      <c r="K20">
        <f t="shared" ca="1" si="3"/>
        <v>41.300000000000004</v>
      </c>
      <c r="L20">
        <f t="shared" ca="1" si="3"/>
        <v>0.2</v>
      </c>
      <c r="M20">
        <f t="shared" ca="1" si="3"/>
        <v>7.3000000000000007</v>
      </c>
      <c r="N20">
        <f t="shared" ca="1" si="3"/>
        <v>106.30000000000003</v>
      </c>
      <c r="O20">
        <f t="shared" ca="1" si="3"/>
        <v>259.09999999999991</v>
      </c>
      <c r="P20">
        <f t="shared" ca="1" si="3"/>
        <v>498.9</v>
      </c>
      <c r="Q20">
        <f t="shared" ca="1" si="3"/>
        <v>625.19999999999993</v>
      </c>
    </row>
    <row r="21" spans="1:17" x14ac:dyDescent="0.25">
      <c r="A21" s="1">
        <v>34912</v>
      </c>
      <c r="B21" s="2">
        <v>11.9</v>
      </c>
      <c r="C21" s="2">
        <v>86.999999999999986</v>
      </c>
      <c r="E21">
        <v>2013</v>
      </c>
      <c r="F21">
        <f t="shared" ca="1" si="3"/>
        <v>743.9</v>
      </c>
      <c r="G21">
        <f t="shared" ca="1" si="3"/>
        <v>693.5</v>
      </c>
      <c r="H21">
        <f t="shared" ca="1" si="3"/>
        <v>588.30000000000018</v>
      </c>
      <c r="I21">
        <f t="shared" ca="1" si="3"/>
        <v>348.59999999999991</v>
      </c>
      <c r="J21">
        <f t="shared" ca="1" si="3"/>
        <v>139.70000000000002</v>
      </c>
      <c r="K21">
        <f t="shared" ca="1" si="3"/>
        <v>72.200000000000017</v>
      </c>
      <c r="L21">
        <f t="shared" ca="1" si="3"/>
        <v>4.8</v>
      </c>
      <c r="M21">
        <f t="shared" ca="1" si="3"/>
        <v>7.7</v>
      </c>
      <c r="N21">
        <f t="shared" ca="1" si="3"/>
        <v>118.4</v>
      </c>
      <c r="O21">
        <f t="shared" ca="1" si="3"/>
        <v>235.69999999999996</v>
      </c>
      <c r="P21">
        <f t="shared" ca="1" si="3"/>
        <v>501.50000000000006</v>
      </c>
      <c r="Q21">
        <f t="shared" ca="1" si="3"/>
        <v>756.99999999999977</v>
      </c>
    </row>
    <row r="22" spans="1:17" x14ac:dyDescent="0.25">
      <c r="A22" s="1">
        <v>34943</v>
      </c>
      <c r="B22" s="2">
        <v>160.69999999999999</v>
      </c>
      <c r="C22" s="2">
        <v>6.5</v>
      </c>
      <c r="E22">
        <v>2014</v>
      </c>
      <c r="F22">
        <f ca="1">TREND(F$2:F$21,$E$2:$E$21,$E22)</f>
        <v>748.08736842105282</v>
      </c>
      <c r="G22">
        <f t="shared" ref="G22:Q28" ca="1" si="4">TREND(G$2:G$21,$E$2:$E$21,$E22)</f>
        <v>661.93578947368405</v>
      </c>
      <c r="H22">
        <f t="shared" ca="1" si="4"/>
        <v>533.95052631578983</v>
      </c>
      <c r="I22">
        <f t="shared" ca="1" si="4"/>
        <v>309.7163157894729</v>
      </c>
      <c r="J22">
        <f t="shared" ca="1" si="4"/>
        <v>121.00578947368467</v>
      </c>
      <c r="K22">
        <f t="shared" ca="1" si="4"/>
        <v>46.558421052631729</v>
      </c>
      <c r="L22">
        <f t="shared" ca="1" si="4"/>
        <v>3.0784210526315974</v>
      </c>
      <c r="M22">
        <f t="shared" ca="1" si="4"/>
        <v>7.0147368421053216</v>
      </c>
      <c r="N22">
        <f t="shared" ca="1" si="4"/>
        <v>80.845789473683908</v>
      </c>
      <c r="O22">
        <f t="shared" ca="1" si="4"/>
        <v>268.35631578947323</v>
      </c>
      <c r="P22">
        <f t="shared" ca="1" si="4"/>
        <v>431.35736842105234</v>
      </c>
      <c r="Q22">
        <f t="shared" ca="1" si="4"/>
        <v>686.10368421052635</v>
      </c>
    </row>
    <row r="23" spans="1:17" x14ac:dyDescent="0.25">
      <c r="A23" s="1">
        <v>34973</v>
      </c>
      <c r="B23" s="2">
        <v>223</v>
      </c>
      <c r="C23" s="2">
        <v>0.3</v>
      </c>
      <c r="E23">
        <v>2015</v>
      </c>
      <c r="F23">
        <f t="shared" ref="F23:F28" ca="1" si="5">TREND(F$2:F$21,$E$2:$E$21,$E23)</f>
        <v>743.20473684210447</v>
      </c>
      <c r="G23">
        <f t="shared" ca="1" si="4"/>
        <v>659.72015037593974</v>
      </c>
      <c r="H23">
        <f t="shared" ca="1" si="4"/>
        <v>529.88105263157922</v>
      </c>
      <c r="I23">
        <f t="shared" ca="1" si="4"/>
        <v>306.08406015037508</v>
      </c>
      <c r="J23">
        <f t="shared" ca="1" si="4"/>
        <v>117.50586466165441</v>
      </c>
      <c r="K23">
        <f t="shared" ca="1" si="4"/>
        <v>47.108270676691973</v>
      </c>
      <c r="L23">
        <f t="shared" ca="1" si="4"/>
        <v>2.6668421052631857</v>
      </c>
      <c r="M23">
        <f t="shared" ca="1" si="4"/>
        <v>6.2309022556389664</v>
      </c>
      <c r="N23">
        <f t="shared" ca="1" si="4"/>
        <v>79.738721804510988</v>
      </c>
      <c r="O23">
        <f t="shared" ca="1" si="4"/>
        <v>267.22691729323287</v>
      </c>
      <c r="P23">
        <f t="shared" ca="1" si="4"/>
        <v>428.84330827067697</v>
      </c>
      <c r="Q23">
        <f t="shared" ca="1" si="4"/>
        <v>687.10736842105257</v>
      </c>
    </row>
    <row r="24" spans="1:17" x14ac:dyDescent="0.25">
      <c r="A24" s="1">
        <v>35004</v>
      </c>
      <c r="B24" s="2">
        <v>562</v>
      </c>
      <c r="C24" s="2">
        <v>0</v>
      </c>
      <c r="E24">
        <v>2016</v>
      </c>
      <c r="F24">
        <f t="shared" ca="1" si="5"/>
        <v>738.32210526315794</v>
      </c>
      <c r="G24">
        <f t="shared" ca="1" si="4"/>
        <v>657.50451127819542</v>
      </c>
      <c r="H24">
        <f t="shared" ca="1" si="4"/>
        <v>525.81157894736862</v>
      </c>
      <c r="I24">
        <f t="shared" ca="1" si="4"/>
        <v>302.45180451127726</v>
      </c>
      <c r="J24">
        <f t="shared" ca="1" si="4"/>
        <v>114.00593984962416</v>
      </c>
      <c r="K24">
        <f t="shared" ca="1" si="4"/>
        <v>47.658120300751989</v>
      </c>
      <c r="L24">
        <f t="shared" ca="1" si="4"/>
        <v>2.2552631578947739</v>
      </c>
      <c r="M24">
        <f t="shared" ca="1" si="4"/>
        <v>5.4470676691728386</v>
      </c>
      <c r="N24">
        <f t="shared" ca="1" si="4"/>
        <v>78.631654135338067</v>
      </c>
      <c r="O24">
        <f t="shared" ca="1" si="4"/>
        <v>266.09751879699206</v>
      </c>
      <c r="P24">
        <f t="shared" ca="1" si="4"/>
        <v>426.32924812030069</v>
      </c>
      <c r="Q24">
        <f t="shared" ca="1" si="4"/>
        <v>688.11105263157901</v>
      </c>
    </row>
    <row r="25" spans="1:17" x14ac:dyDescent="0.25">
      <c r="A25" s="1">
        <v>35034</v>
      </c>
      <c r="B25" s="2">
        <v>800.69999999999982</v>
      </c>
      <c r="C25" s="2">
        <v>0</v>
      </c>
      <c r="E25">
        <v>2017</v>
      </c>
      <c r="F25" s="30">
        <f t="shared" ca="1" si="5"/>
        <v>733.43947368420959</v>
      </c>
      <c r="G25" s="30">
        <f t="shared" ca="1" si="4"/>
        <v>655.28887218045111</v>
      </c>
      <c r="H25" s="30">
        <f t="shared" ca="1" si="4"/>
        <v>521.74210526315801</v>
      </c>
      <c r="I25" s="30">
        <f t="shared" ca="1" si="4"/>
        <v>298.81954887217944</v>
      </c>
      <c r="J25" s="30">
        <f t="shared" ca="1" si="4"/>
        <v>110.50601503759481</v>
      </c>
      <c r="K25" s="30">
        <f t="shared" ca="1" si="4"/>
        <v>48.207969924812232</v>
      </c>
      <c r="L25" s="30">
        <f t="shared" ca="1" si="4"/>
        <v>1.8436842105263622</v>
      </c>
      <c r="M25" s="30">
        <f t="shared" ca="1" si="4"/>
        <v>4.6632330827067108</v>
      </c>
      <c r="N25" s="30">
        <f t="shared" ca="1" si="4"/>
        <v>77.524586466165147</v>
      </c>
      <c r="O25" s="30">
        <f t="shared" ca="1" si="4"/>
        <v>264.96812030075171</v>
      </c>
      <c r="P25" s="30">
        <f t="shared" ca="1" si="4"/>
        <v>423.81518796992441</v>
      </c>
      <c r="Q25" s="30">
        <f t="shared" ca="1" si="4"/>
        <v>689.11473684210523</v>
      </c>
    </row>
    <row r="26" spans="1:17" x14ac:dyDescent="0.25">
      <c r="A26" s="1">
        <v>35065</v>
      </c>
      <c r="B26" s="2">
        <v>842.8</v>
      </c>
      <c r="C26" s="2">
        <v>0</v>
      </c>
      <c r="E26">
        <v>2018</v>
      </c>
      <c r="F26" s="30">
        <f t="shared" ca="1" si="5"/>
        <v>728.55684210526306</v>
      </c>
      <c r="G26" s="30">
        <f t="shared" ca="1" si="4"/>
        <v>653.07323308270679</v>
      </c>
      <c r="H26" s="30">
        <f t="shared" ca="1" si="4"/>
        <v>517.6726315789474</v>
      </c>
      <c r="I26" s="30">
        <f t="shared" ca="1" si="4"/>
        <v>295.18729323308162</v>
      </c>
      <c r="J26" s="30">
        <f t="shared" ca="1" si="4"/>
        <v>107.00609022556455</v>
      </c>
      <c r="K26" s="30">
        <f t="shared" ca="1" si="4"/>
        <v>48.757819548872249</v>
      </c>
      <c r="L26" s="30">
        <f t="shared" ca="1" si="4"/>
        <v>1.4321052631578368</v>
      </c>
      <c r="M26" s="30">
        <f t="shared" ca="1" si="4"/>
        <v>3.879398496240583</v>
      </c>
      <c r="N26" s="30">
        <f t="shared" ca="1" si="4"/>
        <v>76.417518796992226</v>
      </c>
      <c r="O26" s="30">
        <f t="shared" ca="1" si="4"/>
        <v>263.8387218045109</v>
      </c>
      <c r="P26" s="30">
        <f t="shared" ca="1" si="4"/>
        <v>421.30112781954904</v>
      </c>
      <c r="Q26" s="30">
        <f t="shared" ca="1" si="4"/>
        <v>690.11842105263145</v>
      </c>
    </row>
    <row r="27" spans="1:17" x14ac:dyDescent="0.25">
      <c r="A27" s="1">
        <v>35096</v>
      </c>
      <c r="B27" s="2">
        <v>726.4000000000002</v>
      </c>
      <c r="C27" s="2">
        <v>0</v>
      </c>
      <c r="E27">
        <v>2019</v>
      </c>
      <c r="F27" s="30">
        <f t="shared" ca="1" si="5"/>
        <v>723.67421052631471</v>
      </c>
      <c r="G27" s="30">
        <f t="shared" ca="1" si="4"/>
        <v>650.85759398496157</v>
      </c>
      <c r="H27" s="30">
        <f t="shared" ca="1" si="4"/>
        <v>513.6031578947368</v>
      </c>
      <c r="I27" s="30">
        <f t="shared" ca="1" si="4"/>
        <v>291.5550375939838</v>
      </c>
      <c r="J27" s="30">
        <f t="shared" ca="1" si="4"/>
        <v>103.50616541353429</v>
      </c>
      <c r="K27" s="30">
        <f t="shared" ca="1" si="4"/>
        <v>49.307669172932492</v>
      </c>
      <c r="L27" s="30">
        <f t="shared" ca="1" si="4"/>
        <v>1.0205263157894251</v>
      </c>
      <c r="M27" s="30">
        <f t="shared" ca="1" si="4"/>
        <v>3.0955639097744552</v>
      </c>
      <c r="N27" s="30">
        <f t="shared" ca="1" si="4"/>
        <v>75.310451127819306</v>
      </c>
      <c r="O27" s="30">
        <f t="shared" ca="1" si="4"/>
        <v>262.70932330827054</v>
      </c>
      <c r="P27" s="30">
        <f t="shared" ca="1" si="4"/>
        <v>418.78706766917276</v>
      </c>
      <c r="Q27" s="30">
        <f t="shared" ca="1" si="4"/>
        <v>691.12210526315789</v>
      </c>
    </row>
    <row r="28" spans="1:17" x14ac:dyDescent="0.25">
      <c r="A28" s="1">
        <v>35125</v>
      </c>
      <c r="B28" s="2">
        <v>648.89999999999986</v>
      </c>
      <c r="C28" s="2">
        <v>0</v>
      </c>
      <c r="E28">
        <v>2020</v>
      </c>
      <c r="F28" s="30">
        <f t="shared" ca="1" si="5"/>
        <v>718.79157894736818</v>
      </c>
      <c r="G28" s="30">
        <f t="shared" ca="1" si="4"/>
        <v>648.64195488721725</v>
      </c>
      <c r="H28" s="30">
        <f t="shared" ca="1" si="4"/>
        <v>509.53368421052619</v>
      </c>
      <c r="I28" s="30">
        <f t="shared" ca="1" si="4"/>
        <v>287.92278195488689</v>
      </c>
      <c r="J28" s="30">
        <f t="shared" ca="1" si="4"/>
        <v>100.00624060150403</v>
      </c>
      <c r="K28" s="30">
        <f t="shared" ca="1" si="4"/>
        <v>49.857518796992508</v>
      </c>
      <c r="L28" s="30">
        <f t="shared" ca="1" si="4"/>
        <v>0.60894736842101338</v>
      </c>
      <c r="M28" s="30">
        <f t="shared" ca="1" si="4"/>
        <v>2.3117293233083274</v>
      </c>
      <c r="N28" s="30">
        <f t="shared" ca="1" si="4"/>
        <v>74.203383458646385</v>
      </c>
      <c r="O28" s="30">
        <f t="shared" ca="1" si="4"/>
        <v>261.57992481202973</v>
      </c>
      <c r="P28" s="30">
        <f t="shared" ca="1" si="4"/>
        <v>416.27300751879648</v>
      </c>
      <c r="Q28" s="30">
        <f t="shared" ca="1" si="4"/>
        <v>692.12578947368411</v>
      </c>
    </row>
    <row r="29" spans="1:17" x14ac:dyDescent="0.25">
      <c r="A29" s="1">
        <v>35156</v>
      </c>
      <c r="B29" s="2">
        <v>401.69999999999987</v>
      </c>
      <c r="C29" s="2">
        <v>0</v>
      </c>
      <c r="E29" s="12" t="s">
        <v>74</v>
      </c>
      <c r="F29">
        <f t="shared" ref="F29:Q29" ca="1" si="6">AVERAGE(F12:F21)</f>
        <v>784.29</v>
      </c>
      <c r="G29">
        <f t="shared" ca="1" si="6"/>
        <v>682.50999999999988</v>
      </c>
      <c r="H29">
        <f t="shared" ca="1" si="6"/>
        <v>556.99</v>
      </c>
      <c r="I29">
        <f t="shared" ca="1" si="6"/>
        <v>326.58999999999997</v>
      </c>
      <c r="J29">
        <f t="shared" ca="1" si="6"/>
        <v>144.96</v>
      </c>
      <c r="K29">
        <f t="shared" ca="1" si="6"/>
        <v>41.510000000000005</v>
      </c>
      <c r="L29">
        <f t="shared" ca="1" si="6"/>
        <v>5.01</v>
      </c>
      <c r="M29">
        <f t="shared" ca="1" si="6"/>
        <v>12.719999999999999</v>
      </c>
      <c r="N29">
        <f t="shared" ca="1" si="6"/>
        <v>86.570000000000007</v>
      </c>
      <c r="O29">
        <f t="shared" ca="1" si="6"/>
        <v>270.3</v>
      </c>
      <c r="P29">
        <f t="shared" ca="1" si="6"/>
        <v>444.05</v>
      </c>
      <c r="Q29">
        <f t="shared" ca="1" si="6"/>
        <v>684.01</v>
      </c>
    </row>
    <row r="30" spans="1:17" x14ac:dyDescent="0.25">
      <c r="A30" s="1">
        <v>35186</v>
      </c>
      <c r="B30" s="2">
        <v>211.79999999999995</v>
      </c>
      <c r="C30" s="2">
        <v>7.3</v>
      </c>
      <c r="E30" s="12" t="s">
        <v>75</v>
      </c>
      <c r="F30">
        <f t="shared" ref="F30:Q30" ca="1" si="7">AVERAGE(F2:F21)</f>
        <v>799.35500000000002</v>
      </c>
      <c r="G30">
        <f t="shared" ca="1" si="7"/>
        <v>685.19999999999993</v>
      </c>
      <c r="H30">
        <f t="shared" ca="1" si="7"/>
        <v>576.68000000000006</v>
      </c>
      <c r="I30">
        <f t="shared" ca="1" si="7"/>
        <v>347.8549999999999</v>
      </c>
      <c r="J30">
        <f t="shared" ca="1" si="7"/>
        <v>157.75499999999997</v>
      </c>
      <c r="K30">
        <f t="shared" ca="1" si="7"/>
        <v>40.784999999999989</v>
      </c>
      <c r="L30">
        <f t="shared" ca="1" si="7"/>
        <v>7.4</v>
      </c>
      <c r="M30">
        <f t="shared" ca="1" si="7"/>
        <v>15.245000000000001</v>
      </c>
      <c r="N30">
        <f t="shared" ca="1" si="7"/>
        <v>92.470000000000013</v>
      </c>
      <c r="O30">
        <f t="shared" ca="1" si="7"/>
        <v>280.21499999999992</v>
      </c>
      <c r="P30">
        <f t="shared" ca="1" si="7"/>
        <v>457.75499999999994</v>
      </c>
      <c r="Q30">
        <f t="shared" ca="1" si="7"/>
        <v>675.56500000000005</v>
      </c>
    </row>
    <row r="31" spans="1:17" x14ac:dyDescent="0.25">
      <c r="A31" s="1">
        <v>35217</v>
      </c>
      <c r="B31" s="2">
        <v>24.5</v>
      </c>
      <c r="C31" s="2">
        <v>35.000000000000007</v>
      </c>
    </row>
    <row r="32" spans="1:17" x14ac:dyDescent="0.25">
      <c r="A32" s="1">
        <v>35247</v>
      </c>
      <c r="B32" s="2">
        <v>6.3000000000000007</v>
      </c>
      <c r="C32" s="2">
        <v>52</v>
      </c>
      <c r="E32" s="7" t="s">
        <v>10</v>
      </c>
      <c r="F32" s="17" t="s">
        <v>63</v>
      </c>
      <c r="G32" s="17" t="s">
        <v>64</v>
      </c>
      <c r="H32" s="17" t="s">
        <v>65</v>
      </c>
      <c r="I32" s="17" t="s">
        <v>66</v>
      </c>
      <c r="J32" s="17" t="s">
        <v>67</v>
      </c>
      <c r="K32" s="17" t="s">
        <v>68</v>
      </c>
      <c r="L32" s="17" t="s">
        <v>69</v>
      </c>
      <c r="M32" s="16" t="s">
        <v>76</v>
      </c>
      <c r="N32" s="16" t="s">
        <v>70</v>
      </c>
      <c r="O32" s="16" t="s">
        <v>71</v>
      </c>
      <c r="P32" s="16" t="s">
        <v>72</v>
      </c>
      <c r="Q32" s="16" t="s">
        <v>73</v>
      </c>
    </row>
    <row r="33" spans="1:17" x14ac:dyDescent="0.25">
      <c r="A33" s="1">
        <v>35278</v>
      </c>
      <c r="B33" s="2">
        <v>11.100000000000001</v>
      </c>
      <c r="C33" s="2">
        <v>68.3</v>
      </c>
      <c r="E33">
        <v>1994</v>
      </c>
      <c r="F33">
        <f t="shared" ref="F33:F52" ca="1" si="8">OFFSET($C$2,(ROW()-33)*12+COLUMN()-6,0)</f>
        <v>0</v>
      </c>
      <c r="G33" s="30">
        <f t="shared" ref="G33:Q48" ca="1" si="9">OFFSET($C$2,(ROW()-33)*12+COLUMN()-6,0)</f>
        <v>0</v>
      </c>
      <c r="H33" s="30">
        <f t="shared" ca="1" si="9"/>
        <v>0</v>
      </c>
      <c r="I33" s="30">
        <f t="shared" ca="1" si="9"/>
        <v>0</v>
      </c>
      <c r="J33" s="30">
        <f t="shared" ca="1" si="9"/>
        <v>4.8</v>
      </c>
      <c r="K33" s="30">
        <f t="shared" ca="1" si="9"/>
        <v>59</v>
      </c>
      <c r="L33" s="30">
        <f t="shared" ca="1" si="9"/>
        <v>92.999999999999986</v>
      </c>
      <c r="M33" s="30">
        <f t="shared" ca="1" si="9"/>
        <v>39</v>
      </c>
      <c r="N33" s="30">
        <f t="shared" ca="1" si="9"/>
        <v>5.5</v>
      </c>
      <c r="O33" s="30">
        <f t="shared" ca="1" si="9"/>
        <v>0</v>
      </c>
      <c r="P33" s="30">
        <f t="shared" ca="1" si="9"/>
        <v>0</v>
      </c>
      <c r="Q33" s="30">
        <f t="shared" ca="1" si="9"/>
        <v>0</v>
      </c>
    </row>
    <row r="34" spans="1:17" x14ac:dyDescent="0.25">
      <c r="A34" s="1">
        <v>35309</v>
      </c>
      <c r="B34" s="2">
        <v>89.5</v>
      </c>
      <c r="C34" s="2">
        <v>26.3</v>
      </c>
      <c r="E34">
        <v>1995</v>
      </c>
      <c r="F34" s="30">
        <f t="shared" ca="1" si="8"/>
        <v>0</v>
      </c>
      <c r="G34" s="30">
        <f t="shared" ca="1" si="9"/>
        <v>0</v>
      </c>
      <c r="H34" s="30">
        <f t="shared" ca="1" si="9"/>
        <v>0</v>
      </c>
      <c r="I34" s="30">
        <f t="shared" ca="1" si="9"/>
        <v>0</v>
      </c>
      <c r="J34" s="30">
        <f t="shared" ca="1" si="9"/>
        <v>0</v>
      </c>
      <c r="K34" s="30">
        <f t="shared" ca="1" si="9"/>
        <v>66.8</v>
      </c>
      <c r="L34" s="30">
        <f t="shared" ca="1" si="9"/>
        <v>105.69999999999999</v>
      </c>
      <c r="M34" s="30">
        <f t="shared" ca="1" si="9"/>
        <v>86.999999999999986</v>
      </c>
      <c r="N34" s="30">
        <f t="shared" ca="1" si="9"/>
        <v>6.5</v>
      </c>
      <c r="O34" s="30">
        <f t="shared" ca="1" si="9"/>
        <v>0.3</v>
      </c>
      <c r="P34" s="30">
        <f t="shared" ca="1" si="9"/>
        <v>0</v>
      </c>
      <c r="Q34" s="30">
        <f t="shared" ca="1" si="9"/>
        <v>0</v>
      </c>
    </row>
    <row r="35" spans="1:17" x14ac:dyDescent="0.25">
      <c r="A35" s="1">
        <v>35339</v>
      </c>
      <c r="B35" s="2">
        <v>312.7</v>
      </c>
      <c r="C35" s="2">
        <v>0</v>
      </c>
      <c r="E35">
        <v>1996</v>
      </c>
      <c r="F35" s="30">
        <f t="shared" ca="1" si="8"/>
        <v>0</v>
      </c>
      <c r="G35" s="30">
        <f t="shared" ca="1" si="9"/>
        <v>0</v>
      </c>
      <c r="H35" s="30">
        <f t="shared" ca="1" si="9"/>
        <v>0</v>
      </c>
      <c r="I35" s="30">
        <f t="shared" ca="1" si="9"/>
        <v>0</v>
      </c>
      <c r="J35" s="30">
        <f t="shared" ca="1" si="9"/>
        <v>7.3</v>
      </c>
      <c r="K35" s="30">
        <f t="shared" ca="1" si="9"/>
        <v>35.000000000000007</v>
      </c>
      <c r="L35" s="30">
        <f t="shared" ca="1" si="9"/>
        <v>52</v>
      </c>
      <c r="M35" s="30">
        <f t="shared" ca="1" si="9"/>
        <v>68.3</v>
      </c>
      <c r="N35" s="30">
        <f t="shared" ca="1" si="9"/>
        <v>26.3</v>
      </c>
      <c r="O35" s="30">
        <f t="shared" ca="1" si="9"/>
        <v>0</v>
      </c>
      <c r="P35" s="30">
        <f t="shared" ca="1" si="9"/>
        <v>0</v>
      </c>
      <c r="Q35" s="30">
        <f t="shared" ca="1" si="9"/>
        <v>0</v>
      </c>
    </row>
    <row r="36" spans="1:17" x14ac:dyDescent="0.25">
      <c r="A36" s="1">
        <v>35370</v>
      </c>
      <c r="B36" s="2">
        <v>563.5</v>
      </c>
      <c r="C36" s="2">
        <v>0</v>
      </c>
      <c r="E36">
        <v>1997</v>
      </c>
      <c r="F36" s="30">
        <f t="shared" ca="1" si="8"/>
        <v>0</v>
      </c>
      <c r="G36" s="30">
        <f t="shared" ca="1" si="9"/>
        <v>0</v>
      </c>
      <c r="H36" s="30">
        <f t="shared" ca="1" si="9"/>
        <v>0</v>
      </c>
      <c r="I36" s="30">
        <f t="shared" ca="1" si="9"/>
        <v>0</v>
      </c>
      <c r="J36" s="30">
        <f t="shared" ca="1" si="9"/>
        <v>0</v>
      </c>
      <c r="K36" s="30">
        <f t="shared" ca="1" si="9"/>
        <v>41.3</v>
      </c>
      <c r="L36" s="30">
        <f t="shared" ca="1" si="9"/>
        <v>75.999999999999986</v>
      </c>
      <c r="M36" s="30">
        <f t="shared" ca="1" si="9"/>
        <v>35.5</v>
      </c>
      <c r="N36" s="30">
        <f t="shared" ca="1" si="9"/>
        <v>1.8</v>
      </c>
      <c r="O36" s="30">
        <f t="shared" ca="1" si="9"/>
        <v>0</v>
      </c>
      <c r="P36" s="30">
        <f t="shared" ca="1" si="9"/>
        <v>0</v>
      </c>
      <c r="Q36" s="30">
        <f t="shared" ca="1" si="9"/>
        <v>0</v>
      </c>
    </row>
    <row r="37" spans="1:17" x14ac:dyDescent="0.25">
      <c r="A37" s="1">
        <v>35400</v>
      </c>
      <c r="B37" s="2">
        <v>567.70000000000005</v>
      </c>
      <c r="C37" s="2">
        <v>0</v>
      </c>
      <c r="E37">
        <v>1998</v>
      </c>
      <c r="F37" s="30">
        <f t="shared" ca="1" si="8"/>
        <v>0</v>
      </c>
      <c r="G37" s="30">
        <f t="shared" ca="1" si="9"/>
        <v>0</v>
      </c>
      <c r="H37" s="30">
        <f t="shared" ca="1" si="9"/>
        <v>0</v>
      </c>
      <c r="I37" s="30">
        <f t="shared" ca="1" si="9"/>
        <v>0</v>
      </c>
      <c r="J37" s="30">
        <f t="shared" ca="1" si="9"/>
        <v>10.399999999999999</v>
      </c>
      <c r="K37" s="30">
        <f t="shared" ca="1" si="9"/>
        <v>53.199999999999996</v>
      </c>
      <c r="L37" s="30">
        <f t="shared" ca="1" si="9"/>
        <v>55.999999999999986</v>
      </c>
      <c r="M37" s="30">
        <f t="shared" ca="1" si="9"/>
        <v>59.899999999999991</v>
      </c>
      <c r="N37" s="30">
        <f t="shared" ca="1" si="9"/>
        <v>11.8</v>
      </c>
      <c r="O37" s="30">
        <f t="shared" ca="1" si="9"/>
        <v>0</v>
      </c>
      <c r="P37" s="30">
        <f t="shared" ca="1" si="9"/>
        <v>0</v>
      </c>
      <c r="Q37" s="30">
        <f t="shared" ca="1" si="9"/>
        <v>0</v>
      </c>
    </row>
    <row r="38" spans="1:17" x14ac:dyDescent="0.25">
      <c r="A38" s="1">
        <v>35431</v>
      </c>
      <c r="B38" s="2">
        <v>839.99999999999977</v>
      </c>
      <c r="C38" s="2">
        <v>0</v>
      </c>
      <c r="E38">
        <v>1999</v>
      </c>
      <c r="F38" s="30">
        <f t="shared" ca="1" si="8"/>
        <v>0</v>
      </c>
      <c r="G38" s="30">
        <f t="shared" ca="1" si="9"/>
        <v>0</v>
      </c>
      <c r="H38" s="30">
        <f t="shared" ca="1" si="9"/>
        <v>0</v>
      </c>
      <c r="I38" s="30">
        <f t="shared" ca="1" si="9"/>
        <v>0</v>
      </c>
      <c r="J38" s="30">
        <f t="shared" ca="1" si="9"/>
        <v>10.199999999999999</v>
      </c>
      <c r="K38" s="30">
        <f t="shared" ca="1" si="9"/>
        <v>73.099999999999994</v>
      </c>
      <c r="L38" s="30">
        <f t="shared" ca="1" si="9"/>
        <v>133.09999999999997</v>
      </c>
      <c r="M38" s="30">
        <f t="shared" ca="1" si="9"/>
        <v>44.9</v>
      </c>
      <c r="N38" s="30">
        <f t="shared" ca="1" si="9"/>
        <v>49.999999999999993</v>
      </c>
      <c r="O38" s="30">
        <f t="shared" ca="1" si="9"/>
        <v>0</v>
      </c>
      <c r="P38" s="30">
        <f t="shared" ca="1" si="9"/>
        <v>0</v>
      </c>
      <c r="Q38" s="30">
        <f t="shared" ca="1" si="9"/>
        <v>0</v>
      </c>
    </row>
    <row r="39" spans="1:17" x14ac:dyDescent="0.25">
      <c r="A39" s="1">
        <v>35462</v>
      </c>
      <c r="B39" s="2">
        <v>651.79999999999995</v>
      </c>
      <c r="C39" s="2">
        <v>0</v>
      </c>
      <c r="E39">
        <v>2000</v>
      </c>
      <c r="F39" s="30">
        <f t="shared" ca="1" si="8"/>
        <v>0</v>
      </c>
      <c r="G39" s="30">
        <f t="shared" ca="1" si="9"/>
        <v>0</v>
      </c>
      <c r="H39" s="30">
        <f t="shared" ca="1" si="9"/>
        <v>0</v>
      </c>
      <c r="I39" s="30">
        <f t="shared" ca="1" si="9"/>
        <v>0</v>
      </c>
      <c r="J39" s="30">
        <f t="shared" ca="1" si="9"/>
        <v>11.100000000000001</v>
      </c>
      <c r="K39" s="30">
        <f t="shared" ca="1" si="9"/>
        <v>17.399999999999999</v>
      </c>
      <c r="L39" s="30">
        <f t="shared" ca="1" si="9"/>
        <v>37.299999999999997</v>
      </c>
      <c r="M39" s="30">
        <f t="shared" ca="1" si="9"/>
        <v>49.899999999999991</v>
      </c>
      <c r="N39" s="30">
        <f t="shared" ca="1" si="9"/>
        <v>16.600000000000001</v>
      </c>
      <c r="O39" s="30">
        <f t="shared" ca="1" si="9"/>
        <v>0</v>
      </c>
      <c r="P39" s="30">
        <f t="shared" ca="1" si="9"/>
        <v>0</v>
      </c>
      <c r="Q39" s="30">
        <f t="shared" ca="1" si="9"/>
        <v>0</v>
      </c>
    </row>
    <row r="40" spans="1:17" x14ac:dyDescent="0.25">
      <c r="A40" s="1">
        <v>35490</v>
      </c>
      <c r="B40" s="2">
        <v>666.60000000000014</v>
      </c>
      <c r="C40" s="2">
        <v>0</v>
      </c>
      <c r="E40">
        <v>2001</v>
      </c>
      <c r="F40" s="30">
        <f t="shared" ca="1" si="8"/>
        <v>0</v>
      </c>
      <c r="G40" s="30">
        <f t="shared" ca="1" si="9"/>
        <v>0</v>
      </c>
      <c r="H40" s="30">
        <f t="shared" ca="1" si="9"/>
        <v>0</v>
      </c>
      <c r="I40" s="30">
        <f t="shared" ca="1" si="9"/>
        <v>0</v>
      </c>
      <c r="J40" s="30">
        <f t="shared" ca="1" si="9"/>
        <v>6.8</v>
      </c>
      <c r="K40" s="30">
        <f t="shared" ca="1" si="9"/>
        <v>51.699999999999996</v>
      </c>
      <c r="L40" s="30">
        <f t="shared" ca="1" si="9"/>
        <v>76.900000000000006</v>
      </c>
      <c r="M40" s="30">
        <f t="shared" ca="1" si="9"/>
        <v>127.09999999999998</v>
      </c>
      <c r="N40" s="30">
        <f t="shared" ca="1" si="9"/>
        <v>23.6</v>
      </c>
      <c r="O40" s="30">
        <f t="shared" ca="1" si="9"/>
        <v>0</v>
      </c>
      <c r="P40" s="30">
        <f t="shared" ca="1" si="9"/>
        <v>0</v>
      </c>
      <c r="Q40" s="30">
        <f t="shared" ca="1" si="9"/>
        <v>0</v>
      </c>
    </row>
    <row r="41" spans="1:17" x14ac:dyDescent="0.25">
      <c r="A41" s="1">
        <v>35521</v>
      </c>
      <c r="B41" s="2">
        <v>399.09999999999991</v>
      </c>
      <c r="C41" s="2">
        <v>0</v>
      </c>
      <c r="E41">
        <v>2002</v>
      </c>
      <c r="F41" s="30">
        <f t="shared" ca="1" si="8"/>
        <v>0</v>
      </c>
      <c r="G41" s="30">
        <f t="shared" ca="1" si="9"/>
        <v>0</v>
      </c>
      <c r="H41" s="30">
        <f t="shared" ca="1" si="9"/>
        <v>0</v>
      </c>
      <c r="I41" s="30">
        <f t="shared" ca="1" si="9"/>
        <v>7.8999999999999995</v>
      </c>
      <c r="J41" s="30">
        <f t="shared" ca="1" si="9"/>
        <v>5.6</v>
      </c>
      <c r="K41" s="30">
        <f t="shared" ca="1" si="9"/>
        <v>47</v>
      </c>
      <c r="L41" s="30">
        <f t="shared" ca="1" si="9"/>
        <v>132.09999999999997</v>
      </c>
      <c r="M41" s="30">
        <f t="shared" ca="1" si="9"/>
        <v>104.1</v>
      </c>
      <c r="N41" s="30">
        <f t="shared" ca="1" si="9"/>
        <v>52.599999999999994</v>
      </c>
      <c r="O41" s="30">
        <f t="shared" ca="1" si="9"/>
        <v>5.6</v>
      </c>
      <c r="P41" s="30">
        <f t="shared" ca="1" si="9"/>
        <v>0</v>
      </c>
      <c r="Q41" s="30">
        <f t="shared" ca="1" si="9"/>
        <v>0</v>
      </c>
    </row>
    <row r="42" spans="1:17" x14ac:dyDescent="0.25">
      <c r="A42" s="1">
        <v>35551</v>
      </c>
      <c r="B42" s="2">
        <v>265.7999999999999</v>
      </c>
      <c r="C42" s="2">
        <v>0</v>
      </c>
      <c r="E42">
        <v>2003</v>
      </c>
      <c r="F42" s="30">
        <f t="shared" ca="1" si="8"/>
        <v>0</v>
      </c>
      <c r="G42" s="30">
        <f t="shared" ca="1" si="9"/>
        <v>0</v>
      </c>
      <c r="H42" s="30">
        <f t="shared" ca="1" si="9"/>
        <v>0</v>
      </c>
      <c r="I42" s="30">
        <f t="shared" ca="1" si="9"/>
        <v>0</v>
      </c>
      <c r="J42" s="30">
        <f t="shared" ca="1" si="9"/>
        <v>0</v>
      </c>
      <c r="K42" s="30">
        <f t="shared" ca="1" si="9"/>
        <v>39</v>
      </c>
      <c r="L42" s="30">
        <f t="shared" ca="1" si="9"/>
        <v>84.2</v>
      </c>
      <c r="M42" s="30">
        <f t="shared" ca="1" si="9"/>
        <v>103.7</v>
      </c>
      <c r="N42" s="30">
        <f t="shared" ca="1" si="9"/>
        <v>23.6</v>
      </c>
      <c r="O42" s="30">
        <f t="shared" ca="1" si="9"/>
        <v>0</v>
      </c>
      <c r="P42" s="30">
        <f t="shared" ca="1" si="9"/>
        <v>0</v>
      </c>
      <c r="Q42" s="30">
        <f t="shared" ca="1" si="9"/>
        <v>0</v>
      </c>
    </row>
    <row r="43" spans="1:17" x14ac:dyDescent="0.25">
      <c r="A43" s="1">
        <v>35582</v>
      </c>
      <c r="B43" s="2">
        <v>23.2</v>
      </c>
      <c r="C43" s="2">
        <v>41.3</v>
      </c>
      <c r="E43">
        <v>2004</v>
      </c>
      <c r="F43" s="30">
        <f t="shared" ca="1" si="8"/>
        <v>0</v>
      </c>
      <c r="G43" s="30">
        <f t="shared" ca="1" si="9"/>
        <v>0</v>
      </c>
      <c r="H43" s="30">
        <f t="shared" ca="1" si="9"/>
        <v>0</v>
      </c>
      <c r="I43" s="30">
        <f t="shared" ca="1" si="9"/>
        <v>0</v>
      </c>
      <c r="J43" s="30">
        <f t="shared" ca="1" si="9"/>
        <v>8.3000000000000007</v>
      </c>
      <c r="K43" s="30">
        <f t="shared" ca="1" si="9"/>
        <v>19.100000000000001</v>
      </c>
      <c r="L43" s="30">
        <f t="shared" ca="1" si="9"/>
        <v>62.6</v>
      </c>
      <c r="M43" s="30">
        <f t="shared" ca="1" si="9"/>
        <v>45.9</v>
      </c>
      <c r="N43" s="30">
        <f t="shared" ca="1" si="9"/>
        <v>15.5</v>
      </c>
      <c r="O43" s="30">
        <f t="shared" ca="1" si="9"/>
        <v>0</v>
      </c>
      <c r="P43" s="30">
        <f t="shared" ca="1" si="9"/>
        <v>0</v>
      </c>
      <c r="Q43" s="30">
        <f t="shared" ca="1" si="9"/>
        <v>0</v>
      </c>
    </row>
    <row r="44" spans="1:17" x14ac:dyDescent="0.25">
      <c r="A44" s="1">
        <v>35612</v>
      </c>
      <c r="B44" s="2">
        <v>20.2</v>
      </c>
      <c r="C44" s="2">
        <v>75.999999999999986</v>
      </c>
      <c r="E44">
        <v>2005</v>
      </c>
      <c r="F44" s="30">
        <f t="shared" ca="1" si="8"/>
        <v>0</v>
      </c>
      <c r="G44" s="30">
        <f t="shared" ca="1" si="9"/>
        <v>0</v>
      </c>
      <c r="H44" s="30">
        <f t="shared" ca="1" si="9"/>
        <v>0</v>
      </c>
      <c r="I44" s="30">
        <f t="shared" ca="1" si="9"/>
        <v>0</v>
      </c>
      <c r="J44" s="30">
        <f t="shared" ca="1" si="9"/>
        <v>0.5</v>
      </c>
      <c r="K44" s="30">
        <f t="shared" ca="1" si="9"/>
        <v>98.8</v>
      </c>
      <c r="L44" s="30">
        <f t="shared" ca="1" si="9"/>
        <v>141.69999999999999</v>
      </c>
      <c r="M44" s="30">
        <f t="shared" ca="1" si="9"/>
        <v>112.6</v>
      </c>
      <c r="N44" s="30">
        <f t="shared" ca="1" si="9"/>
        <v>27.1</v>
      </c>
      <c r="O44" s="30">
        <f t="shared" ca="1" si="9"/>
        <v>3.3</v>
      </c>
      <c r="P44" s="30">
        <f t="shared" ca="1" si="9"/>
        <v>0</v>
      </c>
      <c r="Q44" s="30">
        <f t="shared" ca="1" si="9"/>
        <v>0</v>
      </c>
    </row>
    <row r="45" spans="1:17" x14ac:dyDescent="0.25">
      <c r="A45" s="1">
        <v>35643</v>
      </c>
      <c r="B45" s="2">
        <v>31.099999999999998</v>
      </c>
      <c r="C45" s="2">
        <v>35.5</v>
      </c>
      <c r="E45">
        <v>2006</v>
      </c>
      <c r="F45" s="30">
        <f t="shared" ca="1" si="8"/>
        <v>0</v>
      </c>
      <c r="G45" s="30">
        <f t="shared" ca="1" si="9"/>
        <v>0</v>
      </c>
      <c r="H45" s="30">
        <f t="shared" ca="1" si="9"/>
        <v>0</v>
      </c>
      <c r="I45" s="30">
        <f t="shared" ca="1" si="9"/>
        <v>0</v>
      </c>
      <c r="J45" s="30">
        <f t="shared" ca="1" si="9"/>
        <v>15.9</v>
      </c>
      <c r="K45" s="30">
        <f t="shared" ca="1" si="9"/>
        <v>36.299999999999997</v>
      </c>
      <c r="L45" s="30">
        <f t="shared" ca="1" si="9"/>
        <v>115</v>
      </c>
      <c r="M45" s="30">
        <f t="shared" ca="1" si="9"/>
        <v>79.8</v>
      </c>
      <c r="N45" s="30">
        <f t="shared" ca="1" si="9"/>
        <v>4.5999999999999996</v>
      </c>
      <c r="O45" s="30">
        <f t="shared" ca="1" si="9"/>
        <v>0</v>
      </c>
      <c r="P45" s="30">
        <f t="shared" ca="1" si="9"/>
        <v>0</v>
      </c>
      <c r="Q45" s="30">
        <f t="shared" ca="1" si="9"/>
        <v>0</v>
      </c>
    </row>
    <row r="46" spans="1:17" x14ac:dyDescent="0.25">
      <c r="A46" s="1">
        <v>35674</v>
      </c>
      <c r="B46" s="2">
        <v>130.90000000000003</v>
      </c>
      <c r="C46" s="2">
        <v>1.8</v>
      </c>
      <c r="E46">
        <v>2007</v>
      </c>
      <c r="F46" s="30">
        <f t="shared" ca="1" si="8"/>
        <v>0</v>
      </c>
      <c r="G46" s="30">
        <f t="shared" ca="1" si="9"/>
        <v>0</v>
      </c>
      <c r="H46" s="30">
        <f t="shared" ca="1" si="9"/>
        <v>0</v>
      </c>
      <c r="I46" s="30">
        <f t="shared" ca="1" si="9"/>
        <v>0</v>
      </c>
      <c r="J46" s="30">
        <f t="shared" ca="1" si="9"/>
        <v>9.5</v>
      </c>
      <c r="K46" s="30">
        <f t="shared" ca="1" si="9"/>
        <v>69.7</v>
      </c>
      <c r="L46" s="30">
        <f t="shared" ca="1" si="9"/>
        <v>62.7</v>
      </c>
      <c r="M46" s="30">
        <f t="shared" ca="1" si="9"/>
        <v>100.4</v>
      </c>
      <c r="N46" s="30">
        <f t="shared" ca="1" si="9"/>
        <v>32.200000000000003</v>
      </c>
      <c r="O46" s="30">
        <f t="shared" ca="1" si="9"/>
        <v>6.8</v>
      </c>
      <c r="P46" s="30">
        <f t="shared" ca="1" si="9"/>
        <v>0</v>
      </c>
      <c r="Q46" s="30">
        <f t="shared" ca="1" si="9"/>
        <v>0</v>
      </c>
    </row>
    <row r="47" spans="1:17" x14ac:dyDescent="0.25">
      <c r="A47" s="1">
        <v>35704</v>
      </c>
      <c r="B47" s="2">
        <v>324.49999999999994</v>
      </c>
      <c r="C47" s="2">
        <v>0</v>
      </c>
      <c r="E47">
        <v>2008</v>
      </c>
      <c r="F47" s="30">
        <f t="shared" ca="1" si="8"/>
        <v>0</v>
      </c>
      <c r="G47" s="30">
        <f t="shared" ca="1" si="9"/>
        <v>0</v>
      </c>
      <c r="H47" s="30">
        <f t="shared" ca="1" si="9"/>
        <v>0</v>
      </c>
      <c r="I47" s="30">
        <f t="shared" ca="1" si="9"/>
        <v>1</v>
      </c>
      <c r="J47" s="30">
        <f t="shared" ca="1" si="9"/>
        <v>0</v>
      </c>
      <c r="K47" s="30">
        <f t="shared" ca="1" si="9"/>
        <v>56.5</v>
      </c>
      <c r="L47" s="30">
        <f t="shared" ca="1" si="9"/>
        <v>75.599999999999994</v>
      </c>
      <c r="M47" s="30">
        <f t="shared" ca="1" si="9"/>
        <v>47.8</v>
      </c>
      <c r="N47" s="30">
        <f t="shared" ca="1" si="9"/>
        <v>24.4</v>
      </c>
      <c r="O47" s="30">
        <f t="shared" ca="1" si="9"/>
        <v>0</v>
      </c>
      <c r="P47" s="30">
        <f t="shared" ca="1" si="9"/>
        <v>0</v>
      </c>
      <c r="Q47" s="30">
        <f t="shared" ca="1" si="9"/>
        <v>0</v>
      </c>
    </row>
    <row r="48" spans="1:17" x14ac:dyDescent="0.25">
      <c r="A48" s="1">
        <v>35735</v>
      </c>
      <c r="B48" s="2">
        <v>523.29999999999995</v>
      </c>
      <c r="C48" s="2">
        <v>0</v>
      </c>
      <c r="E48">
        <v>2009</v>
      </c>
      <c r="F48" s="30">
        <f t="shared" ca="1" si="8"/>
        <v>0</v>
      </c>
      <c r="G48" s="30">
        <f t="shared" ca="1" si="9"/>
        <v>0</v>
      </c>
      <c r="H48" s="30">
        <f t="shared" ca="1" si="9"/>
        <v>0</v>
      </c>
      <c r="I48" s="30">
        <f t="shared" ca="1" si="9"/>
        <v>0.8</v>
      </c>
      <c r="J48" s="30">
        <f t="shared" ca="1" si="9"/>
        <v>0</v>
      </c>
      <c r="K48" s="30">
        <f t="shared" ca="1" si="9"/>
        <v>32.6</v>
      </c>
      <c r="L48" s="30">
        <f t="shared" ca="1" si="9"/>
        <v>35.6</v>
      </c>
      <c r="M48" s="30">
        <f t="shared" ca="1" si="9"/>
        <v>85.2</v>
      </c>
      <c r="N48" s="30">
        <f t="shared" ca="1" si="9"/>
        <v>4.5999999999999996</v>
      </c>
      <c r="O48" s="30">
        <f t="shared" ca="1" si="9"/>
        <v>0</v>
      </c>
      <c r="P48" s="30">
        <f t="shared" ca="1" si="9"/>
        <v>0</v>
      </c>
      <c r="Q48" s="30">
        <f t="shared" ca="1" si="9"/>
        <v>0</v>
      </c>
    </row>
    <row r="49" spans="1:17" x14ac:dyDescent="0.25">
      <c r="A49" s="1">
        <v>35765</v>
      </c>
      <c r="B49" s="2">
        <v>678.69999999999993</v>
      </c>
      <c r="C49" s="2">
        <v>0</v>
      </c>
      <c r="E49">
        <v>2010</v>
      </c>
      <c r="F49" s="30">
        <f t="shared" ca="1" si="8"/>
        <v>0</v>
      </c>
      <c r="G49" s="30">
        <f t="shared" ref="G49:Q52" ca="1" si="10">OFFSET($C$2,(ROW()-33)*12+COLUMN()-6,0)</f>
        <v>0</v>
      </c>
      <c r="H49" s="30">
        <f t="shared" ca="1" si="10"/>
        <v>0</v>
      </c>
      <c r="I49" s="30">
        <f t="shared" ca="1" si="10"/>
        <v>1.3</v>
      </c>
      <c r="J49" s="30">
        <f t="shared" ca="1" si="10"/>
        <v>26.100000000000005</v>
      </c>
      <c r="K49" s="30">
        <f t="shared" ca="1" si="10"/>
        <v>33.700000000000003</v>
      </c>
      <c r="L49" s="30">
        <f t="shared" ca="1" si="10"/>
        <v>139.79999999999995</v>
      </c>
      <c r="M49" s="30">
        <f t="shared" ca="1" si="10"/>
        <v>90.299999999999969</v>
      </c>
      <c r="N49" s="30">
        <f t="shared" ca="1" si="10"/>
        <v>29.400000000000002</v>
      </c>
      <c r="O49" s="30">
        <f t="shared" ca="1" si="10"/>
        <v>0</v>
      </c>
      <c r="P49" s="30">
        <f t="shared" ca="1" si="10"/>
        <v>0</v>
      </c>
      <c r="Q49" s="30">
        <f t="shared" ca="1" si="10"/>
        <v>0</v>
      </c>
    </row>
    <row r="50" spans="1:17" x14ac:dyDescent="0.25">
      <c r="A50" s="1">
        <v>35796</v>
      </c>
      <c r="B50" s="2">
        <v>768.89999999999986</v>
      </c>
      <c r="C50" s="2">
        <v>0</v>
      </c>
      <c r="E50">
        <v>2011</v>
      </c>
      <c r="F50" s="30">
        <f t="shared" ca="1" si="8"/>
        <v>0</v>
      </c>
      <c r="G50" s="30">
        <f t="shared" ca="1" si="10"/>
        <v>0</v>
      </c>
      <c r="H50" s="30">
        <f t="shared" ca="1" si="10"/>
        <v>0</v>
      </c>
      <c r="I50" s="30">
        <f t="shared" ca="1" si="10"/>
        <v>0</v>
      </c>
      <c r="J50" s="30">
        <f t="shared" ca="1" si="10"/>
        <v>0</v>
      </c>
      <c r="K50" s="30">
        <f t="shared" ca="1" si="10"/>
        <v>24.9</v>
      </c>
      <c r="L50" s="30">
        <f t="shared" ca="1" si="10"/>
        <v>118.3</v>
      </c>
      <c r="M50" s="30">
        <f t="shared" ca="1" si="10"/>
        <v>68.2</v>
      </c>
      <c r="N50" s="30">
        <f t="shared" ca="1" si="10"/>
        <v>24.500000000000004</v>
      </c>
      <c r="O50" s="30">
        <f t="shared" ca="1" si="10"/>
        <v>0.5</v>
      </c>
      <c r="P50" s="30">
        <f t="shared" ca="1" si="10"/>
        <v>0</v>
      </c>
      <c r="Q50" s="30">
        <f t="shared" ca="1" si="10"/>
        <v>0</v>
      </c>
    </row>
    <row r="51" spans="1:17" x14ac:dyDescent="0.25">
      <c r="A51" s="1">
        <v>35827</v>
      </c>
      <c r="B51" s="2">
        <v>590.80000000000007</v>
      </c>
      <c r="C51" s="2">
        <v>0</v>
      </c>
      <c r="E51">
        <v>2012</v>
      </c>
      <c r="F51" s="30">
        <f t="shared" ca="1" si="8"/>
        <v>0</v>
      </c>
      <c r="G51" s="30">
        <f t="shared" ca="1" si="10"/>
        <v>0</v>
      </c>
      <c r="H51" s="30">
        <f t="shared" ca="1" si="10"/>
        <v>0</v>
      </c>
      <c r="I51" s="30">
        <f t="shared" ca="1" si="10"/>
        <v>0.8</v>
      </c>
      <c r="J51" s="30">
        <f t="shared" ca="1" si="10"/>
        <v>20.100000000000001</v>
      </c>
      <c r="K51" s="30">
        <f t="shared" ca="1" si="10"/>
        <v>51.8</v>
      </c>
      <c r="L51" s="30">
        <f t="shared" ca="1" si="10"/>
        <v>120.69999999999996</v>
      </c>
      <c r="M51" s="30">
        <f t="shared" ca="1" si="10"/>
        <v>84.899999999999977</v>
      </c>
      <c r="N51" s="30">
        <f t="shared" ca="1" si="10"/>
        <v>20.200000000000003</v>
      </c>
      <c r="O51" s="30">
        <f t="shared" ca="1" si="10"/>
        <v>0</v>
      </c>
      <c r="P51" s="30">
        <f t="shared" ca="1" si="10"/>
        <v>0</v>
      </c>
      <c r="Q51" s="30">
        <f t="shared" ca="1" si="10"/>
        <v>0</v>
      </c>
    </row>
    <row r="52" spans="1:17" x14ac:dyDescent="0.25">
      <c r="A52" s="1">
        <v>35855</v>
      </c>
      <c r="B52" s="2">
        <v>565.70000000000016</v>
      </c>
      <c r="C52" s="2">
        <v>0</v>
      </c>
      <c r="E52">
        <v>2013</v>
      </c>
      <c r="F52" s="30">
        <f t="shared" ca="1" si="8"/>
        <v>0</v>
      </c>
      <c r="G52" s="30">
        <f t="shared" ca="1" si="10"/>
        <v>0</v>
      </c>
      <c r="H52" s="30">
        <f t="shared" ca="1" si="10"/>
        <v>0</v>
      </c>
      <c r="I52" s="30">
        <f t="shared" ca="1" si="10"/>
        <v>0</v>
      </c>
      <c r="J52" s="30">
        <f t="shared" ca="1" si="10"/>
        <v>6.3</v>
      </c>
      <c r="K52" s="30">
        <f t="shared" ca="1" si="10"/>
        <v>20.700000000000003</v>
      </c>
      <c r="L52" s="30">
        <f t="shared" ca="1" si="10"/>
        <v>97.09999999999998</v>
      </c>
      <c r="M52" s="30">
        <f t="shared" ca="1" si="10"/>
        <v>57.199999999999989</v>
      </c>
      <c r="N52" s="30">
        <f t="shared" ca="1" si="10"/>
        <v>16.5</v>
      </c>
      <c r="O52" s="30">
        <f t="shared" ca="1" si="10"/>
        <v>1.5</v>
      </c>
      <c r="P52" s="30">
        <f t="shared" ca="1" si="10"/>
        <v>0</v>
      </c>
      <c r="Q52" s="30">
        <f t="shared" ca="1" si="10"/>
        <v>0</v>
      </c>
    </row>
    <row r="53" spans="1:17" x14ac:dyDescent="0.25">
      <c r="A53" s="1">
        <v>35886</v>
      </c>
      <c r="B53" s="2">
        <v>316.2999999999999</v>
      </c>
      <c r="C53" s="2">
        <v>0</v>
      </c>
      <c r="E53">
        <v>2014</v>
      </c>
      <c r="F53">
        <f ca="1">MAX(TREND(F$33:F$52,$E$33:$E$52,$E53),0)</f>
        <v>0</v>
      </c>
      <c r="G53" s="30">
        <f ca="1">MAX(TREND(G$33:G$52,$E$33:$E$52,$E53),0)</f>
        <v>0</v>
      </c>
      <c r="H53" s="30">
        <f t="shared" ref="H53:Q59" ca="1" si="11">MAX(TREND(H$33:H$52,$E$33:$E$52,$E53),0)</f>
        <v>0</v>
      </c>
      <c r="I53" s="30">
        <f t="shared" ca="1" si="11"/>
        <v>0.78421052631579613</v>
      </c>
      <c r="J53" s="30">
        <f t="shared" ca="1" si="11"/>
        <v>10.469473684210584</v>
      </c>
      <c r="K53" s="30">
        <f t="shared" ca="1" si="11"/>
        <v>37.029473684210643</v>
      </c>
      <c r="L53" s="30">
        <f t="shared" ca="1" si="11"/>
        <v>104.90473684210519</v>
      </c>
      <c r="M53" s="30">
        <f t="shared" ca="1" si="11"/>
        <v>85.717368421052925</v>
      </c>
      <c r="N53" s="30">
        <f t="shared" ca="1" si="11"/>
        <v>23.973157894736914</v>
      </c>
      <c r="O53" s="30">
        <f t="shared" ca="1" si="11"/>
        <v>1.4652631578947535</v>
      </c>
      <c r="P53" s="30">
        <f t="shared" ca="1" si="11"/>
        <v>0</v>
      </c>
      <c r="Q53" s="30">
        <f t="shared" ca="1" si="11"/>
        <v>0</v>
      </c>
    </row>
    <row r="54" spans="1:17" x14ac:dyDescent="0.25">
      <c r="A54" s="1">
        <v>35916</v>
      </c>
      <c r="B54" s="2">
        <v>77.600000000000023</v>
      </c>
      <c r="C54" s="2">
        <v>10.399999999999999</v>
      </c>
      <c r="E54">
        <v>2015</v>
      </c>
      <c r="F54" s="30">
        <f t="shared" ref="F54:G59" ca="1" si="12">MAX(TREND(F$33:F$52,$E$33:$E$52,$E54),0)</f>
        <v>0</v>
      </c>
      <c r="G54" s="30">
        <f t="shared" ca="1" si="12"/>
        <v>0</v>
      </c>
      <c r="H54" s="30">
        <f t="shared" ca="1" si="11"/>
        <v>0</v>
      </c>
      <c r="I54" s="30">
        <f t="shared" ca="1" si="11"/>
        <v>0.80270676691729648</v>
      </c>
      <c r="J54" s="30">
        <f t="shared" ca="1" si="11"/>
        <v>10.786090225563953</v>
      </c>
      <c r="K54" s="30">
        <f t="shared" ca="1" si="11"/>
        <v>36.138947368420986</v>
      </c>
      <c r="L54" s="30">
        <f t="shared" ca="1" si="11"/>
        <v>106.25090225563918</v>
      </c>
      <c r="M54" s="30">
        <f t="shared" ca="1" si="11"/>
        <v>86.77759398496255</v>
      </c>
      <c r="N54" s="30">
        <f t="shared" ca="1" si="11"/>
        <v>24.269172932330889</v>
      </c>
      <c r="O54" s="30">
        <f t="shared" ca="1" si="11"/>
        <v>1.5190977443609057</v>
      </c>
      <c r="P54" s="30">
        <f t="shared" ca="1" si="11"/>
        <v>0</v>
      </c>
      <c r="Q54" s="30">
        <f t="shared" ca="1" si="11"/>
        <v>0</v>
      </c>
    </row>
    <row r="55" spans="1:17" x14ac:dyDescent="0.25">
      <c r="A55" s="1">
        <v>35947</v>
      </c>
      <c r="B55" s="2">
        <v>63.600000000000009</v>
      </c>
      <c r="C55" s="2">
        <v>53.199999999999996</v>
      </c>
      <c r="E55">
        <v>2016</v>
      </c>
      <c r="F55" s="30">
        <f t="shared" ca="1" si="12"/>
        <v>0</v>
      </c>
      <c r="G55" s="30">
        <f t="shared" ca="1" si="12"/>
        <v>0</v>
      </c>
      <c r="H55" s="30">
        <f t="shared" ca="1" si="11"/>
        <v>0</v>
      </c>
      <c r="I55" s="30">
        <f t="shared" ca="1" si="11"/>
        <v>0.82120300751880393</v>
      </c>
      <c r="J55" s="30">
        <f t="shared" ca="1" si="11"/>
        <v>11.102706766917322</v>
      </c>
      <c r="K55" s="30">
        <f t="shared" ca="1" si="11"/>
        <v>35.248421052631556</v>
      </c>
      <c r="L55" s="30">
        <f t="shared" ca="1" si="11"/>
        <v>107.5970676691727</v>
      </c>
      <c r="M55" s="30">
        <f t="shared" ca="1" si="11"/>
        <v>87.837819548872631</v>
      </c>
      <c r="N55" s="30">
        <f t="shared" ca="1" si="11"/>
        <v>24.565187969924864</v>
      </c>
      <c r="O55" s="30">
        <f t="shared" ca="1" si="11"/>
        <v>1.5729323308270722</v>
      </c>
      <c r="P55" s="30">
        <f t="shared" ca="1" si="11"/>
        <v>0</v>
      </c>
      <c r="Q55" s="30">
        <f t="shared" ca="1" si="11"/>
        <v>0</v>
      </c>
    </row>
    <row r="56" spans="1:17" x14ac:dyDescent="0.25">
      <c r="A56" s="1">
        <v>35977</v>
      </c>
      <c r="B56" s="2">
        <v>13.499999999999998</v>
      </c>
      <c r="C56" s="2">
        <v>55.999999999999986</v>
      </c>
      <c r="E56">
        <v>2017</v>
      </c>
      <c r="F56" s="30">
        <f t="shared" ca="1" si="12"/>
        <v>0</v>
      </c>
      <c r="G56" s="30">
        <f t="shared" ca="1" si="12"/>
        <v>0</v>
      </c>
      <c r="H56" s="30">
        <f t="shared" ca="1" si="11"/>
        <v>0</v>
      </c>
      <c r="I56" s="30">
        <f t="shared" ca="1" si="11"/>
        <v>0.83969924812030428</v>
      </c>
      <c r="J56" s="30">
        <f t="shared" ca="1" si="11"/>
        <v>11.419323308270691</v>
      </c>
      <c r="K56" s="30">
        <f t="shared" ca="1" si="11"/>
        <v>34.357894736842127</v>
      </c>
      <c r="L56" s="30">
        <f t="shared" ca="1" si="11"/>
        <v>108.94323308270668</v>
      </c>
      <c r="M56" s="30">
        <f t="shared" ca="1" si="11"/>
        <v>88.898045112782256</v>
      </c>
      <c r="N56" s="30">
        <f t="shared" ca="1" si="11"/>
        <v>24.861203007518839</v>
      </c>
      <c r="O56" s="30">
        <f t="shared" ca="1" si="11"/>
        <v>1.6267669172932386</v>
      </c>
      <c r="P56" s="30">
        <f t="shared" ca="1" si="11"/>
        <v>0</v>
      </c>
      <c r="Q56" s="30">
        <f t="shared" ca="1" si="11"/>
        <v>0</v>
      </c>
    </row>
    <row r="57" spans="1:17" x14ac:dyDescent="0.25">
      <c r="A57" s="1">
        <v>36008</v>
      </c>
      <c r="B57" s="2">
        <v>15.100000000000001</v>
      </c>
      <c r="C57" s="2">
        <v>59.899999999999991</v>
      </c>
      <c r="E57">
        <v>2018</v>
      </c>
      <c r="F57" s="30">
        <f t="shared" ca="1" si="12"/>
        <v>0</v>
      </c>
      <c r="G57" s="30">
        <f t="shared" ca="1" si="12"/>
        <v>0</v>
      </c>
      <c r="H57" s="30">
        <f t="shared" ca="1" si="11"/>
        <v>0</v>
      </c>
      <c r="I57" s="30">
        <f t="shared" ca="1" si="11"/>
        <v>0.85819548872181173</v>
      </c>
      <c r="J57" s="30">
        <f t="shared" ca="1" si="11"/>
        <v>11.73593984962406</v>
      </c>
      <c r="K57" s="30">
        <f t="shared" ca="1" si="11"/>
        <v>33.467368421052697</v>
      </c>
      <c r="L57" s="30">
        <f t="shared" ca="1" si="11"/>
        <v>110.28939849624066</v>
      </c>
      <c r="M57" s="30">
        <f t="shared" ca="1" si="11"/>
        <v>89.958270676691882</v>
      </c>
      <c r="N57" s="30">
        <f t="shared" ca="1" si="11"/>
        <v>25.157218045112813</v>
      </c>
      <c r="O57" s="30">
        <f t="shared" ca="1" si="11"/>
        <v>1.6806015037594051</v>
      </c>
      <c r="P57" s="30">
        <f t="shared" ca="1" si="11"/>
        <v>0</v>
      </c>
      <c r="Q57" s="30">
        <f t="shared" ca="1" si="11"/>
        <v>0</v>
      </c>
    </row>
    <row r="58" spans="1:17" x14ac:dyDescent="0.25">
      <c r="A58" s="1">
        <v>36039</v>
      </c>
      <c r="B58" s="2">
        <v>83.500000000000014</v>
      </c>
      <c r="C58" s="2">
        <v>11.8</v>
      </c>
      <c r="E58">
        <v>2019</v>
      </c>
      <c r="F58" s="30">
        <f t="shared" ca="1" si="12"/>
        <v>0</v>
      </c>
      <c r="G58" s="30">
        <f t="shared" ca="1" si="12"/>
        <v>0</v>
      </c>
      <c r="H58" s="30">
        <f t="shared" ca="1" si="11"/>
        <v>0</v>
      </c>
      <c r="I58" s="30">
        <f t="shared" ca="1" si="11"/>
        <v>0.87669172932331207</v>
      </c>
      <c r="J58" s="30">
        <f t="shared" ca="1" si="11"/>
        <v>12.052556390977429</v>
      </c>
      <c r="K58" s="30">
        <f t="shared" ca="1" si="11"/>
        <v>32.576842105263268</v>
      </c>
      <c r="L58" s="30">
        <f t="shared" ca="1" si="11"/>
        <v>111.63556390977419</v>
      </c>
      <c r="M58" s="30">
        <f t="shared" ca="1" si="11"/>
        <v>91.018496240601962</v>
      </c>
      <c r="N58" s="30">
        <f t="shared" ca="1" si="11"/>
        <v>25.453233082706788</v>
      </c>
      <c r="O58" s="30">
        <f t="shared" ca="1" si="11"/>
        <v>1.7344360902255715</v>
      </c>
      <c r="P58" s="30">
        <f t="shared" ca="1" si="11"/>
        <v>0</v>
      </c>
      <c r="Q58" s="30">
        <f t="shared" ca="1" si="11"/>
        <v>0</v>
      </c>
    </row>
    <row r="59" spans="1:17" x14ac:dyDescent="0.25">
      <c r="A59" s="1">
        <v>36069</v>
      </c>
      <c r="B59" s="2">
        <v>260.59999999999991</v>
      </c>
      <c r="C59" s="2">
        <v>0</v>
      </c>
      <c r="E59">
        <v>2020</v>
      </c>
      <c r="F59" s="30">
        <f t="shared" ca="1" si="12"/>
        <v>0</v>
      </c>
      <c r="G59" s="30">
        <f t="shared" ca="1" si="12"/>
        <v>0</v>
      </c>
      <c r="H59" s="30">
        <f t="shared" ca="1" si="11"/>
        <v>0</v>
      </c>
      <c r="I59" s="30">
        <f t="shared" ca="1" si="11"/>
        <v>0.89518796992481953</v>
      </c>
      <c r="J59" s="30">
        <f t="shared" ca="1" si="11"/>
        <v>12.369172932330798</v>
      </c>
      <c r="K59" s="30">
        <f t="shared" ca="1" si="11"/>
        <v>31.68631578947361</v>
      </c>
      <c r="L59" s="30">
        <f t="shared" ca="1" si="11"/>
        <v>112.98172932330817</v>
      </c>
      <c r="M59" s="30">
        <f t="shared" ca="1" si="11"/>
        <v>92.078721804511588</v>
      </c>
      <c r="N59" s="30">
        <f t="shared" ca="1" si="11"/>
        <v>25.749248120300763</v>
      </c>
      <c r="O59" s="30">
        <f t="shared" ca="1" si="11"/>
        <v>1.788270676691738</v>
      </c>
      <c r="P59" s="30">
        <f t="shared" ca="1" si="11"/>
        <v>0</v>
      </c>
      <c r="Q59" s="30">
        <f t="shared" ca="1" si="11"/>
        <v>0</v>
      </c>
    </row>
    <row r="60" spans="1:17" x14ac:dyDescent="0.25">
      <c r="A60" s="1">
        <v>36100</v>
      </c>
      <c r="B60" s="2">
        <v>442.09999999999997</v>
      </c>
      <c r="C60" s="2">
        <v>0</v>
      </c>
      <c r="E60" s="12" t="s">
        <v>74</v>
      </c>
      <c r="F60">
        <f t="shared" ref="F60:Q60" ca="1" si="13">AVERAGE(F43:F52)</f>
        <v>0</v>
      </c>
      <c r="G60">
        <f t="shared" ca="1" si="13"/>
        <v>0</v>
      </c>
      <c r="H60">
        <f t="shared" ca="1" si="13"/>
        <v>0</v>
      </c>
      <c r="I60">
        <f t="shared" ca="1" si="13"/>
        <v>0.39</v>
      </c>
      <c r="J60">
        <f t="shared" ca="1" si="13"/>
        <v>8.67</v>
      </c>
      <c r="K60">
        <f t="shared" ca="1" si="13"/>
        <v>44.41</v>
      </c>
      <c r="L60">
        <f t="shared" ca="1" si="13"/>
        <v>96.909999999999982</v>
      </c>
      <c r="M60">
        <f t="shared" ca="1" si="13"/>
        <v>77.22999999999999</v>
      </c>
      <c r="N60">
        <f t="shared" ca="1" si="13"/>
        <v>19.899999999999999</v>
      </c>
      <c r="O60">
        <f t="shared" ca="1" si="13"/>
        <v>1.21</v>
      </c>
      <c r="P60">
        <f t="shared" ca="1" si="13"/>
        <v>0</v>
      </c>
      <c r="Q60">
        <f t="shared" ca="1" si="13"/>
        <v>0</v>
      </c>
    </row>
    <row r="61" spans="1:17" x14ac:dyDescent="0.25">
      <c r="A61" s="1">
        <v>36130</v>
      </c>
      <c r="B61" s="2">
        <v>584.20000000000005</v>
      </c>
      <c r="C61" s="2">
        <v>0</v>
      </c>
      <c r="E61" s="12" t="s">
        <v>75</v>
      </c>
      <c r="F61">
        <f t="shared" ref="F61:Q61" ca="1" si="14">AVERAGE(F33:F52)</f>
        <v>0</v>
      </c>
      <c r="G61">
        <f t="shared" ca="1" si="14"/>
        <v>0</v>
      </c>
      <c r="H61">
        <f t="shared" ca="1" si="14"/>
        <v>0</v>
      </c>
      <c r="I61">
        <f t="shared" ca="1" si="14"/>
        <v>0.59000000000000008</v>
      </c>
      <c r="J61">
        <f t="shared" ca="1" si="14"/>
        <v>7.1450000000000014</v>
      </c>
      <c r="K61">
        <f t="shared" ca="1" si="14"/>
        <v>46.38</v>
      </c>
      <c r="L61">
        <f t="shared" ca="1" si="14"/>
        <v>90.769999999999982</v>
      </c>
      <c r="M61">
        <f t="shared" ca="1" si="14"/>
        <v>74.585000000000008</v>
      </c>
      <c r="N61">
        <f t="shared" ca="1" si="14"/>
        <v>20.864999999999998</v>
      </c>
      <c r="O61">
        <f t="shared" ca="1" si="14"/>
        <v>0.9</v>
      </c>
      <c r="P61">
        <f t="shared" ca="1" si="14"/>
        <v>0</v>
      </c>
      <c r="Q61">
        <f t="shared" ca="1" si="14"/>
        <v>0</v>
      </c>
    </row>
    <row r="62" spans="1:17" x14ac:dyDescent="0.25">
      <c r="A62" s="1">
        <v>36161</v>
      </c>
      <c r="B62" s="2">
        <v>826.09999999999991</v>
      </c>
      <c r="C62" s="2">
        <v>0</v>
      </c>
    </row>
    <row r="63" spans="1:17" x14ac:dyDescent="0.25">
      <c r="A63" s="1">
        <v>36192</v>
      </c>
      <c r="B63" s="2">
        <v>603</v>
      </c>
      <c r="C63" s="2">
        <v>0</v>
      </c>
    </row>
    <row r="64" spans="1:17" ht="13.8" x14ac:dyDescent="0.25">
      <c r="A64" s="1">
        <v>36220</v>
      </c>
      <c r="B64" s="2">
        <v>624.5</v>
      </c>
      <c r="C64" s="2">
        <v>0</v>
      </c>
      <c r="E64" s="77" t="s">
        <v>155</v>
      </c>
      <c r="J64" s="77" t="s">
        <v>156</v>
      </c>
    </row>
    <row r="65" spans="1:13" x14ac:dyDescent="0.25">
      <c r="A65" s="1">
        <v>36251</v>
      </c>
      <c r="B65" s="2">
        <v>327.79999999999995</v>
      </c>
      <c r="C65" s="2">
        <v>0</v>
      </c>
      <c r="G65" s="29" t="s">
        <v>9</v>
      </c>
      <c r="H65" s="29" t="s">
        <v>10</v>
      </c>
      <c r="L65" t="s">
        <v>9</v>
      </c>
      <c r="M65" t="s">
        <v>10</v>
      </c>
    </row>
    <row r="66" spans="1:13" x14ac:dyDescent="0.25">
      <c r="A66" s="1">
        <v>36281</v>
      </c>
      <c r="B66" s="2">
        <v>99.800000000000011</v>
      </c>
      <c r="C66" s="2">
        <v>10.199999999999999</v>
      </c>
      <c r="E66" t="s">
        <v>146</v>
      </c>
      <c r="F66" t="s">
        <v>147</v>
      </c>
      <c r="G66">
        <f t="shared" ref="G66:G77" ca="1" si="15">OFFSET($F$29,0,(ROW()-ROW(G$66)))</f>
        <v>784.29</v>
      </c>
      <c r="H66" s="30">
        <f t="shared" ref="H66:H77" ca="1" si="16">OFFSET($F$60,0,(ROW()-ROW(H$66)))</f>
        <v>0</v>
      </c>
      <c r="J66" s="30" t="s">
        <v>146</v>
      </c>
      <c r="K66" s="30" t="s">
        <v>147</v>
      </c>
      <c r="L66" s="78">
        <f ca="1">OFFSET($F$24,0,(ROW()-ROW(L$66)))</f>
        <v>738.32210526315794</v>
      </c>
      <c r="M66" s="78">
        <f ca="1">OFFSET($F$55,0,(ROW()-ROW(M$66)))</f>
        <v>0</v>
      </c>
    </row>
    <row r="67" spans="1:13" x14ac:dyDescent="0.25">
      <c r="A67" s="1">
        <v>36312</v>
      </c>
      <c r="B67" s="2">
        <v>30.099999999999998</v>
      </c>
      <c r="C67" s="2">
        <v>73.099999999999994</v>
      </c>
      <c r="E67" s="30" t="s">
        <v>146</v>
      </c>
      <c r="F67" t="s">
        <v>148</v>
      </c>
      <c r="G67" s="30">
        <f t="shared" ca="1" si="15"/>
        <v>682.50999999999988</v>
      </c>
      <c r="H67" s="30">
        <f t="shared" ca="1" si="16"/>
        <v>0</v>
      </c>
      <c r="J67" s="30" t="s">
        <v>146</v>
      </c>
      <c r="K67" s="30" t="s">
        <v>148</v>
      </c>
      <c r="L67" s="78">
        <f t="shared" ref="L67:L77" ca="1" si="17">OFFSET($F$24,0,(ROW()-ROW(L$66)))</f>
        <v>657.50451127819542</v>
      </c>
      <c r="M67" s="78">
        <f t="shared" ref="M67:M77" ca="1" si="18">OFFSET($F$55,0,(ROW()-ROW(M$66)))</f>
        <v>0</v>
      </c>
    </row>
    <row r="68" spans="1:13" x14ac:dyDescent="0.25">
      <c r="A68" s="1">
        <v>36342</v>
      </c>
      <c r="B68" s="2">
        <v>3.9</v>
      </c>
      <c r="C68" s="2">
        <v>133.09999999999997</v>
      </c>
      <c r="E68" s="30" t="s">
        <v>146</v>
      </c>
      <c r="F68" s="30" t="s">
        <v>149</v>
      </c>
      <c r="G68" s="30">
        <f t="shared" ca="1" si="15"/>
        <v>556.99</v>
      </c>
      <c r="H68" s="30">
        <f t="shared" ca="1" si="16"/>
        <v>0</v>
      </c>
      <c r="J68" s="30" t="s">
        <v>146</v>
      </c>
      <c r="K68" s="30" t="s">
        <v>149</v>
      </c>
      <c r="L68" s="78">
        <f t="shared" ca="1" si="17"/>
        <v>525.81157894736862</v>
      </c>
      <c r="M68" s="78">
        <f t="shared" ca="1" si="18"/>
        <v>0</v>
      </c>
    </row>
    <row r="69" spans="1:13" x14ac:dyDescent="0.25">
      <c r="A69" s="1">
        <v>36373</v>
      </c>
      <c r="B69" s="2">
        <v>29.099999999999998</v>
      </c>
      <c r="C69" s="2">
        <v>44.9</v>
      </c>
      <c r="E69" s="30" t="s">
        <v>146</v>
      </c>
      <c r="F69" s="30" t="s">
        <v>150</v>
      </c>
      <c r="G69" s="30">
        <f t="shared" ca="1" si="15"/>
        <v>326.58999999999997</v>
      </c>
      <c r="H69" s="30">
        <f t="shared" ca="1" si="16"/>
        <v>0.39</v>
      </c>
      <c r="J69" s="30" t="s">
        <v>146</v>
      </c>
      <c r="K69" s="30" t="s">
        <v>150</v>
      </c>
      <c r="L69" s="78">
        <f t="shared" ca="1" si="17"/>
        <v>302.45180451127726</v>
      </c>
      <c r="M69" s="78">
        <f t="shared" ca="1" si="18"/>
        <v>0.82120300751880393</v>
      </c>
    </row>
    <row r="70" spans="1:13" x14ac:dyDescent="0.25">
      <c r="A70" s="1">
        <v>36404</v>
      </c>
      <c r="B70" s="2">
        <v>66.800000000000011</v>
      </c>
      <c r="C70" s="2">
        <v>49.999999999999993</v>
      </c>
      <c r="E70" s="30" t="s">
        <v>146</v>
      </c>
      <c r="F70" s="30" t="s">
        <v>67</v>
      </c>
      <c r="G70" s="30">
        <f t="shared" ca="1" si="15"/>
        <v>144.96</v>
      </c>
      <c r="H70" s="30">
        <f t="shared" ca="1" si="16"/>
        <v>8.67</v>
      </c>
      <c r="J70" s="30" t="s">
        <v>146</v>
      </c>
      <c r="K70" s="30" t="s">
        <v>67</v>
      </c>
      <c r="L70" s="78">
        <f t="shared" ca="1" si="17"/>
        <v>114.00593984962416</v>
      </c>
      <c r="M70" s="78">
        <f t="shared" ca="1" si="18"/>
        <v>11.102706766917322</v>
      </c>
    </row>
    <row r="71" spans="1:13" x14ac:dyDescent="0.25">
      <c r="A71" s="1">
        <v>36434</v>
      </c>
      <c r="B71" s="2">
        <v>315.49999999999994</v>
      </c>
      <c r="C71" s="2">
        <v>0</v>
      </c>
      <c r="E71" s="30" t="s">
        <v>146</v>
      </c>
      <c r="F71" s="30" t="s">
        <v>68</v>
      </c>
      <c r="G71" s="30">
        <f t="shared" ca="1" si="15"/>
        <v>41.510000000000005</v>
      </c>
      <c r="H71" s="30">
        <f t="shared" ca="1" si="16"/>
        <v>44.41</v>
      </c>
      <c r="J71" s="30" t="s">
        <v>146</v>
      </c>
      <c r="K71" s="30" t="s">
        <v>68</v>
      </c>
      <c r="L71" s="78">
        <f t="shared" ca="1" si="17"/>
        <v>47.658120300751989</v>
      </c>
      <c r="M71" s="78">
        <f t="shared" ca="1" si="18"/>
        <v>35.248421052631556</v>
      </c>
    </row>
    <row r="72" spans="1:13" x14ac:dyDescent="0.25">
      <c r="A72" s="1">
        <v>36465</v>
      </c>
      <c r="B72" s="2">
        <v>403.09999999999991</v>
      </c>
      <c r="C72" s="2">
        <v>0</v>
      </c>
      <c r="E72" s="30" t="s">
        <v>146</v>
      </c>
      <c r="F72" s="30" t="s">
        <v>69</v>
      </c>
      <c r="G72" s="30">
        <f t="shared" ca="1" si="15"/>
        <v>5.01</v>
      </c>
      <c r="H72" s="30">
        <f t="shared" ca="1" si="16"/>
        <v>96.909999999999982</v>
      </c>
      <c r="J72" s="30" t="s">
        <v>146</v>
      </c>
      <c r="K72" s="30" t="s">
        <v>69</v>
      </c>
      <c r="L72" s="78">
        <f t="shared" ca="1" si="17"/>
        <v>2.2552631578947739</v>
      </c>
      <c r="M72" s="78">
        <f t="shared" ca="1" si="18"/>
        <v>107.5970676691727</v>
      </c>
    </row>
    <row r="73" spans="1:13" x14ac:dyDescent="0.25">
      <c r="A73" s="1">
        <v>36495</v>
      </c>
      <c r="B73" s="2">
        <v>653.70000000000005</v>
      </c>
      <c r="C73" s="2">
        <v>0</v>
      </c>
      <c r="E73" s="30" t="s">
        <v>146</v>
      </c>
      <c r="F73" s="30" t="s">
        <v>76</v>
      </c>
      <c r="G73" s="30">
        <f t="shared" ca="1" si="15"/>
        <v>12.719999999999999</v>
      </c>
      <c r="H73" s="30">
        <f t="shared" ca="1" si="16"/>
        <v>77.22999999999999</v>
      </c>
      <c r="J73" s="30" t="s">
        <v>146</v>
      </c>
      <c r="K73" s="30" t="s">
        <v>76</v>
      </c>
      <c r="L73" s="78">
        <f t="shared" ca="1" si="17"/>
        <v>5.4470676691728386</v>
      </c>
      <c r="M73" s="78">
        <f t="shared" ca="1" si="18"/>
        <v>87.837819548872631</v>
      </c>
    </row>
    <row r="74" spans="1:13" x14ac:dyDescent="0.25">
      <c r="A74" s="1">
        <v>36526</v>
      </c>
      <c r="B74" s="2">
        <v>814.5</v>
      </c>
      <c r="C74" s="2">
        <v>0</v>
      </c>
      <c r="E74" s="30" t="s">
        <v>146</v>
      </c>
      <c r="F74" s="30" t="s">
        <v>151</v>
      </c>
      <c r="G74" s="30">
        <f t="shared" ca="1" si="15"/>
        <v>86.570000000000007</v>
      </c>
      <c r="H74" s="30">
        <f t="shared" ca="1" si="16"/>
        <v>19.899999999999999</v>
      </c>
      <c r="J74" s="30" t="s">
        <v>146</v>
      </c>
      <c r="K74" s="30" t="s">
        <v>151</v>
      </c>
      <c r="L74" s="78">
        <f t="shared" ca="1" si="17"/>
        <v>78.631654135338067</v>
      </c>
      <c r="M74" s="78">
        <f t="shared" ca="1" si="18"/>
        <v>24.565187969924864</v>
      </c>
    </row>
    <row r="75" spans="1:13" x14ac:dyDescent="0.25">
      <c r="A75" s="1">
        <v>36557</v>
      </c>
      <c r="B75" s="2">
        <v>682.60000000000014</v>
      </c>
      <c r="C75" s="2">
        <v>0</v>
      </c>
      <c r="E75" s="30" t="s">
        <v>146</v>
      </c>
      <c r="F75" s="30" t="s">
        <v>152</v>
      </c>
      <c r="G75" s="30">
        <f t="shared" ca="1" si="15"/>
        <v>270.3</v>
      </c>
      <c r="H75" s="30">
        <f t="shared" ca="1" si="16"/>
        <v>1.21</v>
      </c>
      <c r="J75" s="30" t="s">
        <v>146</v>
      </c>
      <c r="K75" s="30" t="s">
        <v>152</v>
      </c>
      <c r="L75" s="78">
        <f t="shared" ca="1" si="17"/>
        <v>266.09751879699206</v>
      </c>
      <c r="M75" s="78">
        <f t="shared" ca="1" si="18"/>
        <v>1.5729323308270722</v>
      </c>
    </row>
    <row r="76" spans="1:13" x14ac:dyDescent="0.25">
      <c r="A76" s="1">
        <v>36586</v>
      </c>
      <c r="B76" s="2">
        <v>489.6</v>
      </c>
      <c r="C76" s="2">
        <v>0</v>
      </c>
      <c r="E76" s="30" t="s">
        <v>146</v>
      </c>
      <c r="F76" s="30" t="s">
        <v>153</v>
      </c>
      <c r="G76" s="30">
        <f t="shared" ca="1" si="15"/>
        <v>444.05</v>
      </c>
      <c r="H76" s="30">
        <f t="shared" ca="1" si="16"/>
        <v>0</v>
      </c>
      <c r="J76" s="30" t="s">
        <v>146</v>
      </c>
      <c r="K76" s="30" t="s">
        <v>153</v>
      </c>
      <c r="L76" s="78">
        <f t="shared" ca="1" si="17"/>
        <v>426.32924812030069</v>
      </c>
      <c r="M76" s="78">
        <f t="shared" ca="1" si="18"/>
        <v>0</v>
      </c>
    </row>
    <row r="77" spans="1:13" x14ac:dyDescent="0.25">
      <c r="A77" s="1">
        <v>36617</v>
      </c>
      <c r="B77" s="2">
        <v>383.99999999999989</v>
      </c>
      <c r="C77" s="2">
        <v>0</v>
      </c>
      <c r="E77" s="30" t="s">
        <v>146</v>
      </c>
      <c r="F77" s="30" t="s">
        <v>154</v>
      </c>
      <c r="G77" s="30">
        <f t="shared" ca="1" si="15"/>
        <v>684.01</v>
      </c>
      <c r="H77" s="30">
        <f t="shared" ca="1" si="16"/>
        <v>0</v>
      </c>
      <c r="J77" s="30" t="s">
        <v>146</v>
      </c>
      <c r="K77" s="30" t="s">
        <v>154</v>
      </c>
      <c r="L77" s="78">
        <f t="shared" ca="1" si="17"/>
        <v>688.11105263157901</v>
      </c>
      <c r="M77" s="78">
        <f t="shared" ca="1" si="18"/>
        <v>0</v>
      </c>
    </row>
    <row r="78" spans="1:13" x14ac:dyDescent="0.25">
      <c r="A78" s="1">
        <v>36647</v>
      </c>
      <c r="B78" s="2">
        <v>160</v>
      </c>
      <c r="C78" s="2">
        <v>11.100000000000001</v>
      </c>
    </row>
    <row r="79" spans="1:13" x14ac:dyDescent="0.25">
      <c r="A79" s="1">
        <v>36678</v>
      </c>
      <c r="B79" s="2">
        <v>65.5</v>
      </c>
      <c r="C79" s="2">
        <v>17.399999999999999</v>
      </c>
    </row>
    <row r="80" spans="1:13" x14ac:dyDescent="0.25">
      <c r="A80" s="1">
        <v>36708</v>
      </c>
      <c r="B80" s="2">
        <v>17.399999999999999</v>
      </c>
      <c r="C80" s="2">
        <v>37.299999999999997</v>
      </c>
    </row>
    <row r="81" spans="1:3" x14ac:dyDescent="0.25">
      <c r="A81" s="1">
        <v>36739</v>
      </c>
      <c r="B81" s="2">
        <v>20.099999999999998</v>
      </c>
      <c r="C81" s="2">
        <v>49.899999999999991</v>
      </c>
    </row>
    <row r="82" spans="1:3" x14ac:dyDescent="0.25">
      <c r="A82" s="1">
        <v>36770</v>
      </c>
      <c r="B82" s="2">
        <v>136.30000000000001</v>
      </c>
      <c r="C82" s="2">
        <v>16.600000000000001</v>
      </c>
    </row>
    <row r="83" spans="1:3" x14ac:dyDescent="0.25">
      <c r="A83" s="1">
        <v>36800</v>
      </c>
      <c r="B83" s="2">
        <v>281.19999999999993</v>
      </c>
      <c r="C83" s="2">
        <v>0</v>
      </c>
    </row>
    <row r="84" spans="1:3" x14ac:dyDescent="0.25">
      <c r="A84" s="1">
        <v>36831</v>
      </c>
      <c r="B84" s="2">
        <v>485.7</v>
      </c>
      <c r="C84" s="2">
        <v>0</v>
      </c>
    </row>
    <row r="85" spans="1:3" x14ac:dyDescent="0.25">
      <c r="A85" s="1">
        <v>36861</v>
      </c>
      <c r="B85" s="2">
        <v>834.8</v>
      </c>
      <c r="C85" s="2">
        <v>0</v>
      </c>
    </row>
    <row r="86" spans="1:3" x14ac:dyDescent="0.25">
      <c r="A86" s="1">
        <v>36892</v>
      </c>
      <c r="B86" s="2">
        <v>775.19999999999982</v>
      </c>
      <c r="C86" s="2">
        <v>0</v>
      </c>
    </row>
    <row r="87" spans="1:3" x14ac:dyDescent="0.25">
      <c r="A87" s="1">
        <v>36923</v>
      </c>
      <c r="B87" s="2">
        <v>677.09999999999991</v>
      </c>
      <c r="C87" s="2">
        <v>0</v>
      </c>
    </row>
    <row r="88" spans="1:3" x14ac:dyDescent="0.25">
      <c r="A88" s="1">
        <v>36951</v>
      </c>
      <c r="B88" s="2">
        <v>635.59999999999991</v>
      </c>
      <c r="C88" s="2">
        <v>0</v>
      </c>
    </row>
    <row r="89" spans="1:3" x14ac:dyDescent="0.25">
      <c r="A89" s="1">
        <v>36982</v>
      </c>
      <c r="B89" s="2">
        <v>325.59999999999991</v>
      </c>
      <c r="C89" s="2">
        <v>0</v>
      </c>
    </row>
    <row r="90" spans="1:3" x14ac:dyDescent="0.25">
      <c r="A90" s="1">
        <v>37012</v>
      </c>
      <c r="B90" s="2">
        <v>126.80000000000001</v>
      </c>
      <c r="C90" s="2">
        <v>6.8</v>
      </c>
    </row>
    <row r="91" spans="1:3" x14ac:dyDescent="0.25">
      <c r="A91" s="1">
        <v>37043</v>
      </c>
      <c r="B91" s="2">
        <v>36.700000000000003</v>
      </c>
      <c r="C91" s="2">
        <v>51.699999999999996</v>
      </c>
    </row>
    <row r="92" spans="1:3" x14ac:dyDescent="0.25">
      <c r="A92" s="1">
        <v>37073</v>
      </c>
      <c r="B92" s="2">
        <v>17.100000000000001</v>
      </c>
      <c r="C92" s="2">
        <v>76.900000000000006</v>
      </c>
    </row>
    <row r="93" spans="1:3" x14ac:dyDescent="0.25">
      <c r="A93" s="1">
        <v>37104</v>
      </c>
      <c r="B93" s="2">
        <v>4</v>
      </c>
      <c r="C93" s="2">
        <v>127.09999999999998</v>
      </c>
    </row>
    <row r="94" spans="1:3" x14ac:dyDescent="0.25">
      <c r="A94" s="1">
        <v>37135</v>
      </c>
      <c r="B94" s="2">
        <v>94.700000000000017</v>
      </c>
      <c r="C94" s="2">
        <v>23.6</v>
      </c>
    </row>
    <row r="95" spans="1:3" x14ac:dyDescent="0.25">
      <c r="A95" s="1">
        <v>37165</v>
      </c>
      <c r="B95" s="2">
        <v>259.89999999999998</v>
      </c>
      <c r="C95" s="2">
        <v>0</v>
      </c>
    </row>
    <row r="96" spans="1:3" x14ac:dyDescent="0.25">
      <c r="A96" s="1">
        <v>37196</v>
      </c>
      <c r="B96" s="2">
        <v>388.89999999999992</v>
      </c>
      <c r="C96" s="2">
        <v>0</v>
      </c>
    </row>
    <row r="97" spans="1:3" x14ac:dyDescent="0.25">
      <c r="A97" s="1">
        <v>37226</v>
      </c>
      <c r="B97" s="2">
        <v>578.29999999999995</v>
      </c>
      <c r="C97" s="2">
        <v>0</v>
      </c>
    </row>
    <row r="98" spans="1:3" x14ac:dyDescent="0.25">
      <c r="A98" s="1">
        <v>37257</v>
      </c>
      <c r="B98" s="2">
        <v>639.4000000000002</v>
      </c>
      <c r="C98" s="2">
        <v>0</v>
      </c>
    </row>
    <row r="99" spans="1:3" x14ac:dyDescent="0.25">
      <c r="A99" s="1">
        <v>37288</v>
      </c>
      <c r="B99" s="2">
        <v>601.90000000000009</v>
      </c>
      <c r="C99" s="2">
        <v>0</v>
      </c>
    </row>
    <row r="100" spans="1:3" x14ac:dyDescent="0.25">
      <c r="A100" s="1">
        <v>37316</v>
      </c>
      <c r="B100" s="2">
        <v>572.50000000000011</v>
      </c>
      <c r="C100" s="2">
        <v>0</v>
      </c>
    </row>
    <row r="101" spans="1:3" x14ac:dyDescent="0.25">
      <c r="A101" s="1">
        <v>37347</v>
      </c>
      <c r="B101" s="2">
        <v>336.89999999999992</v>
      </c>
      <c r="C101" s="2">
        <v>7.8999999999999995</v>
      </c>
    </row>
    <row r="102" spans="1:3" x14ac:dyDescent="0.25">
      <c r="A102" s="1">
        <v>37377</v>
      </c>
      <c r="B102" s="2">
        <v>220.29999999999995</v>
      </c>
      <c r="C102" s="2">
        <v>5.6</v>
      </c>
    </row>
    <row r="103" spans="1:3" x14ac:dyDescent="0.25">
      <c r="A103" s="1">
        <v>37408</v>
      </c>
      <c r="B103" s="2">
        <v>49.599999999999994</v>
      </c>
      <c r="C103" s="2">
        <v>47</v>
      </c>
    </row>
    <row r="104" spans="1:3" x14ac:dyDescent="0.25">
      <c r="A104" s="1">
        <v>37438</v>
      </c>
      <c r="B104" s="2">
        <v>4</v>
      </c>
      <c r="C104" s="2">
        <v>132.09999999999997</v>
      </c>
    </row>
    <row r="105" spans="1:3" x14ac:dyDescent="0.25">
      <c r="A105" s="1">
        <v>37469</v>
      </c>
      <c r="B105" s="2">
        <v>6.5000000000000009</v>
      </c>
      <c r="C105" s="2">
        <v>104.1</v>
      </c>
    </row>
    <row r="106" spans="1:3" x14ac:dyDescent="0.25">
      <c r="A106" s="1">
        <v>37500</v>
      </c>
      <c r="B106" s="2">
        <v>45.2</v>
      </c>
      <c r="C106" s="2">
        <v>52.599999999999994</v>
      </c>
    </row>
    <row r="107" spans="1:3" x14ac:dyDescent="0.25">
      <c r="A107" s="1">
        <v>37530</v>
      </c>
      <c r="B107" s="2">
        <v>332.79999999999995</v>
      </c>
      <c r="C107" s="2">
        <v>5.6</v>
      </c>
    </row>
    <row r="108" spans="1:3" x14ac:dyDescent="0.25">
      <c r="A108" s="1">
        <v>37561</v>
      </c>
      <c r="B108" s="2">
        <v>490.7</v>
      </c>
      <c r="C108" s="2">
        <v>0</v>
      </c>
    </row>
    <row r="109" spans="1:3" x14ac:dyDescent="0.25">
      <c r="A109" s="1">
        <v>37591</v>
      </c>
      <c r="B109" s="2">
        <v>671.59999999999991</v>
      </c>
      <c r="C109" s="2">
        <v>0</v>
      </c>
    </row>
    <row r="110" spans="1:3" x14ac:dyDescent="0.25">
      <c r="A110" s="1">
        <v>37622</v>
      </c>
      <c r="B110">
        <v>921</v>
      </c>
      <c r="C110">
        <v>0</v>
      </c>
    </row>
    <row r="111" spans="1:3" x14ac:dyDescent="0.25">
      <c r="A111" s="1">
        <v>37653</v>
      </c>
      <c r="B111">
        <v>784.5</v>
      </c>
      <c r="C111">
        <v>0</v>
      </c>
    </row>
    <row r="112" spans="1:3" x14ac:dyDescent="0.25">
      <c r="A112" s="1">
        <v>37681</v>
      </c>
      <c r="B112">
        <v>625.79999999999995</v>
      </c>
      <c r="C112">
        <v>0</v>
      </c>
    </row>
    <row r="113" spans="1:3" x14ac:dyDescent="0.25">
      <c r="A113" s="1">
        <v>37712</v>
      </c>
      <c r="B113">
        <v>412.4</v>
      </c>
      <c r="C113">
        <v>0</v>
      </c>
    </row>
    <row r="114" spans="1:3" x14ac:dyDescent="0.25">
      <c r="A114" s="1">
        <v>37742</v>
      </c>
      <c r="B114">
        <v>168.4</v>
      </c>
      <c r="C114">
        <v>0</v>
      </c>
    </row>
    <row r="115" spans="1:3" x14ac:dyDescent="0.25">
      <c r="A115" s="1">
        <v>37773</v>
      </c>
      <c r="B115">
        <v>45.9</v>
      </c>
      <c r="C115">
        <v>39</v>
      </c>
    </row>
    <row r="116" spans="1:3" x14ac:dyDescent="0.25">
      <c r="A116" s="1">
        <v>37803</v>
      </c>
      <c r="B116">
        <v>3.7</v>
      </c>
      <c r="C116">
        <v>84.2</v>
      </c>
    </row>
    <row r="117" spans="1:3" x14ac:dyDescent="0.25">
      <c r="A117" s="1">
        <v>37834</v>
      </c>
      <c r="B117">
        <v>11.4</v>
      </c>
      <c r="C117">
        <v>103.7</v>
      </c>
    </row>
    <row r="118" spans="1:3" x14ac:dyDescent="0.25">
      <c r="A118" s="1">
        <v>37865</v>
      </c>
      <c r="B118">
        <v>66.8</v>
      </c>
      <c r="C118">
        <v>23.6</v>
      </c>
    </row>
    <row r="119" spans="1:3" x14ac:dyDescent="0.25">
      <c r="A119" s="1">
        <v>37895</v>
      </c>
      <c r="B119">
        <v>313.7</v>
      </c>
      <c r="C119">
        <v>0</v>
      </c>
    </row>
    <row r="120" spans="1:3" x14ac:dyDescent="0.25">
      <c r="A120" s="1">
        <v>37926</v>
      </c>
      <c r="B120">
        <v>435.2</v>
      </c>
      <c r="C120">
        <v>0</v>
      </c>
    </row>
    <row r="121" spans="1:3" x14ac:dyDescent="0.25">
      <c r="A121" s="1">
        <v>37956</v>
      </c>
      <c r="B121">
        <v>652.70000000000005</v>
      </c>
      <c r="C121">
        <v>0</v>
      </c>
    </row>
    <row r="122" spans="1:3" x14ac:dyDescent="0.25">
      <c r="A122" s="1">
        <v>37987</v>
      </c>
      <c r="B122">
        <v>981.8</v>
      </c>
      <c r="C122">
        <v>0</v>
      </c>
    </row>
    <row r="123" spans="1:3" x14ac:dyDescent="0.25">
      <c r="A123" s="1">
        <v>38018</v>
      </c>
      <c r="B123">
        <v>706.1</v>
      </c>
      <c r="C123">
        <v>0</v>
      </c>
    </row>
    <row r="124" spans="1:3" x14ac:dyDescent="0.25">
      <c r="A124" s="1">
        <v>38047</v>
      </c>
      <c r="B124">
        <v>530.1</v>
      </c>
      <c r="C124">
        <v>0</v>
      </c>
    </row>
    <row r="125" spans="1:3" x14ac:dyDescent="0.25">
      <c r="A125" s="1">
        <v>38078</v>
      </c>
      <c r="B125">
        <v>358.1</v>
      </c>
      <c r="C125">
        <v>0</v>
      </c>
    </row>
    <row r="126" spans="1:3" x14ac:dyDescent="0.25">
      <c r="A126" s="1">
        <v>38108</v>
      </c>
      <c r="B126">
        <v>154.9</v>
      </c>
      <c r="C126">
        <v>8.3000000000000007</v>
      </c>
    </row>
    <row r="127" spans="1:3" x14ac:dyDescent="0.25">
      <c r="A127" s="1">
        <v>38139</v>
      </c>
      <c r="B127">
        <v>71.400000000000006</v>
      </c>
      <c r="C127">
        <v>19.100000000000001</v>
      </c>
    </row>
    <row r="128" spans="1:3" x14ac:dyDescent="0.25">
      <c r="A128" s="1">
        <v>38169</v>
      </c>
      <c r="B128">
        <v>6.9</v>
      </c>
      <c r="C128">
        <v>62.6</v>
      </c>
    </row>
    <row r="129" spans="1:3" x14ac:dyDescent="0.25">
      <c r="A129" s="1">
        <v>38200</v>
      </c>
      <c r="B129">
        <v>31.5</v>
      </c>
      <c r="C129">
        <v>45.9</v>
      </c>
    </row>
    <row r="130" spans="1:3" x14ac:dyDescent="0.25">
      <c r="A130" s="1">
        <v>38231</v>
      </c>
      <c r="B130">
        <v>61.3</v>
      </c>
      <c r="C130">
        <v>15.5</v>
      </c>
    </row>
    <row r="131" spans="1:3" x14ac:dyDescent="0.25">
      <c r="A131" s="1">
        <v>38261</v>
      </c>
      <c r="B131">
        <v>276</v>
      </c>
      <c r="C131">
        <v>0</v>
      </c>
    </row>
    <row r="132" spans="1:3" x14ac:dyDescent="0.25">
      <c r="A132" s="1">
        <v>38292</v>
      </c>
      <c r="B132">
        <v>452.3</v>
      </c>
      <c r="C132">
        <v>0</v>
      </c>
    </row>
    <row r="133" spans="1:3" x14ac:dyDescent="0.25">
      <c r="A133" s="1">
        <v>38322</v>
      </c>
      <c r="B133">
        <v>722.8</v>
      </c>
      <c r="C133">
        <v>0</v>
      </c>
    </row>
    <row r="134" spans="1:3" x14ac:dyDescent="0.25">
      <c r="A134" s="1">
        <v>38353</v>
      </c>
      <c r="B134">
        <v>862.4</v>
      </c>
      <c r="C134">
        <v>0</v>
      </c>
    </row>
    <row r="135" spans="1:3" x14ac:dyDescent="0.25">
      <c r="A135" s="1">
        <v>38384</v>
      </c>
      <c r="B135">
        <v>676.1</v>
      </c>
      <c r="C135">
        <v>0</v>
      </c>
    </row>
    <row r="136" spans="1:3" x14ac:dyDescent="0.25">
      <c r="A136" s="1">
        <v>38412</v>
      </c>
      <c r="B136">
        <v>635.4</v>
      </c>
      <c r="C136">
        <v>0</v>
      </c>
    </row>
    <row r="137" spans="1:3" x14ac:dyDescent="0.25">
      <c r="A137" s="1">
        <v>38443</v>
      </c>
      <c r="B137">
        <v>337.2</v>
      </c>
      <c r="C137">
        <v>0</v>
      </c>
    </row>
    <row r="138" spans="1:3" x14ac:dyDescent="0.25">
      <c r="A138" s="1">
        <v>38473</v>
      </c>
      <c r="B138">
        <v>212.4</v>
      </c>
      <c r="C138">
        <v>0.5</v>
      </c>
    </row>
    <row r="139" spans="1:3" x14ac:dyDescent="0.25">
      <c r="A139" s="1">
        <v>38504</v>
      </c>
      <c r="B139">
        <v>18.399999999999999</v>
      </c>
      <c r="C139">
        <v>98.8</v>
      </c>
    </row>
    <row r="140" spans="1:3" x14ac:dyDescent="0.25">
      <c r="A140" s="1">
        <v>38534</v>
      </c>
      <c r="B140">
        <v>2.1</v>
      </c>
      <c r="C140">
        <v>141.69999999999999</v>
      </c>
    </row>
    <row r="141" spans="1:3" x14ac:dyDescent="0.25">
      <c r="A141" s="1">
        <v>38565</v>
      </c>
      <c r="B141">
        <v>4.2</v>
      </c>
      <c r="C141">
        <v>112.6</v>
      </c>
    </row>
    <row r="142" spans="1:3" x14ac:dyDescent="0.25">
      <c r="A142" s="1">
        <v>38596</v>
      </c>
      <c r="B142">
        <v>56.4</v>
      </c>
      <c r="C142">
        <v>27.1</v>
      </c>
    </row>
    <row r="143" spans="1:3" x14ac:dyDescent="0.25">
      <c r="A143" s="1">
        <v>38626</v>
      </c>
      <c r="B143">
        <v>272.7</v>
      </c>
      <c r="C143">
        <v>3.3</v>
      </c>
    </row>
    <row r="144" spans="1:3" x14ac:dyDescent="0.25">
      <c r="A144" s="1">
        <v>38657</v>
      </c>
      <c r="B144">
        <v>432</v>
      </c>
      <c r="C144">
        <v>0</v>
      </c>
    </row>
    <row r="145" spans="1:3" x14ac:dyDescent="0.25">
      <c r="A145" s="1">
        <v>38687</v>
      </c>
      <c r="B145">
        <v>735.5</v>
      </c>
      <c r="C145">
        <v>0</v>
      </c>
    </row>
    <row r="146" spans="1:3" x14ac:dyDescent="0.25">
      <c r="A146" s="1">
        <v>38718</v>
      </c>
      <c r="B146">
        <v>653.5</v>
      </c>
      <c r="C146">
        <v>0</v>
      </c>
    </row>
    <row r="147" spans="1:3" x14ac:dyDescent="0.25">
      <c r="A147" s="1">
        <v>38749</v>
      </c>
      <c r="B147">
        <v>679.8</v>
      </c>
      <c r="C147">
        <v>0</v>
      </c>
    </row>
    <row r="148" spans="1:3" x14ac:dyDescent="0.25">
      <c r="A148" s="1">
        <v>38777</v>
      </c>
      <c r="B148">
        <v>571.4</v>
      </c>
      <c r="C148">
        <v>0</v>
      </c>
    </row>
    <row r="149" spans="1:3" x14ac:dyDescent="0.25">
      <c r="A149" s="1">
        <v>38808</v>
      </c>
      <c r="B149">
        <v>309.7</v>
      </c>
      <c r="C149">
        <v>0</v>
      </c>
    </row>
    <row r="150" spans="1:3" x14ac:dyDescent="0.25">
      <c r="A150" s="1">
        <v>38838</v>
      </c>
      <c r="B150">
        <v>145</v>
      </c>
      <c r="C150">
        <v>15.9</v>
      </c>
    </row>
    <row r="151" spans="1:3" x14ac:dyDescent="0.25">
      <c r="A151" s="1">
        <v>38869</v>
      </c>
      <c r="B151">
        <v>36.4</v>
      </c>
      <c r="C151">
        <v>36.299999999999997</v>
      </c>
    </row>
    <row r="152" spans="1:3" x14ac:dyDescent="0.25">
      <c r="A152" s="1">
        <v>38899</v>
      </c>
      <c r="B152">
        <v>3.7</v>
      </c>
      <c r="C152">
        <v>115</v>
      </c>
    </row>
    <row r="153" spans="1:3" x14ac:dyDescent="0.25">
      <c r="A153" s="1">
        <v>38930</v>
      </c>
      <c r="B153">
        <v>10.4</v>
      </c>
      <c r="C153">
        <v>79.8</v>
      </c>
    </row>
    <row r="154" spans="1:3" x14ac:dyDescent="0.25">
      <c r="A154" s="1">
        <v>38961</v>
      </c>
      <c r="B154">
        <v>97.9</v>
      </c>
      <c r="C154">
        <v>4.5999999999999996</v>
      </c>
    </row>
    <row r="155" spans="1:3" x14ac:dyDescent="0.25">
      <c r="A155" s="1">
        <v>38991</v>
      </c>
      <c r="B155">
        <v>301.60000000000002</v>
      </c>
      <c r="C155">
        <v>0</v>
      </c>
    </row>
    <row r="156" spans="1:3" x14ac:dyDescent="0.25">
      <c r="A156" s="1">
        <v>39022</v>
      </c>
      <c r="B156">
        <v>391.1</v>
      </c>
      <c r="C156">
        <v>0</v>
      </c>
    </row>
    <row r="157" spans="1:3" x14ac:dyDescent="0.25">
      <c r="A157" s="1">
        <v>39052</v>
      </c>
      <c r="B157">
        <v>541.6</v>
      </c>
      <c r="C157">
        <v>0</v>
      </c>
    </row>
    <row r="158" spans="1:3" x14ac:dyDescent="0.25">
      <c r="A158" s="1">
        <v>39083</v>
      </c>
      <c r="B158">
        <v>712.6</v>
      </c>
      <c r="C158">
        <v>0</v>
      </c>
    </row>
    <row r="159" spans="1:3" x14ac:dyDescent="0.25">
      <c r="A159" s="1">
        <v>39114</v>
      </c>
      <c r="B159">
        <v>775.5</v>
      </c>
      <c r="C159">
        <v>0</v>
      </c>
    </row>
    <row r="160" spans="1:3" x14ac:dyDescent="0.25">
      <c r="A160" s="1">
        <v>39142</v>
      </c>
      <c r="B160">
        <v>588.29999999999995</v>
      </c>
      <c r="C160">
        <v>0</v>
      </c>
    </row>
    <row r="161" spans="1:3" x14ac:dyDescent="0.25">
      <c r="A161" s="1">
        <v>39173</v>
      </c>
      <c r="B161">
        <v>358.6</v>
      </c>
      <c r="C161">
        <v>0</v>
      </c>
    </row>
    <row r="162" spans="1:3" x14ac:dyDescent="0.25">
      <c r="A162" s="1">
        <v>39203</v>
      </c>
      <c r="B162">
        <v>150.19999999999999</v>
      </c>
      <c r="C162">
        <v>9.5</v>
      </c>
    </row>
    <row r="163" spans="1:3" x14ac:dyDescent="0.25">
      <c r="A163" s="1">
        <v>39234</v>
      </c>
      <c r="B163">
        <v>29.4</v>
      </c>
      <c r="C163">
        <v>69.7</v>
      </c>
    </row>
    <row r="164" spans="1:3" x14ac:dyDescent="0.25">
      <c r="A164" s="1">
        <v>39264</v>
      </c>
      <c r="B164">
        <v>15.7</v>
      </c>
      <c r="C164">
        <v>62.7</v>
      </c>
    </row>
    <row r="165" spans="1:3" x14ac:dyDescent="0.25">
      <c r="A165" s="1">
        <v>39295</v>
      </c>
      <c r="B165">
        <v>12.1</v>
      </c>
      <c r="C165">
        <v>100.4</v>
      </c>
    </row>
    <row r="166" spans="1:3" x14ac:dyDescent="0.25">
      <c r="A166" s="1">
        <v>39326</v>
      </c>
      <c r="B166">
        <v>54.8</v>
      </c>
      <c r="C166">
        <v>32.200000000000003</v>
      </c>
    </row>
    <row r="167" spans="1:3" x14ac:dyDescent="0.25">
      <c r="A167" s="1">
        <v>39356</v>
      </c>
      <c r="B167">
        <v>174.9</v>
      </c>
      <c r="C167">
        <v>6.8</v>
      </c>
    </row>
    <row r="168" spans="1:3" x14ac:dyDescent="0.25">
      <c r="A168" s="1">
        <v>39387</v>
      </c>
      <c r="B168">
        <v>474.2</v>
      </c>
      <c r="C168">
        <v>0</v>
      </c>
    </row>
    <row r="169" spans="1:3" x14ac:dyDescent="0.25">
      <c r="A169" s="1">
        <v>39417</v>
      </c>
      <c r="B169">
        <v>716.1</v>
      </c>
      <c r="C169">
        <v>0</v>
      </c>
    </row>
    <row r="170" spans="1:3" x14ac:dyDescent="0.25">
      <c r="A170" s="1">
        <v>39448</v>
      </c>
      <c r="B170">
        <v>685.1</v>
      </c>
      <c r="C170">
        <v>0</v>
      </c>
    </row>
    <row r="171" spans="1:3" x14ac:dyDescent="0.25">
      <c r="A171" s="1">
        <v>39479</v>
      </c>
      <c r="B171">
        <v>715.1</v>
      </c>
      <c r="C171">
        <v>0</v>
      </c>
    </row>
    <row r="172" spans="1:3" x14ac:dyDescent="0.25">
      <c r="A172" s="1">
        <v>39508</v>
      </c>
      <c r="B172">
        <v>641</v>
      </c>
      <c r="C172">
        <v>0</v>
      </c>
    </row>
    <row r="173" spans="1:3" x14ac:dyDescent="0.25">
      <c r="A173" s="1">
        <v>39539</v>
      </c>
      <c r="B173">
        <v>274</v>
      </c>
      <c r="C173">
        <v>1</v>
      </c>
    </row>
    <row r="174" spans="1:3" x14ac:dyDescent="0.25">
      <c r="A174" s="1">
        <v>39569</v>
      </c>
      <c r="B174">
        <v>188.5</v>
      </c>
      <c r="C174">
        <v>0</v>
      </c>
    </row>
    <row r="175" spans="1:3" x14ac:dyDescent="0.25">
      <c r="A175" s="1">
        <v>39600</v>
      </c>
      <c r="B175">
        <v>23.3</v>
      </c>
      <c r="C175">
        <v>56.5</v>
      </c>
    </row>
    <row r="176" spans="1:3" x14ac:dyDescent="0.25">
      <c r="A176" s="1">
        <v>39630</v>
      </c>
      <c r="B176">
        <v>1.5</v>
      </c>
      <c r="C176">
        <v>75.599999999999994</v>
      </c>
    </row>
    <row r="177" spans="1:3" x14ac:dyDescent="0.25">
      <c r="A177" s="1">
        <v>39661</v>
      </c>
      <c r="B177">
        <v>16.3</v>
      </c>
      <c r="C177">
        <v>47.8</v>
      </c>
    </row>
    <row r="178" spans="1:3" x14ac:dyDescent="0.25">
      <c r="A178" s="1">
        <v>39692</v>
      </c>
      <c r="B178">
        <v>97.8</v>
      </c>
      <c r="C178">
        <v>24.4</v>
      </c>
    </row>
    <row r="179" spans="1:3" x14ac:dyDescent="0.25">
      <c r="A179" s="1">
        <v>39722</v>
      </c>
      <c r="B179">
        <v>301.60000000000002</v>
      </c>
      <c r="C179">
        <v>0</v>
      </c>
    </row>
    <row r="180" spans="1:3" x14ac:dyDescent="0.25">
      <c r="A180" s="1">
        <v>39753</v>
      </c>
      <c r="B180">
        <v>459.9</v>
      </c>
      <c r="C180">
        <v>0</v>
      </c>
    </row>
    <row r="181" spans="1:3" x14ac:dyDescent="0.25">
      <c r="A181" s="1">
        <v>39783</v>
      </c>
      <c r="B181">
        <v>708.5</v>
      </c>
      <c r="C181">
        <v>0</v>
      </c>
    </row>
    <row r="182" spans="1:3" x14ac:dyDescent="0.25">
      <c r="A182" s="1">
        <v>39814</v>
      </c>
      <c r="B182">
        <v>887.1</v>
      </c>
      <c r="C182">
        <v>0</v>
      </c>
    </row>
    <row r="183" spans="1:3" x14ac:dyDescent="0.25">
      <c r="A183" s="1">
        <v>39845</v>
      </c>
      <c r="B183">
        <v>653.79999999999995</v>
      </c>
      <c r="C183">
        <v>0</v>
      </c>
    </row>
    <row r="184" spans="1:3" x14ac:dyDescent="0.25">
      <c r="A184" s="1">
        <v>39873</v>
      </c>
      <c r="B184">
        <v>555.6</v>
      </c>
      <c r="C184">
        <v>0</v>
      </c>
    </row>
    <row r="185" spans="1:3" x14ac:dyDescent="0.25">
      <c r="A185" s="1">
        <v>39904</v>
      </c>
      <c r="B185">
        <v>326.3</v>
      </c>
      <c r="C185">
        <v>0.8</v>
      </c>
    </row>
    <row r="186" spans="1:3" x14ac:dyDescent="0.25">
      <c r="A186" s="1">
        <v>39934</v>
      </c>
      <c r="B186">
        <v>165.3</v>
      </c>
      <c r="C186">
        <v>0</v>
      </c>
    </row>
    <row r="187" spans="1:3" x14ac:dyDescent="0.25">
      <c r="A187" s="1">
        <v>39965</v>
      </c>
      <c r="B187">
        <v>59.2</v>
      </c>
      <c r="C187">
        <v>32.6</v>
      </c>
    </row>
    <row r="188" spans="1:3" x14ac:dyDescent="0.25">
      <c r="A188" s="1">
        <v>39995</v>
      </c>
      <c r="B188">
        <v>11.8</v>
      </c>
      <c r="C188">
        <v>35.6</v>
      </c>
    </row>
    <row r="189" spans="1:3" x14ac:dyDescent="0.25">
      <c r="A189" s="1">
        <v>40026</v>
      </c>
      <c r="B189">
        <v>20.6</v>
      </c>
      <c r="C189">
        <v>85.2</v>
      </c>
    </row>
    <row r="190" spans="1:3" x14ac:dyDescent="0.25">
      <c r="A190" s="1">
        <v>40057</v>
      </c>
      <c r="B190">
        <v>100.9</v>
      </c>
      <c r="C190">
        <v>4.5999999999999996</v>
      </c>
    </row>
    <row r="191" spans="1:3" x14ac:dyDescent="0.25">
      <c r="A191" s="1">
        <v>40087</v>
      </c>
      <c r="B191">
        <v>330.2</v>
      </c>
      <c r="C191">
        <v>0</v>
      </c>
    </row>
    <row r="192" spans="1:3" x14ac:dyDescent="0.25">
      <c r="A192" s="1">
        <v>40118</v>
      </c>
      <c r="B192">
        <v>384.5</v>
      </c>
      <c r="C192">
        <v>0</v>
      </c>
    </row>
    <row r="193" spans="1:3" x14ac:dyDescent="0.25">
      <c r="A193" s="1">
        <v>40148</v>
      </c>
      <c r="B193">
        <v>696.8</v>
      </c>
      <c r="C193">
        <v>0</v>
      </c>
    </row>
    <row r="194" spans="1:3" x14ac:dyDescent="0.25">
      <c r="A194" s="1">
        <v>40179</v>
      </c>
      <c r="B194">
        <v>750.59999999999991</v>
      </c>
      <c r="C194">
        <v>0</v>
      </c>
    </row>
    <row r="195" spans="1:3" x14ac:dyDescent="0.25">
      <c r="A195" s="1">
        <v>40210</v>
      </c>
      <c r="B195">
        <v>620.40000000000009</v>
      </c>
      <c r="C195">
        <v>0</v>
      </c>
    </row>
    <row r="196" spans="1:3" x14ac:dyDescent="0.25">
      <c r="A196" s="1">
        <v>40238</v>
      </c>
      <c r="B196">
        <v>451.89999999999992</v>
      </c>
      <c r="C196">
        <v>0</v>
      </c>
    </row>
    <row r="197" spans="1:3" x14ac:dyDescent="0.25">
      <c r="A197" s="1">
        <v>40269</v>
      </c>
      <c r="B197">
        <v>243.49999999999989</v>
      </c>
      <c r="C197">
        <v>1.3</v>
      </c>
    </row>
    <row r="198" spans="1:3" x14ac:dyDescent="0.25">
      <c r="A198" s="1">
        <v>40299</v>
      </c>
      <c r="B198">
        <v>110.2</v>
      </c>
      <c r="C198">
        <v>26.100000000000005</v>
      </c>
    </row>
    <row r="199" spans="1:3" x14ac:dyDescent="0.25">
      <c r="A199" s="1">
        <v>40330</v>
      </c>
      <c r="B199">
        <v>38.300000000000004</v>
      </c>
      <c r="C199">
        <v>33.700000000000003</v>
      </c>
    </row>
    <row r="200" spans="1:3" x14ac:dyDescent="0.25">
      <c r="A200" s="1">
        <v>40360</v>
      </c>
      <c r="B200">
        <v>3.4000000000000004</v>
      </c>
      <c r="C200">
        <v>139.79999999999995</v>
      </c>
    </row>
    <row r="201" spans="1:3" x14ac:dyDescent="0.25">
      <c r="A201" s="1">
        <v>40391</v>
      </c>
      <c r="B201">
        <v>10.100000000000001</v>
      </c>
      <c r="C201">
        <v>90.299999999999969</v>
      </c>
    </row>
    <row r="202" spans="1:3" x14ac:dyDescent="0.25">
      <c r="A202" s="1">
        <v>40422</v>
      </c>
      <c r="B202">
        <v>99.40000000000002</v>
      </c>
      <c r="C202">
        <v>29.400000000000002</v>
      </c>
    </row>
    <row r="203" spans="1:3" x14ac:dyDescent="0.25">
      <c r="A203" s="1">
        <v>40452</v>
      </c>
      <c r="B203">
        <v>284.69999999999993</v>
      </c>
      <c r="C203">
        <v>0</v>
      </c>
    </row>
    <row r="204" spans="1:3" x14ac:dyDescent="0.25">
      <c r="A204" s="1">
        <v>40483</v>
      </c>
      <c r="B204">
        <v>451.4</v>
      </c>
      <c r="C204">
        <v>0</v>
      </c>
    </row>
    <row r="205" spans="1:3" x14ac:dyDescent="0.25">
      <c r="A205" s="1">
        <v>40513</v>
      </c>
      <c r="B205">
        <v>713.49999999999989</v>
      </c>
      <c r="C205">
        <v>0</v>
      </c>
    </row>
    <row r="206" spans="1:3" x14ac:dyDescent="0.25">
      <c r="A206" s="1">
        <v>40544</v>
      </c>
      <c r="B206">
        <v>853.19999999999982</v>
      </c>
      <c r="C206">
        <v>0</v>
      </c>
    </row>
    <row r="207" spans="1:3" x14ac:dyDescent="0.25">
      <c r="A207" s="1">
        <v>40575</v>
      </c>
      <c r="B207">
        <v>700.39999999999986</v>
      </c>
      <c r="C207">
        <v>0</v>
      </c>
    </row>
    <row r="208" spans="1:3" x14ac:dyDescent="0.25">
      <c r="A208" s="1">
        <v>40603</v>
      </c>
      <c r="B208">
        <v>595.70000000000016</v>
      </c>
      <c r="C208">
        <v>0</v>
      </c>
    </row>
    <row r="209" spans="1:3" x14ac:dyDescent="0.25">
      <c r="A209" s="1">
        <v>40634</v>
      </c>
      <c r="B209">
        <v>350.99999999999989</v>
      </c>
      <c r="C209">
        <v>0</v>
      </c>
    </row>
    <row r="210" spans="1:3" x14ac:dyDescent="0.25">
      <c r="A210" s="1">
        <v>40664</v>
      </c>
      <c r="B210">
        <v>89.40000000000002</v>
      </c>
      <c r="C210">
        <v>0</v>
      </c>
    </row>
    <row r="211" spans="1:3" x14ac:dyDescent="0.25">
      <c r="A211" s="1">
        <v>40695</v>
      </c>
      <c r="B211" s="9">
        <v>25.2</v>
      </c>
      <c r="C211" s="9">
        <v>24.9</v>
      </c>
    </row>
    <row r="212" spans="1:3" x14ac:dyDescent="0.25">
      <c r="A212" s="1">
        <v>40725</v>
      </c>
      <c r="B212" s="9">
        <v>0</v>
      </c>
      <c r="C212" s="9">
        <v>118.3</v>
      </c>
    </row>
    <row r="213" spans="1:3" x14ac:dyDescent="0.25">
      <c r="A213" s="1">
        <v>40756</v>
      </c>
      <c r="B213" s="9">
        <v>7</v>
      </c>
      <c r="C213" s="9">
        <v>68.2</v>
      </c>
    </row>
    <row r="214" spans="1:3" x14ac:dyDescent="0.25">
      <c r="A214" s="1">
        <v>40787</v>
      </c>
      <c r="B214">
        <v>72.5</v>
      </c>
      <c r="C214">
        <v>24.500000000000004</v>
      </c>
    </row>
    <row r="215" spans="1:3" x14ac:dyDescent="0.25">
      <c r="A215" s="1">
        <v>40817</v>
      </c>
      <c r="B215">
        <v>266.49999999999994</v>
      </c>
      <c r="C215">
        <v>0.5</v>
      </c>
    </row>
    <row r="216" spans="1:3" x14ac:dyDescent="0.25">
      <c r="A216" s="1">
        <v>40848</v>
      </c>
      <c r="B216">
        <v>394.7</v>
      </c>
      <c r="C216">
        <v>0</v>
      </c>
    </row>
    <row r="217" spans="1:3" x14ac:dyDescent="0.25">
      <c r="A217" s="1">
        <v>40878</v>
      </c>
      <c r="B217">
        <v>623.09999999999991</v>
      </c>
      <c r="C217">
        <v>0</v>
      </c>
    </row>
    <row r="218" spans="1:3" x14ac:dyDescent="0.25">
      <c r="A218" s="1">
        <v>40909</v>
      </c>
      <c r="B218">
        <v>712.69999999999993</v>
      </c>
      <c r="C218">
        <v>0</v>
      </c>
    </row>
    <row r="219" spans="1:3" x14ac:dyDescent="0.25">
      <c r="A219" s="1">
        <v>40940</v>
      </c>
      <c r="B219">
        <v>604.40000000000009</v>
      </c>
      <c r="C219">
        <v>0</v>
      </c>
    </row>
    <row r="220" spans="1:3" x14ac:dyDescent="0.25">
      <c r="A220" s="1">
        <v>40969</v>
      </c>
      <c r="B220">
        <v>412.19999999999993</v>
      </c>
      <c r="C220">
        <v>0</v>
      </c>
    </row>
    <row r="221" spans="1:3" x14ac:dyDescent="0.25">
      <c r="A221" s="1">
        <v>41000</v>
      </c>
      <c r="B221">
        <v>358.9</v>
      </c>
      <c r="C221">
        <v>0.8</v>
      </c>
    </row>
    <row r="222" spans="1:3" x14ac:dyDescent="0.25">
      <c r="A222" s="1">
        <v>41030</v>
      </c>
      <c r="B222">
        <v>94.000000000000014</v>
      </c>
      <c r="C222">
        <v>20.100000000000001</v>
      </c>
    </row>
    <row r="223" spans="1:3" x14ac:dyDescent="0.25">
      <c r="A223" s="1">
        <v>41061</v>
      </c>
      <c r="B223">
        <v>41.300000000000004</v>
      </c>
      <c r="C223">
        <v>51.8</v>
      </c>
    </row>
    <row r="224" spans="1:3" x14ac:dyDescent="0.25">
      <c r="A224" s="1">
        <v>41091</v>
      </c>
      <c r="B224">
        <v>0.2</v>
      </c>
      <c r="C224">
        <v>120.69999999999996</v>
      </c>
    </row>
    <row r="225" spans="1:3" x14ac:dyDescent="0.25">
      <c r="A225" s="1">
        <v>41122</v>
      </c>
      <c r="B225">
        <v>7.3000000000000007</v>
      </c>
      <c r="C225">
        <v>84.899999999999977</v>
      </c>
    </row>
    <row r="226" spans="1:3" x14ac:dyDescent="0.25">
      <c r="A226" s="1">
        <v>41153</v>
      </c>
      <c r="B226">
        <v>106.30000000000003</v>
      </c>
      <c r="C226">
        <v>20.200000000000003</v>
      </c>
    </row>
    <row r="227" spans="1:3" x14ac:dyDescent="0.25">
      <c r="A227" s="1">
        <v>41183</v>
      </c>
      <c r="B227">
        <v>259.09999999999991</v>
      </c>
      <c r="C227">
        <v>0</v>
      </c>
    </row>
    <row r="228" spans="1:3" x14ac:dyDescent="0.25">
      <c r="A228" s="1">
        <v>41214</v>
      </c>
      <c r="B228">
        <v>498.9</v>
      </c>
      <c r="C228">
        <v>0</v>
      </c>
    </row>
    <row r="229" spans="1:3" x14ac:dyDescent="0.25">
      <c r="A229" s="1">
        <v>41244</v>
      </c>
      <c r="B229">
        <v>625.19999999999993</v>
      </c>
      <c r="C229">
        <v>0</v>
      </c>
    </row>
    <row r="230" spans="1:3" x14ac:dyDescent="0.25">
      <c r="A230" s="1">
        <v>41275</v>
      </c>
      <c r="B230">
        <v>743.9</v>
      </c>
      <c r="C230">
        <v>0</v>
      </c>
    </row>
    <row r="231" spans="1:3" x14ac:dyDescent="0.25">
      <c r="A231" s="1">
        <v>41306</v>
      </c>
      <c r="B231">
        <v>693.5</v>
      </c>
      <c r="C231">
        <v>0</v>
      </c>
    </row>
    <row r="232" spans="1:3" x14ac:dyDescent="0.25">
      <c r="A232" s="1">
        <v>41334</v>
      </c>
      <c r="B232">
        <v>588.30000000000018</v>
      </c>
      <c r="C232">
        <v>0</v>
      </c>
    </row>
    <row r="233" spans="1:3" x14ac:dyDescent="0.25">
      <c r="A233" s="1">
        <v>41365</v>
      </c>
      <c r="B233">
        <v>348.59999999999991</v>
      </c>
      <c r="C233">
        <v>0</v>
      </c>
    </row>
    <row r="234" spans="1:3" x14ac:dyDescent="0.25">
      <c r="A234" s="1">
        <v>41395</v>
      </c>
      <c r="B234">
        <v>139.70000000000002</v>
      </c>
      <c r="C234">
        <v>6.3</v>
      </c>
    </row>
    <row r="235" spans="1:3" x14ac:dyDescent="0.25">
      <c r="A235" s="1">
        <v>41426</v>
      </c>
      <c r="B235">
        <v>72.200000000000017</v>
      </c>
      <c r="C235">
        <v>20.700000000000003</v>
      </c>
    </row>
    <row r="236" spans="1:3" x14ac:dyDescent="0.25">
      <c r="A236" s="1">
        <v>41456</v>
      </c>
      <c r="B236">
        <v>4.8</v>
      </c>
      <c r="C236">
        <v>97.09999999999998</v>
      </c>
    </row>
    <row r="237" spans="1:3" x14ac:dyDescent="0.25">
      <c r="A237" s="1">
        <v>41487</v>
      </c>
      <c r="B237">
        <v>7.7</v>
      </c>
      <c r="C237">
        <v>57.199999999999989</v>
      </c>
    </row>
    <row r="238" spans="1:3" x14ac:dyDescent="0.25">
      <c r="A238" s="1">
        <v>41518</v>
      </c>
      <c r="B238">
        <v>118.4</v>
      </c>
      <c r="C238">
        <v>16.5</v>
      </c>
    </row>
    <row r="239" spans="1:3" x14ac:dyDescent="0.25">
      <c r="A239" s="1">
        <v>41548</v>
      </c>
      <c r="B239">
        <v>235.69999999999996</v>
      </c>
      <c r="C239">
        <v>1.5</v>
      </c>
    </row>
    <row r="240" spans="1:3" x14ac:dyDescent="0.25">
      <c r="A240" s="1">
        <v>41579</v>
      </c>
      <c r="B240">
        <v>501.50000000000006</v>
      </c>
      <c r="C240">
        <v>0</v>
      </c>
    </row>
    <row r="241" spans="1:3" x14ac:dyDescent="0.25">
      <c r="A241" s="1">
        <v>41609</v>
      </c>
      <c r="B241">
        <v>756.99999999999977</v>
      </c>
      <c r="C241">
        <v>0</v>
      </c>
    </row>
    <row r="242" spans="1:3" x14ac:dyDescent="0.25">
      <c r="A242" s="1">
        <v>41640</v>
      </c>
      <c r="B242">
        <v>844.5</v>
      </c>
      <c r="C242">
        <v>0</v>
      </c>
    </row>
    <row r="243" spans="1:3" x14ac:dyDescent="0.25">
      <c r="A243" s="1">
        <v>41671</v>
      </c>
      <c r="B243">
        <v>740.9</v>
      </c>
      <c r="C243">
        <v>0</v>
      </c>
    </row>
    <row r="244" spans="1:3" x14ac:dyDescent="0.25">
      <c r="A244" s="1">
        <v>41699</v>
      </c>
      <c r="B244">
        <v>720.2</v>
      </c>
      <c r="C244">
        <v>0</v>
      </c>
    </row>
    <row r="245" spans="1:3" x14ac:dyDescent="0.25">
      <c r="A245" s="1">
        <v>41730</v>
      </c>
      <c r="B245">
        <v>352.1</v>
      </c>
      <c r="C245">
        <v>0</v>
      </c>
    </row>
    <row r="246" spans="1:3" x14ac:dyDescent="0.25">
      <c r="A246" s="1">
        <v>41760</v>
      </c>
      <c r="B246">
        <v>127.7</v>
      </c>
      <c r="C246">
        <v>12.4</v>
      </c>
    </row>
    <row r="247" spans="1:3" x14ac:dyDescent="0.25">
      <c r="A247" s="1">
        <v>41791</v>
      </c>
      <c r="B247">
        <v>25.7</v>
      </c>
      <c r="C247">
        <v>47.4</v>
      </c>
    </row>
    <row r="248" spans="1:3" x14ac:dyDescent="0.25">
      <c r="A248" s="1">
        <v>41821</v>
      </c>
      <c r="B248">
        <v>10.6</v>
      </c>
      <c r="C248">
        <v>55.9</v>
      </c>
    </row>
    <row r="249" spans="1:3" x14ac:dyDescent="0.25">
      <c r="A249" s="1">
        <v>41852</v>
      </c>
      <c r="B249">
        <v>19</v>
      </c>
      <c r="C249">
        <v>52</v>
      </c>
    </row>
    <row r="250" spans="1:3" x14ac:dyDescent="0.25">
      <c r="A250" s="1">
        <v>41883</v>
      </c>
      <c r="B250">
        <v>90.5</v>
      </c>
      <c r="C250">
        <v>25.4</v>
      </c>
    </row>
    <row r="251" spans="1:3" x14ac:dyDescent="0.25">
      <c r="A251" s="1">
        <v>41913</v>
      </c>
      <c r="B251">
        <v>225.6</v>
      </c>
      <c r="C251">
        <v>1.8</v>
      </c>
    </row>
    <row r="252" spans="1:3" x14ac:dyDescent="0.25">
      <c r="A252" s="1">
        <v>41944</v>
      </c>
      <c r="B252">
        <v>491.6</v>
      </c>
      <c r="C252">
        <v>0</v>
      </c>
    </row>
    <row r="253" spans="1:3" x14ac:dyDescent="0.25">
      <c r="A253" s="1">
        <v>41974</v>
      </c>
      <c r="B253">
        <v>619.9</v>
      </c>
      <c r="C253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E14" sqref="E14"/>
    </sheetView>
  </sheetViews>
  <sheetFormatPr defaultRowHeight="13.2" x14ac:dyDescent="0.25"/>
  <cols>
    <col min="3" max="3" width="14.88671875" bestFit="1" customWidth="1"/>
    <col min="5" max="5" width="11.33203125" bestFit="1" customWidth="1"/>
    <col min="8" max="8" width="14.88671875" bestFit="1" customWidth="1"/>
    <col min="10" max="10" width="11.33203125" bestFit="1" customWidth="1"/>
    <col min="13" max="13" width="14.88671875" bestFit="1" customWidth="1"/>
    <col min="15" max="15" width="10.33203125" bestFit="1" customWidth="1"/>
  </cols>
  <sheetData>
    <row r="2" spans="2:15" s="25" customFormat="1" ht="12.75" customHeight="1" x14ac:dyDescent="0.25">
      <c r="B2" s="152" t="s">
        <v>82</v>
      </c>
      <c r="C2" s="152"/>
      <c r="D2" s="152"/>
      <c r="E2" s="152"/>
      <c r="G2" s="152" t="s">
        <v>93</v>
      </c>
      <c r="H2" s="152"/>
      <c r="I2" s="152"/>
      <c r="J2" s="152"/>
      <c r="L2" s="152" t="s">
        <v>94</v>
      </c>
      <c r="M2" s="152"/>
      <c r="N2" s="152"/>
      <c r="O2" s="152"/>
    </row>
    <row r="3" spans="2:15" x14ac:dyDescent="0.25">
      <c r="B3" t="s">
        <v>33</v>
      </c>
      <c r="C3" s="2" t="s">
        <v>83</v>
      </c>
      <c r="D3" s="16" t="s">
        <v>87</v>
      </c>
      <c r="E3" s="18" t="s">
        <v>88</v>
      </c>
      <c r="G3" t="s">
        <v>33</v>
      </c>
      <c r="H3" s="2" t="s">
        <v>83</v>
      </c>
      <c r="I3" s="16" t="s">
        <v>87</v>
      </c>
      <c r="J3" s="18" t="s">
        <v>88</v>
      </c>
      <c r="L3" t="s">
        <v>33</v>
      </c>
      <c r="M3" s="2" t="s">
        <v>83</v>
      </c>
      <c r="N3" s="16" t="s">
        <v>87</v>
      </c>
      <c r="O3" s="18" t="s">
        <v>88</v>
      </c>
    </row>
    <row r="4" spans="2:15" s="26" customFormat="1" x14ac:dyDescent="0.25">
      <c r="C4" s="26" t="s">
        <v>84</v>
      </c>
      <c r="D4" s="26" t="s">
        <v>85</v>
      </c>
      <c r="E4" s="26" t="s">
        <v>86</v>
      </c>
      <c r="H4" s="26" t="s">
        <v>84</v>
      </c>
      <c r="I4" s="26" t="s">
        <v>85</v>
      </c>
      <c r="J4" s="26" t="s">
        <v>86</v>
      </c>
      <c r="M4" s="26" t="s">
        <v>84</v>
      </c>
      <c r="N4" s="26" t="s">
        <v>85</v>
      </c>
      <c r="O4" s="26" t="s">
        <v>86</v>
      </c>
    </row>
    <row r="5" spans="2:15" x14ac:dyDescent="0.25">
      <c r="B5">
        <v>2009</v>
      </c>
      <c r="C5" s="4">
        <f>'Normalized Annual Summary'!O4</f>
        <v>270117289.67619997</v>
      </c>
      <c r="D5">
        <f t="shared" ref="D5:D10" si="0">E5/C5</f>
        <v>2.6714950415244808E-3</v>
      </c>
      <c r="E5" s="23">
        <v>721617</v>
      </c>
      <c r="G5">
        <v>2009</v>
      </c>
      <c r="H5" s="4">
        <f>'Normalized Annual Summary'!U4</f>
        <v>148002868.85999998</v>
      </c>
      <c r="I5">
        <f t="shared" ref="I5:I10" si="1">J5/H5</f>
        <v>1.626900896277667E-3</v>
      </c>
      <c r="J5" s="23">
        <v>240786</v>
      </c>
      <c r="L5">
        <v>2009</v>
      </c>
      <c r="M5" s="4">
        <f>'Normalized Annual Summary'!AA4</f>
        <v>3992184.5421686745</v>
      </c>
      <c r="N5">
        <f t="shared" ref="N5:N10" si="2">O5/M5</f>
        <v>2.8170781889483186E-3</v>
      </c>
      <c r="O5" s="23">
        <f>SUMIF('Monthly Data'!B:B,L5,'Monthly Data'!K:K)</f>
        <v>11246.296000000002</v>
      </c>
    </row>
    <row r="6" spans="2:15" x14ac:dyDescent="0.25">
      <c r="B6">
        <v>2010</v>
      </c>
      <c r="C6" s="4">
        <f>'Normalized Annual Summary'!O5</f>
        <v>273806097.95489997</v>
      </c>
      <c r="D6">
        <f t="shared" si="0"/>
        <v>2.7315571332644072E-3</v>
      </c>
      <c r="E6" s="23">
        <f>269184+478733</f>
        <v>747917</v>
      </c>
      <c r="G6">
        <v>2010</v>
      </c>
      <c r="H6" s="4">
        <f>'Normalized Annual Summary'!U5</f>
        <v>149058789.9682</v>
      </c>
      <c r="I6">
        <f t="shared" si="1"/>
        <v>1.9432533972789895E-3</v>
      </c>
      <c r="J6" s="23">
        <v>289659</v>
      </c>
      <c r="L6">
        <v>2010</v>
      </c>
      <c r="M6" s="4">
        <f>'Normalized Annual Summary'!AA5</f>
        <v>4076824</v>
      </c>
      <c r="N6">
        <f t="shared" si="2"/>
        <v>2.7597794263377567E-3</v>
      </c>
      <c r="O6" s="23">
        <f>SUMIF('Monthly Data'!B:B,L6,'Monthly Data'!K:K)</f>
        <v>11251.134999999998</v>
      </c>
    </row>
    <row r="7" spans="2:15" x14ac:dyDescent="0.25">
      <c r="B7">
        <v>2011</v>
      </c>
      <c r="C7" s="4">
        <f>'Normalized Annual Summary'!O6</f>
        <v>273712584.15109998</v>
      </c>
      <c r="D7">
        <f t="shared" si="0"/>
        <v>2.8006786840930101E-3</v>
      </c>
      <c r="E7" s="23">
        <f>253354+513227</f>
        <v>766581</v>
      </c>
      <c r="G7">
        <v>2011</v>
      </c>
      <c r="H7" s="4">
        <f>'Normalized Annual Summary'!U6</f>
        <v>154491718.44549999</v>
      </c>
      <c r="I7">
        <f t="shared" si="1"/>
        <v>1.9037525309407088E-3</v>
      </c>
      <c r="J7" s="23">
        <v>294114</v>
      </c>
      <c r="L7">
        <v>2011</v>
      </c>
      <c r="M7" s="4">
        <f>'Normalized Annual Summary'!AA6</f>
        <v>4142238</v>
      </c>
      <c r="N7">
        <f t="shared" si="2"/>
        <v>2.7127159279597165E-3</v>
      </c>
      <c r="O7" s="23">
        <f>SUMIF('Monthly Data'!B:B,L7,'Monthly Data'!K:K)</f>
        <v>11236.715</v>
      </c>
    </row>
    <row r="8" spans="2:15" x14ac:dyDescent="0.25">
      <c r="B8">
        <v>2012</v>
      </c>
      <c r="C8" s="4">
        <f>'Normalized Annual Summary'!O7</f>
        <v>274473667.94679999</v>
      </c>
      <c r="D8">
        <f t="shared" si="0"/>
        <v>2.8463932654968858E-3</v>
      </c>
      <c r="E8" s="23">
        <f>252723+528537</f>
        <v>781260</v>
      </c>
      <c r="G8">
        <v>2012</v>
      </c>
      <c r="H8" s="4">
        <f>'Normalized Annual Summary'!U7</f>
        <v>155448434.65640002</v>
      </c>
      <c r="I8">
        <f t="shared" si="1"/>
        <v>2.0792232531284156E-3</v>
      </c>
      <c r="J8" s="23">
        <v>323212</v>
      </c>
      <c r="L8">
        <v>2012</v>
      </c>
      <c r="M8" s="4">
        <f>'Normalized Annual Summary'!AA7</f>
        <v>4555371</v>
      </c>
      <c r="N8">
        <f t="shared" si="2"/>
        <v>2.411174413675637E-3</v>
      </c>
      <c r="O8" s="23">
        <f>SUMIF('Monthly Data'!B:B,L8,'Monthly Data'!K:K)</f>
        <v>10983.794</v>
      </c>
    </row>
    <row r="9" spans="2:15" x14ac:dyDescent="0.25">
      <c r="B9">
        <v>2013</v>
      </c>
      <c r="C9" s="4">
        <f>'Normalized Annual Summary'!O8</f>
        <v>279458000.47820002</v>
      </c>
      <c r="D9">
        <f t="shared" si="0"/>
        <v>2.7451566914787409E-3</v>
      </c>
      <c r="E9" s="23">
        <f>239559+527597</f>
        <v>767156</v>
      </c>
      <c r="G9">
        <v>2013</v>
      </c>
      <c r="H9" s="4">
        <f>'Normalized Annual Summary'!U8</f>
        <v>153943745.77000001</v>
      </c>
      <c r="I9">
        <f t="shared" si="1"/>
        <v>1.8950558760332027E-3</v>
      </c>
      <c r="J9" s="23">
        <v>291732</v>
      </c>
      <c r="L9">
        <v>2013</v>
      </c>
      <c r="M9" s="4">
        <f>'Normalized Annual Summary'!AA8</f>
        <v>3336835</v>
      </c>
      <c r="N9">
        <f t="shared" si="2"/>
        <v>2.4885395891615855E-3</v>
      </c>
      <c r="O9" s="23">
        <f>SUMIF('Monthly Data'!B:B,L9,'Monthly Data'!K:K)</f>
        <v>8303.8459999999995</v>
      </c>
    </row>
    <row r="10" spans="2:15" s="30" customFormat="1" x14ac:dyDescent="0.25">
      <c r="B10" s="30">
        <v>2014</v>
      </c>
      <c r="C10" s="4">
        <f>'Normalized Annual Summary'!O9</f>
        <v>272498127.16669995</v>
      </c>
      <c r="D10" s="30">
        <f t="shared" si="0"/>
        <v>2.7299453678260263E-3</v>
      </c>
      <c r="E10" s="23">
        <f>214069+529836</f>
        <v>743905</v>
      </c>
      <c r="G10" s="30">
        <v>2014</v>
      </c>
      <c r="H10" s="4">
        <f>'Normalized Annual Summary'!U9</f>
        <v>151518193.477</v>
      </c>
      <c r="I10" s="30">
        <f t="shared" si="1"/>
        <v>1.890545243621074E-3</v>
      </c>
      <c r="J10" s="23">
        <v>286452</v>
      </c>
      <c r="L10" s="30">
        <v>2014</v>
      </c>
      <c r="M10" s="4">
        <f>'Normalized Annual Summary'!AA9</f>
        <v>1817916.7936968291</v>
      </c>
      <c r="N10" s="30">
        <f t="shared" si="2"/>
        <v>2.7752617817784339E-3</v>
      </c>
      <c r="O10" s="23">
        <f>SUMIF('Monthly Data'!B:B,L10,'Monthly Data'!K:K)</f>
        <v>5045.1949999999997</v>
      </c>
    </row>
    <row r="11" spans="2:15" x14ac:dyDescent="0.25">
      <c r="E11" s="23"/>
      <c r="O11" s="23"/>
    </row>
    <row r="12" spans="2:15" x14ac:dyDescent="0.25">
      <c r="C12" t="s">
        <v>89</v>
      </c>
      <c r="E12" s="23"/>
      <c r="H12" t="s">
        <v>89</v>
      </c>
      <c r="M12" t="s">
        <v>89</v>
      </c>
      <c r="O12" s="23"/>
    </row>
    <row r="13" spans="2:15" s="26" customFormat="1" x14ac:dyDescent="0.25">
      <c r="C13" s="26" t="s">
        <v>90</v>
      </c>
      <c r="D13" s="26" t="s">
        <v>91</v>
      </c>
      <c r="E13" s="27" t="s">
        <v>92</v>
      </c>
      <c r="H13" s="26" t="s">
        <v>90</v>
      </c>
      <c r="I13" s="26" t="s">
        <v>91</v>
      </c>
      <c r="J13" s="26" t="s">
        <v>92</v>
      </c>
      <c r="M13" s="26" t="s">
        <v>90</v>
      </c>
      <c r="N13" s="26" t="s">
        <v>91</v>
      </c>
      <c r="O13" s="27" t="s">
        <v>92</v>
      </c>
    </row>
    <row r="14" spans="2:15" s="106" customFormat="1" x14ac:dyDescent="0.25">
      <c r="B14" s="113">
        <v>2014</v>
      </c>
      <c r="C14" s="114">
        <f ca="1">'Normalized Annual Summary'!Q9</f>
        <v>272478959.22987044</v>
      </c>
      <c r="D14" s="113">
        <f>D10</f>
        <v>2.7299453678260263E-3</v>
      </c>
      <c r="E14" s="115">
        <f t="shared" ref="E14" ca="1" si="3">C14*D14</f>
        <v>743852.67257964145</v>
      </c>
      <c r="F14" s="116"/>
      <c r="G14" s="113">
        <v>2014</v>
      </c>
      <c r="H14" s="114">
        <f ca="1">'Normalized Annual Summary'!W9</f>
        <v>153957083.2555337</v>
      </c>
      <c r="I14" s="113">
        <f>I10</f>
        <v>1.890545243621074E-3</v>
      </c>
      <c r="J14" s="115">
        <f t="shared" ref="J14" ca="1" si="4">H14*I14</f>
        <v>291062.83147052291</v>
      </c>
      <c r="K14" s="116"/>
      <c r="L14" s="113">
        <v>2014</v>
      </c>
      <c r="M14" s="114">
        <f>'Normalized Annual Summary'!AB9</f>
        <v>1817916.7936968291</v>
      </c>
      <c r="N14" s="113">
        <f>N10</f>
        <v>2.7752617817784339E-3</v>
      </c>
      <c r="O14" s="115">
        <f t="shared" ref="O14" si="5">M14*N14</f>
        <v>5045.1949999999997</v>
      </c>
    </row>
    <row r="15" spans="2:15" s="20" customFormat="1" x14ac:dyDescent="0.25">
      <c r="B15" s="20">
        <v>2015</v>
      </c>
      <c r="C15" s="21">
        <f ca="1">'Normalized Annual Summary'!Q10</f>
        <v>273251617.9552204</v>
      </c>
      <c r="D15" s="20">
        <f>D10</f>
        <v>2.7299453678260263E-3</v>
      </c>
      <c r="E15" s="24">
        <f t="shared" ref="E15:E20" ca="1" si="6">C15*D15</f>
        <v>745961.98868782097</v>
      </c>
      <c r="G15" s="20">
        <v>2015</v>
      </c>
      <c r="H15" s="21">
        <f ca="1">'Normalized Annual Summary'!W10</f>
        <v>154368711.61319837</v>
      </c>
      <c r="I15" s="20">
        <f>I10</f>
        <v>1.890545243621074E-3</v>
      </c>
      <c r="J15" s="24">
        <f t="shared" ref="J15:J20" ca="1" si="7">H15*I15</f>
        <v>291841.03350424545</v>
      </c>
      <c r="L15" s="20">
        <v>2015</v>
      </c>
      <c r="M15" s="21">
        <f>'Normalized Annual Summary'!AB10</f>
        <v>1814577.0773553622</v>
      </c>
      <c r="N15" s="20">
        <f>N10</f>
        <v>2.7752617817784339E-3</v>
      </c>
      <c r="O15" s="24">
        <f t="shared" ref="O15:O20" si="8">M15*N15</f>
        <v>5035.9264128755458</v>
      </c>
    </row>
    <row r="16" spans="2:15" s="20" customFormat="1" x14ac:dyDescent="0.25">
      <c r="B16" s="20">
        <v>2016</v>
      </c>
      <c r="C16" s="21">
        <f ca="1">'Normalized Annual Summary'!Q11</f>
        <v>273969108.33876514</v>
      </c>
      <c r="D16" s="20">
        <f>D15</f>
        <v>2.7299453678260263E-3</v>
      </c>
      <c r="E16" s="24">
        <f t="shared" ca="1" si="6"/>
        <v>747920.69823683868</v>
      </c>
      <c r="G16" s="20">
        <v>2016</v>
      </c>
      <c r="H16" s="21">
        <f ca="1">'Normalized Annual Summary'!W11</f>
        <v>155062234.14183554</v>
      </c>
      <c r="I16" s="20">
        <f>I15</f>
        <v>1.890545243621074E-3</v>
      </c>
      <c r="J16" s="24">
        <f t="shared" ca="1" si="7"/>
        <v>293152.16922210448</v>
      </c>
      <c r="L16" s="20">
        <v>2016</v>
      </c>
      <c r="M16" s="21">
        <f>'Normalized Annual Summary'!AB11</f>
        <v>1818158.4601505373</v>
      </c>
      <c r="N16" s="20">
        <f>N15</f>
        <v>2.7752617817784339E-3</v>
      </c>
      <c r="O16" s="24">
        <f t="shared" si="8"/>
        <v>5045.8656876729137</v>
      </c>
    </row>
    <row r="17" spans="2:15" x14ac:dyDescent="0.25">
      <c r="B17" s="20">
        <v>2017</v>
      </c>
      <c r="C17" s="21">
        <f ca="1">'Normalized Annual Summary'!Q12</f>
        <v>274745148.26889813</v>
      </c>
      <c r="D17" s="20">
        <f>D16</f>
        <v>2.7299453678260263E-3</v>
      </c>
      <c r="E17" s="24">
        <f t="shared" ca="1" si="6"/>
        <v>750039.24484935321</v>
      </c>
      <c r="F17" s="20"/>
      <c r="G17" s="20">
        <v>2016</v>
      </c>
      <c r="H17" s="21">
        <f ca="1">'Normalized Annual Summary'!W12</f>
        <v>155477670.03301656</v>
      </c>
      <c r="I17" s="20">
        <f>I16</f>
        <v>1.890545243621074E-3</v>
      </c>
      <c r="J17" s="24">
        <f t="shared" ca="1" si="7"/>
        <v>293937.56957020628</v>
      </c>
      <c r="K17" s="20"/>
      <c r="L17" s="20">
        <v>2016</v>
      </c>
      <c r="M17" s="21">
        <f>'Normalized Annual Summary'!AB12</f>
        <v>1821739.8429457126</v>
      </c>
      <c r="N17" s="20">
        <f>N16</f>
        <v>2.7752617817784339E-3</v>
      </c>
      <c r="O17" s="24">
        <f t="shared" si="8"/>
        <v>5055.8049624702826</v>
      </c>
    </row>
    <row r="18" spans="2:15" x14ac:dyDescent="0.25">
      <c r="B18" s="20">
        <v>2018</v>
      </c>
      <c r="C18" s="21">
        <f ca="1">'Normalized Annual Summary'!Q13</f>
        <v>275580396.42801851</v>
      </c>
      <c r="D18" s="20">
        <f>D17</f>
        <v>2.7299453678260263E-3</v>
      </c>
      <c r="E18" s="24">
        <f t="shared" ca="1" si="6"/>
        <v>752319.42669232911</v>
      </c>
      <c r="F18" s="20"/>
      <c r="G18" s="20">
        <v>2016</v>
      </c>
      <c r="H18" s="21">
        <f ca="1">'Normalized Annual Summary'!W13</f>
        <v>155959779.58958554</v>
      </c>
      <c r="I18" s="20">
        <f>I17</f>
        <v>1.890545243621074E-3</v>
      </c>
      <c r="J18" s="24">
        <f t="shared" ca="1" si="7"/>
        <v>294849.019499282</v>
      </c>
      <c r="K18" s="20"/>
      <c r="L18" s="20">
        <v>2016</v>
      </c>
      <c r="M18" s="21">
        <f>'Normalized Annual Summary'!AB13</f>
        <v>1825321.2257408875</v>
      </c>
      <c r="N18" s="20">
        <f>N17</f>
        <v>2.7752617817784339E-3</v>
      </c>
      <c r="O18" s="24">
        <f t="shared" si="8"/>
        <v>5065.7442372676505</v>
      </c>
    </row>
    <row r="19" spans="2:15" x14ac:dyDescent="0.25">
      <c r="B19" s="20">
        <v>2019</v>
      </c>
      <c r="C19" s="21">
        <f ca="1">'Normalized Annual Summary'!Q14</f>
        <v>276475518.90870243</v>
      </c>
      <c r="D19" s="20">
        <f>D18</f>
        <v>2.7299453678260263E-3</v>
      </c>
      <c r="E19" s="24">
        <f t="shared" ca="1" si="6"/>
        <v>754763.06216210919</v>
      </c>
      <c r="F19" s="20"/>
      <c r="G19" s="20">
        <v>2016</v>
      </c>
      <c r="H19" s="21">
        <f ca="1">'Normalized Annual Summary'!W14</f>
        <v>156509312.89027819</v>
      </c>
      <c r="I19" s="20">
        <f>I18</f>
        <v>1.890545243621074E-3</v>
      </c>
      <c r="J19" s="24">
        <f t="shared" ca="1" si="7"/>
        <v>295887.93706711789</v>
      </c>
      <c r="K19" s="20"/>
      <c r="L19" s="20">
        <v>2016</v>
      </c>
      <c r="M19" s="21">
        <f>'Normalized Annual Summary'!AB14</f>
        <v>1828902.6085360628</v>
      </c>
      <c r="N19" s="20">
        <f>N18</f>
        <v>2.7752617817784339E-3</v>
      </c>
      <c r="O19" s="24">
        <f t="shared" si="8"/>
        <v>5075.6835120650194</v>
      </c>
    </row>
    <row r="20" spans="2:15" x14ac:dyDescent="0.25">
      <c r="B20" s="20">
        <v>2020</v>
      </c>
      <c r="C20" s="21">
        <f ca="1">'Normalized Annual Summary'!Q15</f>
        <v>277431189.29706728</v>
      </c>
      <c r="D20" s="20">
        <f>D19</f>
        <v>2.7299453678260263E-3</v>
      </c>
      <c r="E20" s="24">
        <f t="shared" ca="1" si="6"/>
        <v>757371.99011199432</v>
      </c>
      <c r="F20" s="20"/>
      <c r="G20" s="20">
        <v>2016</v>
      </c>
      <c r="H20" s="21">
        <f ca="1">'Normalized Annual Summary'!W15</f>
        <v>157127028.45221585</v>
      </c>
      <c r="I20" s="20">
        <f>I19</f>
        <v>1.890545243621074E-3</v>
      </c>
      <c r="J20" s="24">
        <f t="shared" ca="1" si="7"/>
        <v>297055.75628464983</v>
      </c>
      <c r="K20" s="20"/>
      <c r="L20" s="20">
        <v>2016</v>
      </c>
      <c r="M20" s="21">
        <f>'Normalized Annual Summary'!AB15</f>
        <v>1832483.9913312381</v>
      </c>
      <c r="N20" s="20">
        <f>N19</f>
        <v>2.7752617817784339E-3</v>
      </c>
      <c r="O20" s="24">
        <f t="shared" si="8"/>
        <v>5085.6227868623882</v>
      </c>
    </row>
  </sheetData>
  <mergeCells count="3">
    <mergeCell ref="B2:E2"/>
    <mergeCell ref="G2:J2"/>
    <mergeCell ref="L2:O2"/>
  </mergeCell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opLeftCell="B1" workbookViewId="0">
      <selection activeCell="C25" sqref="C25:C26"/>
    </sheetView>
  </sheetViews>
  <sheetFormatPr defaultRowHeight="13.2" x14ac:dyDescent="0.25"/>
  <cols>
    <col min="2" max="2" width="13.88671875" bestFit="1" customWidth="1"/>
    <col min="3" max="3" width="10.5546875" bestFit="1" customWidth="1"/>
    <col min="4" max="7" width="11.5546875" bestFit="1" customWidth="1"/>
    <col min="8" max="8" width="11.44140625" bestFit="1" customWidth="1"/>
    <col min="9" max="9" width="11.5546875" bestFit="1" customWidth="1"/>
  </cols>
  <sheetData>
    <row r="1" spans="2:9" ht="13.8" thickBot="1" x14ac:dyDescent="0.3"/>
    <row r="2" spans="2:9" ht="14.4" x14ac:dyDescent="0.25">
      <c r="B2" s="153" t="s">
        <v>110</v>
      </c>
      <c r="C2" s="154"/>
      <c r="D2" s="154"/>
      <c r="E2" s="154"/>
      <c r="F2" s="154"/>
      <c r="G2" s="154"/>
      <c r="H2" s="154"/>
      <c r="I2" s="155"/>
    </row>
    <row r="3" spans="2:9" ht="14.4" x14ac:dyDescent="0.25">
      <c r="B3" s="156">
        <v>34500000</v>
      </c>
      <c r="C3" s="157"/>
      <c r="D3" s="157"/>
      <c r="E3" s="157"/>
      <c r="F3" s="157"/>
      <c r="G3" s="157"/>
      <c r="H3" s="157"/>
      <c r="I3" s="158"/>
    </row>
    <row r="4" spans="2:9" ht="14.4" x14ac:dyDescent="0.3">
      <c r="B4" s="39"/>
      <c r="C4" s="40">
        <v>2015</v>
      </c>
      <c r="D4" s="40">
        <v>2016</v>
      </c>
      <c r="E4" s="40">
        <v>2017</v>
      </c>
      <c r="F4" s="40">
        <v>2018</v>
      </c>
      <c r="G4" s="40">
        <v>2019</v>
      </c>
      <c r="H4" s="40">
        <v>2020</v>
      </c>
      <c r="I4" s="41" t="s">
        <v>111</v>
      </c>
    </row>
    <row r="5" spans="2:9" ht="14.4" x14ac:dyDescent="0.25">
      <c r="B5" s="159" t="s">
        <v>112</v>
      </c>
      <c r="C5" s="160"/>
      <c r="D5" s="160"/>
      <c r="E5" s="160"/>
      <c r="F5" s="160"/>
      <c r="G5" s="160"/>
      <c r="H5" s="160"/>
      <c r="I5" s="161"/>
    </row>
    <row r="6" spans="2:9" ht="14.4" x14ac:dyDescent="0.3">
      <c r="B6" s="46" t="s">
        <v>115</v>
      </c>
      <c r="C6" s="34">
        <f>C$20/$B$3</f>
        <v>0.15072463768115943</v>
      </c>
      <c r="D6" s="50"/>
      <c r="E6" s="50"/>
      <c r="F6" s="50"/>
      <c r="G6" s="50"/>
      <c r="H6" s="51"/>
      <c r="I6" s="35">
        <f t="shared" ref="I6:I11" si="0">SUM(C6:H6)</f>
        <v>0.15072463768115943</v>
      </c>
    </row>
    <row r="7" spans="2:9" ht="14.4" x14ac:dyDescent="0.3">
      <c r="B7" s="46" t="s">
        <v>116</v>
      </c>
      <c r="C7" s="47"/>
      <c r="D7" s="34">
        <f>D$20/$B$3</f>
        <v>0.1391304347826087</v>
      </c>
      <c r="E7" s="50"/>
      <c r="F7" s="50"/>
      <c r="G7" s="50"/>
      <c r="H7" s="51"/>
      <c r="I7" s="35">
        <f t="shared" si="0"/>
        <v>0.1391304347826087</v>
      </c>
    </row>
    <row r="8" spans="2:9" ht="14.4" x14ac:dyDescent="0.3">
      <c r="B8" s="46" t="s">
        <v>117</v>
      </c>
      <c r="C8" s="47"/>
      <c r="D8" s="47"/>
      <c r="E8" s="34">
        <f>E$20/$B$3</f>
        <v>0.15942028985507245</v>
      </c>
      <c r="F8" s="50"/>
      <c r="G8" s="50"/>
      <c r="H8" s="51"/>
      <c r="I8" s="35">
        <f t="shared" si="0"/>
        <v>0.15942028985507245</v>
      </c>
    </row>
    <row r="9" spans="2:9" ht="14.4" x14ac:dyDescent="0.3">
      <c r="B9" s="46" t="s">
        <v>118</v>
      </c>
      <c r="C9" s="47"/>
      <c r="D9" s="47"/>
      <c r="E9" s="34"/>
      <c r="F9" s="34">
        <f>F$20/$B$3</f>
        <v>0.17101449275362318</v>
      </c>
      <c r="G9" s="50"/>
      <c r="H9" s="51"/>
      <c r="I9" s="35">
        <f t="shared" si="0"/>
        <v>0.17101449275362318</v>
      </c>
    </row>
    <row r="10" spans="2:9" ht="14.4" x14ac:dyDescent="0.3">
      <c r="B10" s="46" t="s">
        <v>119</v>
      </c>
      <c r="C10" s="47"/>
      <c r="D10" s="47"/>
      <c r="E10" s="34"/>
      <c r="F10" s="34"/>
      <c r="G10" s="34">
        <f>G$20/$B$3</f>
        <v>0.1855072463768116</v>
      </c>
      <c r="H10" s="51"/>
      <c r="I10" s="35">
        <f t="shared" si="0"/>
        <v>0.1855072463768116</v>
      </c>
    </row>
    <row r="11" spans="2:9" ht="15" thickBot="1" x14ac:dyDescent="0.35">
      <c r="B11" s="48" t="s">
        <v>120</v>
      </c>
      <c r="C11" s="49"/>
      <c r="D11" s="49"/>
      <c r="E11" s="49"/>
      <c r="F11" s="49"/>
      <c r="G11" s="49"/>
      <c r="H11" s="36">
        <v>0.15072463768115943</v>
      </c>
      <c r="I11" s="37">
        <f t="shared" si="0"/>
        <v>0.15072463768115943</v>
      </c>
    </row>
    <row r="12" spans="2:9" ht="15" thickTop="1" x14ac:dyDescent="0.3">
      <c r="B12" s="42" t="s">
        <v>113</v>
      </c>
      <c r="C12" s="43">
        <f t="shared" ref="C12:H12" si="1">SUM(C6:C11)</f>
        <v>0.15072463768115943</v>
      </c>
      <c r="D12" s="43">
        <f t="shared" si="1"/>
        <v>0.1391304347826087</v>
      </c>
      <c r="E12" s="43">
        <f t="shared" si="1"/>
        <v>0.15942028985507245</v>
      </c>
      <c r="F12" s="43">
        <f t="shared" si="1"/>
        <v>0.17101449275362318</v>
      </c>
      <c r="G12" s="43">
        <f t="shared" si="1"/>
        <v>0.1855072463768116</v>
      </c>
      <c r="H12" s="44">
        <f t="shared" si="1"/>
        <v>0.15072463768115943</v>
      </c>
      <c r="I12" s="45">
        <f>SUM(I6:I11)</f>
        <v>0.95652173913043481</v>
      </c>
    </row>
    <row r="13" spans="2:9" ht="14.4" x14ac:dyDescent="0.25">
      <c r="B13" s="162" t="s">
        <v>114</v>
      </c>
      <c r="C13" s="163"/>
      <c r="D13" s="163"/>
      <c r="E13" s="163"/>
      <c r="F13" s="163"/>
      <c r="G13" s="163"/>
      <c r="H13" s="163"/>
      <c r="I13" s="164"/>
    </row>
    <row r="14" spans="2:9" ht="14.4" x14ac:dyDescent="0.3">
      <c r="B14" s="46" t="s">
        <v>115</v>
      </c>
      <c r="C14" s="84">
        <v>5200000</v>
      </c>
      <c r="D14" s="85"/>
      <c r="E14" s="86"/>
      <c r="F14" s="85"/>
      <c r="G14" s="85"/>
      <c r="H14" s="87"/>
      <c r="I14" s="88">
        <f t="shared" ref="I14:I19" si="2">SUM(C14:H14)</f>
        <v>5200000</v>
      </c>
    </row>
    <row r="15" spans="2:9" ht="14.4" x14ac:dyDescent="0.3">
      <c r="B15" s="46" t="s">
        <v>116</v>
      </c>
      <c r="C15" s="89"/>
      <c r="D15" s="84">
        <v>4800000</v>
      </c>
      <c r="E15" s="90"/>
      <c r="F15" s="90"/>
      <c r="G15" s="90"/>
      <c r="H15" s="91"/>
      <c r="I15" s="88">
        <f t="shared" si="2"/>
        <v>4800000</v>
      </c>
    </row>
    <row r="16" spans="2:9" ht="14.4" x14ac:dyDescent="0.3">
      <c r="B16" s="46" t="s">
        <v>117</v>
      </c>
      <c r="C16" s="89"/>
      <c r="D16" s="89"/>
      <c r="E16" s="84">
        <v>5500000</v>
      </c>
      <c r="F16" s="90"/>
      <c r="G16" s="90"/>
      <c r="H16" s="91"/>
      <c r="I16" s="88">
        <f t="shared" si="2"/>
        <v>5500000</v>
      </c>
    </row>
    <row r="17" spans="2:9" ht="14.4" x14ac:dyDescent="0.3">
      <c r="B17" s="46" t="s">
        <v>118</v>
      </c>
      <c r="C17" s="89"/>
      <c r="D17" s="89"/>
      <c r="E17" s="92"/>
      <c r="F17" s="84">
        <v>5900000</v>
      </c>
      <c r="G17" s="85"/>
      <c r="H17" s="87"/>
      <c r="I17" s="88">
        <f t="shared" si="2"/>
        <v>5900000</v>
      </c>
    </row>
    <row r="18" spans="2:9" ht="14.4" x14ac:dyDescent="0.3">
      <c r="B18" s="46" t="s">
        <v>119</v>
      </c>
      <c r="C18" s="89"/>
      <c r="D18" s="89"/>
      <c r="E18" s="92"/>
      <c r="F18" s="92"/>
      <c r="G18" s="84">
        <v>6400000</v>
      </c>
      <c r="H18" s="87"/>
      <c r="I18" s="88">
        <f t="shared" si="2"/>
        <v>6400000</v>
      </c>
    </row>
    <row r="19" spans="2:9" ht="15" thickBot="1" x14ac:dyDescent="0.35">
      <c r="B19" s="48" t="s">
        <v>120</v>
      </c>
      <c r="C19" s="93"/>
      <c r="D19" s="93"/>
      <c r="E19" s="93"/>
      <c r="F19" s="93"/>
      <c r="G19" s="93"/>
      <c r="H19" s="94">
        <v>6900000</v>
      </c>
      <c r="I19" s="95">
        <f t="shared" si="2"/>
        <v>6900000</v>
      </c>
    </row>
    <row r="20" spans="2:9" ht="15.6" thickTop="1" thickBot="1" x14ac:dyDescent="0.35">
      <c r="B20" s="38" t="s">
        <v>113</v>
      </c>
      <c r="C20" s="96">
        <f t="shared" ref="C20:I20" si="3">SUM(C14:C19)</f>
        <v>5200000</v>
      </c>
      <c r="D20" s="96">
        <f t="shared" si="3"/>
        <v>4800000</v>
      </c>
      <c r="E20" s="96">
        <f t="shared" si="3"/>
        <v>5500000</v>
      </c>
      <c r="F20" s="96">
        <f t="shared" si="3"/>
        <v>5900000</v>
      </c>
      <c r="G20" s="96">
        <f t="shared" si="3"/>
        <v>6400000</v>
      </c>
      <c r="H20" s="97">
        <f t="shared" si="3"/>
        <v>6900000</v>
      </c>
      <c r="I20" s="98">
        <f t="shared" si="3"/>
        <v>34700000</v>
      </c>
    </row>
    <row r="23" spans="2:9" ht="13.8" thickBot="1" x14ac:dyDescent="0.3"/>
    <row r="24" spans="2:9" ht="15" thickBot="1" x14ac:dyDescent="0.3">
      <c r="B24" s="31"/>
      <c r="C24" s="107" t="s">
        <v>121</v>
      </c>
      <c r="D24" s="108"/>
      <c r="E24" s="108"/>
      <c r="F24" s="108"/>
      <c r="G24" s="108"/>
      <c r="H24" s="109"/>
      <c r="I24" s="30"/>
    </row>
    <row r="25" spans="2:9" ht="14.4" x14ac:dyDescent="0.3">
      <c r="B25" s="53" t="s">
        <v>122</v>
      </c>
      <c r="C25" s="128">
        <v>2015</v>
      </c>
      <c r="D25" s="54">
        <v>2016</v>
      </c>
      <c r="E25" s="54">
        <v>2017</v>
      </c>
      <c r="F25" s="54">
        <v>2018</v>
      </c>
      <c r="G25" s="54">
        <v>2019</v>
      </c>
      <c r="H25" s="55">
        <v>2020</v>
      </c>
    </row>
    <row r="26" spans="2:9" ht="14.4" x14ac:dyDescent="0.3">
      <c r="B26" s="110" t="s">
        <v>115</v>
      </c>
      <c r="C26" s="129">
        <f>C14/2</f>
        <v>2600000</v>
      </c>
      <c r="D26" s="84">
        <f>C14</f>
        <v>5200000</v>
      </c>
      <c r="E26" s="84">
        <f>D26</f>
        <v>5200000</v>
      </c>
      <c r="F26" s="84">
        <f t="shared" ref="F26:H29" si="4">E26</f>
        <v>5200000</v>
      </c>
      <c r="G26" s="84">
        <f t="shared" si="4"/>
        <v>5200000</v>
      </c>
      <c r="H26" s="99">
        <f t="shared" si="4"/>
        <v>5200000</v>
      </c>
    </row>
    <row r="27" spans="2:9" ht="14.4" x14ac:dyDescent="0.3">
      <c r="B27" s="110" t="s">
        <v>116</v>
      </c>
      <c r="C27" s="130"/>
      <c r="D27" s="84">
        <f>D15/2</f>
        <v>2400000</v>
      </c>
      <c r="E27" s="84">
        <f>D15</f>
        <v>4800000</v>
      </c>
      <c r="F27" s="84">
        <f t="shared" si="4"/>
        <v>4800000</v>
      </c>
      <c r="G27" s="84">
        <f t="shared" si="4"/>
        <v>4800000</v>
      </c>
      <c r="H27" s="99">
        <f t="shared" si="4"/>
        <v>4800000</v>
      </c>
    </row>
    <row r="28" spans="2:9" ht="14.4" x14ac:dyDescent="0.3">
      <c r="B28" s="110" t="s">
        <v>117</v>
      </c>
      <c r="C28" s="130"/>
      <c r="D28" s="89"/>
      <c r="E28" s="84">
        <f>E16/2</f>
        <v>2750000</v>
      </c>
      <c r="F28" s="84">
        <f>E16</f>
        <v>5500000</v>
      </c>
      <c r="G28" s="84">
        <f t="shared" si="4"/>
        <v>5500000</v>
      </c>
      <c r="H28" s="99">
        <f t="shared" si="4"/>
        <v>5500000</v>
      </c>
    </row>
    <row r="29" spans="2:9" ht="14.4" x14ac:dyDescent="0.3">
      <c r="B29" s="110" t="s">
        <v>118</v>
      </c>
      <c r="C29" s="130"/>
      <c r="D29" s="89"/>
      <c r="E29" s="92"/>
      <c r="F29" s="84">
        <f>F17/2</f>
        <v>2950000</v>
      </c>
      <c r="G29" s="84">
        <f>F17</f>
        <v>5900000</v>
      </c>
      <c r="H29" s="99">
        <f t="shared" si="4"/>
        <v>5900000</v>
      </c>
    </row>
    <row r="30" spans="2:9" ht="14.4" x14ac:dyDescent="0.3">
      <c r="B30" s="110" t="s">
        <v>119</v>
      </c>
      <c r="C30" s="130"/>
      <c r="D30" s="89"/>
      <c r="E30" s="92"/>
      <c r="F30" s="92"/>
      <c r="G30" s="84">
        <f>G18/2</f>
        <v>3200000</v>
      </c>
      <c r="H30" s="99">
        <f>G18</f>
        <v>6400000</v>
      </c>
    </row>
    <row r="31" spans="2:9" ht="15" thickBot="1" x14ac:dyDescent="0.35">
      <c r="B31" s="111" t="s">
        <v>120</v>
      </c>
      <c r="C31" s="131"/>
      <c r="D31" s="93"/>
      <c r="E31" s="93"/>
      <c r="F31" s="93"/>
      <c r="G31" s="93"/>
      <c r="H31" s="100">
        <f>H19/2</f>
        <v>3450000</v>
      </c>
    </row>
    <row r="32" spans="2:9" ht="15.6" thickTop="1" thickBot="1" x14ac:dyDescent="0.35">
      <c r="B32" s="112" t="s">
        <v>113</v>
      </c>
      <c r="C32" s="143">
        <f t="shared" ref="C32:H32" si="5">SUM(C26:C31)</f>
        <v>2600000</v>
      </c>
      <c r="D32" s="96">
        <f t="shared" si="5"/>
        <v>7600000</v>
      </c>
      <c r="E32" s="96">
        <f t="shared" si="5"/>
        <v>12750000</v>
      </c>
      <c r="F32" s="96">
        <f t="shared" si="5"/>
        <v>18450000</v>
      </c>
      <c r="G32" s="96">
        <f t="shared" si="5"/>
        <v>24600000</v>
      </c>
      <c r="H32" s="98">
        <f t="shared" si="5"/>
        <v>31250000</v>
      </c>
    </row>
  </sheetData>
  <mergeCells count="4">
    <mergeCell ref="B2:I2"/>
    <mergeCell ref="B3:I3"/>
    <mergeCell ref="B5:I5"/>
    <mergeCell ref="B13:I13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workbookViewId="0">
      <selection activeCell="F9" sqref="F9"/>
    </sheetView>
  </sheetViews>
  <sheetFormatPr defaultRowHeight="13.2" x14ac:dyDescent="0.25"/>
  <cols>
    <col min="1" max="1" width="10.5546875" bestFit="1" customWidth="1"/>
    <col min="2" max="2" width="15" bestFit="1" customWidth="1"/>
    <col min="4" max="4" width="10.44140625" bestFit="1" customWidth="1"/>
    <col min="5" max="5" width="5.109375" customWidth="1"/>
    <col min="6" max="6" width="12.88671875" customWidth="1"/>
    <col min="11" max="11" width="14.88671875" customWidth="1"/>
    <col min="13" max="13" width="11.6640625" bestFit="1" customWidth="1"/>
    <col min="14" max="14" width="5" customWidth="1"/>
    <col min="15" max="15" width="12.88671875" bestFit="1" customWidth="1"/>
  </cols>
  <sheetData>
    <row r="1" spans="1:16" s="119" customFormat="1" ht="79.2" x14ac:dyDescent="0.25">
      <c r="A1" s="117" t="s">
        <v>127</v>
      </c>
      <c r="B1" s="117" t="s">
        <v>189</v>
      </c>
      <c r="C1" s="142"/>
      <c r="D1" s="117" t="s">
        <v>123</v>
      </c>
      <c r="E1" s="142"/>
      <c r="F1" s="117" t="s">
        <v>190</v>
      </c>
      <c r="J1" s="117" t="s">
        <v>128</v>
      </c>
      <c r="K1" s="117" t="s">
        <v>189</v>
      </c>
      <c r="L1" s="118"/>
      <c r="M1" s="117" t="s">
        <v>123</v>
      </c>
      <c r="N1" s="118"/>
      <c r="O1" s="117" t="s">
        <v>190</v>
      </c>
    </row>
    <row r="2" spans="1:16" s="119" customFormat="1" x14ac:dyDescent="0.25">
      <c r="B2" s="116" t="s">
        <v>84</v>
      </c>
      <c r="C2" s="116" t="s">
        <v>124</v>
      </c>
      <c r="D2" s="116" t="s">
        <v>125</v>
      </c>
      <c r="E2" s="116"/>
      <c r="F2" s="116" t="s">
        <v>126</v>
      </c>
      <c r="K2" s="116" t="s">
        <v>129</v>
      </c>
      <c r="L2" s="116" t="s">
        <v>130</v>
      </c>
      <c r="M2" s="116" t="s">
        <v>131</v>
      </c>
      <c r="N2" s="116"/>
      <c r="O2" s="116" t="s">
        <v>132</v>
      </c>
    </row>
    <row r="3" spans="1:16" s="119" customFormat="1" x14ac:dyDescent="0.25">
      <c r="A3" s="120" t="s">
        <v>101</v>
      </c>
      <c r="B3" s="121">
        <f ca="1">'Normalized Annual Summary'!E10</f>
        <v>187846946.93631631</v>
      </c>
      <c r="C3" s="122">
        <f ca="1">B3/B7</f>
        <v>0.26383272969775146</v>
      </c>
      <c r="D3" s="121">
        <f ca="1">D7*C3</f>
        <v>685965.09721415373</v>
      </c>
      <c r="F3" s="121">
        <f ca="1">B3-D3</f>
        <v>187160981.83910215</v>
      </c>
      <c r="J3" s="120" t="s">
        <v>101</v>
      </c>
      <c r="K3" s="123">
        <v>0</v>
      </c>
      <c r="L3" s="122">
        <f ca="1">K3/K7</f>
        <v>0</v>
      </c>
      <c r="M3" s="123">
        <f t="shared" ref="M3:M6" ca="1" si="0">K3/B3*D3</f>
        <v>0</v>
      </c>
      <c r="O3" s="123">
        <f ca="1">K3-M3</f>
        <v>0</v>
      </c>
    </row>
    <row r="4" spans="1:16" s="119" customFormat="1" x14ac:dyDescent="0.25">
      <c r="A4" s="120" t="s">
        <v>102</v>
      </c>
      <c r="B4" s="121">
        <f ca="1">'Normalized Annual Summary'!K10</f>
        <v>96525307.400662139</v>
      </c>
      <c r="C4" s="122">
        <f ca="1">B4/B7</f>
        <v>0.13557066405271362</v>
      </c>
      <c r="D4" s="121">
        <f ca="1">D7*C4</f>
        <v>352483.72653705539</v>
      </c>
      <c r="F4" s="121">
        <f t="shared" ref="F4:F7" ca="1" si="1">B4-D4</f>
        <v>96172823.67412509</v>
      </c>
      <c r="J4" s="120" t="s">
        <v>102</v>
      </c>
      <c r="K4" s="123">
        <v>0</v>
      </c>
      <c r="L4" s="122">
        <f ca="1">K4/K7</f>
        <v>0</v>
      </c>
      <c r="M4" s="123">
        <f t="shared" ca="1" si="0"/>
        <v>0</v>
      </c>
      <c r="O4" s="123">
        <f t="shared" ref="O4:O7" ca="1" si="2">K4-M4</f>
        <v>0</v>
      </c>
    </row>
    <row r="5" spans="1:16" s="119" customFormat="1" x14ac:dyDescent="0.25">
      <c r="A5" s="120" t="s">
        <v>103</v>
      </c>
      <c r="B5" s="121">
        <f ca="1">'Normalized Annual Summary'!Q10</f>
        <v>273251617.9552204</v>
      </c>
      <c r="C5" s="122">
        <f ca="1">B5/B7</f>
        <v>0.38378435974204955</v>
      </c>
      <c r="D5" s="121">
        <f ca="1">D7*C5</f>
        <v>997839.33532932878</v>
      </c>
      <c r="F5" s="121">
        <f t="shared" ca="1" si="1"/>
        <v>272253778.61989105</v>
      </c>
      <c r="J5" s="120" t="s">
        <v>103</v>
      </c>
      <c r="K5" s="123">
        <f ca="1">'kW Forecast'!E15</f>
        <v>745961.98868782097</v>
      </c>
      <c r="L5" s="122">
        <f ca="1">K5/K7</f>
        <v>0.71878957059903958</v>
      </c>
      <c r="M5" s="123">
        <f t="shared" ca="1" si="0"/>
        <v>2724.0468713169021</v>
      </c>
      <c r="O5" s="123">
        <f t="shared" ca="1" si="2"/>
        <v>743237.94181650411</v>
      </c>
    </row>
    <row r="6" spans="1:16" s="119" customFormat="1" x14ac:dyDescent="0.25">
      <c r="A6" s="120" t="s">
        <v>93</v>
      </c>
      <c r="B6" s="121">
        <f ca="1">'Normalized Annual Summary'!W10</f>
        <v>154368711.61319837</v>
      </c>
      <c r="C6" s="122">
        <f ca="1">B6/B7</f>
        <v>0.21681224650748523</v>
      </c>
      <c r="D6" s="121">
        <f ca="1">D7*C6</f>
        <v>563711.84091946157</v>
      </c>
      <c r="F6" s="121">
        <f t="shared" ca="1" si="1"/>
        <v>153804999.7722789</v>
      </c>
      <c r="J6" s="120" t="s">
        <v>93</v>
      </c>
      <c r="K6" s="123">
        <f ca="1">'kW Forecast'!J15</f>
        <v>291841.03350424545</v>
      </c>
      <c r="L6" s="122">
        <f ca="1">K6/K7</f>
        <v>0.28121042940096042</v>
      </c>
      <c r="M6" s="123">
        <f t="shared" ca="1" si="0"/>
        <v>1065.7227396231676</v>
      </c>
      <c r="O6" s="123">
        <f t="shared" ca="1" si="2"/>
        <v>290775.31076462229</v>
      </c>
    </row>
    <row r="7" spans="1:16" s="119" customFormat="1" ht="13.8" thickBot="1" x14ac:dyDescent="0.3">
      <c r="A7" s="120" t="s">
        <v>111</v>
      </c>
      <c r="B7" s="124">
        <f ca="1">SUM(B3:B6)</f>
        <v>711992583.9053973</v>
      </c>
      <c r="C7" s="125">
        <v>1</v>
      </c>
      <c r="D7" s="124">
        <f>'Annual CDM'!C32</f>
        <v>2600000</v>
      </c>
      <c r="F7" s="124">
        <f t="shared" ca="1" si="1"/>
        <v>709392583.9053973</v>
      </c>
      <c r="G7" s="126">
        <f ca="1">-D7/B7</f>
        <v>-3.6517234291101311E-3</v>
      </c>
      <c r="J7" s="120" t="s">
        <v>111</v>
      </c>
      <c r="K7" s="127">
        <f ca="1">SUM(K3:K6)</f>
        <v>1037803.0221920664</v>
      </c>
      <c r="L7" s="125">
        <v>1</v>
      </c>
      <c r="M7" s="127">
        <f ca="1">SUM(M3:M6)</f>
        <v>3789.7696109400695</v>
      </c>
      <c r="O7" s="127">
        <f t="shared" ca="1" si="2"/>
        <v>1034013.2525811264</v>
      </c>
      <c r="P7" s="126">
        <f ca="1">-M7/K7</f>
        <v>-3.6517234291101302E-3</v>
      </c>
    </row>
    <row r="8" spans="1:16" s="119" customFormat="1" x14ac:dyDescent="0.25">
      <c r="B8" s="116" t="s">
        <v>86</v>
      </c>
      <c r="C8" s="116"/>
      <c r="D8" s="116" t="s">
        <v>90</v>
      </c>
      <c r="K8" s="116" t="s">
        <v>133</v>
      </c>
      <c r="L8" s="116"/>
      <c r="M8" s="116"/>
    </row>
    <row r="9" spans="1:16" s="30" customFormat="1" x14ac:dyDescent="0.25"/>
    <row r="11" spans="1:16" ht="79.2" x14ac:dyDescent="0.25">
      <c r="A11" s="59" t="s">
        <v>127</v>
      </c>
      <c r="B11" s="59" t="s">
        <v>178</v>
      </c>
      <c r="C11" s="52"/>
      <c r="D11" s="59" t="s">
        <v>123</v>
      </c>
      <c r="E11" s="52"/>
      <c r="F11" s="59" t="s">
        <v>176</v>
      </c>
      <c r="J11" s="59" t="s">
        <v>128</v>
      </c>
      <c r="K11" s="59" t="s">
        <v>178</v>
      </c>
      <c r="L11" s="52"/>
      <c r="M11" s="59" t="s">
        <v>123</v>
      </c>
      <c r="N11" s="52"/>
      <c r="O11" s="59" t="s">
        <v>176</v>
      </c>
      <c r="P11" s="30"/>
    </row>
    <row r="12" spans="1:16" x14ac:dyDescent="0.25">
      <c r="B12" s="33" t="s">
        <v>84</v>
      </c>
      <c r="C12" s="33" t="s">
        <v>124</v>
      </c>
      <c r="D12" s="33" t="s">
        <v>125</v>
      </c>
      <c r="E12" s="33"/>
      <c r="F12" s="33" t="s">
        <v>126</v>
      </c>
      <c r="J12" s="30"/>
      <c r="K12" s="33" t="s">
        <v>129</v>
      </c>
      <c r="L12" s="33" t="s">
        <v>130</v>
      </c>
      <c r="M12" s="33" t="s">
        <v>131</v>
      </c>
      <c r="N12" s="33"/>
      <c r="O12" s="33" t="s">
        <v>132</v>
      </c>
      <c r="P12" s="30"/>
    </row>
    <row r="13" spans="1:16" x14ac:dyDescent="0.25">
      <c r="A13" s="32" t="s">
        <v>101</v>
      </c>
      <c r="B13" s="4">
        <f ca="1">'Normalized Annual Summary'!E11</f>
        <v>185951799.75322267</v>
      </c>
      <c r="C13" s="57">
        <f ca="1">B13/B17</f>
        <v>0.26212918080134756</v>
      </c>
      <c r="D13" s="4">
        <f ca="1">D17*C13</f>
        <v>1992181.7740902414</v>
      </c>
      <c r="F13" s="4">
        <f ca="1">B13-D13</f>
        <v>183959617.97913244</v>
      </c>
      <c r="J13" s="32" t="s">
        <v>101</v>
      </c>
      <c r="K13" s="23">
        <v>0</v>
      </c>
      <c r="L13" s="57">
        <f ca="1">K13/K17</f>
        <v>0</v>
      </c>
      <c r="M13" s="23">
        <f t="shared" ref="M13:M16" ca="1" si="3">K13/B13*D13</f>
        <v>0</v>
      </c>
      <c r="N13" s="30"/>
      <c r="O13" s="23">
        <f ca="1">K13-M13</f>
        <v>0</v>
      </c>
      <c r="P13" s="30"/>
    </row>
    <row r="14" spans="1:16" x14ac:dyDescent="0.25">
      <c r="A14" s="32" t="s">
        <v>102</v>
      </c>
      <c r="B14" s="4">
        <f ca="1">'Normalized Annual Summary'!K11</f>
        <v>94406782.171978414</v>
      </c>
      <c r="C14" s="57">
        <f ca="1">B14/B17</f>
        <v>0.13308165075935535</v>
      </c>
      <c r="D14" s="4">
        <f ca="1">D17*C14</f>
        <v>1011420.5457711007</v>
      </c>
      <c r="F14" s="4">
        <f t="shared" ref="F14:F17" ca="1" si="4">B14-D14</f>
        <v>93395361.626207307</v>
      </c>
      <c r="J14" s="32" t="s">
        <v>102</v>
      </c>
      <c r="K14" s="23">
        <v>0</v>
      </c>
      <c r="L14" s="57">
        <f ca="1">K14/K17</f>
        <v>0</v>
      </c>
      <c r="M14" s="23">
        <f t="shared" ca="1" si="3"/>
        <v>0</v>
      </c>
      <c r="N14" s="30"/>
      <c r="O14" s="23">
        <f t="shared" ref="O14:O17" ca="1" si="5">K14-M14</f>
        <v>0</v>
      </c>
      <c r="P14" s="30"/>
    </row>
    <row r="15" spans="1:16" x14ac:dyDescent="0.25">
      <c r="A15" s="32" t="s">
        <v>103</v>
      </c>
      <c r="B15" s="4">
        <f ca="1">'Normalized Annual Summary'!Q11</f>
        <v>273969108.33876514</v>
      </c>
      <c r="C15" s="57">
        <f ca="1">B15/B17</f>
        <v>0.3862038336225973</v>
      </c>
      <c r="D15" s="4">
        <f ca="1">D17*C15</f>
        <v>2935149.1355317393</v>
      </c>
      <c r="F15" s="4">
        <f t="shared" ca="1" si="4"/>
        <v>271033959.20323342</v>
      </c>
      <c r="J15" s="32" t="s">
        <v>103</v>
      </c>
      <c r="K15" s="23">
        <f ca="1">'kW Forecast'!E16</f>
        <v>747920.69823683868</v>
      </c>
      <c r="L15" s="57">
        <f ca="1">K15/K17</f>
        <v>0.71841339988272668</v>
      </c>
      <c r="M15" s="23">
        <f t="shared" ca="1" si="3"/>
        <v>8012.796786423437</v>
      </c>
      <c r="N15" s="30"/>
      <c r="O15" s="23">
        <f t="shared" ca="1" si="5"/>
        <v>739907.90145041526</v>
      </c>
      <c r="P15" s="30"/>
    </row>
    <row r="16" spans="1:16" x14ac:dyDescent="0.25">
      <c r="A16" s="32" t="s">
        <v>93</v>
      </c>
      <c r="B16" s="4">
        <f ca="1">'Normalized Annual Summary'!W11</f>
        <v>155062234.14183554</v>
      </c>
      <c r="C16" s="57">
        <f ca="1">B16/B17</f>
        <v>0.21858533481669981</v>
      </c>
      <c r="D16" s="4">
        <f ca="1">D17*C16</f>
        <v>1661248.5446069185</v>
      </c>
      <c r="F16" s="4">
        <f t="shared" ca="1" si="4"/>
        <v>153400985.59722862</v>
      </c>
      <c r="J16" s="32" t="s">
        <v>93</v>
      </c>
      <c r="K16" s="23">
        <f ca="1">'kW Forecast'!J16</f>
        <v>293152.16922210448</v>
      </c>
      <c r="L16" s="57">
        <f ca="1">K16/K17</f>
        <v>0.28158660011727327</v>
      </c>
      <c r="M16" s="23">
        <f t="shared" ca="1" si="3"/>
        <v>3140.6655344790415</v>
      </c>
      <c r="N16" s="30"/>
      <c r="O16" s="23">
        <f t="shared" ca="1" si="5"/>
        <v>290011.50368762546</v>
      </c>
      <c r="P16" s="30"/>
    </row>
    <row r="17" spans="1:16" ht="13.8" thickBot="1" x14ac:dyDescent="0.3">
      <c r="A17" s="32" t="s">
        <v>111</v>
      </c>
      <c r="B17" s="58">
        <f ca="1">SUM(B13:B16)</f>
        <v>709389924.40580177</v>
      </c>
      <c r="C17" s="56">
        <v>1</v>
      </c>
      <c r="D17" s="58">
        <f>'Annual CDM'!D32</f>
        <v>7600000</v>
      </c>
      <c r="F17" s="58">
        <f t="shared" ca="1" si="4"/>
        <v>701789924.40580177</v>
      </c>
      <c r="G17" s="8">
        <f ca="1">-D17/B17</f>
        <v>-1.0713430989826789E-2</v>
      </c>
      <c r="J17" s="32" t="s">
        <v>111</v>
      </c>
      <c r="K17" s="60">
        <f ca="1">SUM(K13:K16)</f>
        <v>1041072.8674589432</v>
      </c>
      <c r="L17" s="56">
        <v>1</v>
      </c>
      <c r="M17" s="60">
        <f ca="1">SUM(M13:M16)</f>
        <v>11153.462320902479</v>
      </c>
      <c r="N17" s="30"/>
      <c r="O17" s="60">
        <f t="shared" ca="1" si="5"/>
        <v>1029919.4051380407</v>
      </c>
      <c r="P17" s="8">
        <f ca="1">-M17/K17</f>
        <v>-1.0713430989826789E-2</v>
      </c>
    </row>
    <row r="18" spans="1:16" x14ac:dyDescent="0.25">
      <c r="B18" s="33" t="s">
        <v>86</v>
      </c>
      <c r="C18" s="33"/>
      <c r="D18" s="33" t="s">
        <v>90</v>
      </c>
      <c r="J18" s="30"/>
      <c r="K18" s="33" t="s">
        <v>133</v>
      </c>
      <c r="L18" s="33"/>
      <c r="M18" s="33"/>
      <c r="N18" s="30"/>
      <c r="O18" s="30"/>
      <c r="P18" s="30"/>
    </row>
    <row r="21" spans="1:16" ht="79.2" x14ac:dyDescent="0.25">
      <c r="A21" s="59" t="s">
        <v>127</v>
      </c>
      <c r="B21" s="59" t="s">
        <v>179</v>
      </c>
      <c r="C21" s="52"/>
      <c r="D21" s="59" t="s">
        <v>123</v>
      </c>
      <c r="E21" s="52"/>
      <c r="F21" s="59" t="s">
        <v>177</v>
      </c>
      <c r="G21" s="30"/>
      <c r="J21" s="59" t="s">
        <v>128</v>
      </c>
      <c r="K21" s="59" t="s">
        <v>179</v>
      </c>
      <c r="L21" s="52"/>
      <c r="M21" s="59" t="s">
        <v>123</v>
      </c>
      <c r="N21" s="52"/>
      <c r="O21" s="59" t="s">
        <v>177</v>
      </c>
      <c r="P21" s="30"/>
    </row>
    <row r="22" spans="1:16" x14ac:dyDescent="0.25">
      <c r="A22" s="30"/>
      <c r="B22" s="33" t="s">
        <v>84</v>
      </c>
      <c r="C22" s="33" t="s">
        <v>124</v>
      </c>
      <c r="D22" s="33" t="s">
        <v>125</v>
      </c>
      <c r="E22" s="33"/>
      <c r="F22" s="33" t="s">
        <v>126</v>
      </c>
      <c r="G22" s="30"/>
      <c r="J22" s="30"/>
      <c r="K22" s="33" t="s">
        <v>129</v>
      </c>
      <c r="L22" s="33" t="s">
        <v>130</v>
      </c>
      <c r="M22" s="33" t="s">
        <v>131</v>
      </c>
      <c r="N22" s="33"/>
      <c r="O22" s="33" t="s">
        <v>132</v>
      </c>
      <c r="P22" s="30"/>
    </row>
    <row r="23" spans="1:16" x14ac:dyDescent="0.25">
      <c r="A23" s="32" t="s">
        <v>101</v>
      </c>
      <c r="B23" s="4">
        <f ca="1">'Normalized Annual Summary'!E12</f>
        <v>184072570.29515868</v>
      </c>
      <c r="C23" s="57">
        <f ca="1">B23/B27</f>
        <v>0.26049761360476031</v>
      </c>
      <c r="D23" s="4">
        <f ca="1">D27*C23</f>
        <v>3321344.5734606939</v>
      </c>
      <c r="E23" s="30"/>
      <c r="F23" s="4">
        <f ca="1">B23-D23</f>
        <v>180751225.72169799</v>
      </c>
      <c r="G23" s="30"/>
      <c r="J23" s="32" t="s">
        <v>101</v>
      </c>
      <c r="K23" s="23">
        <v>0</v>
      </c>
      <c r="L23" s="57">
        <f ca="1">K23/K27</f>
        <v>0</v>
      </c>
      <c r="M23" s="23">
        <f t="shared" ref="M23:M26" ca="1" si="6">K23/B23*D23</f>
        <v>0</v>
      </c>
      <c r="N23" s="30"/>
      <c r="O23" s="23">
        <f ca="1">K23-M23</f>
        <v>0</v>
      </c>
      <c r="P23" s="30"/>
    </row>
    <row r="24" spans="1:16" x14ac:dyDescent="0.25">
      <c r="A24" s="32" t="s">
        <v>102</v>
      </c>
      <c r="B24" s="4">
        <f ca="1">'Normalized Annual Summary'!K12</f>
        <v>92323638.533219546</v>
      </c>
      <c r="C24" s="57">
        <f ca="1">B24/B27</f>
        <v>0.13065546636659711</v>
      </c>
      <c r="D24" s="4">
        <f ca="1">D27*C24</f>
        <v>1665857.1961741131</v>
      </c>
      <c r="E24" s="30"/>
      <c r="F24" s="4">
        <f t="shared" ref="F24:F27" ca="1" si="7">B24-D24</f>
        <v>90657781.337045431</v>
      </c>
      <c r="G24" s="30"/>
      <c r="J24" s="32" t="s">
        <v>102</v>
      </c>
      <c r="K24" s="23">
        <v>0</v>
      </c>
      <c r="L24" s="57">
        <f ca="1">K24/K27</f>
        <v>0</v>
      </c>
      <c r="M24" s="23">
        <f t="shared" ca="1" si="6"/>
        <v>0</v>
      </c>
      <c r="N24" s="30"/>
      <c r="O24" s="23">
        <f t="shared" ref="O24:O27" ca="1" si="8">K24-M24</f>
        <v>0</v>
      </c>
      <c r="P24" s="30"/>
    </row>
    <row r="25" spans="1:16" x14ac:dyDescent="0.25">
      <c r="A25" s="32" t="s">
        <v>103</v>
      </c>
      <c r="B25" s="4">
        <f ca="1">'Normalized Annual Summary'!Q12</f>
        <v>274745148.26889813</v>
      </c>
      <c r="C25" s="57">
        <f ca="1">B25/B27</f>
        <v>0.38881651600111539</v>
      </c>
      <c r="D25" s="4">
        <f ca="1">D27*C25</f>
        <v>4957410.5790142212</v>
      </c>
      <c r="E25" s="30"/>
      <c r="F25" s="4">
        <f t="shared" ca="1" si="7"/>
        <v>269787737.68988389</v>
      </c>
      <c r="G25" s="30"/>
      <c r="J25" s="32" t="s">
        <v>103</v>
      </c>
      <c r="K25" s="23">
        <f ca="1">'kW Forecast'!E17</f>
        <v>750039.24484935321</v>
      </c>
      <c r="L25" s="57">
        <f ca="1">K25/K27</f>
        <v>0.7184443509565559</v>
      </c>
      <c r="M25" s="23">
        <f t="shared" ca="1" si="6"/>
        <v>13533.460046591612</v>
      </c>
      <c r="N25" s="30"/>
      <c r="O25" s="23">
        <f t="shared" ca="1" si="8"/>
        <v>736505.78480276163</v>
      </c>
      <c r="P25" s="30"/>
    </row>
    <row r="26" spans="1:16" x14ac:dyDescent="0.25">
      <c r="A26" s="32" t="s">
        <v>93</v>
      </c>
      <c r="B26" s="4">
        <f ca="1">'Normalized Annual Summary'!W12</f>
        <v>155477670.03301656</v>
      </c>
      <c r="C26" s="57">
        <f ca="1">B26/B27</f>
        <v>0.22003040402752722</v>
      </c>
      <c r="D26" s="4">
        <f ca="1">D27*C26</f>
        <v>2805387.6513509718</v>
      </c>
      <c r="E26" s="30"/>
      <c r="F26" s="4">
        <f t="shared" ca="1" si="7"/>
        <v>152672282.38166559</v>
      </c>
      <c r="G26" s="30"/>
      <c r="J26" s="32" t="s">
        <v>93</v>
      </c>
      <c r="K26" s="23">
        <f ca="1">'kW Forecast'!J17</f>
        <v>293937.56957020628</v>
      </c>
      <c r="L26" s="57">
        <f ca="1">K26/K27</f>
        <v>0.28155564904344416</v>
      </c>
      <c r="M26" s="23">
        <f t="shared" ca="1" si="6"/>
        <v>5303.7122807748765</v>
      </c>
      <c r="N26" s="30"/>
      <c r="O26" s="23">
        <f t="shared" ca="1" si="8"/>
        <v>288633.85728943138</v>
      </c>
      <c r="P26" s="30"/>
    </row>
    <row r="27" spans="1:16" ht="13.8" thickBot="1" x14ac:dyDescent="0.3">
      <c r="A27" s="32" t="s">
        <v>111</v>
      </c>
      <c r="B27" s="58">
        <f ca="1">SUM(B23:B26)</f>
        <v>706619027.13029289</v>
      </c>
      <c r="C27" s="56">
        <v>1</v>
      </c>
      <c r="D27" s="58">
        <f>'Annual CDM'!E32</f>
        <v>12750000</v>
      </c>
      <c r="E27" s="30"/>
      <c r="F27" s="58">
        <f t="shared" ca="1" si="7"/>
        <v>693869027.13029289</v>
      </c>
      <c r="G27" s="8">
        <f ca="1">-D27/B27</f>
        <v>-1.8043669234014327E-2</v>
      </c>
      <c r="J27" s="32" t="s">
        <v>111</v>
      </c>
      <c r="K27" s="60">
        <f ca="1">SUM(K23:K26)</f>
        <v>1043976.8144195594</v>
      </c>
      <c r="L27" s="56">
        <v>1</v>
      </c>
      <c r="M27" s="60">
        <f ca="1">SUM(M23:M26)</f>
        <v>18837.17232736649</v>
      </c>
      <c r="N27" s="30"/>
      <c r="O27" s="60">
        <f t="shared" ca="1" si="8"/>
        <v>1025139.6420921929</v>
      </c>
      <c r="P27" s="8">
        <f ca="1">-M27/K27</f>
        <v>-1.8043669234014327E-2</v>
      </c>
    </row>
    <row r="28" spans="1:16" x14ac:dyDescent="0.25">
      <c r="A28" s="30"/>
      <c r="B28" s="33" t="s">
        <v>86</v>
      </c>
      <c r="C28" s="33"/>
      <c r="D28" s="33" t="s">
        <v>90</v>
      </c>
      <c r="E28" s="30"/>
      <c r="F28" s="30"/>
      <c r="G28" s="30"/>
      <c r="J28" s="30"/>
      <c r="K28" s="33" t="s">
        <v>133</v>
      </c>
      <c r="L28" s="33"/>
      <c r="M28" s="33"/>
      <c r="N28" s="30"/>
      <c r="O28" s="30"/>
      <c r="P28" s="30"/>
    </row>
    <row r="31" spans="1:16" s="30" customFormat="1" ht="79.2" x14ac:dyDescent="0.25">
      <c r="A31" s="59" t="s">
        <v>127</v>
      </c>
      <c r="B31" s="59" t="s">
        <v>184</v>
      </c>
      <c r="C31" s="81"/>
      <c r="D31" s="59" t="s">
        <v>123</v>
      </c>
      <c r="E31" s="81"/>
      <c r="F31" s="59" t="s">
        <v>185</v>
      </c>
      <c r="J31" s="59" t="s">
        <v>128</v>
      </c>
      <c r="K31" s="59" t="s">
        <v>184</v>
      </c>
      <c r="L31" s="81"/>
      <c r="M31" s="59" t="s">
        <v>123</v>
      </c>
      <c r="N31" s="81"/>
      <c r="O31" s="59" t="s">
        <v>185</v>
      </c>
    </row>
    <row r="32" spans="1:16" x14ac:dyDescent="0.25">
      <c r="A32" s="30"/>
      <c r="B32" s="33" t="s">
        <v>84</v>
      </c>
      <c r="C32" s="33" t="s">
        <v>124</v>
      </c>
      <c r="D32" s="33" t="s">
        <v>125</v>
      </c>
      <c r="E32" s="33"/>
      <c r="F32" s="33" t="s">
        <v>126</v>
      </c>
      <c r="G32" s="30"/>
      <c r="J32" s="30"/>
      <c r="K32" s="33" t="s">
        <v>129</v>
      </c>
      <c r="L32" s="33" t="s">
        <v>130</v>
      </c>
      <c r="M32" s="33" t="s">
        <v>131</v>
      </c>
      <c r="N32" s="33"/>
      <c r="O32" s="33" t="s">
        <v>132</v>
      </c>
      <c r="P32" s="30"/>
    </row>
    <row r="33" spans="1:16" x14ac:dyDescent="0.25">
      <c r="A33" s="32" t="s">
        <v>101</v>
      </c>
      <c r="B33" s="4">
        <f ca="1">'Normalized Annual Summary'!E13</f>
        <v>182209359.92569673</v>
      </c>
      <c r="C33" s="57">
        <f ca="1">B33/B37</f>
        <v>0.25881098841486944</v>
      </c>
      <c r="D33" s="4">
        <f ca="1">D37*C33</f>
        <v>4775062.736254341</v>
      </c>
      <c r="E33" s="30"/>
      <c r="F33" s="4">
        <f ca="1">B33-D33</f>
        <v>177434297.1894424</v>
      </c>
      <c r="G33" s="30"/>
      <c r="J33" s="32" t="s">
        <v>101</v>
      </c>
      <c r="K33" s="23">
        <v>0</v>
      </c>
      <c r="L33" s="57">
        <f ca="1">K33/K37</f>
        <v>0</v>
      </c>
      <c r="M33" s="23">
        <f t="shared" ref="M33:M36" ca="1" si="9">K33/B33*D33</f>
        <v>0</v>
      </c>
      <c r="N33" s="30"/>
      <c r="O33" s="23">
        <f ca="1">K33-M33</f>
        <v>0</v>
      </c>
      <c r="P33" s="30"/>
    </row>
    <row r="34" spans="1:16" x14ac:dyDescent="0.25">
      <c r="A34" s="32" t="s">
        <v>102</v>
      </c>
      <c r="B34" s="4">
        <f ca="1">'Normalized Annual Summary'!K13</f>
        <v>90275285.574780762</v>
      </c>
      <c r="C34" s="57">
        <f ca="1">B34/B37</f>
        <v>0.12822741871532467</v>
      </c>
      <c r="D34" s="4">
        <f ca="1">D37*C34</f>
        <v>2365795.8752977401</v>
      </c>
      <c r="E34" s="30"/>
      <c r="F34" s="4">
        <f t="shared" ref="F34:F37" ca="1" si="10">B34-D34</f>
        <v>87909489.699483022</v>
      </c>
      <c r="G34" s="30"/>
      <c r="J34" s="32" t="s">
        <v>102</v>
      </c>
      <c r="K34" s="23">
        <v>0</v>
      </c>
      <c r="L34" s="57">
        <f ca="1">K34/K37</f>
        <v>0</v>
      </c>
      <c r="M34" s="23">
        <f t="shared" ca="1" si="9"/>
        <v>0</v>
      </c>
      <c r="N34" s="30"/>
      <c r="O34" s="23">
        <f t="shared" ref="O34:O37" ca="1" si="11">K34-M34</f>
        <v>0</v>
      </c>
      <c r="P34" s="30"/>
    </row>
    <row r="35" spans="1:16" x14ac:dyDescent="0.25">
      <c r="A35" s="32" t="s">
        <v>103</v>
      </c>
      <c r="B35" s="4">
        <f ca="1">'Normalized Annual Summary'!Q13</f>
        <v>275580396.42801851</v>
      </c>
      <c r="C35" s="57">
        <f ca="1">B35/B37</f>
        <v>0.39143562557039868</v>
      </c>
      <c r="D35" s="4">
        <f ca="1">D37*C35</f>
        <v>7221987.2917738557</v>
      </c>
      <c r="E35" s="30"/>
      <c r="F35" s="4">
        <f t="shared" ca="1" si="10"/>
        <v>268358409.13624465</v>
      </c>
      <c r="G35" s="30"/>
      <c r="J35" s="32" t="s">
        <v>103</v>
      </c>
      <c r="K35" s="23">
        <f ca="1">'kW Forecast'!E18</f>
        <v>752319.42669232911</v>
      </c>
      <c r="L35" s="57">
        <f ca="1">K35/K37</f>
        <v>0.71843210080326425</v>
      </c>
      <c r="M35" s="23">
        <f t="shared" ca="1" si="9"/>
        <v>19715.630753676465</v>
      </c>
      <c r="N35" s="30"/>
      <c r="O35" s="23">
        <f t="shared" ca="1" si="11"/>
        <v>732603.79593865271</v>
      </c>
      <c r="P35" s="30"/>
    </row>
    <row r="36" spans="1:16" x14ac:dyDescent="0.25">
      <c r="A36" s="32" t="s">
        <v>93</v>
      </c>
      <c r="B36" s="4">
        <f ca="1">'Normalized Annual Summary'!W13</f>
        <v>155959779.58958554</v>
      </c>
      <c r="C36" s="57">
        <f ca="1">B36/B37</f>
        <v>0.22152596729940724</v>
      </c>
      <c r="D36" s="4">
        <f ca="1">D37*C36</f>
        <v>4087154.0966740637</v>
      </c>
      <c r="E36" s="30"/>
      <c r="F36" s="4">
        <f t="shared" ca="1" si="10"/>
        <v>151872625.49291149</v>
      </c>
      <c r="G36" s="30"/>
      <c r="J36" s="32" t="s">
        <v>93</v>
      </c>
      <c r="K36" s="23">
        <f ca="1">'kW Forecast'!J18</f>
        <v>294849.019499282</v>
      </c>
      <c r="L36" s="57">
        <f ca="1">K36/K37</f>
        <v>0.2815678991967358</v>
      </c>
      <c r="M36" s="23">
        <f t="shared" ca="1" si="9"/>
        <v>7726.949737413539</v>
      </c>
      <c r="N36" s="30"/>
      <c r="O36" s="23">
        <f t="shared" ca="1" si="11"/>
        <v>287122.06976186845</v>
      </c>
      <c r="P36" s="30"/>
    </row>
    <row r="37" spans="1:16" ht="13.8" thickBot="1" x14ac:dyDescent="0.3">
      <c r="A37" s="32" t="s">
        <v>111</v>
      </c>
      <c r="B37" s="58">
        <f ca="1">SUM(B33:B36)</f>
        <v>704024821.51808155</v>
      </c>
      <c r="C37" s="56">
        <v>1</v>
      </c>
      <c r="D37" s="58">
        <f>'Annual CDM'!F32</f>
        <v>18450000</v>
      </c>
      <c r="E37" s="30"/>
      <c r="F37" s="58">
        <f t="shared" ca="1" si="10"/>
        <v>685574821.51808155</v>
      </c>
      <c r="G37" s="8">
        <f ca="1">-D37/B37</f>
        <v>-2.6206462380426378E-2</v>
      </c>
      <c r="J37" s="32" t="s">
        <v>111</v>
      </c>
      <c r="K37" s="60">
        <f ca="1">SUM(K33:K36)</f>
        <v>1047168.4461916111</v>
      </c>
      <c r="L37" s="56">
        <v>1</v>
      </c>
      <c r="M37" s="60">
        <f ca="1">SUM(M33:M36)</f>
        <v>27442.580491090004</v>
      </c>
      <c r="N37" s="30"/>
      <c r="O37" s="60">
        <f t="shared" ca="1" si="11"/>
        <v>1019725.8657005212</v>
      </c>
      <c r="P37" s="8">
        <f ca="1">-M37/K37</f>
        <v>-2.6206462380426381E-2</v>
      </c>
    </row>
    <row r="38" spans="1:16" x14ac:dyDescent="0.25">
      <c r="A38" s="30"/>
      <c r="B38" s="33" t="s">
        <v>86</v>
      </c>
      <c r="C38" s="33"/>
      <c r="D38" s="33" t="s">
        <v>90</v>
      </c>
      <c r="E38" s="30"/>
      <c r="F38" s="30"/>
      <c r="G38" s="30"/>
      <c r="J38" s="30"/>
      <c r="K38" s="33" t="s">
        <v>133</v>
      </c>
      <c r="L38" s="33"/>
      <c r="M38" s="33"/>
      <c r="N38" s="30"/>
      <c r="O38" s="30"/>
      <c r="P38" s="30"/>
    </row>
    <row r="41" spans="1:16" s="30" customFormat="1" ht="79.2" x14ac:dyDescent="0.25">
      <c r="A41" s="59" t="s">
        <v>127</v>
      </c>
      <c r="B41" s="59" t="s">
        <v>182</v>
      </c>
      <c r="C41" s="81"/>
      <c r="D41" s="59" t="s">
        <v>123</v>
      </c>
      <c r="E41" s="81"/>
      <c r="F41" s="59" t="s">
        <v>183</v>
      </c>
      <c r="J41" s="59" t="s">
        <v>128</v>
      </c>
      <c r="K41" s="59" t="s">
        <v>182</v>
      </c>
      <c r="L41" s="81"/>
      <c r="M41" s="59" t="s">
        <v>123</v>
      </c>
      <c r="N41" s="81"/>
      <c r="O41" s="59" t="s">
        <v>183</v>
      </c>
    </row>
    <row r="42" spans="1:16" x14ac:dyDescent="0.25">
      <c r="A42" s="30"/>
      <c r="B42" s="33" t="s">
        <v>84</v>
      </c>
      <c r="C42" s="33" t="s">
        <v>124</v>
      </c>
      <c r="D42" s="33" t="s">
        <v>125</v>
      </c>
      <c r="E42" s="33"/>
      <c r="F42" s="33" t="s">
        <v>126</v>
      </c>
      <c r="G42" s="30"/>
      <c r="J42" s="30"/>
      <c r="K42" s="33" t="s">
        <v>129</v>
      </c>
      <c r="L42" s="33" t="s">
        <v>130</v>
      </c>
      <c r="M42" s="33" t="s">
        <v>131</v>
      </c>
      <c r="N42" s="33"/>
      <c r="O42" s="33" t="s">
        <v>132</v>
      </c>
      <c r="P42" s="30"/>
    </row>
    <row r="43" spans="1:16" x14ac:dyDescent="0.25">
      <c r="A43" s="32" t="s">
        <v>101</v>
      </c>
      <c r="B43" s="4">
        <f ca="1">'Normalized Annual Summary'!E14</f>
        <v>180362270.65388906</v>
      </c>
      <c r="C43" s="57">
        <f ca="1">B43/B47</f>
        <v>0.25706977079319265</v>
      </c>
      <c r="D43" s="4">
        <f ca="1">D47*C43</f>
        <v>6323916.361512539</v>
      </c>
      <c r="E43" s="30"/>
      <c r="F43" s="4">
        <f ca="1">B43-D43</f>
        <v>174038354.29237652</v>
      </c>
      <c r="G43" s="30"/>
      <c r="J43" s="32" t="s">
        <v>101</v>
      </c>
      <c r="K43" s="23">
        <v>0</v>
      </c>
      <c r="L43" s="57">
        <f ca="1">K43/K47</f>
        <v>0</v>
      </c>
      <c r="M43" s="23">
        <f t="shared" ref="M43:M46" ca="1" si="12">K43/B43*D43</f>
        <v>0</v>
      </c>
      <c r="N43" s="30"/>
      <c r="O43" s="23">
        <f ca="1">K43-M43</f>
        <v>0</v>
      </c>
      <c r="P43" s="30"/>
    </row>
    <row r="44" spans="1:16" x14ac:dyDescent="0.25">
      <c r="A44" s="32" t="s">
        <v>102</v>
      </c>
      <c r="B44" s="4">
        <f ca="1">'Normalized Annual Summary'!K14</f>
        <v>88261142.255866542</v>
      </c>
      <c r="C44" s="57">
        <f ca="1">B44/B47</f>
        <v>0.12579832537815605</v>
      </c>
      <c r="D44" s="4">
        <f ca="1">D47*C44</f>
        <v>3094638.8043026389</v>
      </c>
      <c r="E44" s="30"/>
      <c r="F44" s="4">
        <f t="shared" ref="F44:F47" ca="1" si="13">B44-D44</f>
        <v>85166503.45156391</v>
      </c>
      <c r="G44" s="30"/>
      <c r="J44" s="32" t="s">
        <v>102</v>
      </c>
      <c r="K44" s="23">
        <v>0</v>
      </c>
      <c r="L44" s="57">
        <f ca="1">K44/K47</f>
        <v>0</v>
      </c>
      <c r="M44" s="23">
        <f t="shared" ca="1" si="12"/>
        <v>0</v>
      </c>
      <c r="N44" s="30"/>
      <c r="O44" s="23">
        <f t="shared" ref="O44:O47" ca="1" si="14">K44-M44</f>
        <v>0</v>
      </c>
      <c r="P44" s="30"/>
    </row>
    <row r="45" spans="1:16" x14ac:dyDescent="0.25">
      <c r="A45" s="32" t="s">
        <v>103</v>
      </c>
      <c r="B45" s="4">
        <f ca="1">'Normalized Annual Summary'!Q14</f>
        <v>276475518.90870243</v>
      </c>
      <c r="C45" s="57">
        <f ca="1">B45/B47</f>
        <v>0.39405967788117674</v>
      </c>
      <c r="D45" s="4">
        <f ca="1">D47*C45</f>
        <v>9693868.0758769475</v>
      </c>
      <c r="E45" s="30"/>
      <c r="F45" s="4">
        <f t="shared" ca="1" si="13"/>
        <v>266781650.83282548</v>
      </c>
      <c r="G45" s="30"/>
      <c r="J45" s="32" t="s">
        <v>103</v>
      </c>
      <c r="K45" s="23">
        <f ca="1">'kW Forecast'!E19</f>
        <v>754763.06216210919</v>
      </c>
      <c r="L45" s="57">
        <f ca="1">K45/K47</f>
        <v>0.71837657101722108</v>
      </c>
      <c r="M45" s="23">
        <f t="shared" ca="1" si="12"/>
        <v>26463.730250056866</v>
      </c>
      <c r="N45" s="30"/>
      <c r="O45" s="23">
        <f t="shared" ca="1" si="14"/>
        <v>728299.33191205235</v>
      </c>
      <c r="P45" s="30"/>
    </row>
    <row r="46" spans="1:16" x14ac:dyDescent="0.25">
      <c r="A46" s="32" t="s">
        <v>93</v>
      </c>
      <c r="B46" s="4">
        <f ca="1">'Normalized Annual Summary'!W14</f>
        <v>156509312.89027819</v>
      </c>
      <c r="C46" s="57">
        <f ca="1">B46/B47</f>
        <v>0.22307222594747447</v>
      </c>
      <c r="D46" s="4">
        <f ca="1">D47*C46</f>
        <v>5487576.7583078723</v>
      </c>
      <c r="E46" s="30"/>
      <c r="F46" s="4">
        <f t="shared" ca="1" si="13"/>
        <v>151021736.13197032</v>
      </c>
      <c r="G46" s="30"/>
      <c r="J46" s="32" t="s">
        <v>93</v>
      </c>
      <c r="K46" s="23">
        <f ca="1">'kW Forecast'!J19</f>
        <v>295887.93706711789</v>
      </c>
      <c r="L46" s="57">
        <f ca="1">K46/K47</f>
        <v>0.28162342898277887</v>
      </c>
      <c r="M46" s="23">
        <f t="shared" ca="1" si="12"/>
        <v>10374.5121394245</v>
      </c>
      <c r="N46" s="30"/>
      <c r="O46" s="23">
        <f t="shared" ca="1" si="14"/>
        <v>285513.42492769338</v>
      </c>
      <c r="P46" s="30"/>
    </row>
    <row r="47" spans="1:16" ht="13.8" thickBot="1" x14ac:dyDescent="0.3">
      <c r="A47" s="32" t="s">
        <v>111</v>
      </c>
      <c r="B47" s="58">
        <f ca="1">SUM(B43:B46)</f>
        <v>701608244.7087363</v>
      </c>
      <c r="C47" s="56">
        <v>1</v>
      </c>
      <c r="D47" s="58">
        <f>'Annual CDM'!G32</f>
        <v>24600000</v>
      </c>
      <c r="E47" s="30"/>
      <c r="F47" s="58">
        <f t="shared" ca="1" si="13"/>
        <v>677008244.7087363</v>
      </c>
      <c r="G47" s="8">
        <f ca="1">-D47/B47</f>
        <v>-3.5062301769575664E-2</v>
      </c>
      <c r="J47" s="32" t="s">
        <v>111</v>
      </c>
      <c r="K47" s="60">
        <f ca="1">SUM(K43:K46)</f>
        <v>1050650.9992292272</v>
      </c>
      <c r="L47" s="56">
        <v>1</v>
      </c>
      <c r="M47" s="60">
        <f ca="1">SUM(M43:M46)</f>
        <v>36838.242389481369</v>
      </c>
      <c r="N47" s="30"/>
      <c r="O47" s="60">
        <f t="shared" ca="1" si="14"/>
        <v>1013812.7568397458</v>
      </c>
      <c r="P47" s="8">
        <f ca="1">-M47/K47</f>
        <v>-3.5062301769575664E-2</v>
      </c>
    </row>
    <row r="48" spans="1:16" x14ac:dyDescent="0.25">
      <c r="A48" s="30"/>
      <c r="B48" s="33" t="s">
        <v>86</v>
      </c>
      <c r="C48" s="33"/>
      <c r="D48" s="33" t="s">
        <v>90</v>
      </c>
      <c r="E48" s="30"/>
      <c r="F48" s="30"/>
      <c r="G48" s="30"/>
      <c r="J48" s="30"/>
      <c r="K48" s="33" t="s">
        <v>133</v>
      </c>
      <c r="L48" s="33"/>
      <c r="M48" s="33"/>
      <c r="N48" s="30"/>
      <c r="O48" s="30"/>
      <c r="P48" s="30"/>
    </row>
    <row r="51" spans="1:16" s="30" customFormat="1" ht="79.2" x14ac:dyDescent="0.25">
      <c r="A51" s="59" t="s">
        <v>127</v>
      </c>
      <c r="B51" s="59" t="s">
        <v>180</v>
      </c>
      <c r="C51" s="81"/>
      <c r="D51" s="59" t="s">
        <v>123</v>
      </c>
      <c r="E51" s="81"/>
      <c r="F51" s="59" t="s">
        <v>181</v>
      </c>
      <c r="J51" s="59" t="s">
        <v>128</v>
      </c>
      <c r="K51" s="59" t="s">
        <v>180</v>
      </c>
      <c r="L51" s="81"/>
      <c r="M51" s="59" t="s">
        <v>123</v>
      </c>
      <c r="N51" s="81"/>
      <c r="O51" s="59" t="s">
        <v>181</v>
      </c>
    </row>
    <row r="52" spans="1:16" x14ac:dyDescent="0.25">
      <c r="A52" s="30"/>
      <c r="B52" s="33" t="s">
        <v>84</v>
      </c>
      <c r="C52" s="33" t="s">
        <v>124</v>
      </c>
      <c r="D52" s="33" t="s">
        <v>125</v>
      </c>
      <c r="E52" s="33"/>
      <c r="F52" s="33" t="s">
        <v>126</v>
      </c>
      <c r="G52" s="30"/>
      <c r="J52" s="30"/>
      <c r="K52" s="33" t="s">
        <v>129</v>
      </c>
      <c r="L52" s="33" t="s">
        <v>130</v>
      </c>
      <c r="M52" s="33" t="s">
        <v>131</v>
      </c>
      <c r="N52" s="33"/>
      <c r="O52" s="33" t="s">
        <v>132</v>
      </c>
      <c r="P52" s="30"/>
    </row>
    <row r="53" spans="1:16" x14ac:dyDescent="0.25">
      <c r="A53" s="32" t="s">
        <v>101</v>
      </c>
      <c r="B53" s="4">
        <f ca="1">'Normalized Annual Summary'!E15</f>
        <v>178531405.13837859</v>
      </c>
      <c r="C53" s="57">
        <f ca="1">B53/B57</f>
        <v>0.25527451668573059</v>
      </c>
      <c r="D53" s="4">
        <f ca="1">D57*C53</f>
        <v>7977328.6464290805</v>
      </c>
      <c r="E53" s="30"/>
      <c r="F53" s="4">
        <f ca="1">B53-D53</f>
        <v>170554076.4919495</v>
      </c>
      <c r="G53" s="30"/>
      <c r="J53" s="32" t="s">
        <v>101</v>
      </c>
      <c r="K53" s="23">
        <v>0</v>
      </c>
      <c r="L53" s="57">
        <f ca="1">K53/K57</f>
        <v>0</v>
      </c>
      <c r="M53" s="23">
        <f t="shared" ref="M53:M56" ca="1" si="15">K53/B53*D53</f>
        <v>0</v>
      </c>
      <c r="N53" s="30"/>
      <c r="O53" s="23">
        <f ca="1">K53-M53</f>
        <v>0</v>
      </c>
      <c r="P53" s="30"/>
    </row>
    <row r="54" spans="1:16" x14ac:dyDescent="0.25">
      <c r="A54" s="32" t="s">
        <v>102</v>
      </c>
      <c r="B54" s="4">
        <f ca="1">'Normalized Annual Summary'!K15</f>
        <v>86280637.239671066</v>
      </c>
      <c r="C54" s="57">
        <f ca="1">B54/B57</f>
        <v>0.12336903948984351</v>
      </c>
      <c r="D54" s="4">
        <f ca="1">D57*C54</f>
        <v>3855282.4840576099</v>
      </c>
      <c r="E54" s="30"/>
      <c r="F54" s="4">
        <f t="shared" ref="F54:F57" ca="1" si="16">B54-D54</f>
        <v>82425354.755613461</v>
      </c>
      <c r="G54" s="30"/>
      <c r="J54" s="32" t="s">
        <v>102</v>
      </c>
      <c r="K54" s="23">
        <v>0</v>
      </c>
      <c r="L54" s="57">
        <f ca="1">K54/K57</f>
        <v>0</v>
      </c>
      <c r="M54" s="23">
        <f t="shared" ca="1" si="15"/>
        <v>0</v>
      </c>
      <c r="N54" s="30"/>
      <c r="O54" s="23">
        <f t="shared" ref="O54:O57" ca="1" si="17">K54-M54</f>
        <v>0</v>
      </c>
      <c r="P54" s="30"/>
    </row>
    <row r="55" spans="1:16" x14ac:dyDescent="0.25">
      <c r="A55" s="32" t="s">
        <v>103</v>
      </c>
      <c r="B55" s="4">
        <f ca="1">'Normalized Annual Summary'!Q15</f>
        <v>277431189.29706728</v>
      </c>
      <c r="C55" s="57">
        <f ca="1">B55/B57</f>
        <v>0.39668714143857925</v>
      </c>
      <c r="D55" s="4">
        <f ca="1">D57*C55</f>
        <v>12396473.169955602</v>
      </c>
      <c r="E55" s="30"/>
      <c r="F55" s="4">
        <f t="shared" ca="1" si="16"/>
        <v>265034716.12711167</v>
      </c>
      <c r="G55" s="30"/>
      <c r="J55" s="32" t="s">
        <v>103</v>
      </c>
      <c r="K55" s="23">
        <f ca="1">'kW Forecast'!E20</f>
        <v>757371.99011199432</v>
      </c>
      <c r="L55" s="57">
        <f ca="1">K55/K57</f>
        <v>0.71827775084656553</v>
      </c>
      <c r="M55" s="23">
        <f t="shared" ca="1" si="15"/>
        <v>33841.694507699911</v>
      </c>
      <c r="N55" s="30"/>
      <c r="O55" s="23">
        <f t="shared" ca="1" si="17"/>
        <v>723530.2956042944</v>
      </c>
      <c r="P55" s="30"/>
    </row>
    <row r="56" spans="1:16" x14ac:dyDescent="0.25">
      <c r="A56" s="32" t="s">
        <v>93</v>
      </c>
      <c r="B56" s="4">
        <f ca="1">'Normalized Annual Summary'!W15</f>
        <v>157127028.45221585</v>
      </c>
      <c r="C56" s="57">
        <f ca="1">B56/B57</f>
        <v>0.22466930238584645</v>
      </c>
      <c r="D56" s="4">
        <f ca="1">D57*C56</f>
        <v>7020915.6995577021</v>
      </c>
      <c r="E56" s="30"/>
      <c r="F56" s="4">
        <f t="shared" ca="1" si="16"/>
        <v>150106112.75265816</v>
      </c>
      <c r="G56" s="30"/>
      <c r="J56" s="32" t="s">
        <v>93</v>
      </c>
      <c r="K56" s="23">
        <f ca="1">'kW Forecast'!J20</f>
        <v>297055.75628464983</v>
      </c>
      <c r="L56" s="57">
        <f ca="1">K56/K57</f>
        <v>0.28172224915343452</v>
      </c>
      <c r="M56" s="23">
        <f t="shared" ca="1" si="15"/>
        <v>13273.358781663339</v>
      </c>
      <c r="N56" s="30"/>
      <c r="O56" s="23">
        <f t="shared" ca="1" si="17"/>
        <v>283782.39750298648</v>
      </c>
      <c r="P56" s="30"/>
    </row>
    <row r="57" spans="1:16" ht="13.8" thickBot="1" x14ac:dyDescent="0.3">
      <c r="A57" s="32" t="s">
        <v>111</v>
      </c>
      <c r="B57" s="58">
        <f ca="1">SUM(B53:B56)</f>
        <v>699370260.12733293</v>
      </c>
      <c r="C57" s="56">
        <v>1</v>
      </c>
      <c r="D57" s="58">
        <f>'Annual CDM'!H32</f>
        <v>31250000</v>
      </c>
      <c r="E57" s="30"/>
      <c r="F57" s="58">
        <f t="shared" ca="1" si="16"/>
        <v>668120260.12733293</v>
      </c>
      <c r="G57" s="8">
        <f ca="1">-D57/B57</f>
        <v>-4.468305528792485E-2</v>
      </c>
      <c r="J57" s="32" t="s">
        <v>111</v>
      </c>
      <c r="K57" s="60">
        <f ca="1">SUM(K53:K56)</f>
        <v>1054427.746396644</v>
      </c>
      <c r="L57" s="56">
        <v>1</v>
      </c>
      <c r="M57" s="60">
        <f ca="1">SUM(M53:M56)</f>
        <v>47115.053289363248</v>
      </c>
      <c r="N57" s="30"/>
      <c r="O57" s="60">
        <f t="shared" ca="1" si="17"/>
        <v>1007312.6931072808</v>
      </c>
      <c r="P57" s="8">
        <f ca="1">-M57/K57</f>
        <v>-4.468305528792485E-2</v>
      </c>
    </row>
    <row r="58" spans="1:16" x14ac:dyDescent="0.25">
      <c r="A58" s="30"/>
      <c r="B58" s="33" t="s">
        <v>86</v>
      </c>
      <c r="C58" s="33"/>
      <c r="D58" s="33" t="s">
        <v>90</v>
      </c>
      <c r="E58" s="30"/>
      <c r="F58" s="30"/>
      <c r="G58" s="30"/>
      <c r="J58" s="30"/>
      <c r="K58" s="33" t="s">
        <v>133</v>
      </c>
      <c r="L58" s="33"/>
      <c r="M58" s="33"/>
      <c r="N58" s="30"/>
      <c r="O58" s="30"/>
      <c r="P58" s="30"/>
    </row>
  </sheetData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5"/>
  <sheetViews>
    <sheetView tabSelected="1" topLeftCell="A37" zoomScale="72" zoomScaleNormal="72" workbookViewId="0">
      <selection activeCell="H34" sqref="H34"/>
    </sheetView>
  </sheetViews>
  <sheetFormatPr defaultRowHeight="13.2" x14ac:dyDescent="0.25"/>
  <cols>
    <col min="1" max="1" width="3" style="30" customWidth="1"/>
    <col min="2" max="2" width="16.109375" bestFit="1" customWidth="1"/>
    <col min="3" max="3" width="11.109375" bestFit="1" customWidth="1"/>
    <col min="4" max="4" width="10.109375" bestFit="1" customWidth="1"/>
    <col min="5" max="6" width="11.109375" bestFit="1" customWidth="1"/>
    <col min="7" max="7" width="11.5546875" bestFit="1" customWidth="1"/>
    <col min="9" max="9" width="11.109375" bestFit="1" customWidth="1"/>
    <col min="11" max="11" width="23.21875" bestFit="1" customWidth="1"/>
  </cols>
  <sheetData>
    <row r="1" spans="2:11" s="30" customFormat="1" x14ac:dyDescent="0.25"/>
    <row r="2" spans="2:11" ht="16.2" thickBot="1" x14ac:dyDescent="0.35">
      <c r="B2" s="76" t="s">
        <v>144</v>
      </c>
    </row>
    <row r="3" spans="2:11" x14ac:dyDescent="0.25">
      <c r="B3" s="70" t="s">
        <v>114</v>
      </c>
      <c r="C3" s="73" t="s">
        <v>101</v>
      </c>
      <c r="D3" s="74" t="s">
        <v>102</v>
      </c>
      <c r="E3" s="74" t="s">
        <v>103</v>
      </c>
      <c r="F3" s="74" t="s">
        <v>93</v>
      </c>
      <c r="G3" s="74" t="s">
        <v>94</v>
      </c>
      <c r="H3" s="75" t="s">
        <v>100</v>
      </c>
      <c r="I3" s="67" t="s">
        <v>111</v>
      </c>
      <c r="K3" s="165" t="s">
        <v>201</v>
      </c>
    </row>
    <row r="4" spans="2:11" s="30" customFormat="1" x14ac:dyDescent="0.25">
      <c r="B4" s="105" t="s">
        <v>199</v>
      </c>
      <c r="C4" s="144">
        <f>'Normalized Annual Summary'!C4</f>
        <v>196461749.94190001</v>
      </c>
      <c r="D4" s="145">
        <f>'Normalized Annual Summary'!I4</f>
        <v>93350686.924999997</v>
      </c>
      <c r="E4" s="145">
        <f>'Normalized Annual Summary'!O4</f>
        <v>270117289.67619997</v>
      </c>
      <c r="F4" s="145">
        <f>'Normalized Annual Summary'!U4</f>
        <v>148002868.85999998</v>
      </c>
      <c r="G4" s="145">
        <f>'Normalized Annual Summary'!AA4</f>
        <v>3992184.5421686745</v>
      </c>
      <c r="H4" s="146">
        <f>'Normalized Annual Summary'!AF4</f>
        <v>2256948.7499999995</v>
      </c>
      <c r="I4" s="147">
        <f t="shared" ref="I4" si="0">SUM(C4:H4)</f>
        <v>714181728.69526863</v>
      </c>
      <c r="K4" s="4">
        <f>SUM(C4:D4)</f>
        <v>289812436.86690003</v>
      </c>
    </row>
    <row r="5" spans="2:11" s="30" customFormat="1" x14ac:dyDescent="0.25">
      <c r="B5" s="105" t="s">
        <v>188</v>
      </c>
      <c r="C5" s="144">
        <f>'Normalized Annual Summary'!C5</f>
        <v>197410764.39520001</v>
      </c>
      <c r="D5" s="145">
        <f>'Normalized Annual Summary'!I5</f>
        <v>94126083.127000004</v>
      </c>
      <c r="E5" s="145">
        <f>'Normalized Annual Summary'!O5</f>
        <v>273806097.95489997</v>
      </c>
      <c r="F5" s="145">
        <f>'Normalized Annual Summary'!U5</f>
        <v>149058789.9682</v>
      </c>
      <c r="G5" s="145">
        <f>'Normalized Annual Summary'!AA5</f>
        <v>4076824</v>
      </c>
      <c r="H5" s="146">
        <f>'Normalized Annual Summary'!AF5</f>
        <v>2229012.04</v>
      </c>
      <c r="I5" s="147">
        <f t="shared" ref="I5:I6" si="1">SUM(C5:H5)</f>
        <v>720707571.48529983</v>
      </c>
      <c r="K5" s="4">
        <f t="shared" ref="K5:K21" si="2">SUM(C5:D5)</f>
        <v>291536847.52219999</v>
      </c>
    </row>
    <row r="6" spans="2:11" s="30" customFormat="1" x14ac:dyDescent="0.25">
      <c r="B6" s="105" t="s">
        <v>186</v>
      </c>
      <c r="C6" s="144">
        <f>'Normalized Annual Summary'!C6</f>
        <v>191104338.41010001</v>
      </c>
      <c r="D6" s="145">
        <f>'Normalized Annual Summary'!I6</f>
        <v>93008634.910999998</v>
      </c>
      <c r="E6" s="145">
        <f>'Normalized Annual Summary'!O6</f>
        <v>273712584.15109998</v>
      </c>
      <c r="F6" s="145">
        <f>'Normalized Annual Summary'!U6</f>
        <v>154491718.44549999</v>
      </c>
      <c r="G6" s="145">
        <f>'Normalized Annual Summary'!AA6</f>
        <v>4142238</v>
      </c>
      <c r="H6" s="146">
        <f>'Normalized Annual Summary'!AF6</f>
        <v>1517655.06</v>
      </c>
      <c r="I6" s="147">
        <f t="shared" si="1"/>
        <v>717977168.97769988</v>
      </c>
      <c r="K6" s="4">
        <f t="shared" si="2"/>
        <v>284112973.3211</v>
      </c>
    </row>
    <row r="7" spans="2:11" s="30" customFormat="1" x14ac:dyDescent="0.25">
      <c r="B7" s="105" t="s">
        <v>187</v>
      </c>
      <c r="C7" s="144">
        <f>'Normalized Annual Summary'!C7</f>
        <v>184953208.6112</v>
      </c>
      <c r="D7" s="145">
        <f>'Normalized Annual Summary'!I7</f>
        <v>88608640.897100002</v>
      </c>
      <c r="E7" s="145">
        <f>'Normalized Annual Summary'!O7</f>
        <v>274473667.94679999</v>
      </c>
      <c r="F7" s="145">
        <f>'Normalized Annual Summary'!U7</f>
        <v>155448434.65640002</v>
      </c>
      <c r="G7" s="145">
        <f>'Normalized Annual Summary'!AA7</f>
        <v>4555371</v>
      </c>
      <c r="H7" s="146">
        <f>'Normalized Annual Summary'!AF7</f>
        <v>1484560.47</v>
      </c>
      <c r="I7" s="147">
        <f>SUM(C7:H7)</f>
        <v>709523883.58150005</v>
      </c>
      <c r="K7" s="4">
        <f t="shared" si="2"/>
        <v>273561849.50830001</v>
      </c>
    </row>
    <row r="8" spans="2:11" x14ac:dyDescent="0.25">
      <c r="B8" s="71" t="s">
        <v>136</v>
      </c>
      <c r="C8" s="63">
        <f>'Normalized Annual Summary'!C8</f>
        <v>189348695.8743</v>
      </c>
      <c r="D8" s="61">
        <f>'Normalized Annual Summary'!I8</f>
        <v>86375577.059599996</v>
      </c>
      <c r="E8" s="61">
        <f>'Normalized Annual Summary'!O8</f>
        <v>279458000.47820002</v>
      </c>
      <c r="F8" s="61">
        <f>'Normalized Annual Summary'!U8</f>
        <v>153943745.77000001</v>
      </c>
      <c r="G8" s="61">
        <f>'Normalized Annual Summary'!AA8</f>
        <v>3336835</v>
      </c>
      <c r="H8" s="65">
        <f>'Normalized Annual Summary'!AF8</f>
        <v>1499819.8</v>
      </c>
      <c r="I8" s="68">
        <f>SUM(C8:H8)</f>
        <v>713962673.98210001</v>
      </c>
      <c r="K8" s="4">
        <f t="shared" si="2"/>
        <v>275724272.9339</v>
      </c>
    </row>
    <row r="9" spans="2:11" x14ac:dyDescent="0.25">
      <c r="B9" s="71" t="s">
        <v>134</v>
      </c>
      <c r="C9" s="63">
        <f>'Normalized Annual Summary'!C9</f>
        <v>192061408.34380001</v>
      </c>
      <c r="D9" s="61">
        <f>'Normalized Annual Summary'!I9</f>
        <v>91470554.884800017</v>
      </c>
      <c r="E9" s="61">
        <f>'Normalized Annual Summary'!O9</f>
        <v>272498127.16669995</v>
      </c>
      <c r="F9" s="61">
        <f>'Normalized Annual Summary'!U9</f>
        <v>151518193.477</v>
      </c>
      <c r="G9" s="61">
        <f>'Normalized Annual Summary'!AA9</f>
        <v>1817916.7936968291</v>
      </c>
      <c r="H9" s="65">
        <f>'Normalized Annual Summary'!AF9</f>
        <v>1247036.4200000002</v>
      </c>
      <c r="I9" s="68">
        <f t="shared" ref="I9:I21" si="3">SUM(C9:H9)</f>
        <v>710613237.08599675</v>
      </c>
      <c r="K9" s="4">
        <f t="shared" si="2"/>
        <v>283531963.22860003</v>
      </c>
    </row>
    <row r="10" spans="2:11" s="30" customFormat="1" x14ac:dyDescent="0.25">
      <c r="B10" s="105" t="s">
        <v>200</v>
      </c>
      <c r="C10" s="144">
        <f ca="1">'Normalized Annual Summary'!E4</f>
        <v>199546506.20707685</v>
      </c>
      <c r="D10" s="145">
        <f ca="1">'Normalized Annual Summary'!K4</f>
        <v>96482575.492475733</v>
      </c>
      <c r="E10" s="145">
        <f ca="1">'Normalized Annual Summary'!Q4</f>
        <v>271420409.96163136</v>
      </c>
      <c r="F10" s="145">
        <f ca="1">'Normalized Annual Summary'!W4</f>
        <v>149122149.37073734</v>
      </c>
      <c r="G10" s="145">
        <f>'Normalized Annual Summary'!AB4</f>
        <v>3992184.5421686745</v>
      </c>
      <c r="H10" s="146">
        <f>'Normalized Annual Summary'!AG4</f>
        <v>2256948.7499999995</v>
      </c>
      <c r="I10" s="147">
        <f t="shared" ca="1" si="3"/>
        <v>722820774.32408988</v>
      </c>
      <c r="K10" s="4">
        <f t="shared" ca="1" si="2"/>
        <v>296029081.6995526</v>
      </c>
    </row>
    <row r="11" spans="2:11" s="30" customFormat="1" x14ac:dyDescent="0.25">
      <c r="B11" s="105" t="s">
        <v>191</v>
      </c>
      <c r="C11" s="144">
        <f ca="1">'Normalized Annual Summary'!E5</f>
        <v>196067449.81953228</v>
      </c>
      <c r="D11" s="145">
        <f ca="1">'Normalized Annual Summary'!K5</f>
        <v>94604326.046246737</v>
      </c>
      <c r="E11" s="145">
        <f ca="1">'Normalized Annual Summary'!Q5</f>
        <v>272534006.54536551</v>
      </c>
      <c r="F11" s="145">
        <f ca="1">'Normalized Annual Summary'!W5</f>
        <v>149917703.69742325</v>
      </c>
      <c r="G11" s="145">
        <f>'Normalized Annual Summary'!AB5</f>
        <v>4076824</v>
      </c>
      <c r="H11" s="146">
        <f>'Normalized Annual Summary'!AG5</f>
        <v>2229012.04</v>
      </c>
      <c r="I11" s="147">
        <f t="shared" ref="I11:I14" ca="1" si="4">SUM(C11:H11)</f>
        <v>719429322.14856768</v>
      </c>
      <c r="K11" s="4">
        <f t="shared" ca="1" si="2"/>
        <v>290671775.86577904</v>
      </c>
    </row>
    <row r="12" spans="2:11" s="30" customFormat="1" x14ac:dyDescent="0.25">
      <c r="B12" s="105" t="s">
        <v>192</v>
      </c>
      <c r="C12" s="144">
        <f ca="1">'Normalized Annual Summary'!E6</f>
        <v>192468474.32717651</v>
      </c>
      <c r="D12" s="145">
        <f ca="1">'Normalized Annual Summary'!K6</f>
        <v>93451849.38676247</v>
      </c>
      <c r="E12" s="145">
        <f ca="1">'Normalized Annual Summary'!Q6</f>
        <v>276373014.81373316</v>
      </c>
      <c r="F12" s="145">
        <f ca="1">'Normalized Annual Summary'!W6</f>
        <v>153782310.92120907</v>
      </c>
      <c r="G12" s="145">
        <f>'Normalized Annual Summary'!AB6</f>
        <v>4142238</v>
      </c>
      <c r="H12" s="146">
        <f>'Normalized Annual Summary'!AG6</f>
        <v>1517655.06</v>
      </c>
      <c r="I12" s="147">
        <f t="shared" ca="1" si="4"/>
        <v>721735542.50888109</v>
      </c>
      <c r="K12" s="4">
        <f t="shared" ca="1" si="2"/>
        <v>285920323.71393895</v>
      </c>
    </row>
    <row r="13" spans="2:11" s="30" customFormat="1" x14ac:dyDescent="0.25">
      <c r="B13" s="105" t="s">
        <v>193</v>
      </c>
      <c r="C13" s="144">
        <f ca="1">'Normalized Annual Summary'!E7</f>
        <v>187753433.52981678</v>
      </c>
      <c r="D13" s="145">
        <f ca="1">'Normalized Annual Summary'!K7</f>
        <v>90368676.187782571</v>
      </c>
      <c r="E13" s="145">
        <f ca="1">'Normalized Annual Summary'!Q7</f>
        <v>274828836.04837596</v>
      </c>
      <c r="F13" s="145">
        <f ca="1">'Normalized Annual Summary'!W7</f>
        <v>151928995.37292206</v>
      </c>
      <c r="G13" s="145">
        <f>'Normalized Annual Summary'!AB7</f>
        <v>4555371</v>
      </c>
      <c r="H13" s="146">
        <f>'Normalized Annual Summary'!AG7</f>
        <v>1484560.47</v>
      </c>
      <c r="I13" s="147">
        <f t="shared" ca="1" si="4"/>
        <v>710919872.60889733</v>
      </c>
      <c r="K13" s="4">
        <f t="shared" ca="1" si="2"/>
        <v>278122109.71759933</v>
      </c>
    </row>
    <row r="14" spans="2:11" s="30" customFormat="1" x14ac:dyDescent="0.25">
      <c r="B14" s="105" t="s">
        <v>194</v>
      </c>
      <c r="C14" s="144">
        <f ca="1">'Normalized Annual Summary'!E8</f>
        <v>187855597.68140596</v>
      </c>
      <c r="D14" s="145">
        <f ca="1">'Normalized Annual Summary'!K8</f>
        <v>87743514.941602722</v>
      </c>
      <c r="E14" s="145">
        <f ca="1">'Normalized Annual Summary'!Q8</f>
        <v>278356828.05248821</v>
      </c>
      <c r="F14" s="145">
        <f ca="1">'Normalized Annual Summary'!W8</f>
        <v>155099352.4017114</v>
      </c>
      <c r="G14" s="145">
        <f>'Normalized Annual Summary'!AB8</f>
        <v>3336835</v>
      </c>
      <c r="H14" s="146">
        <f>'Normalized Annual Summary'!AG8</f>
        <v>1499819.8</v>
      </c>
      <c r="I14" s="147">
        <f t="shared" ca="1" si="4"/>
        <v>713891947.87720823</v>
      </c>
      <c r="K14" s="4">
        <f t="shared" ca="1" si="2"/>
        <v>275599112.62300867</v>
      </c>
    </row>
    <row r="15" spans="2:11" x14ac:dyDescent="0.25">
      <c r="B15" s="71" t="s">
        <v>137</v>
      </c>
      <c r="C15" s="63">
        <f ca="1">'Normalized Annual Summary'!E9</f>
        <v>189757911.12226292</v>
      </c>
      <c r="D15" s="61">
        <f ca="1">'Normalized Annual Summary'!K9</f>
        <v>92820327.819156781</v>
      </c>
      <c r="E15" s="61">
        <f ca="1">'Normalized Annual Summary'!Q9</f>
        <v>272478959.22987044</v>
      </c>
      <c r="F15" s="61">
        <f ca="1">'Normalized Annual Summary'!W9</f>
        <v>153957083.2555337</v>
      </c>
      <c r="G15" s="61">
        <f>'Normalized Annual Summary'!AB9</f>
        <v>1817916.7936968291</v>
      </c>
      <c r="H15" s="65">
        <f>'Normalized Annual Summary'!AG9</f>
        <v>1247036.4200000002</v>
      </c>
      <c r="I15" s="68">
        <f t="shared" ca="1" si="3"/>
        <v>712079234.64052069</v>
      </c>
      <c r="K15" s="4">
        <f t="shared" ca="1" si="2"/>
        <v>282578238.94141972</v>
      </c>
    </row>
    <row r="16" spans="2:11" x14ac:dyDescent="0.25">
      <c r="B16" s="71" t="s">
        <v>135</v>
      </c>
      <c r="C16" s="63">
        <f ca="1">'Normalized Annual Summary'!E10</f>
        <v>187846946.93631631</v>
      </c>
      <c r="D16" s="61">
        <f ca="1">'Normalized Annual Summary'!K10</f>
        <v>96525307.400662139</v>
      </c>
      <c r="E16" s="61">
        <f ca="1">'Normalized Annual Summary'!Q10</f>
        <v>273251617.9552204</v>
      </c>
      <c r="F16" s="61">
        <f ca="1">'Normalized Annual Summary'!W10</f>
        <v>154368711.61319837</v>
      </c>
      <c r="G16" s="61">
        <f>'Normalized Annual Summary'!AB10</f>
        <v>1814577.0773553622</v>
      </c>
      <c r="H16" s="65">
        <f>'Normalized Annual Summary'!AG10</f>
        <v>1221325.5922377929</v>
      </c>
      <c r="I16" s="68">
        <f t="shared" ca="1" si="3"/>
        <v>715028486.57499051</v>
      </c>
      <c r="K16" s="4">
        <f t="shared" ca="1" si="2"/>
        <v>284372254.33697844</v>
      </c>
    </row>
    <row r="17" spans="2:12" x14ac:dyDescent="0.25">
      <c r="B17" s="71" t="s">
        <v>138</v>
      </c>
      <c r="C17" s="63">
        <f ca="1">'Normalized Annual Summary'!E11</f>
        <v>185951799.75322267</v>
      </c>
      <c r="D17" s="61">
        <f ca="1">'Normalized Annual Summary'!K11</f>
        <v>94406782.171978414</v>
      </c>
      <c r="E17" s="61">
        <f ca="1">'Normalized Annual Summary'!Q11</f>
        <v>273969108.33876514</v>
      </c>
      <c r="F17" s="61">
        <f ca="1">'Normalized Annual Summary'!W11</f>
        <v>155062234.14183554</v>
      </c>
      <c r="G17" s="61">
        <f>'Normalized Annual Summary'!AB11</f>
        <v>1818158.4601505373</v>
      </c>
      <c r="H17" s="65">
        <f>'Normalized Annual Summary'!AG11</f>
        <v>1196144.8585880077</v>
      </c>
      <c r="I17" s="68">
        <f t="shared" ca="1" si="3"/>
        <v>712404227.72454023</v>
      </c>
      <c r="K17" s="4">
        <f t="shared" ca="1" si="2"/>
        <v>280358581.92520106</v>
      </c>
    </row>
    <row r="18" spans="2:12" x14ac:dyDescent="0.25">
      <c r="B18" s="71" t="s">
        <v>139</v>
      </c>
      <c r="C18" s="63">
        <f ca="1">'Normalized Annual Summary'!E12</f>
        <v>184072570.29515868</v>
      </c>
      <c r="D18" s="61">
        <f ca="1">'Normalized Annual Summary'!K12</f>
        <v>92323638.533219546</v>
      </c>
      <c r="E18" s="61">
        <f ca="1">'Normalized Annual Summary'!Q12</f>
        <v>274745148.26889813</v>
      </c>
      <c r="F18" s="61">
        <f ca="1">'Normalized Annual Summary'!W12</f>
        <v>155477670.03301656</v>
      </c>
      <c r="G18" s="61">
        <f>'Normalized Annual Summary'!AB12</f>
        <v>1821739.8429457126</v>
      </c>
      <c r="H18" s="65">
        <f>'Normalized Annual Summary'!AG12</f>
        <v>1171483.2898121688</v>
      </c>
      <c r="I18" s="68">
        <f t="shared" ca="1" si="3"/>
        <v>709612250.26305079</v>
      </c>
      <c r="K18" s="4">
        <f t="shared" ca="1" si="2"/>
        <v>276396208.8283782</v>
      </c>
    </row>
    <row r="19" spans="2:12" x14ac:dyDescent="0.25">
      <c r="B19" s="71" t="s">
        <v>140</v>
      </c>
      <c r="C19" s="63">
        <f ca="1">'Normalized Annual Summary'!E13</f>
        <v>182209359.92569673</v>
      </c>
      <c r="D19" s="61">
        <f ca="1">'Normalized Annual Summary'!K13</f>
        <v>90275285.574780762</v>
      </c>
      <c r="E19" s="61">
        <f ca="1">'Normalized Annual Summary'!Q13</f>
        <v>275580396.42801851</v>
      </c>
      <c r="F19" s="61">
        <f ca="1">'Normalized Annual Summary'!W13</f>
        <v>155959779.58958554</v>
      </c>
      <c r="G19" s="61">
        <f>'Normalized Annual Summary'!AB13</f>
        <v>1825321.2257408875</v>
      </c>
      <c r="H19" s="65">
        <f>'Normalized Annual Summary'!AG13</f>
        <v>1147330.1820058511</v>
      </c>
      <c r="I19" s="68">
        <f t="shared" ca="1" si="3"/>
        <v>706997472.92582834</v>
      </c>
      <c r="K19" s="4">
        <f t="shared" ca="1" si="2"/>
        <v>272484645.50047749</v>
      </c>
    </row>
    <row r="20" spans="2:12" x14ac:dyDescent="0.25">
      <c r="B20" s="71" t="s">
        <v>141</v>
      </c>
      <c r="C20" s="63">
        <f ca="1">'Normalized Annual Summary'!E14</f>
        <v>180362270.65388906</v>
      </c>
      <c r="D20" s="61">
        <f ca="1">'Normalized Annual Summary'!K14</f>
        <v>88261142.255866542</v>
      </c>
      <c r="E20" s="61">
        <f ca="1">'Normalized Annual Summary'!Q14</f>
        <v>276475518.90870243</v>
      </c>
      <c r="F20" s="61">
        <f ca="1">'Normalized Annual Summary'!W14</f>
        <v>156509312.89027819</v>
      </c>
      <c r="G20" s="61">
        <f>'Normalized Annual Summary'!AB14</f>
        <v>1828902.6085360628</v>
      </c>
      <c r="H20" s="65">
        <f>'Normalized Annual Summary'!AG14</f>
        <v>1123675.0519528456</v>
      </c>
      <c r="I20" s="68">
        <f t="shared" ca="1" si="3"/>
        <v>704560822.36922514</v>
      </c>
      <c r="K20" s="4">
        <f t="shared" ca="1" si="2"/>
        <v>268623412.90975559</v>
      </c>
    </row>
    <row r="21" spans="2:12" ht="13.8" thickBot="1" x14ac:dyDescent="0.3">
      <c r="B21" s="72" t="s">
        <v>142</v>
      </c>
      <c r="C21" s="64">
        <f ca="1">'Normalized Annual Summary'!E15</f>
        <v>178531405.13837859</v>
      </c>
      <c r="D21" s="62">
        <f ca="1">'Normalized Annual Summary'!K15</f>
        <v>86280637.239671066</v>
      </c>
      <c r="E21" s="62">
        <f ca="1">'Normalized Annual Summary'!Q15</f>
        <v>277431189.29706728</v>
      </c>
      <c r="F21" s="62">
        <f ca="1">'Normalized Annual Summary'!W15</f>
        <v>157127028.45221585</v>
      </c>
      <c r="G21" s="62">
        <f>'Normalized Annual Summary'!AB15</f>
        <v>1832483.9913312381</v>
      </c>
      <c r="H21" s="66">
        <f>'Normalized Annual Summary'!AG15</f>
        <v>1100507.632575111</v>
      </c>
      <c r="I21" s="69">
        <f t="shared" ca="1" si="3"/>
        <v>702303251.7512393</v>
      </c>
      <c r="J21" s="8">
        <f ca="1">(I21-I16)/I16</f>
        <v>-1.779682217236616E-2</v>
      </c>
      <c r="K21" s="4">
        <f t="shared" ca="1" si="2"/>
        <v>264812042.37804967</v>
      </c>
      <c r="L21" s="8">
        <f ca="1">(K21-K16)/K16</f>
        <v>-6.8783827045764093E-2</v>
      </c>
    </row>
    <row r="23" spans="2:12" ht="16.2" thickBot="1" x14ac:dyDescent="0.35">
      <c r="B23" s="76" t="s">
        <v>143</v>
      </c>
    </row>
    <row r="24" spans="2:12" x14ac:dyDescent="0.25">
      <c r="B24" s="70" t="s">
        <v>114</v>
      </c>
      <c r="C24" s="73" t="s">
        <v>101</v>
      </c>
      <c r="D24" s="74" t="s">
        <v>102</v>
      </c>
      <c r="E24" s="74" t="s">
        <v>103</v>
      </c>
      <c r="F24" s="74" t="s">
        <v>93</v>
      </c>
      <c r="G24" s="74" t="s">
        <v>94</v>
      </c>
      <c r="H24" s="75" t="s">
        <v>100</v>
      </c>
      <c r="I24" s="67" t="s">
        <v>111</v>
      </c>
    </row>
    <row r="25" spans="2:12" s="30" customFormat="1" x14ac:dyDescent="0.25">
      <c r="B25" s="105" t="s">
        <v>135</v>
      </c>
      <c r="C25" s="144">
        <f ca="1">'CDM Adjustments'!F3</f>
        <v>187160981.83910215</v>
      </c>
      <c r="D25" s="145">
        <f ca="1">'CDM Adjustments'!F4</f>
        <v>96172823.67412509</v>
      </c>
      <c r="E25" s="145">
        <f ca="1">'CDM Adjustments'!F5</f>
        <v>272253778.61989105</v>
      </c>
      <c r="F25" s="145">
        <f ca="1">'CDM Adjustments'!F6</f>
        <v>153804999.7722789</v>
      </c>
      <c r="G25" s="145">
        <f t="shared" ref="G25:H27" si="5">G16</f>
        <v>1814577.0773553622</v>
      </c>
      <c r="H25" s="146">
        <f t="shared" si="5"/>
        <v>1221325.5922377929</v>
      </c>
      <c r="I25" s="147">
        <f t="shared" ref="I25:I30" ca="1" si="6">SUM(C25:H25)</f>
        <v>712428486.57499039</v>
      </c>
      <c r="K25" s="4">
        <f t="shared" ref="K25:K30" ca="1" si="7">SUM(C25:D25)</f>
        <v>283333805.51322722</v>
      </c>
    </row>
    <row r="26" spans="2:12" x14ac:dyDescent="0.25">
      <c r="B26" s="71" t="s">
        <v>138</v>
      </c>
      <c r="C26" s="63">
        <f ca="1">'CDM Adjustments'!F13</f>
        <v>183959617.97913244</v>
      </c>
      <c r="D26" s="61">
        <f ca="1">'CDM Adjustments'!F14</f>
        <v>93395361.626207307</v>
      </c>
      <c r="E26" s="61">
        <f ca="1">'CDM Adjustments'!F15</f>
        <v>271033959.20323342</v>
      </c>
      <c r="F26" s="61">
        <f ca="1">'CDM Adjustments'!F16</f>
        <v>153400985.59722862</v>
      </c>
      <c r="G26" s="61">
        <f t="shared" si="5"/>
        <v>1818158.4601505373</v>
      </c>
      <c r="H26" s="65">
        <f t="shared" si="5"/>
        <v>1196144.8585880077</v>
      </c>
      <c r="I26" s="68">
        <f t="shared" ca="1" si="6"/>
        <v>704804227.72454035</v>
      </c>
      <c r="K26" s="4">
        <f t="shared" ca="1" si="7"/>
        <v>277354979.60533977</v>
      </c>
    </row>
    <row r="27" spans="2:12" x14ac:dyDescent="0.25">
      <c r="B27" s="71" t="s">
        <v>139</v>
      </c>
      <c r="C27" s="63">
        <f ca="1">'CDM Adjustments'!F23</f>
        <v>180751225.72169799</v>
      </c>
      <c r="D27" s="61">
        <f ca="1">'CDM Adjustments'!F24</f>
        <v>90657781.337045431</v>
      </c>
      <c r="E27" s="61">
        <f ca="1">'CDM Adjustments'!F25</f>
        <v>269787737.68988389</v>
      </c>
      <c r="F27" s="61">
        <f ca="1">'CDM Adjustments'!F26</f>
        <v>152672282.38166559</v>
      </c>
      <c r="G27" s="61">
        <f t="shared" si="5"/>
        <v>1821739.8429457126</v>
      </c>
      <c r="H27" s="65">
        <f t="shared" si="5"/>
        <v>1171483.2898121688</v>
      </c>
      <c r="I27" s="68">
        <f t="shared" ca="1" si="6"/>
        <v>696862250.26305079</v>
      </c>
      <c r="K27" s="4">
        <f t="shared" ca="1" si="7"/>
        <v>271409007.05874342</v>
      </c>
    </row>
    <row r="28" spans="2:12" x14ac:dyDescent="0.25">
      <c r="B28" s="71" t="s">
        <v>140</v>
      </c>
      <c r="C28" s="63">
        <f ca="1">'CDM Adjustments'!F33</f>
        <v>177434297.1894424</v>
      </c>
      <c r="D28" s="61">
        <f ca="1">'CDM Adjustments'!F34</f>
        <v>87909489.699483022</v>
      </c>
      <c r="E28" s="61">
        <f ca="1">'CDM Adjustments'!F35</f>
        <v>268358409.13624465</v>
      </c>
      <c r="F28" s="61">
        <f ca="1">'CDM Adjustments'!F36</f>
        <v>151872625.49291149</v>
      </c>
      <c r="G28" s="61">
        <f t="shared" ref="G28:H28" si="8">G19</f>
        <v>1825321.2257408875</v>
      </c>
      <c r="H28" s="65">
        <f t="shared" si="8"/>
        <v>1147330.1820058511</v>
      </c>
      <c r="I28" s="68">
        <f t="shared" ca="1" si="6"/>
        <v>688547472.92582834</v>
      </c>
      <c r="K28" s="4">
        <f t="shared" ca="1" si="7"/>
        <v>265343786.88892543</v>
      </c>
    </row>
    <row r="29" spans="2:12" x14ac:dyDescent="0.25">
      <c r="B29" s="71" t="s">
        <v>141</v>
      </c>
      <c r="C29" s="63">
        <f ca="1">'CDM Adjustments'!F43</f>
        <v>174038354.29237652</v>
      </c>
      <c r="D29" s="61">
        <f ca="1">'CDM Adjustments'!F44</f>
        <v>85166503.45156391</v>
      </c>
      <c r="E29" s="61">
        <f ca="1">'CDM Adjustments'!F45</f>
        <v>266781650.83282548</v>
      </c>
      <c r="F29" s="61">
        <f ca="1">'CDM Adjustments'!F46</f>
        <v>151021736.13197032</v>
      </c>
      <c r="G29" s="61">
        <f t="shared" ref="G29:H29" si="9">G20</f>
        <v>1828902.6085360628</v>
      </c>
      <c r="H29" s="65">
        <f t="shared" si="9"/>
        <v>1123675.0519528456</v>
      </c>
      <c r="I29" s="68">
        <f t="shared" ca="1" si="6"/>
        <v>679960822.36922503</v>
      </c>
      <c r="K29" s="4">
        <f t="shared" ca="1" si="7"/>
        <v>259204857.74394041</v>
      </c>
    </row>
    <row r="30" spans="2:12" ht="13.8" thickBot="1" x14ac:dyDescent="0.3">
      <c r="B30" s="72" t="s">
        <v>142</v>
      </c>
      <c r="C30" s="64">
        <f ca="1">'CDM Adjustments'!F53</f>
        <v>170554076.4919495</v>
      </c>
      <c r="D30" s="62">
        <f ca="1">'CDM Adjustments'!F54</f>
        <v>82425354.755613461</v>
      </c>
      <c r="E30" s="62">
        <f ca="1">'CDM Adjustments'!F55</f>
        <v>265034716.12711167</v>
      </c>
      <c r="F30" s="62">
        <f ca="1">'CDM Adjustments'!F56</f>
        <v>150106112.75265816</v>
      </c>
      <c r="G30" s="62">
        <f t="shared" ref="G30:H30" si="10">G21</f>
        <v>1832483.9913312381</v>
      </c>
      <c r="H30" s="66">
        <f t="shared" si="10"/>
        <v>1100507.632575111</v>
      </c>
      <c r="I30" s="69">
        <f t="shared" ca="1" si="6"/>
        <v>671053251.75123918</v>
      </c>
      <c r="J30" s="8">
        <f ca="1">(I30-I25)/I25</f>
        <v>-5.8076334121145566E-2</v>
      </c>
      <c r="K30" s="4">
        <f t="shared" ca="1" si="7"/>
        <v>252979431.24756294</v>
      </c>
      <c r="L30" s="8">
        <f ca="1">(K30-K25)/K25</f>
        <v>-0.10713290710468083</v>
      </c>
    </row>
    <row r="32" spans="2:12" ht="16.2" thickBot="1" x14ac:dyDescent="0.35">
      <c r="B32" s="76" t="s">
        <v>144</v>
      </c>
      <c r="C32" s="30"/>
      <c r="D32" s="30"/>
      <c r="E32" s="30"/>
      <c r="F32" s="30"/>
      <c r="G32" s="30"/>
      <c r="H32" s="30"/>
    </row>
    <row r="33" spans="2:6" x14ac:dyDescent="0.25">
      <c r="B33" s="70" t="s">
        <v>128</v>
      </c>
      <c r="C33" s="73" t="s">
        <v>103</v>
      </c>
      <c r="D33" s="74" t="s">
        <v>93</v>
      </c>
      <c r="E33" s="75" t="s">
        <v>94</v>
      </c>
      <c r="F33" s="67" t="s">
        <v>111</v>
      </c>
    </row>
    <row r="34" spans="2:6" s="30" customFormat="1" x14ac:dyDescent="0.25">
      <c r="B34" s="105" t="s">
        <v>199</v>
      </c>
      <c r="C34" s="144">
        <f>'kW Forecast'!E5</f>
        <v>721617</v>
      </c>
      <c r="D34" s="145">
        <f>'kW Forecast'!J5</f>
        <v>240786</v>
      </c>
      <c r="E34" s="146">
        <f>'kW Forecast'!O5</f>
        <v>11246.296000000002</v>
      </c>
      <c r="F34" s="147">
        <f t="shared" ref="F34" si="11">SUM(C34:E34)</f>
        <v>973649.29599999997</v>
      </c>
    </row>
    <row r="35" spans="2:6" s="30" customFormat="1" x14ac:dyDescent="0.25">
      <c r="B35" s="105" t="s">
        <v>188</v>
      </c>
      <c r="C35" s="144">
        <f>'kW Forecast'!E6</f>
        <v>747917</v>
      </c>
      <c r="D35" s="145">
        <f>'kW Forecast'!J6</f>
        <v>289659</v>
      </c>
      <c r="E35" s="146">
        <f>'kW Forecast'!O6</f>
        <v>11251.134999999998</v>
      </c>
      <c r="F35" s="147">
        <f t="shared" ref="F35:F37" si="12">SUM(C35:E35)</f>
        <v>1048827.135</v>
      </c>
    </row>
    <row r="36" spans="2:6" s="30" customFormat="1" x14ac:dyDescent="0.25">
      <c r="B36" s="105" t="s">
        <v>186</v>
      </c>
      <c r="C36" s="144">
        <f>'kW Forecast'!E7</f>
        <v>766581</v>
      </c>
      <c r="D36" s="145">
        <f>'kW Forecast'!J7</f>
        <v>294114</v>
      </c>
      <c r="E36" s="146">
        <f>'kW Forecast'!O7</f>
        <v>11236.715</v>
      </c>
      <c r="F36" s="147">
        <f t="shared" si="12"/>
        <v>1071931.7150000001</v>
      </c>
    </row>
    <row r="37" spans="2:6" s="30" customFormat="1" x14ac:dyDescent="0.25">
      <c r="B37" s="105" t="s">
        <v>187</v>
      </c>
      <c r="C37" s="144">
        <f>'kW Forecast'!E8</f>
        <v>781260</v>
      </c>
      <c r="D37" s="145">
        <f>'kW Forecast'!J8</f>
        <v>323212</v>
      </c>
      <c r="E37" s="146">
        <f>'kW Forecast'!O8</f>
        <v>10983.794</v>
      </c>
      <c r="F37" s="147">
        <f t="shared" si="12"/>
        <v>1115455.794</v>
      </c>
    </row>
    <row r="38" spans="2:6" x14ac:dyDescent="0.25">
      <c r="B38" s="71" t="s">
        <v>136</v>
      </c>
      <c r="C38" s="63">
        <f>'kW Forecast'!E9</f>
        <v>767156</v>
      </c>
      <c r="D38" s="61">
        <f>'kW Forecast'!J9</f>
        <v>291732</v>
      </c>
      <c r="E38" s="65">
        <f>'kW Forecast'!O9</f>
        <v>8303.8459999999995</v>
      </c>
      <c r="F38" s="68">
        <f t="shared" ref="F38:F51" si="13">SUM(C38:E38)</f>
        <v>1067191.8459999999</v>
      </c>
    </row>
    <row r="39" spans="2:6" x14ac:dyDescent="0.25">
      <c r="B39" s="71" t="s">
        <v>134</v>
      </c>
      <c r="C39" s="63">
        <f>'kW Forecast'!E10</f>
        <v>743905</v>
      </c>
      <c r="D39" s="61">
        <f>'kW Forecast'!J10</f>
        <v>286452</v>
      </c>
      <c r="E39" s="65">
        <f>'kW Forecast'!O10</f>
        <v>5045.1949999999997</v>
      </c>
      <c r="F39" s="68">
        <f t="shared" si="13"/>
        <v>1035402.1949999999</v>
      </c>
    </row>
    <row r="40" spans="2:6" s="30" customFormat="1" x14ac:dyDescent="0.25">
      <c r="B40" s="71" t="s">
        <v>200</v>
      </c>
      <c r="C40" s="63"/>
      <c r="D40" s="61"/>
      <c r="E40" s="65"/>
      <c r="F40" s="68"/>
    </row>
    <row r="41" spans="2:6" s="30" customFormat="1" x14ac:dyDescent="0.25">
      <c r="B41" s="71" t="s">
        <v>191</v>
      </c>
      <c r="C41" s="63"/>
      <c r="D41" s="61"/>
      <c r="E41" s="65"/>
      <c r="F41" s="68"/>
    </row>
    <row r="42" spans="2:6" s="30" customFormat="1" x14ac:dyDescent="0.25">
      <c r="B42" s="71" t="s">
        <v>192</v>
      </c>
      <c r="C42" s="63"/>
      <c r="D42" s="61"/>
      <c r="E42" s="65"/>
      <c r="F42" s="68"/>
    </row>
    <row r="43" spans="2:6" s="30" customFormat="1" x14ac:dyDescent="0.25">
      <c r="B43" s="71" t="s">
        <v>193</v>
      </c>
      <c r="C43" s="63"/>
      <c r="D43" s="61"/>
      <c r="E43" s="65"/>
      <c r="F43" s="68"/>
    </row>
    <row r="44" spans="2:6" s="30" customFormat="1" x14ac:dyDescent="0.25">
      <c r="B44" s="71" t="s">
        <v>194</v>
      </c>
      <c r="C44" s="63"/>
      <c r="D44" s="61"/>
      <c r="E44" s="65"/>
      <c r="F44" s="68"/>
    </row>
    <row r="45" spans="2:6" s="30" customFormat="1" x14ac:dyDescent="0.25">
      <c r="B45" s="71" t="s">
        <v>137</v>
      </c>
      <c r="C45" s="63">
        <f ca="1">'kW Forecast'!E14</f>
        <v>743852.67257964145</v>
      </c>
      <c r="D45" s="61">
        <f ca="1">'kW Forecast'!J14</f>
        <v>291062.83147052291</v>
      </c>
      <c r="E45" s="65">
        <f>'kW Forecast'!O14</f>
        <v>5045.1949999999997</v>
      </c>
      <c r="F45" s="68">
        <f t="shared" ref="F45" ca="1" si="14">SUM(C45:E45)</f>
        <v>1039960.6990501643</v>
      </c>
    </row>
    <row r="46" spans="2:6" x14ac:dyDescent="0.25">
      <c r="B46" s="71" t="s">
        <v>135</v>
      </c>
      <c r="C46" s="63">
        <f ca="1">'kW Forecast'!E15</f>
        <v>745961.98868782097</v>
      </c>
      <c r="D46" s="61">
        <f ca="1">'kW Forecast'!J15</f>
        <v>291841.03350424545</v>
      </c>
      <c r="E46" s="65">
        <f>'kW Forecast'!O15</f>
        <v>5035.9264128755458</v>
      </c>
      <c r="F46" s="68">
        <f t="shared" ca="1" si="13"/>
        <v>1042838.948604942</v>
      </c>
    </row>
    <row r="47" spans="2:6" x14ac:dyDescent="0.25">
      <c r="B47" s="71" t="s">
        <v>138</v>
      </c>
      <c r="C47" s="63">
        <f ca="1">'kW Forecast'!E16</f>
        <v>747920.69823683868</v>
      </c>
      <c r="D47" s="61">
        <f ca="1">'kW Forecast'!J16</f>
        <v>293152.16922210448</v>
      </c>
      <c r="E47" s="65">
        <f>'kW Forecast'!O16</f>
        <v>5045.8656876729137</v>
      </c>
      <c r="F47" s="68">
        <f t="shared" ca="1" si="13"/>
        <v>1046118.733146616</v>
      </c>
    </row>
    <row r="48" spans="2:6" x14ac:dyDescent="0.25">
      <c r="B48" s="71" t="s">
        <v>139</v>
      </c>
      <c r="C48" s="63">
        <f ca="1">'kW Forecast'!E17</f>
        <v>750039.24484935321</v>
      </c>
      <c r="D48" s="61">
        <f ca="1">'kW Forecast'!J17</f>
        <v>293937.56957020628</v>
      </c>
      <c r="E48" s="65">
        <f>'kW Forecast'!O17</f>
        <v>5055.8049624702826</v>
      </c>
      <c r="F48" s="68">
        <f t="shared" ca="1" si="13"/>
        <v>1049032.6193820296</v>
      </c>
    </row>
    <row r="49" spans="2:9" x14ac:dyDescent="0.25">
      <c r="B49" s="71" t="s">
        <v>140</v>
      </c>
      <c r="C49" s="63">
        <f ca="1">'kW Forecast'!E18</f>
        <v>752319.42669232911</v>
      </c>
      <c r="D49" s="61">
        <f ca="1">'kW Forecast'!J18</f>
        <v>294849.019499282</v>
      </c>
      <c r="E49" s="65">
        <f>'kW Forecast'!O18</f>
        <v>5065.7442372676505</v>
      </c>
      <c r="F49" s="68">
        <f t="shared" ca="1" si="13"/>
        <v>1052234.1904288789</v>
      </c>
    </row>
    <row r="50" spans="2:9" x14ac:dyDescent="0.25">
      <c r="B50" s="71" t="s">
        <v>141</v>
      </c>
      <c r="C50" s="63">
        <f ca="1">'kW Forecast'!E19</f>
        <v>754763.06216210919</v>
      </c>
      <c r="D50" s="61">
        <f ca="1">'kW Forecast'!J19</f>
        <v>295887.93706711789</v>
      </c>
      <c r="E50" s="65">
        <f>'kW Forecast'!O19</f>
        <v>5075.6835120650194</v>
      </c>
      <c r="F50" s="68">
        <f t="shared" ca="1" si="13"/>
        <v>1055726.6827412923</v>
      </c>
    </row>
    <row r="51" spans="2:9" ht="13.8" thickBot="1" x14ac:dyDescent="0.3">
      <c r="B51" s="72" t="s">
        <v>142</v>
      </c>
      <c r="C51" s="64">
        <f ca="1">'kW Forecast'!E20</f>
        <v>757371.99011199432</v>
      </c>
      <c r="D51" s="62">
        <f ca="1">'kW Forecast'!J20</f>
        <v>297055.75628464983</v>
      </c>
      <c r="E51" s="66">
        <f>'kW Forecast'!O20</f>
        <v>5085.6227868623882</v>
      </c>
      <c r="F51" s="69">
        <f t="shared" ca="1" si="13"/>
        <v>1059513.3691835064</v>
      </c>
      <c r="G51" s="8">
        <f ca="1">(F51-F46)/F46</f>
        <v>1.5989449378420905E-2</v>
      </c>
    </row>
    <row r="52" spans="2:9" x14ac:dyDescent="0.25">
      <c r="B52" s="30"/>
      <c r="C52" s="30"/>
      <c r="D52" s="30"/>
      <c r="E52" s="30"/>
      <c r="F52" s="30"/>
    </row>
    <row r="53" spans="2:9" ht="16.2" thickBot="1" x14ac:dyDescent="0.35">
      <c r="B53" s="76" t="s">
        <v>143</v>
      </c>
      <c r="C53" s="30"/>
      <c r="D53" s="30"/>
      <c r="E53" s="30"/>
      <c r="F53" s="30"/>
    </row>
    <row r="54" spans="2:9" x14ac:dyDescent="0.25">
      <c r="B54" s="70" t="s">
        <v>128</v>
      </c>
      <c r="C54" s="73" t="s">
        <v>103</v>
      </c>
      <c r="D54" s="74" t="s">
        <v>93</v>
      </c>
      <c r="E54" s="75" t="s">
        <v>94</v>
      </c>
      <c r="F54" s="67" t="s">
        <v>111</v>
      </c>
    </row>
    <row r="55" spans="2:9" s="30" customFormat="1" x14ac:dyDescent="0.25">
      <c r="B55" s="105" t="s">
        <v>135</v>
      </c>
      <c r="C55" s="144">
        <f ca="1">'CDM Adjustments'!O5</f>
        <v>743237.94181650411</v>
      </c>
      <c r="D55" s="145">
        <f ca="1">'CDM Adjustments'!O6</f>
        <v>290775.31076462229</v>
      </c>
      <c r="E55" s="146">
        <f t="shared" ref="E55:E60" si="15">E46</f>
        <v>5035.9264128755458</v>
      </c>
      <c r="F55" s="147">
        <f t="shared" ref="F55:F60" ca="1" si="16">SUM(C55:E55)</f>
        <v>1039049.1789940019</v>
      </c>
    </row>
    <row r="56" spans="2:9" x14ac:dyDescent="0.25">
      <c r="B56" s="71" t="s">
        <v>138</v>
      </c>
      <c r="C56" s="63">
        <f ca="1">'CDM Adjustments'!O15</f>
        <v>739907.90145041526</v>
      </c>
      <c r="D56" s="61">
        <f ca="1">'CDM Adjustments'!O16</f>
        <v>290011.50368762546</v>
      </c>
      <c r="E56" s="65">
        <f t="shared" si="15"/>
        <v>5045.8656876729137</v>
      </c>
      <c r="F56" s="68">
        <f t="shared" ca="1" si="16"/>
        <v>1034965.2708257135</v>
      </c>
    </row>
    <row r="57" spans="2:9" x14ac:dyDescent="0.25">
      <c r="B57" s="71" t="s">
        <v>139</v>
      </c>
      <c r="C57" s="63">
        <f ca="1">'CDM Adjustments'!O25</f>
        <v>736505.78480276163</v>
      </c>
      <c r="D57" s="61">
        <f ca="1">'CDM Adjustments'!O26</f>
        <v>288633.85728943138</v>
      </c>
      <c r="E57" s="65">
        <f t="shared" si="15"/>
        <v>5055.8049624702826</v>
      </c>
      <c r="F57" s="68">
        <f t="shared" ca="1" si="16"/>
        <v>1030195.4470546633</v>
      </c>
    </row>
    <row r="58" spans="2:9" x14ac:dyDescent="0.25">
      <c r="B58" s="71" t="s">
        <v>140</v>
      </c>
      <c r="C58" s="63">
        <f ca="1">'CDM Adjustments'!O35</f>
        <v>732603.79593865271</v>
      </c>
      <c r="D58" s="61">
        <f ca="1">'CDM Adjustments'!O36</f>
        <v>287122.06976186845</v>
      </c>
      <c r="E58" s="65">
        <f t="shared" si="15"/>
        <v>5065.7442372676505</v>
      </c>
      <c r="F58" s="68">
        <f t="shared" ca="1" si="16"/>
        <v>1024791.6099377888</v>
      </c>
    </row>
    <row r="59" spans="2:9" x14ac:dyDescent="0.25">
      <c r="B59" s="71" t="s">
        <v>141</v>
      </c>
      <c r="C59" s="63">
        <f ca="1">'CDM Adjustments'!O45</f>
        <v>728299.33191205235</v>
      </c>
      <c r="D59" s="61">
        <f ca="1">'CDM Adjustments'!O46</f>
        <v>285513.42492769338</v>
      </c>
      <c r="E59" s="65">
        <f t="shared" si="15"/>
        <v>5075.6835120650194</v>
      </c>
      <c r="F59" s="68">
        <f t="shared" ca="1" si="16"/>
        <v>1018888.4403518107</v>
      </c>
    </row>
    <row r="60" spans="2:9" ht="13.8" thickBot="1" x14ac:dyDescent="0.3">
      <c r="B60" s="72" t="s">
        <v>142</v>
      </c>
      <c r="C60" s="64">
        <f ca="1">'CDM Adjustments'!O55</f>
        <v>723530.2956042944</v>
      </c>
      <c r="D60" s="62">
        <f ca="1">'CDM Adjustments'!O56</f>
        <v>283782.39750298648</v>
      </c>
      <c r="E60" s="66">
        <f t="shared" si="15"/>
        <v>5085.6227868623882</v>
      </c>
      <c r="F60" s="69">
        <f t="shared" ca="1" si="16"/>
        <v>1012398.3158941433</v>
      </c>
      <c r="G60" s="8">
        <f ca="1">(F60-F55)/F55</f>
        <v>-2.5649279782562127E-2</v>
      </c>
    </row>
    <row r="61" spans="2:9" x14ac:dyDescent="0.25">
      <c r="B61" s="30"/>
      <c r="C61" s="30"/>
      <c r="D61" s="30"/>
      <c r="E61" s="30"/>
      <c r="F61" s="30"/>
      <c r="G61" s="30"/>
      <c r="H61" s="30"/>
    </row>
    <row r="62" spans="2:9" ht="16.2" thickBot="1" x14ac:dyDescent="0.35">
      <c r="B62" s="76" t="s">
        <v>145</v>
      </c>
      <c r="C62" s="30"/>
      <c r="D62" s="30"/>
      <c r="E62" s="30"/>
      <c r="F62" s="30"/>
      <c r="G62" s="30"/>
      <c r="H62" s="30"/>
      <c r="I62" s="30"/>
    </row>
    <row r="63" spans="2:9" x14ac:dyDescent="0.25">
      <c r="B63" s="70"/>
      <c r="C63" s="73" t="s">
        <v>101</v>
      </c>
      <c r="D63" s="74" t="s">
        <v>102</v>
      </c>
      <c r="E63" s="74" t="s">
        <v>103</v>
      </c>
      <c r="F63" s="74" t="s">
        <v>93</v>
      </c>
      <c r="G63" s="74" t="s">
        <v>94</v>
      </c>
      <c r="H63" s="75" t="s">
        <v>100</v>
      </c>
      <c r="I63" s="67" t="s">
        <v>111</v>
      </c>
    </row>
    <row r="64" spans="2:9" s="30" customFormat="1" x14ac:dyDescent="0.25">
      <c r="B64" s="71" t="s">
        <v>199</v>
      </c>
      <c r="C64" s="63">
        <f>'Connection count GS Adjusted '!C4</f>
        <v>23107.416666666668</v>
      </c>
      <c r="D64" s="61">
        <f>'Connection count GS Adjusted '!H4</f>
        <v>3319.4166666666665</v>
      </c>
      <c r="E64" s="61">
        <f>'Connection count GS Adjusted '!M4</f>
        <v>295.16666666666669</v>
      </c>
      <c r="F64" s="61">
        <f>'Connection count GS Adjusted '!R4</f>
        <v>3</v>
      </c>
      <c r="G64" s="61">
        <f>'Connection count GS Adjusted '!V4</f>
        <v>5114</v>
      </c>
      <c r="H64" s="65">
        <f>'Connection count GS Adjusted '!AA4</f>
        <v>162.58333333333334</v>
      </c>
      <c r="I64" s="68">
        <f t="shared" ref="I64" si="17">SUM(C64:H64)</f>
        <v>32001.583333333336</v>
      </c>
    </row>
    <row r="65" spans="2:10" s="30" customFormat="1" x14ac:dyDescent="0.25">
      <c r="B65" s="71" t="s">
        <v>188</v>
      </c>
      <c r="C65" s="63">
        <f>'Connection count GS Adjusted '!C5</f>
        <v>23163.416666666668</v>
      </c>
      <c r="D65" s="61">
        <f>'Connection count GS Adjusted '!H5</f>
        <v>3300</v>
      </c>
      <c r="E65" s="61">
        <f>'Connection count GS Adjusted '!M5</f>
        <v>293.83333333333331</v>
      </c>
      <c r="F65" s="61">
        <f>'Connection count GS Adjusted '!R5</f>
        <v>3</v>
      </c>
      <c r="G65" s="61">
        <f>'Connection count GS Adjusted '!V5</f>
        <v>5117.25</v>
      </c>
      <c r="H65" s="65">
        <f>'Connection count GS Adjusted '!AA5</f>
        <v>158.25</v>
      </c>
      <c r="I65" s="68">
        <f t="shared" ref="I65" si="18">SUM(C65:H65)</f>
        <v>32035.75</v>
      </c>
    </row>
    <row r="66" spans="2:10" s="30" customFormat="1" x14ac:dyDescent="0.25">
      <c r="B66" s="71" t="s">
        <v>186</v>
      </c>
      <c r="C66" s="63">
        <f>'Connection count GS Adjusted '!C6</f>
        <v>23212.083333333332</v>
      </c>
      <c r="D66" s="61">
        <f>'Connection count GS Adjusted '!H6</f>
        <v>3297.75</v>
      </c>
      <c r="E66" s="61">
        <f>'Connection count GS Adjusted '!M6</f>
        <v>291.08333333333331</v>
      </c>
      <c r="F66" s="61">
        <f>'Connection count GS Adjusted '!R6</f>
        <v>3</v>
      </c>
      <c r="G66" s="61">
        <f>'Connection count GS Adjusted '!V6</f>
        <v>5119.583333333333</v>
      </c>
      <c r="H66" s="65">
        <f>'Connection count GS Adjusted '!AA6</f>
        <v>155.5</v>
      </c>
      <c r="I66" s="68">
        <f t="shared" ref="I66:I67" si="19">SUM(C66:H66)</f>
        <v>32078.999999999996</v>
      </c>
    </row>
    <row r="67" spans="2:10" s="30" customFormat="1" x14ac:dyDescent="0.25">
      <c r="B67" s="71" t="s">
        <v>187</v>
      </c>
      <c r="C67" s="63">
        <f>'Connection count GS Adjusted '!C7</f>
        <v>23192.5</v>
      </c>
      <c r="D67" s="61">
        <f>'Connection count GS Adjusted '!H7</f>
        <v>3249.8333333333335</v>
      </c>
      <c r="E67" s="61">
        <f>'Connection count GS Adjusted '!M7</f>
        <v>306.58333333333331</v>
      </c>
      <c r="F67" s="61">
        <f>'Connection count GS Adjusted '!R7</f>
        <v>3</v>
      </c>
      <c r="G67" s="61">
        <f>'Connection count GS Adjusted '!V7</f>
        <v>5126</v>
      </c>
      <c r="H67" s="65">
        <f>'Connection count GS Adjusted '!AA7</f>
        <v>152</v>
      </c>
      <c r="I67" s="68">
        <f t="shared" si="19"/>
        <v>32029.916666666664</v>
      </c>
    </row>
    <row r="68" spans="2:10" x14ac:dyDescent="0.25">
      <c r="B68" s="71" t="s">
        <v>136</v>
      </c>
      <c r="C68" s="63">
        <f>'Connection count GS Adjusted '!C8</f>
        <v>23467.5</v>
      </c>
      <c r="D68" s="61">
        <f>'Connection count GS Adjusted '!H8</f>
        <v>3212.75</v>
      </c>
      <c r="E68" s="61">
        <f>'Connection count GS Adjusted '!M8</f>
        <v>317.75</v>
      </c>
      <c r="F68" s="61">
        <f>'Connection count GS Adjusted '!R8</f>
        <v>3</v>
      </c>
      <c r="G68" s="61">
        <f>'Connection count GS Adjusted '!V8</f>
        <v>5384.916666666667</v>
      </c>
      <c r="H68" s="65">
        <f>'Connection count GS Adjusted '!AA8</f>
        <v>150.83333333333334</v>
      </c>
      <c r="I68" s="68">
        <f>SUM(C68:H68)</f>
        <v>32536.75</v>
      </c>
    </row>
    <row r="69" spans="2:10" x14ac:dyDescent="0.25">
      <c r="B69" s="71" t="s">
        <v>134</v>
      </c>
      <c r="C69" s="63">
        <f>'Connection count GS Adjusted '!C9</f>
        <v>23852.583333333332</v>
      </c>
      <c r="D69" s="61">
        <f>'Connection count GS Adjusted '!H9</f>
        <v>3051.3333333333335</v>
      </c>
      <c r="E69" s="61">
        <f>'Connection count GS Adjusted '!M9</f>
        <v>324.5</v>
      </c>
      <c r="F69" s="61">
        <f>'Connection count GS Adjusted '!R9</f>
        <v>3</v>
      </c>
      <c r="G69" s="61">
        <f>'Connection count GS Adjusted '!V9</f>
        <v>5228.083333333333</v>
      </c>
      <c r="H69" s="65">
        <f>'Connection count GS Adjusted '!AA9</f>
        <v>146.5</v>
      </c>
      <c r="I69" s="68">
        <f t="shared" ref="I69:I75" si="20">SUM(C69:H69)</f>
        <v>32605.999999999996</v>
      </c>
    </row>
    <row r="70" spans="2:10" x14ac:dyDescent="0.25">
      <c r="B70" s="71" t="s">
        <v>135</v>
      </c>
      <c r="C70" s="63">
        <f>'Connection count GS Adjusted '!C10</f>
        <v>24004.475833780409</v>
      </c>
      <c r="D70" s="61">
        <f>'Connection count GS Adjusted '!H10</f>
        <v>3000.3728711861681</v>
      </c>
      <c r="E70" s="61">
        <f>'Connection count GS Adjusted '!M10</f>
        <v>330.70760277267368</v>
      </c>
      <c r="F70" s="61">
        <f>'Connection count GS Adjusted '!R10</f>
        <v>3</v>
      </c>
      <c r="G70" s="61">
        <f>'Connection count GS Adjusted '!V10</f>
        <v>5336.5</v>
      </c>
      <c r="H70" s="65">
        <f>'Connection count GS Adjusted '!AA10</f>
        <v>143.47952986235688</v>
      </c>
      <c r="I70" s="68">
        <f t="shared" si="20"/>
        <v>32818.535837601608</v>
      </c>
    </row>
    <row r="71" spans="2:10" x14ac:dyDescent="0.25">
      <c r="B71" s="71" t="s">
        <v>138</v>
      </c>
      <c r="C71" s="63">
        <f>'Connection count GS Adjusted '!C11</f>
        <v>24157.335580892955</v>
      </c>
      <c r="D71" s="61">
        <f>'Connection count GS Adjusted '!H11</f>
        <v>2950.2635021247315</v>
      </c>
      <c r="E71" s="61">
        <f>'Connection count GS Adjusted '!M11</f>
        <v>337.03395541340069</v>
      </c>
      <c r="F71" s="61">
        <f>'Connection count GS Adjusted '!R11</f>
        <v>3</v>
      </c>
      <c r="G71" s="61">
        <f>'Connection count GS Adjusted '!V11</f>
        <v>5348.5</v>
      </c>
      <c r="H71" s="65">
        <f>'Connection count GS Adjusted '!AA11</f>
        <v>140.52133439947414</v>
      </c>
      <c r="I71" s="68">
        <f t="shared" si="20"/>
        <v>32936.654372830562</v>
      </c>
    </row>
    <row r="72" spans="2:10" x14ac:dyDescent="0.25">
      <c r="B72" s="71" t="s">
        <v>139</v>
      </c>
      <c r="C72" s="63">
        <f>'Connection count GS Adjusted '!C12</f>
        <v>24311.16873406732</v>
      </c>
      <c r="D72" s="61">
        <f>'Connection count GS Adjusted '!H12</f>
        <v>2900.9910120031923</v>
      </c>
      <c r="E72" s="61">
        <f>'Connection count GS Adjusted '!M12</f>
        <v>343.48132957706599</v>
      </c>
      <c r="F72" s="61">
        <f>'Connection count GS Adjusted '!R12</f>
        <v>3</v>
      </c>
      <c r="G72" s="61">
        <f>'Connection count GS Adjusted '!V12</f>
        <v>5360.5</v>
      </c>
      <c r="H72" s="65">
        <f>'Connection count GS Adjusted '!AA12</f>
        <v>137.6241296605296</v>
      </c>
      <c r="I72" s="68">
        <f t="shared" si="20"/>
        <v>33056.765205308111</v>
      </c>
    </row>
    <row r="73" spans="2:10" x14ac:dyDescent="0.25">
      <c r="B73" s="71" t="s">
        <v>140</v>
      </c>
      <c r="C73" s="63">
        <f>'Connection count GS Adjusted '!C13</f>
        <v>24465.981491922685</v>
      </c>
      <c r="D73" s="61">
        <f>'Connection count GS Adjusted '!H13</f>
        <v>2852.5414240668401</v>
      </c>
      <c r="E73" s="61">
        <f>'Connection count GS Adjusted '!M13</f>
        <v>350.05204037473698</v>
      </c>
      <c r="F73" s="61">
        <f>'Connection count GS Adjusted '!R13</f>
        <v>3</v>
      </c>
      <c r="G73" s="61">
        <f>'Connection count GS Adjusted '!V13</f>
        <v>5372.5</v>
      </c>
      <c r="H73" s="65">
        <f>'Connection count GS Adjusted '!AA13</f>
        <v>134.78665816661319</v>
      </c>
      <c r="I73" s="68">
        <f t="shared" si="20"/>
        <v>33178.861614530877</v>
      </c>
    </row>
    <row r="74" spans="2:10" x14ac:dyDescent="0.25">
      <c r="B74" s="71" t="s">
        <v>141</v>
      </c>
      <c r="C74" s="63">
        <f>'Connection count GS Adjusted '!C14</f>
        <v>24621.780092550849</v>
      </c>
      <c r="D74" s="61">
        <f>'Connection count GS Adjusted '!H14</f>
        <v>2804.9009949874062</v>
      </c>
      <c r="E74" s="61">
        <f>'Connection count GS Adjusted '!M14</f>
        <v>356.74844720496901</v>
      </c>
      <c r="F74" s="61">
        <f>'Connection count GS Adjusted '!R14</f>
        <v>3</v>
      </c>
      <c r="G74" s="61">
        <f>'Connection count GS Adjusted '!V14</f>
        <v>5384.5</v>
      </c>
      <c r="H74" s="65">
        <f>'Connection count GS Adjusted '!AA14</f>
        <v>132.00768836494109</v>
      </c>
      <c r="I74" s="68">
        <f t="shared" si="20"/>
        <v>33302.937223108158</v>
      </c>
    </row>
    <row r="75" spans="2:10" ht="13.8" thickBot="1" x14ac:dyDescent="0.3">
      <c r="B75" s="72" t="s">
        <v>142</v>
      </c>
      <c r="C75" s="64">
        <f>'Connection count GS Adjusted '!C15</f>
        <v>24778.570813767583</v>
      </c>
      <c r="D75" s="62">
        <f>'Connection count GS Adjusted '!H15</f>
        <v>2758.0562109645957</v>
      </c>
      <c r="E75" s="62">
        <f>'Connection count GS Adjusted '!M15</f>
        <v>363.57295460101398</v>
      </c>
      <c r="F75" s="62">
        <f>'Connection count GS Adjusted '!R15</f>
        <v>3</v>
      </c>
      <c r="G75" s="62">
        <f>'Connection count GS Adjusted '!V15</f>
        <v>5396.5</v>
      </c>
      <c r="H75" s="66">
        <f>'Connection count GS Adjusted '!AA15</f>
        <v>129.28601409432264</v>
      </c>
      <c r="I75" s="69">
        <f t="shared" si="20"/>
        <v>33428.985993427515</v>
      </c>
      <c r="J75" s="8">
        <f>(I75-I70)/I70</f>
        <v>1.8600773625205062E-2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workbookViewId="0">
      <selection activeCell="F8" sqref="F8"/>
    </sheetView>
  </sheetViews>
  <sheetFormatPr defaultRowHeight="13.2" x14ac:dyDescent="0.25"/>
  <cols>
    <col min="4" max="4" width="9.33203125" bestFit="1" customWidth="1"/>
    <col min="5" max="6" width="9.44140625" bestFit="1" customWidth="1"/>
  </cols>
  <sheetData>
    <row r="1" spans="2:7" x14ac:dyDescent="0.25">
      <c r="C1" t="s">
        <v>95</v>
      </c>
      <c r="D1" t="s">
        <v>97</v>
      </c>
      <c r="E1" t="s">
        <v>96</v>
      </c>
      <c r="F1" t="s">
        <v>98</v>
      </c>
      <c r="G1" t="s">
        <v>99</v>
      </c>
    </row>
    <row r="2" spans="2:7" s="30" customFormat="1" x14ac:dyDescent="0.25">
      <c r="C2" s="83">
        <v>42069</v>
      </c>
      <c r="D2" s="83">
        <v>42030</v>
      </c>
      <c r="E2" s="83">
        <v>42061</v>
      </c>
      <c r="F2" s="83">
        <v>42061</v>
      </c>
    </row>
    <row r="3" spans="2:7" x14ac:dyDescent="0.25">
      <c r="B3">
        <v>2015</v>
      </c>
      <c r="C3" s="14">
        <v>8.9999999999999993E-3</v>
      </c>
      <c r="D3" s="14">
        <v>1.4E-2</v>
      </c>
      <c r="E3" s="14">
        <v>8.9999999999999993E-3</v>
      </c>
      <c r="F3" s="14">
        <v>1.4E-2</v>
      </c>
      <c r="G3" s="14">
        <f>AVERAGE(C3:F3)</f>
        <v>1.15E-2</v>
      </c>
    </row>
    <row r="4" spans="2:7" x14ac:dyDescent="0.25">
      <c r="B4">
        <v>2016</v>
      </c>
      <c r="C4" s="14">
        <v>1.2E-2</v>
      </c>
      <c r="D4" s="14">
        <v>1.0999999999999999E-2</v>
      </c>
      <c r="E4" s="14">
        <v>0.01</v>
      </c>
      <c r="F4" s="14">
        <v>1.2E-2</v>
      </c>
      <c r="G4" s="14">
        <f>AVERAGE(C4:F4)</f>
        <v>1.125E-2</v>
      </c>
    </row>
    <row r="5" spans="2:7" x14ac:dyDescent="0.25">
      <c r="B5" s="30">
        <v>2017</v>
      </c>
      <c r="C5" s="14"/>
      <c r="D5" s="14"/>
      <c r="E5" s="14"/>
      <c r="F5" s="14"/>
      <c r="G5" s="14">
        <f>G4</f>
        <v>1.125E-2</v>
      </c>
    </row>
    <row r="6" spans="2:7" x14ac:dyDescent="0.25">
      <c r="B6" s="30">
        <v>2018</v>
      </c>
      <c r="C6" s="14"/>
      <c r="D6" s="14"/>
      <c r="E6" s="14"/>
      <c r="F6" s="14"/>
      <c r="G6" s="14">
        <f>G5</f>
        <v>1.125E-2</v>
      </c>
    </row>
    <row r="7" spans="2:7" x14ac:dyDescent="0.25">
      <c r="B7" s="30">
        <v>2019</v>
      </c>
      <c r="C7" s="14"/>
      <c r="D7" s="14"/>
      <c r="E7" s="14"/>
      <c r="F7" s="14"/>
      <c r="G7" s="14">
        <f>G6</f>
        <v>1.125E-2</v>
      </c>
    </row>
    <row r="8" spans="2:7" x14ac:dyDescent="0.25">
      <c r="B8" s="30">
        <v>2020</v>
      </c>
      <c r="C8" s="14"/>
      <c r="D8" s="14"/>
      <c r="E8" s="14"/>
      <c r="F8" s="14"/>
      <c r="G8" s="14">
        <f>G7</f>
        <v>1.125E-2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" sqref="D1"/>
    </sheetView>
  </sheetViews>
  <sheetFormatPr defaultRowHeight="13.2" x14ac:dyDescent="0.25"/>
  <cols>
    <col min="1" max="1" width="19.44140625" customWidth="1"/>
    <col min="2" max="2" width="14" bestFit="1" customWidth="1"/>
    <col min="3" max="3" width="17.664062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164</v>
      </c>
    </row>
    <row r="2" spans="1:5" x14ac:dyDescent="0.25">
      <c r="A2" t="s">
        <v>46</v>
      </c>
    </row>
    <row r="4" spans="1:5" x14ac:dyDescent="0.25">
      <c r="B4" t="s">
        <v>47</v>
      </c>
      <c r="C4" t="s">
        <v>44</v>
      </c>
      <c r="D4" t="s">
        <v>48</v>
      </c>
      <c r="E4" t="s">
        <v>14</v>
      </c>
    </row>
    <row r="5" spans="1:5" x14ac:dyDescent="0.25">
      <c r="A5" t="s">
        <v>13</v>
      </c>
      <c r="B5" s="23">
        <v>-20568225.384695102</v>
      </c>
      <c r="C5" s="23">
        <v>12060647.358371999</v>
      </c>
      <c r="D5">
        <v>-1.70539978274197</v>
      </c>
      <c r="E5" s="5">
        <v>9.2752487306525994E-2</v>
      </c>
    </row>
    <row r="6" spans="1:5" x14ac:dyDescent="0.25">
      <c r="A6" t="s">
        <v>9</v>
      </c>
      <c r="B6" s="23">
        <v>15156.602844266199</v>
      </c>
      <c r="C6" s="23">
        <v>386.83122852155799</v>
      </c>
      <c r="D6">
        <v>39.181435537646998</v>
      </c>
      <c r="E6" s="5">
        <v>6.4850994173798796E-48</v>
      </c>
    </row>
    <row r="7" spans="1:5" x14ac:dyDescent="0.25">
      <c r="A7" t="s">
        <v>10</v>
      </c>
      <c r="B7" s="23">
        <v>38814.803762839598</v>
      </c>
      <c r="C7" s="23">
        <v>3196.7053033965599</v>
      </c>
      <c r="D7">
        <v>12.142127621710401</v>
      </c>
      <c r="E7" s="5">
        <v>1.3841071107162999E-18</v>
      </c>
    </row>
    <row r="8" spans="1:5" x14ac:dyDescent="0.25">
      <c r="A8" s="12" t="s">
        <v>81</v>
      </c>
      <c r="B8" s="23">
        <v>-30519.460269652202</v>
      </c>
      <c r="C8" s="23">
        <v>6951.9443721395101</v>
      </c>
      <c r="D8">
        <v>-4.39006105859555</v>
      </c>
      <c r="E8" s="5">
        <v>4.11920575480389E-5</v>
      </c>
    </row>
    <row r="9" spans="1:5" x14ac:dyDescent="0.25">
      <c r="A9" t="s">
        <v>160</v>
      </c>
      <c r="B9" s="23">
        <v>1362.7171001270001</v>
      </c>
      <c r="C9" s="23">
        <v>526.65113101296697</v>
      </c>
      <c r="D9">
        <v>2.5875138585688302</v>
      </c>
      <c r="E9" s="5">
        <v>1.18419646289076E-2</v>
      </c>
    </row>
    <row r="11" spans="1:5" x14ac:dyDescent="0.25">
      <c r="A11" t="s">
        <v>49</v>
      </c>
      <c r="B11" s="101">
        <v>15990835.633006901</v>
      </c>
      <c r="C11" t="s">
        <v>50</v>
      </c>
      <c r="D11">
        <v>3697974.1099613002</v>
      </c>
    </row>
    <row r="12" spans="1:5" x14ac:dyDescent="0.25">
      <c r="A12" t="s">
        <v>51</v>
      </c>
      <c r="B12">
        <v>30001170573044.898</v>
      </c>
      <c r="C12" t="s">
        <v>52</v>
      </c>
      <c r="D12">
        <v>669162.65979904099</v>
      </c>
    </row>
    <row r="13" spans="1:5" x14ac:dyDescent="0.25">
      <c r="A13" t="s">
        <v>15</v>
      </c>
      <c r="B13">
        <v>0.969100452547489</v>
      </c>
      <c r="C13" t="s">
        <v>16</v>
      </c>
      <c r="D13" s="6">
        <v>0.96725570344584699</v>
      </c>
    </row>
    <row r="14" spans="1:5" x14ac:dyDescent="0.25">
      <c r="A14" t="s">
        <v>161</v>
      </c>
      <c r="B14">
        <v>525.32913645799601</v>
      </c>
      <c r="C14" t="s">
        <v>17</v>
      </c>
      <c r="D14" s="5">
        <v>8.6693205720851408E-50</v>
      </c>
    </row>
    <row r="15" spans="1:5" x14ac:dyDescent="0.25">
      <c r="A15" t="s">
        <v>53</v>
      </c>
      <c r="B15">
        <v>-1065.3648646796701</v>
      </c>
      <c r="C15" t="s">
        <v>54</v>
      </c>
      <c r="D15">
        <v>2140.7297293593501</v>
      </c>
    </row>
    <row r="16" spans="1:5" x14ac:dyDescent="0.25">
      <c r="A16" t="s">
        <v>55</v>
      </c>
      <c r="B16">
        <v>2152.1130599544299</v>
      </c>
      <c r="C16" t="s">
        <v>56</v>
      </c>
      <c r="D16">
        <v>2145.2614669783902</v>
      </c>
    </row>
    <row r="17" spans="1:4" x14ac:dyDescent="0.25">
      <c r="A17" s="12" t="s">
        <v>57</v>
      </c>
      <c r="B17">
        <v>-2.3272455082605999E-2</v>
      </c>
      <c r="C17" t="s">
        <v>18</v>
      </c>
      <c r="D17">
        <v>2.0216670104025498</v>
      </c>
    </row>
    <row r="18" spans="1:4" x14ac:dyDescent="0.25">
      <c r="A18" s="32" t="s">
        <v>165</v>
      </c>
      <c r="B18">
        <v>0.27678999999999998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D2" sqref="D2"/>
    </sheetView>
  </sheetViews>
  <sheetFormatPr defaultRowHeight="13.2" x14ac:dyDescent="0.25"/>
  <cols>
    <col min="1" max="1" width="7.109375" style="11" bestFit="1" customWidth="1"/>
    <col min="2" max="2" width="7.109375" style="11" customWidth="1"/>
    <col min="3" max="3" width="12" bestFit="1" customWidth="1"/>
    <col min="4" max="5" width="12.6640625" bestFit="1" customWidth="1"/>
    <col min="6" max="6" width="5.5546875" bestFit="1" customWidth="1"/>
    <col min="7" max="7" width="8.6640625" style="30" bestFit="1" customWidth="1"/>
    <col min="9" max="10" width="14" style="101" bestFit="1" customWidth="1"/>
    <col min="11" max="12" width="12.88671875" style="101" bestFit="1" customWidth="1"/>
    <col min="13" max="13" width="14" style="101" bestFit="1" customWidth="1"/>
    <col min="14" max="14" width="14.44140625" style="101" bestFit="1" customWidth="1"/>
  </cols>
  <sheetData>
    <row r="1" spans="1:15" x14ac:dyDescent="0.25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Data'!M1</f>
        <v>HDD</v>
      </c>
      <c r="E1" t="str">
        <f>'Monthly Data'!N1</f>
        <v>CDD</v>
      </c>
      <c r="F1" t="str">
        <f>'Monthly Data'!S1</f>
        <v>Trend</v>
      </c>
      <c r="G1" s="30" t="str">
        <f>'Monthly Data'!T1</f>
        <v>Res Cust</v>
      </c>
      <c r="I1" s="101" t="s">
        <v>13</v>
      </c>
      <c r="J1" s="101" t="str">
        <f>D1</f>
        <v>HDD</v>
      </c>
      <c r="K1" s="101" t="str">
        <f>E1</f>
        <v>CDD</v>
      </c>
      <c r="L1" s="101" t="str">
        <f>F1</f>
        <v>Trend</v>
      </c>
      <c r="M1" s="101" t="str">
        <f>G1</f>
        <v>Res Cust</v>
      </c>
      <c r="N1" s="102" t="s">
        <v>58</v>
      </c>
      <c r="O1" s="12" t="s">
        <v>59</v>
      </c>
    </row>
    <row r="2" spans="1:15" x14ac:dyDescent="0.25">
      <c r="A2" s="11">
        <f>'Monthly Data'!A2</f>
        <v>39814</v>
      </c>
      <c r="B2" s="6">
        <f>YEAR(A2)</f>
        <v>2009</v>
      </c>
      <c r="C2">
        <f>'Monthly Data'!D2</f>
        <v>24633368.951099999</v>
      </c>
      <c r="D2">
        <f>'Monthly Data'!M2</f>
        <v>887.09999999999991</v>
      </c>
      <c r="E2">
        <f>'Monthly Data'!N2</f>
        <v>0</v>
      </c>
      <c r="F2">
        <f>'Monthly Data'!S2</f>
        <v>1</v>
      </c>
      <c r="G2" s="30">
        <f>'Monthly Data'!T2</f>
        <v>23190</v>
      </c>
      <c r="I2" s="101">
        <f>'Res OLS Model'!$B$5</f>
        <v>-20568225.384695102</v>
      </c>
      <c r="J2" s="101">
        <f>'Res OLS Model'!$B$6*D2</f>
        <v>13445422.383148544</v>
      </c>
      <c r="K2" s="101">
        <f>'Res OLS Model'!$B$7*E2</f>
        <v>0</v>
      </c>
      <c r="L2" s="101">
        <f>'Res OLS Model'!$B$8*F2</f>
        <v>-30519.460269652202</v>
      </c>
      <c r="M2" s="101">
        <f>'Res OLS Model'!$B$9*G2</f>
        <v>31601409.551945131</v>
      </c>
      <c r="N2" s="101">
        <f>SUM(I2:M2)</f>
        <v>24448087.090128921</v>
      </c>
      <c r="O2" s="13">
        <f>ABS(N2-C2)/C2</f>
        <v>7.5215802328493335E-3</v>
      </c>
    </row>
    <row r="3" spans="1:15" x14ac:dyDescent="0.25">
      <c r="A3" s="11">
        <f>'Monthly Data'!A3</f>
        <v>39845</v>
      </c>
      <c r="B3" s="6">
        <f t="shared" ref="B3:B61" si="0">YEAR(A3)</f>
        <v>2009</v>
      </c>
      <c r="C3">
        <f>'Monthly Data'!D3</f>
        <v>21259564.445299998</v>
      </c>
      <c r="D3">
        <f>'Monthly Data'!M3</f>
        <v>653.80000000000007</v>
      </c>
      <c r="E3">
        <f>'Monthly Data'!N3</f>
        <v>0</v>
      </c>
      <c r="F3">
        <f>'Monthly Data'!S3</f>
        <v>2</v>
      </c>
      <c r="G3" s="30">
        <f>'Monthly Data'!T3</f>
        <v>23198</v>
      </c>
      <c r="I3" s="101">
        <f>'Res OLS Model'!$B$5</f>
        <v>-20568225.384695102</v>
      </c>
      <c r="J3" s="101">
        <f>'Res OLS Model'!$B$6*D3</f>
        <v>9909386.9395812415</v>
      </c>
      <c r="K3" s="101">
        <f>'Res OLS Model'!$B$7*E3</f>
        <v>0</v>
      </c>
      <c r="L3" s="101">
        <f>'Res OLS Model'!$B$8*F3</f>
        <v>-61038.920539304403</v>
      </c>
      <c r="M3" s="101">
        <f>'Res OLS Model'!$B$9*G3</f>
        <v>31612311.288746148</v>
      </c>
      <c r="N3" s="101">
        <f t="shared" ref="N3:N61" si="1">SUM(I3:M3)</f>
        <v>20892433.923092984</v>
      </c>
      <c r="O3" s="13">
        <f t="shared" ref="O3:O61" si="2">ABS(N3-C3)/C3</f>
        <v>1.7268957844909113E-2</v>
      </c>
    </row>
    <row r="4" spans="1:15" x14ac:dyDescent="0.25">
      <c r="A4" s="11">
        <f>'Monthly Data'!A4</f>
        <v>39873</v>
      </c>
      <c r="B4" s="6">
        <f t="shared" si="0"/>
        <v>2009</v>
      </c>
      <c r="C4">
        <f>'Monthly Data'!D4</f>
        <v>20311506.205500003</v>
      </c>
      <c r="D4">
        <f>'Monthly Data'!M4</f>
        <v>555.60000000000014</v>
      </c>
      <c r="E4">
        <f>'Monthly Data'!N4</f>
        <v>0</v>
      </c>
      <c r="F4">
        <f>'Monthly Data'!S4</f>
        <v>3</v>
      </c>
      <c r="G4" s="30">
        <f>'Monthly Data'!T4</f>
        <v>23222</v>
      </c>
      <c r="I4" s="101">
        <f>'Res OLS Model'!$B$5</f>
        <v>-20568225.384695102</v>
      </c>
      <c r="J4" s="101">
        <f>'Res OLS Model'!$B$6*D4</f>
        <v>8421008.5402743015</v>
      </c>
      <c r="K4" s="101">
        <f>'Res OLS Model'!$B$7*E4</f>
        <v>0</v>
      </c>
      <c r="L4" s="101">
        <f>'Res OLS Model'!$B$8*F4</f>
        <v>-91558.380808956601</v>
      </c>
      <c r="M4" s="101">
        <f>'Res OLS Model'!$B$9*G4</f>
        <v>31645016.499149196</v>
      </c>
      <c r="N4" s="101">
        <f t="shared" si="1"/>
        <v>19406241.273919441</v>
      </c>
      <c r="O4" s="13">
        <f t="shared" si="2"/>
        <v>4.4569069493006486E-2</v>
      </c>
    </row>
    <row r="5" spans="1:15" x14ac:dyDescent="0.25">
      <c r="A5" s="11">
        <f>'Monthly Data'!A5</f>
        <v>39904</v>
      </c>
      <c r="B5" s="6">
        <f t="shared" si="0"/>
        <v>2009</v>
      </c>
      <c r="C5">
        <f>'Monthly Data'!D5</f>
        <v>15355678.4505</v>
      </c>
      <c r="D5">
        <f>'Monthly Data'!M5</f>
        <v>326.29999999999995</v>
      </c>
      <c r="E5">
        <f>'Monthly Data'!N5</f>
        <v>0.8</v>
      </c>
      <c r="F5">
        <f>'Monthly Data'!S5</f>
        <v>4</v>
      </c>
      <c r="G5" s="30">
        <f>'Monthly Data'!T5</f>
        <v>23086</v>
      </c>
      <c r="I5" s="101">
        <f>'Res OLS Model'!$B$5</f>
        <v>-20568225.384695102</v>
      </c>
      <c r="J5" s="101">
        <f>'Res OLS Model'!$B$6*D5</f>
        <v>4945599.5080840597</v>
      </c>
      <c r="K5" s="101">
        <f>'Res OLS Model'!$B$7*E5</f>
        <v>31051.843010271681</v>
      </c>
      <c r="L5" s="101">
        <f>'Res OLS Model'!$B$8*F5</f>
        <v>-122077.84107860881</v>
      </c>
      <c r="M5" s="101">
        <f>'Res OLS Model'!$B$9*G5</f>
        <v>31459686.973531924</v>
      </c>
      <c r="N5" s="101">
        <f t="shared" si="1"/>
        <v>15746035.098852543</v>
      </c>
      <c r="O5" s="13">
        <f t="shared" si="2"/>
        <v>2.542099651349709E-2</v>
      </c>
    </row>
    <row r="6" spans="1:15" x14ac:dyDescent="0.25">
      <c r="A6" s="11">
        <f>'Monthly Data'!A6</f>
        <v>39934</v>
      </c>
      <c r="B6" s="6">
        <f t="shared" si="0"/>
        <v>2009</v>
      </c>
      <c r="C6">
        <f>'Monthly Data'!D6</f>
        <v>13117710.1909</v>
      </c>
      <c r="D6">
        <f>'Monthly Data'!M6</f>
        <v>165.29999999999995</v>
      </c>
      <c r="E6">
        <f>'Monthly Data'!N6</f>
        <v>0</v>
      </c>
      <c r="F6">
        <f>'Monthly Data'!S6</f>
        <v>5</v>
      </c>
      <c r="G6" s="30">
        <f>'Monthly Data'!T6</f>
        <v>22950</v>
      </c>
      <c r="I6" s="101">
        <f>'Res OLS Model'!$B$5</f>
        <v>-20568225.384695102</v>
      </c>
      <c r="J6" s="101">
        <f>'Res OLS Model'!$B$6*D6</f>
        <v>2505386.4501572018</v>
      </c>
      <c r="K6" s="101">
        <f>'Res OLS Model'!$B$7*E6</f>
        <v>0</v>
      </c>
      <c r="L6" s="101">
        <f>'Res OLS Model'!$B$8*F6</f>
        <v>-152597.30134826101</v>
      </c>
      <c r="M6" s="101">
        <f>'Res OLS Model'!$B$9*G6</f>
        <v>31274357.447914653</v>
      </c>
      <c r="N6" s="101">
        <f t="shared" si="1"/>
        <v>13058921.212028492</v>
      </c>
      <c r="O6" s="13">
        <f t="shared" si="2"/>
        <v>4.4816494659479962E-3</v>
      </c>
    </row>
    <row r="7" spans="1:15" x14ac:dyDescent="0.25">
      <c r="A7" s="11">
        <f>'Monthly Data'!A7</f>
        <v>39965</v>
      </c>
      <c r="B7" s="6">
        <f t="shared" si="0"/>
        <v>2009</v>
      </c>
      <c r="C7">
        <f>'Monthly Data'!D7</f>
        <v>11957071.520799998</v>
      </c>
      <c r="D7">
        <f>'Monthly Data'!M7</f>
        <v>59.20000000000001</v>
      </c>
      <c r="E7">
        <f>'Monthly Data'!N7</f>
        <v>32.6</v>
      </c>
      <c r="F7">
        <f>'Monthly Data'!S7</f>
        <v>6</v>
      </c>
      <c r="G7" s="30">
        <f>'Monthly Data'!T7</f>
        <v>22947</v>
      </c>
      <c r="I7" s="101">
        <f>'Res OLS Model'!$B$5</f>
        <v>-20568225.384695102</v>
      </c>
      <c r="J7" s="101">
        <f>'Res OLS Model'!$B$6*D7</f>
        <v>897270.88838055916</v>
      </c>
      <c r="K7" s="101">
        <f>'Res OLS Model'!$B$7*E7</f>
        <v>1265362.6026685711</v>
      </c>
      <c r="L7" s="101">
        <f>'Res OLS Model'!$B$8*F7</f>
        <v>-183116.7616179132</v>
      </c>
      <c r="M7" s="101">
        <f>'Res OLS Model'!$B$9*G7</f>
        <v>31270269.296614271</v>
      </c>
      <c r="N7" s="101">
        <f t="shared" si="1"/>
        <v>12681560.641350389</v>
      </c>
      <c r="O7" s="13">
        <f t="shared" si="2"/>
        <v>6.0590849464277334E-2</v>
      </c>
    </row>
    <row r="8" spans="1:15" x14ac:dyDescent="0.25">
      <c r="A8" s="11">
        <f>'Monthly Data'!A8</f>
        <v>39995</v>
      </c>
      <c r="B8" s="6">
        <f t="shared" si="0"/>
        <v>2009</v>
      </c>
      <c r="C8">
        <f>'Monthly Data'!D8</f>
        <v>12423690.194100002</v>
      </c>
      <c r="D8">
        <f>'Monthly Data'!M8</f>
        <v>11.799999999999999</v>
      </c>
      <c r="E8">
        <f>'Monthly Data'!N8</f>
        <v>35.6</v>
      </c>
      <c r="F8">
        <f>'Monthly Data'!S8</f>
        <v>7</v>
      </c>
      <c r="G8" s="30">
        <f>'Monthly Data'!T8</f>
        <v>22995</v>
      </c>
      <c r="I8" s="101">
        <f>'Res OLS Model'!$B$5</f>
        <v>-20568225.384695102</v>
      </c>
      <c r="J8" s="101">
        <f>'Res OLS Model'!$B$6*D8</f>
        <v>178847.91356234113</v>
      </c>
      <c r="K8" s="101">
        <f>'Res OLS Model'!$B$7*E8</f>
        <v>1381807.0139570897</v>
      </c>
      <c r="L8" s="101">
        <f>'Res OLS Model'!$B$8*F8</f>
        <v>-213636.22188756542</v>
      </c>
      <c r="M8" s="101">
        <f>'Res OLS Model'!$B$9*G8</f>
        <v>31335679.717420366</v>
      </c>
      <c r="N8" s="101">
        <f t="shared" si="1"/>
        <v>12114473.038357131</v>
      </c>
      <c r="O8" s="13">
        <f t="shared" si="2"/>
        <v>2.4889316371533278E-2</v>
      </c>
    </row>
    <row r="9" spans="1:15" x14ac:dyDescent="0.25">
      <c r="A9" s="11">
        <f>'Monthly Data'!A9</f>
        <v>40026</v>
      </c>
      <c r="B9" s="6">
        <f t="shared" si="0"/>
        <v>2009</v>
      </c>
      <c r="C9">
        <f>'Monthly Data'!D9</f>
        <v>13070512.381900001</v>
      </c>
      <c r="D9">
        <f>'Monthly Data'!M9</f>
        <v>20.6</v>
      </c>
      <c r="E9">
        <f>'Monthly Data'!N9</f>
        <v>85.199999999999989</v>
      </c>
      <c r="F9">
        <f>'Monthly Data'!S9</f>
        <v>8</v>
      </c>
      <c r="G9" s="30">
        <f>'Monthly Data'!T9</f>
        <v>22990</v>
      </c>
      <c r="I9" s="101">
        <f>'Res OLS Model'!$B$5</f>
        <v>-20568225.384695102</v>
      </c>
      <c r="J9" s="101">
        <f>'Res OLS Model'!$B$6*D9</f>
        <v>312226.01859188371</v>
      </c>
      <c r="K9" s="101">
        <f>'Res OLS Model'!$B$7*E9</f>
        <v>3307021.2805939331</v>
      </c>
      <c r="L9" s="101">
        <f>'Res OLS Model'!$B$8*F9</f>
        <v>-244155.68215721761</v>
      </c>
      <c r="M9" s="101">
        <f>'Res OLS Model'!$B$9*G9</f>
        <v>31328866.13191973</v>
      </c>
      <c r="N9" s="101">
        <f t="shared" si="1"/>
        <v>14135732.364253227</v>
      </c>
      <c r="O9" s="13">
        <f t="shared" si="2"/>
        <v>8.1497951360218909E-2</v>
      </c>
    </row>
    <row r="10" spans="1:15" x14ac:dyDescent="0.25">
      <c r="A10" s="11">
        <f>'Monthly Data'!A10</f>
        <v>40057</v>
      </c>
      <c r="B10" s="6">
        <f t="shared" si="0"/>
        <v>2009</v>
      </c>
      <c r="C10">
        <f>'Monthly Data'!D10</f>
        <v>13202217.812000001</v>
      </c>
      <c r="D10">
        <f>'Monthly Data'!M10</f>
        <v>100.9</v>
      </c>
      <c r="E10">
        <f>'Monthly Data'!N10</f>
        <v>4.5999999999999996</v>
      </c>
      <c r="F10">
        <f>'Monthly Data'!S10</f>
        <v>9</v>
      </c>
      <c r="G10" s="30">
        <f>'Monthly Data'!T10</f>
        <v>23114</v>
      </c>
      <c r="I10" s="101">
        <f>'Res OLS Model'!$B$5</f>
        <v>-20568225.384695102</v>
      </c>
      <c r="J10" s="101">
        <f>'Res OLS Model'!$B$6*D10</f>
        <v>1529301.2269864597</v>
      </c>
      <c r="K10" s="101">
        <f>'Res OLS Model'!$B$7*E10</f>
        <v>178548.09730906214</v>
      </c>
      <c r="L10" s="101">
        <f>'Res OLS Model'!$B$8*F10</f>
        <v>-274675.14242686983</v>
      </c>
      <c r="M10" s="101">
        <f>'Res OLS Model'!$B$9*G10</f>
        <v>31497843.052335478</v>
      </c>
      <c r="N10" s="101">
        <f t="shared" si="1"/>
        <v>12362791.849509027</v>
      </c>
      <c r="O10" s="13">
        <f t="shared" si="2"/>
        <v>6.3582193116673749E-2</v>
      </c>
    </row>
    <row r="11" spans="1:15" x14ac:dyDescent="0.25">
      <c r="A11" s="11">
        <f>'Monthly Data'!A11</f>
        <v>40087</v>
      </c>
      <c r="B11" s="6">
        <f t="shared" si="0"/>
        <v>2009</v>
      </c>
      <c r="C11">
        <f>'Monthly Data'!D11</f>
        <v>14811561.364799999</v>
      </c>
      <c r="D11">
        <f>'Monthly Data'!M11</f>
        <v>330.19999999999993</v>
      </c>
      <c r="E11">
        <f>'Monthly Data'!N11</f>
        <v>0</v>
      </c>
      <c r="F11">
        <f>'Monthly Data'!S11</f>
        <v>10</v>
      </c>
      <c r="G11" s="30">
        <f>'Monthly Data'!T11</f>
        <v>23172</v>
      </c>
      <c r="I11" s="101">
        <f>'Res OLS Model'!$B$5</f>
        <v>-20568225.384695102</v>
      </c>
      <c r="J11" s="101">
        <f>'Res OLS Model'!$B$6*D11</f>
        <v>5004710.2591766976</v>
      </c>
      <c r="K11" s="101">
        <f>'Res OLS Model'!$B$7*E11</f>
        <v>0</v>
      </c>
      <c r="L11" s="101">
        <f>'Res OLS Model'!$B$8*F11</f>
        <v>-305194.60269652202</v>
      </c>
      <c r="M11" s="101">
        <f>'Res OLS Model'!$B$9*G11</f>
        <v>31576880.644142848</v>
      </c>
      <c r="N11" s="101">
        <f t="shared" si="1"/>
        <v>15708170.915927922</v>
      </c>
      <c r="O11" s="13">
        <f t="shared" si="2"/>
        <v>6.053443854060761E-2</v>
      </c>
    </row>
    <row r="12" spans="1:15" x14ac:dyDescent="0.25">
      <c r="A12" s="11">
        <f>'Monthly Data'!A12</f>
        <v>40118</v>
      </c>
      <c r="B12" s="6">
        <f t="shared" si="0"/>
        <v>2009</v>
      </c>
      <c r="C12">
        <f>'Monthly Data'!D12</f>
        <v>16459360.333399998</v>
      </c>
      <c r="D12">
        <f>'Monthly Data'!M12</f>
        <v>384.49999999999989</v>
      </c>
      <c r="E12">
        <f>'Monthly Data'!N12</f>
        <v>0</v>
      </c>
      <c r="F12">
        <f>'Monthly Data'!S12</f>
        <v>11</v>
      </c>
      <c r="G12" s="30">
        <f>'Monthly Data'!T12</f>
        <v>23202</v>
      </c>
      <c r="I12" s="101">
        <f>'Res OLS Model'!$B$5</f>
        <v>-20568225.384695102</v>
      </c>
      <c r="J12" s="101">
        <f>'Res OLS Model'!$B$6*D12</f>
        <v>5827713.7936203517</v>
      </c>
      <c r="K12" s="101">
        <f>'Res OLS Model'!$B$7*E12</f>
        <v>0</v>
      </c>
      <c r="L12" s="101">
        <f>'Res OLS Model'!$B$8*F12</f>
        <v>-335714.06296617421</v>
      </c>
      <c r="M12" s="101">
        <f>'Res OLS Model'!$B$9*G12</f>
        <v>31617762.157146655</v>
      </c>
      <c r="N12" s="101">
        <f t="shared" si="1"/>
        <v>16541536.503105732</v>
      </c>
      <c r="O12" s="13">
        <f t="shared" si="2"/>
        <v>4.9926709204475258E-3</v>
      </c>
    </row>
    <row r="13" spans="1:15" x14ac:dyDescent="0.25">
      <c r="A13" s="11">
        <f>'Monthly Data'!A13</f>
        <v>40148</v>
      </c>
      <c r="B13" s="6">
        <f t="shared" si="0"/>
        <v>2009</v>
      </c>
      <c r="C13">
        <f>'Monthly Data'!D13</f>
        <v>19859508.091600001</v>
      </c>
      <c r="D13">
        <f>'Monthly Data'!M13</f>
        <v>696.79999999999984</v>
      </c>
      <c r="E13">
        <f>'Monthly Data'!N13</f>
        <v>0</v>
      </c>
      <c r="F13">
        <f>'Monthly Data'!S13</f>
        <v>12</v>
      </c>
      <c r="G13" s="30">
        <f>'Monthly Data'!T13</f>
        <v>23223</v>
      </c>
      <c r="I13" s="101">
        <f>'Res OLS Model'!$B$5</f>
        <v>-20568225.384695102</v>
      </c>
      <c r="J13" s="101">
        <f>'Res OLS Model'!$B$6*D13</f>
        <v>10561120.861884685</v>
      </c>
      <c r="K13" s="101">
        <f>'Res OLS Model'!$B$7*E13</f>
        <v>0</v>
      </c>
      <c r="L13" s="101">
        <f>'Res OLS Model'!$B$8*F13</f>
        <v>-366233.5232358264</v>
      </c>
      <c r="M13" s="101">
        <f>'Res OLS Model'!$B$9*G13</f>
        <v>31646379.216249324</v>
      </c>
      <c r="N13" s="101">
        <f t="shared" si="1"/>
        <v>21273041.170203082</v>
      </c>
      <c r="O13" s="13">
        <f t="shared" si="2"/>
        <v>7.1176641036792096E-2</v>
      </c>
    </row>
    <row r="14" spans="1:15" x14ac:dyDescent="0.25">
      <c r="A14" s="11">
        <f>'Monthly Data'!A14</f>
        <v>40179</v>
      </c>
      <c r="B14" s="6">
        <f t="shared" si="0"/>
        <v>2010</v>
      </c>
      <c r="C14">
        <f>'Monthly Data'!D14</f>
        <v>23606855.725399997</v>
      </c>
      <c r="D14">
        <f>'Monthly Data'!M14</f>
        <v>750.59999999999991</v>
      </c>
      <c r="E14">
        <f>'Monthly Data'!N14</f>
        <v>0</v>
      </c>
      <c r="F14">
        <f>'Monthly Data'!S14</f>
        <v>13</v>
      </c>
      <c r="G14" s="30">
        <f>'Monthly Data'!T14</f>
        <v>23244</v>
      </c>
      <c r="I14" s="101">
        <f>'Res OLS Model'!$B$5</f>
        <v>-20568225.384695102</v>
      </c>
      <c r="J14" s="101">
        <f>'Res OLS Model'!$B$6*D14</f>
        <v>11376546.094906207</v>
      </c>
      <c r="K14" s="101">
        <f>'Res OLS Model'!$B$7*E14</f>
        <v>0</v>
      </c>
      <c r="L14" s="101">
        <f>'Res OLS Model'!$B$8*F14</f>
        <v>-396752.98350547859</v>
      </c>
      <c r="M14" s="101">
        <f>'Res OLS Model'!$B$9*G14</f>
        <v>31674996.27535199</v>
      </c>
      <c r="N14" s="101">
        <f t="shared" si="1"/>
        <v>22086564.002057619</v>
      </c>
      <c r="O14" s="13">
        <f t="shared" si="2"/>
        <v>6.4400432697464524E-2</v>
      </c>
    </row>
    <row r="15" spans="1:15" x14ac:dyDescent="0.25">
      <c r="A15" s="11">
        <f>'Monthly Data'!A15</f>
        <v>40210</v>
      </c>
      <c r="B15" s="6">
        <f t="shared" si="0"/>
        <v>2010</v>
      </c>
      <c r="C15">
        <f>'Monthly Data'!D15</f>
        <v>21091517.422400001</v>
      </c>
      <c r="D15">
        <f>'Monthly Data'!M15</f>
        <v>620.40000000000009</v>
      </c>
      <c r="E15">
        <f>'Monthly Data'!N15</f>
        <v>0</v>
      </c>
      <c r="F15">
        <f>'Monthly Data'!S15</f>
        <v>14</v>
      </c>
      <c r="G15" s="30">
        <f>'Monthly Data'!T15</f>
        <v>23206</v>
      </c>
      <c r="I15" s="101">
        <f>'Res OLS Model'!$B$5</f>
        <v>-20568225.384695102</v>
      </c>
      <c r="J15" s="101">
        <f>'Res OLS Model'!$B$6*D15</f>
        <v>9403156.4045827519</v>
      </c>
      <c r="K15" s="101">
        <f>'Res OLS Model'!$B$7*E15</f>
        <v>0</v>
      </c>
      <c r="L15" s="101">
        <f>'Res OLS Model'!$B$8*F15</f>
        <v>-427272.44377513084</v>
      </c>
      <c r="M15" s="101">
        <f>'Res OLS Model'!$B$9*G15</f>
        <v>31623213.025547165</v>
      </c>
      <c r="N15" s="101">
        <f t="shared" si="1"/>
        <v>20030871.601659685</v>
      </c>
      <c r="O15" s="13">
        <f t="shared" si="2"/>
        <v>5.0287791034601875E-2</v>
      </c>
    </row>
    <row r="16" spans="1:15" x14ac:dyDescent="0.25">
      <c r="A16" s="11">
        <f>'Monthly Data'!A16</f>
        <v>40238</v>
      </c>
      <c r="B16" s="6">
        <f t="shared" si="0"/>
        <v>2010</v>
      </c>
      <c r="C16">
        <f>'Monthly Data'!D16</f>
        <v>19291304.618700001</v>
      </c>
      <c r="D16">
        <f>'Monthly Data'!M16</f>
        <v>451.89999999999992</v>
      </c>
      <c r="E16">
        <f>'Monthly Data'!N16</f>
        <v>0</v>
      </c>
      <c r="F16">
        <f>'Monthly Data'!S16</f>
        <v>15</v>
      </c>
      <c r="G16" s="30">
        <f>'Monthly Data'!T16</f>
        <v>23227</v>
      </c>
      <c r="I16" s="101">
        <f>'Res OLS Model'!$B$5</f>
        <v>-20568225.384695102</v>
      </c>
      <c r="J16" s="101">
        <f>'Res OLS Model'!$B$6*D16</f>
        <v>6849268.8253238946</v>
      </c>
      <c r="K16" s="101">
        <f>'Res OLS Model'!$B$7*E16</f>
        <v>0</v>
      </c>
      <c r="L16" s="101">
        <f>'Res OLS Model'!$B$8*F16</f>
        <v>-457791.90404478303</v>
      </c>
      <c r="M16" s="101">
        <f>'Res OLS Model'!$B$9*G16</f>
        <v>31651830.084649831</v>
      </c>
      <c r="N16" s="101">
        <f t="shared" si="1"/>
        <v>17475081.621233843</v>
      </c>
      <c r="O16" s="13">
        <f t="shared" si="2"/>
        <v>9.414723541846956E-2</v>
      </c>
    </row>
    <row r="17" spans="1:15" x14ac:dyDescent="0.25">
      <c r="A17" s="11">
        <f>'Monthly Data'!A17</f>
        <v>40269</v>
      </c>
      <c r="B17" s="6">
        <f t="shared" si="0"/>
        <v>2010</v>
      </c>
      <c r="C17">
        <f>'Monthly Data'!D17</f>
        <v>14289179.892700002</v>
      </c>
      <c r="D17">
        <f>'Monthly Data'!M17</f>
        <v>243.49999999999989</v>
      </c>
      <c r="E17">
        <f>'Monthly Data'!N17</f>
        <v>1.3</v>
      </c>
      <c r="F17">
        <f>'Monthly Data'!S17</f>
        <v>16</v>
      </c>
      <c r="G17" s="30">
        <f>'Monthly Data'!T17</f>
        <v>23169</v>
      </c>
      <c r="I17" s="101">
        <f>'Res OLS Model'!$B$5</f>
        <v>-20568225.384695102</v>
      </c>
      <c r="J17" s="101">
        <f>'Res OLS Model'!$B$6*D17</f>
        <v>3690632.7925788178</v>
      </c>
      <c r="K17" s="101">
        <f>'Res OLS Model'!$B$7*E17</f>
        <v>50459.24489169148</v>
      </c>
      <c r="L17" s="101">
        <f>'Res OLS Model'!$B$8*F17</f>
        <v>-488311.36431443522</v>
      </c>
      <c r="M17" s="101">
        <f>'Res OLS Model'!$B$9*G17</f>
        <v>31572792.492842466</v>
      </c>
      <c r="N17" s="101">
        <f t="shared" si="1"/>
        <v>14257347.781303436</v>
      </c>
      <c r="O17" s="13">
        <f t="shared" si="2"/>
        <v>2.2277073726833193E-3</v>
      </c>
    </row>
    <row r="18" spans="1:15" x14ac:dyDescent="0.25">
      <c r="A18" s="11">
        <f>'Monthly Data'!A18</f>
        <v>40299</v>
      </c>
      <c r="B18" s="6">
        <f t="shared" si="0"/>
        <v>2010</v>
      </c>
      <c r="C18">
        <f>'Monthly Data'!D18</f>
        <v>12526333.185799999</v>
      </c>
      <c r="D18">
        <f>'Monthly Data'!M18</f>
        <v>110.2</v>
      </c>
      <c r="E18">
        <f>'Monthly Data'!N18</f>
        <v>26.100000000000005</v>
      </c>
      <c r="F18">
        <f>'Monthly Data'!S18</f>
        <v>17</v>
      </c>
      <c r="G18" s="30">
        <f>'Monthly Data'!T18</f>
        <v>22966</v>
      </c>
      <c r="I18" s="101">
        <f>'Res OLS Model'!$B$5</f>
        <v>-20568225.384695102</v>
      </c>
      <c r="J18" s="101">
        <f>'Res OLS Model'!$B$6*D18</f>
        <v>1670257.6334381353</v>
      </c>
      <c r="K18" s="101">
        <f>'Res OLS Model'!$B$7*E18</f>
        <v>1013066.3782101137</v>
      </c>
      <c r="L18" s="101">
        <f>'Res OLS Model'!$B$8*F18</f>
        <v>-518830.82458408742</v>
      </c>
      <c r="M18" s="101">
        <f>'Res OLS Model'!$B$9*G18</f>
        <v>31296160.921516683</v>
      </c>
      <c r="N18" s="101">
        <f t="shared" si="1"/>
        <v>12892428.723885741</v>
      </c>
      <c r="O18" s="13">
        <f t="shared" si="2"/>
        <v>2.9226073796340672E-2</v>
      </c>
    </row>
    <row r="19" spans="1:15" x14ac:dyDescent="0.25">
      <c r="A19" s="11">
        <f>'Monthly Data'!A19</f>
        <v>40330</v>
      </c>
      <c r="B19" s="6">
        <f t="shared" si="0"/>
        <v>2010</v>
      </c>
      <c r="C19">
        <f>'Monthly Data'!D19</f>
        <v>12654046.736899998</v>
      </c>
      <c r="D19">
        <f>'Monthly Data'!M19</f>
        <v>38.300000000000004</v>
      </c>
      <c r="E19">
        <f>'Monthly Data'!N19</f>
        <v>33.700000000000003</v>
      </c>
      <c r="F19">
        <f>'Monthly Data'!S19</f>
        <v>18</v>
      </c>
      <c r="G19" s="30">
        <f>'Monthly Data'!T19</f>
        <v>23006</v>
      </c>
      <c r="I19" s="101">
        <f>'Res OLS Model'!$B$5</f>
        <v>-20568225.384695102</v>
      </c>
      <c r="J19" s="101">
        <f>'Res OLS Model'!$B$6*D19</f>
        <v>580497.88893539552</v>
      </c>
      <c r="K19" s="101">
        <f>'Res OLS Model'!$B$7*E19</f>
        <v>1308058.8868076946</v>
      </c>
      <c r="L19" s="101">
        <f>'Res OLS Model'!$B$8*F19</f>
        <v>-549350.28485373966</v>
      </c>
      <c r="M19" s="101">
        <f>'Res OLS Model'!$B$9*G19</f>
        <v>31350669.605521765</v>
      </c>
      <c r="N19" s="101">
        <f t="shared" si="1"/>
        <v>12121650.711716015</v>
      </c>
      <c r="O19" s="13">
        <f t="shared" si="2"/>
        <v>4.2073183089444639E-2</v>
      </c>
    </row>
    <row r="20" spans="1:15" x14ac:dyDescent="0.25">
      <c r="A20" s="11">
        <f>'Monthly Data'!A20</f>
        <v>40360</v>
      </c>
      <c r="B20" s="6">
        <f t="shared" si="0"/>
        <v>2010</v>
      </c>
      <c r="C20">
        <f>'Monthly Data'!D20</f>
        <v>14622071.658500001</v>
      </c>
      <c r="D20">
        <f>'Monthly Data'!M20</f>
        <v>3.4000000000000004</v>
      </c>
      <c r="E20">
        <f>'Monthly Data'!N20</f>
        <v>139.79999999999995</v>
      </c>
      <c r="F20">
        <f>'Monthly Data'!S20</f>
        <v>19</v>
      </c>
      <c r="G20" s="30">
        <f>'Monthly Data'!T20</f>
        <v>23113</v>
      </c>
      <c r="I20" s="101">
        <f>'Res OLS Model'!$B$5</f>
        <v>-20568225.384695102</v>
      </c>
      <c r="J20" s="101">
        <f>'Res OLS Model'!$B$6*D20</f>
        <v>51532.449670505084</v>
      </c>
      <c r="K20" s="101">
        <f>'Res OLS Model'!$B$7*E20</f>
        <v>5426309.5660449741</v>
      </c>
      <c r="L20" s="101">
        <f>'Res OLS Model'!$B$8*F20</f>
        <v>-579869.74512339185</v>
      </c>
      <c r="M20" s="101">
        <f>'Res OLS Model'!$B$9*G20</f>
        <v>31496480.335235354</v>
      </c>
      <c r="N20" s="101">
        <f t="shared" si="1"/>
        <v>15826227.22113234</v>
      </c>
      <c r="O20" s="13">
        <f t="shared" si="2"/>
        <v>8.2351912284081008E-2</v>
      </c>
    </row>
    <row r="21" spans="1:15" x14ac:dyDescent="0.25">
      <c r="A21" s="11">
        <f>'Monthly Data'!A21</f>
        <v>40391</v>
      </c>
      <c r="B21" s="6">
        <f t="shared" si="0"/>
        <v>2010</v>
      </c>
      <c r="C21">
        <f>'Monthly Data'!D21</f>
        <v>13964183.280500002</v>
      </c>
      <c r="D21">
        <f>'Monthly Data'!M21</f>
        <v>10.100000000000001</v>
      </c>
      <c r="E21">
        <f>'Monthly Data'!N21</f>
        <v>90.299999999999969</v>
      </c>
      <c r="F21">
        <f>'Monthly Data'!S21</f>
        <v>20</v>
      </c>
      <c r="G21" s="30">
        <f>'Monthly Data'!T21</f>
        <v>23035</v>
      </c>
      <c r="I21" s="101">
        <f>'Res OLS Model'!$B$5</f>
        <v>-20568225.384695102</v>
      </c>
      <c r="J21" s="101">
        <f>'Res OLS Model'!$B$6*D21</f>
        <v>153081.68872708862</v>
      </c>
      <c r="K21" s="101">
        <f>'Res OLS Model'!$B$7*E21</f>
        <v>3504976.7797844145</v>
      </c>
      <c r="L21" s="101">
        <f>'Res OLS Model'!$B$8*F21</f>
        <v>-610389.20539304405</v>
      </c>
      <c r="M21" s="101">
        <f>'Res OLS Model'!$B$9*G21</f>
        <v>31390188.401425447</v>
      </c>
      <c r="N21" s="101">
        <f t="shared" si="1"/>
        <v>13869632.279848807</v>
      </c>
      <c r="O21" s="13">
        <f t="shared" si="2"/>
        <v>6.7709653154745869E-3</v>
      </c>
    </row>
    <row r="22" spans="1:15" x14ac:dyDescent="0.25">
      <c r="A22" s="11">
        <f>'Monthly Data'!A22</f>
        <v>40422</v>
      </c>
      <c r="B22" s="6">
        <f t="shared" si="0"/>
        <v>2010</v>
      </c>
      <c r="C22">
        <f>'Monthly Data'!D22</f>
        <v>13079707.3025</v>
      </c>
      <c r="D22">
        <f>'Monthly Data'!M22</f>
        <v>99.40000000000002</v>
      </c>
      <c r="E22">
        <f>'Monthly Data'!N22</f>
        <v>29.400000000000002</v>
      </c>
      <c r="F22">
        <f>'Monthly Data'!S22</f>
        <v>21</v>
      </c>
      <c r="G22" s="30">
        <f>'Monthly Data'!T22</f>
        <v>23146</v>
      </c>
      <c r="I22" s="101">
        <f>'Res OLS Model'!$B$5</f>
        <v>-20568225.384695102</v>
      </c>
      <c r="J22" s="101">
        <f>'Res OLS Model'!$B$6*D22</f>
        <v>1506566.3227200606</v>
      </c>
      <c r="K22" s="101">
        <f>'Res OLS Model'!$B$7*E22</f>
        <v>1141155.2306274842</v>
      </c>
      <c r="L22" s="101">
        <f>'Res OLS Model'!$B$8*F22</f>
        <v>-640908.66566269624</v>
      </c>
      <c r="M22" s="101">
        <f>'Res OLS Model'!$B$9*G22</f>
        <v>31541449.999539543</v>
      </c>
      <c r="N22" s="101">
        <f t="shared" si="1"/>
        <v>12980037.502529293</v>
      </c>
      <c r="O22" s="13">
        <f t="shared" si="2"/>
        <v>7.6201858088717671E-3</v>
      </c>
    </row>
    <row r="23" spans="1:15" x14ac:dyDescent="0.25">
      <c r="A23" s="11">
        <f>'Monthly Data'!A23</f>
        <v>40452</v>
      </c>
      <c r="B23" s="6">
        <f t="shared" si="0"/>
        <v>2010</v>
      </c>
      <c r="C23">
        <f>'Monthly Data'!D23</f>
        <v>14420343.764199998</v>
      </c>
      <c r="D23">
        <f>'Monthly Data'!M23</f>
        <v>284.69999999999993</v>
      </c>
      <c r="E23">
        <f>'Monthly Data'!N23</f>
        <v>0</v>
      </c>
      <c r="F23">
        <f>'Monthly Data'!S23</f>
        <v>22</v>
      </c>
      <c r="G23" s="30">
        <f>'Monthly Data'!T23</f>
        <v>23213</v>
      </c>
      <c r="I23" s="101">
        <f>'Res OLS Model'!$B$5</f>
        <v>-20568225.384695102</v>
      </c>
      <c r="J23" s="101">
        <f>'Res OLS Model'!$B$6*D23</f>
        <v>4315084.8297625855</v>
      </c>
      <c r="K23" s="101">
        <f>'Res OLS Model'!$B$7*E23</f>
        <v>0</v>
      </c>
      <c r="L23" s="101">
        <f>'Res OLS Model'!$B$8*F23</f>
        <v>-671428.12593234843</v>
      </c>
      <c r="M23" s="101">
        <f>'Res OLS Model'!$B$9*G23</f>
        <v>31632752.045248054</v>
      </c>
      <c r="N23" s="101">
        <f t="shared" si="1"/>
        <v>14708183.364383191</v>
      </c>
      <c r="O23" s="13">
        <f t="shared" si="2"/>
        <v>1.9960661471731648E-2</v>
      </c>
    </row>
    <row r="24" spans="1:15" x14ac:dyDescent="0.25">
      <c r="A24" s="11">
        <f>'Monthly Data'!A24</f>
        <v>40483</v>
      </c>
      <c r="B24" s="6">
        <f t="shared" si="0"/>
        <v>2010</v>
      </c>
      <c r="C24">
        <f>'Monthly Data'!D24</f>
        <v>16915365.330200002</v>
      </c>
      <c r="D24">
        <f>'Monthly Data'!M24</f>
        <v>451.4</v>
      </c>
      <c r="E24">
        <f>'Monthly Data'!N24</f>
        <v>0</v>
      </c>
      <c r="F24">
        <f>'Monthly Data'!S24</f>
        <v>23</v>
      </c>
      <c r="G24" s="30">
        <f>'Monthly Data'!T24</f>
        <v>23299</v>
      </c>
      <c r="I24" s="101">
        <f>'Res OLS Model'!$B$5</f>
        <v>-20568225.384695102</v>
      </c>
      <c r="J24" s="101">
        <f>'Res OLS Model'!$B$6*D24</f>
        <v>6841690.5239017615</v>
      </c>
      <c r="K24" s="101">
        <f>'Res OLS Model'!$B$7*E24</f>
        <v>0</v>
      </c>
      <c r="L24" s="101">
        <f>'Res OLS Model'!$B$8*F24</f>
        <v>-701947.58620200062</v>
      </c>
      <c r="M24" s="101">
        <f>'Res OLS Model'!$B$9*G24</f>
        <v>31749945.715858974</v>
      </c>
      <c r="N24" s="101">
        <f t="shared" si="1"/>
        <v>17321463.268863633</v>
      </c>
      <c r="O24" s="13">
        <f t="shared" si="2"/>
        <v>2.4007636296131365E-2</v>
      </c>
    </row>
    <row r="25" spans="1:15" x14ac:dyDescent="0.25">
      <c r="A25" s="11">
        <f>'Monthly Data'!A25</f>
        <v>40513</v>
      </c>
      <c r="B25" s="6">
        <f t="shared" si="0"/>
        <v>2010</v>
      </c>
      <c r="C25">
        <f>'Monthly Data'!D25</f>
        <v>20949855.477400001</v>
      </c>
      <c r="D25">
        <f>'Monthly Data'!M25</f>
        <v>713.49999999999989</v>
      </c>
      <c r="E25">
        <f>'Monthly Data'!N25</f>
        <v>0</v>
      </c>
      <c r="F25">
        <f>'Monthly Data'!S25</f>
        <v>24</v>
      </c>
      <c r="G25" s="30">
        <f>'Monthly Data'!T25</f>
        <v>23337</v>
      </c>
      <c r="I25" s="101">
        <f>'Res OLS Model'!$B$5</f>
        <v>-20568225.384695102</v>
      </c>
      <c r="J25" s="101">
        <f>'Res OLS Model'!$B$6*D25</f>
        <v>10814236.129383931</v>
      </c>
      <c r="K25" s="101">
        <f>'Res OLS Model'!$B$7*E25</f>
        <v>0</v>
      </c>
      <c r="L25" s="101">
        <f>'Res OLS Model'!$B$8*F25</f>
        <v>-732467.04647165281</v>
      </c>
      <c r="M25" s="101">
        <f>'Res OLS Model'!$B$9*G25</f>
        <v>31801728.965663802</v>
      </c>
      <c r="N25" s="101">
        <f t="shared" si="1"/>
        <v>21315272.663880978</v>
      </c>
      <c r="O25" s="13">
        <f t="shared" si="2"/>
        <v>1.7442468129442536E-2</v>
      </c>
    </row>
    <row r="26" spans="1:15" x14ac:dyDescent="0.25">
      <c r="A26" s="11">
        <f>'Monthly Data'!A26</f>
        <v>40544</v>
      </c>
      <c r="B26" s="6">
        <f t="shared" si="0"/>
        <v>2011</v>
      </c>
      <c r="C26">
        <f>'Monthly Data'!D26</f>
        <v>22949860.934299998</v>
      </c>
      <c r="D26">
        <f>'Monthly Data'!M26</f>
        <v>853.19999999999982</v>
      </c>
      <c r="E26">
        <f>'Monthly Data'!N26</f>
        <v>0</v>
      </c>
      <c r="F26">
        <f>'Monthly Data'!S26</f>
        <v>25</v>
      </c>
      <c r="G26" s="30">
        <f>'Monthly Data'!T26</f>
        <v>23342</v>
      </c>
      <c r="I26" s="101">
        <f>'Res OLS Model'!$B$5</f>
        <v>-20568225.384695102</v>
      </c>
      <c r="J26" s="101">
        <f>'Res OLS Model'!$B$6*D26</f>
        <v>12931613.546727918</v>
      </c>
      <c r="K26" s="101">
        <f>'Res OLS Model'!$B$7*E26</f>
        <v>0</v>
      </c>
      <c r="L26" s="101">
        <f>'Res OLS Model'!$B$8*F26</f>
        <v>-762986.506741305</v>
      </c>
      <c r="M26" s="101">
        <f>'Res OLS Model'!$B$9*G26</f>
        <v>31808542.551164437</v>
      </c>
      <c r="N26" s="101">
        <f t="shared" si="1"/>
        <v>23408944.206455946</v>
      </c>
      <c r="O26" s="13">
        <f t="shared" si="2"/>
        <v>2.0003749629254591E-2</v>
      </c>
    </row>
    <row r="27" spans="1:15" x14ac:dyDescent="0.25">
      <c r="A27" s="11">
        <f>'Monthly Data'!A27</f>
        <v>40575</v>
      </c>
      <c r="B27" s="6">
        <f t="shared" si="0"/>
        <v>2011</v>
      </c>
      <c r="C27">
        <f>'Monthly Data'!D27</f>
        <v>20130373.043899998</v>
      </c>
      <c r="D27">
        <f>'Monthly Data'!M27</f>
        <v>700.39999999999986</v>
      </c>
      <c r="E27">
        <f>'Monthly Data'!N27</f>
        <v>0</v>
      </c>
      <c r="F27">
        <f>'Monthly Data'!S27</f>
        <v>26</v>
      </c>
      <c r="G27" s="30">
        <f>'Monthly Data'!T27</f>
        <v>23363</v>
      </c>
      <c r="I27" s="101">
        <f>'Res OLS Model'!$B$5</f>
        <v>-20568225.384695102</v>
      </c>
      <c r="J27" s="101">
        <f>'Res OLS Model'!$B$6*D27</f>
        <v>10615684.632124044</v>
      </c>
      <c r="K27" s="101">
        <f>'Res OLS Model'!$B$7*E27</f>
        <v>0</v>
      </c>
      <c r="L27" s="101">
        <f>'Res OLS Model'!$B$8*F27</f>
        <v>-793505.96701095719</v>
      </c>
      <c r="M27" s="101">
        <f>'Res OLS Model'!$B$9*G27</f>
        <v>31837159.610267103</v>
      </c>
      <c r="N27" s="101">
        <f t="shared" si="1"/>
        <v>21091112.890685089</v>
      </c>
      <c r="O27" s="13">
        <f t="shared" si="2"/>
        <v>4.7725883901402359E-2</v>
      </c>
    </row>
    <row r="28" spans="1:15" x14ac:dyDescent="0.25">
      <c r="A28" s="11">
        <f>'Monthly Data'!A28</f>
        <v>40603</v>
      </c>
      <c r="B28" s="6">
        <f t="shared" si="0"/>
        <v>2011</v>
      </c>
      <c r="C28">
        <f>'Monthly Data'!D28</f>
        <v>19264282.676100001</v>
      </c>
      <c r="D28">
        <f>'Monthly Data'!M28</f>
        <v>595.70000000000016</v>
      </c>
      <c r="E28">
        <f>'Monthly Data'!N28</f>
        <v>0</v>
      </c>
      <c r="F28">
        <f>'Monthly Data'!S28</f>
        <v>27</v>
      </c>
      <c r="G28" s="30">
        <f>'Monthly Data'!T28</f>
        <v>23358</v>
      </c>
      <c r="I28" s="101">
        <f>'Res OLS Model'!$B$5</f>
        <v>-20568225.384695102</v>
      </c>
      <c r="J28" s="101">
        <f>'Res OLS Model'!$B$6*D28</f>
        <v>9028788.3143293764</v>
      </c>
      <c r="K28" s="101">
        <f>'Res OLS Model'!$B$7*E28</f>
        <v>0</v>
      </c>
      <c r="L28" s="101">
        <f>'Res OLS Model'!$B$8*F28</f>
        <v>-824025.4272806095</v>
      </c>
      <c r="M28" s="101">
        <f>'Res OLS Model'!$B$9*G28</f>
        <v>31830346.024766468</v>
      </c>
      <c r="N28" s="101">
        <f t="shared" si="1"/>
        <v>19466883.527120132</v>
      </c>
      <c r="O28" s="13">
        <f t="shared" si="2"/>
        <v>1.0516916431645054E-2</v>
      </c>
    </row>
    <row r="29" spans="1:15" x14ac:dyDescent="0.25">
      <c r="A29" s="11">
        <f>'Monthly Data'!A29</f>
        <v>40634</v>
      </c>
      <c r="B29" s="6">
        <f t="shared" si="0"/>
        <v>2011</v>
      </c>
      <c r="C29">
        <f>'Monthly Data'!D29</f>
        <v>15275002.8061</v>
      </c>
      <c r="D29">
        <f>'Monthly Data'!M29</f>
        <v>350.99999999999989</v>
      </c>
      <c r="E29">
        <f>'Monthly Data'!N29</f>
        <v>0</v>
      </c>
      <c r="F29">
        <f>'Monthly Data'!S29</f>
        <v>28</v>
      </c>
      <c r="G29" s="30">
        <f>'Monthly Data'!T29</f>
        <v>23357</v>
      </c>
      <c r="I29" s="101">
        <f>'Res OLS Model'!$B$5</f>
        <v>-20568225.384695102</v>
      </c>
      <c r="J29" s="101">
        <f>'Res OLS Model'!$B$6*D29</f>
        <v>5319967.5983374342</v>
      </c>
      <c r="K29" s="101">
        <f>'Res OLS Model'!$B$7*E29</f>
        <v>0</v>
      </c>
      <c r="L29" s="101">
        <f>'Res OLS Model'!$B$8*F29</f>
        <v>-854544.88755026169</v>
      </c>
      <c r="M29" s="101">
        <f>'Res OLS Model'!$B$9*G29</f>
        <v>31828983.307666343</v>
      </c>
      <c r="N29" s="101">
        <f t="shared" si="1"/>
        <v>15726180.633758415</v>
      </c>
      <c r="O29" s="13">
        <f t="shared" si="2"/>
        <v>2.9537004567896978E-2</v>
      </c>
    </row>
    <row r="30" spans="1:15" x14ac:dyDescent="0.25">
      <c r="A30" s="11">
        <f>'Monthly Data'!A30</f>
        <v>40664</v>
      </c>
      <c r="B30" s="6">
        <f t="shared" si="0"/>
        <v>2011</v>
      </c>
      <c r="C30">
        <f>'Monthly Data'!D30</f>
        <v>12988644.4836</v>
      </c>
      <c r="D30">
        <f>'Monthly Data'!M30</f>
        <v>150</v>
      </c>
      <c r="E30">
        <f>'Monthly Data'!N30</f>
        <v>1.2999999999999998</v>
      </c>
      <c r="F30">
        <f>'Monthly Data'!S30</f>
        <v>29</v>
      </c>
      <c r="G30" s="30">
        <f>'Monthly Data'!T30</f>
        <v>23144</v>
      </c>
      <c r="I30" s="101">
        <f>'Res OLS Model'!$B$5</f>
        <v>-20568225.384695102</v>
      </c>
      <c r="J30" s="101">
        <f>'Res OLS Model'!$B$6*D30</f>
        <v>2273490.4266399299</v>
      </c>
      <c r="K30" s="101">
        <f>'Res OLS Model'!$B$7*E30</f>
        <v>50459.244891691473</v>
      </c>
      <c r="L30" s="101">
        <f>'Res OLS Model'!$B$8*F30</f>
        <v>-885064.34781991388</v>
      </c>
      <c r="M30" s="101">
        <f>'Res OLS Model'!$B$9*G30</f>
        <v>31538724.56533929</v>
      </c>
      <c r="N30" s="101">
        <f t="shared" si="1"/>
        <v>12409384.504355896</v>
      </c>
      <c r="O30" s="13">
        <f t="shared" si="2"/>
        <v>4.4597415840852465E-2</v>
      </c>
    </row>
    <row r="31" spans="1:15" x14ac:dyDescent="0.25">
      <c r="A31" s="11">
        <f>'Monthly Data'!A31</f>
        <v>40695</v>
      </c>
      <c r="B31" s="6">
        <f t="shared" si="0"/>
        <v>2011</v>
      </c>
      <c r="C31">
        <f>'Monthly Data'!D31</f>
        <v>12227658.222899999</v>
      </c>
      <c r="D31">
        <f>'Monthly Data'!M31</f>
        <v>25.199999999999996</v>
      </c>
      <c r="E31">
        <f>'Monthly Data'!N31</f>
        <v>24.900000000000002</v>
      </c>
      <c r="F31">
        <f>'Monthly Data'!S31</f>
        <v>30</v>
      </c>
      <c r="G31" s="30">
        <f>'Monthly Data'!T31</f>
        <v>23078</v>
      </c>
      <c r="I31" s="101">
        <f>'Res OLS Model'!$B$5</f>
        <v>-20568225.384695102</v>
      </c>
      <c r="J31" s="101">
        <f>'Res OLS Model'!$B$6*D31</f>
        <v>381946.39167550817</v>
      </c>
      <c r="K31" s="101">
        <f>'Res OLS Model'!$B$7*E31</f>
        <v>966488.61369470612</v>
      </c>
      <c r="L31" s="101">
        <f>'Res OLS Model'!$B$8*F31</f>
        <v>-915583.80808956607</v>
      </c>
      <c r="M31" s="101">
        <f>'Res OLS Model'!$B$9*G31</f>
        <v>31448785.236730907</v>
      </c>
      <c r="N31" s="101">
        <f t="shared" si="1"/>
        <v>11313411.049316455</v>
      </c>
      <c r="O31" s="13">
        <f t="shared" si="2"/>
        <v>7.4768787033263617E-2</v>
      </c>
    </row>
    <row r="32" spans="1:15" x14ac:dyDescent="0.25">
      <c r="A32" s="11">
        <f>'Monthly Data'!A32</f>
        <v>40725</v>
      </c>
      <c r="B32" s="6">
        <f t="shared" si="0"/>
        <v>2011</v>
      </c>
      <c r="C32">
        <f>'Monthly Data'!D32</f>
        <v>14186476.795499999</v>
      </c>
      <c r="D32">
        <f>'Monthly Data'!M32</f>
        <v>0</v>
      </c>
      <c r="E32">
        <f>'Monthly Data'!N32</f>
        <v>118.30000000000003</v>
      </c>
      <c r="F32">
        <f>'Monthly Data'!S32</f>
        <v>31</v>
      </c>
      <c r="G32" s="30">
        <f>'Monthly Data'!T32</f>
        <v>23049</v>
      </c>
      <c r="I32" s="101">
        <f>'Res OLS Model'!$B$5</f>
        <v>-20568225.384695102</v>
      </c>
      <c r="J32" s="101">
        <f>'Res OLS Model'!$B$6*D32</f>
        <v>0</v>
      </c>
      <c r="K32" s="101">
        <f>'Res OLS Model'!$B$7*E32</f>
        <v>4591791.2851439258</v>
      </c>
      <c r="L32" s="101">
        <f>'Res OLS Model'!$B$8*F32</f>
        <v>-946103.26835921826</v>
      </c>
      <c r="M32" s="101">
        <f>'Res OLS Model'!$B$9*G32</f>
        <v>31409266.440827224</v>
      </c>
      <c r="N32" s="101">
        <f t="shared" si="1"/>
        <v>14486729.072916832</v>
      </c>
      <c r="O32" s="13">
        <f t="shared" si="2"/>
        <v>2.1164682517372729E-2</v>
      </c>
    </row>
    <row r="33" spans="1:15" x14ac:dyDescent="0.25">
      <c r="A33" s="11">
        <f>'Monthly Data'!A33</f>
        <v>40756</v>
      </c>
      <c r="B33" s="6">
        <f t="shared" si="0"/>
        <v>2011</v>
      </c>
      <c r="C33">
        <f>'Monthly Data'!D33</f>
        <v>13646879.092999998</v>
      </c>
      <c r="D33">
        <f>'Monthly Data'!M33</f>
        <v>7</v>
      </c>
      <c r="E33">
        <f>'Monthly Data'!N33</f>
        <v>68.2</v>
      </c>
      <c r="F33">
        <f>'Monthly Data'!S33</f>
        <v>32</v>
      </c>
      <c r="G33" s="30">
        <f>'Monthly Data'!T33</f>
        <v>23068</v>
      </c>
      <c r="I33" s="101">
        <f>'Res OLS Model'!$B$5</f>
        <v>-20568225.384695102</v>
      </c>
      <c r="J33" s="101">
        <f>'Res OLS Model'!$B$6*D33</f>
        <v>106096.2199098634</v>
      </c>
      <c r="K33" s="101">
        <f>'Res OLS Model'!$B$7*E33</f>
        <v>2647169.6166256606</v>
      </c>
      <c r="L33" s="101">
        <f>'Res OLS Model'!$B$8*F33</f>
        <v>-976622.72862887045</v>
      </c>
      <c r="M33" s="101">
        <f>'Res OLS Model'!$B$9*G33</f>
        <v>31435158.065729637</v>
      </c>
      <c r="N33" s="101">
        <f t="shared" si="1"/>
        <v>12643575.788941186</v>
      </c>
      <c r="O33" s="13">
        <f t="shared" si="2"/>
        <v>7.3518882758582135E-2</v>
      </c>
    </row>
    <row r="34" spans="1:15" x14ac:dyDescent="0.25">
      <c r="A34" s="11">
        <f>'Monthly Data'!A34</f>
        <v>40787</v>
      </c>
      <c r="B34" s="6">
        <f t="shared" si="0"/>
        <v>2011</v>
      </c>
      <c r="C34">
        <f>'Monthly Data'!D34</f>
        <v>12374381.956699999</v>
      </c>
      <c r="D34">
        <f>'Monthly Data'!M34</f>
        <v>72.5</v>
      </c>
      <c r="E34">
        <f>'Monthly Data'!N34</f>
        <v>24.500000000000004</v>
      </c>
      <c r="F34">
        <f>'Monthly Data'!S34</f>
        <v>33</v>
      </c>
      <c r="G34" s="30">
        <f>'Monthly Data'!T34</f>
        <v>23151</v>
      </c>
      <c r="I34" s="101">
        <f>'Res OLS Model'!$B$5</f>
        <v>-20568225.384695102</v>
      </c>
      <c r="J34" s="101">
        <f>'Res OLS Model'!$B$6*D34</f>
        <v>1098853.7062092994</v>
      </c>
      <c r="K34" s="101">
        <f>'Res OLS Model'!$B$7*E34</f>
        <v>950962.69218957028</v>
      </c>
      <c r="L34" s="101">
        <f>'Res OLS Model'!$B$8*F34</f>
        <v>-1007142.1888985226</v>
      </c>
      <c r="M34" s="101">
        <f>'Res OLS Model'!$B$9*G34</f>
        <v>31548263.585040178</v>
      </c>
      <c r="N34" s="101">
        <f t="shared" si="1"/>
        <v>12022712.409845423</v>
      </c>
      <c r="O34" s="13">
        <f t="shared" si="2"/>
        <v>2.8419160495055492E-2</v>
      </c>
    </row>
    <row r="35" spans="1:15" x14ac:dyDescent="0.25">
      <c r="A35" s="11">
        <f>'Monthly Data'!A35</f>
        <v>40817</v>
      </c>
      <c r="B35" s="6">
        <f t="shared" si="0"/>
        <v>2011</v>
      </c>
      <c r="C35">
        <f>'Monthly Data'!D35</f>
        <v>13664672.127900001</v>
      </c>
      <c r="D35">
        <f>'Monthly Data'!M35</f>
        <v>266.49999999999994</v>
      </c>
      <c r="E35">
        <f>'Monthly Data'!N35</f>
        <v>0.5</v>
      </c>
      <c r="F35">
        <f>'Monthly Data'!S35</f>
        <v>34</v>
      </c>
      <c r="G35" s="30">
        <f>'Monthly Data'!T35</f>
        <v>23189</v>
      </c>
      <c r="I35" s="101">
        <f>'Res OLS Model'!$B$5</f>
        <v>-20568225.384695102</v>
      </c>
      <c r="J35" s="101">
        <f>'Res OLS Model'!$B$6*D35</f>
        <v>4039234.6579969414</v>
      </c>
      <c r="K35" s="101">
        <f>'Res OLS Model'!$B$7*E35</f>
        <v>19407.401881419799</v>
      </c>
      <c r="L35" s="101">
        <f>'Res OLS Model'!$B$8*F35</f>
        <v>-1037661.6491681748</v>
      </c>
      <c r="M35" s="101">
        <f>'Res OLS Model'!$B$9*G35</f>
        <v>31600046.834845006</v>
      </c>
      <c r="N35" s="101">
        <f t="shared" si="1"/>
        <v>14052801.860860091</v>
      </c>
      <c r="O35" s="13">
        <f t="shared" si="2"/>
        <v>2.8403881873434907E-2</v>
      </c>
    </row>
    <row r="36" spans="1:15" x14ac:dyDescent="0.25">
      <c r="A36" s="11">
        <f>'Monthly Data'!A36</f>
        <v>40848</v>
      </c>
      <c r="B36" s="6">
        <f t="shared" si="0"/>
        <v>2011</v>
      </c>
      <c r="C36">
        <f>'Monthly Data'!D36</f>
        <v>15512028.3873</v>
      </c>
      <c r="D36">
        <f>'Monthly Data'!M36</f>
        <v>394.7</v>
      </c>
      <c r="E36">
        <f>'Monthly Data'!N36</f>
        <v>0</v>
      </c>
      <c r="F36">
        <f>'Monthly Data'!S36</f>
        <v>35</v>
      </c>
      <c r="G36" s="30">
        <f>'Monthly Data'!T36</f>
        <v>23212</v>
      </c>
      <c r="I36" s="101">
        <f>'Res OLS Model'!$B$5</f>
        <v>-20568225.384695102</v>
      </c>
      <c r="J36" s="101">
        <f>'Res OLS Model'!$B$6*D36</f>
        <v>5982311.1426318688</v>
      </c>
      <c r="K36" s="101">
        <f>'Res OLS Model'!$B$7*E36</f>
        <v>0</v>
      </c>
      <c r="L36" s="101">
        <f>'Res OLS Model'!$B$8*F36</f>
        <v>-1068181.109437827</v>
      </c>
      <c r="M36" s="101">
        <f>'Res OLS Model'!$B$9*G36</f>
        <v>31631389.328147925</v>
      </c>
      <c r="N36" s="101">
        <f t="shared" si="1"/>
        <v>15977293.976646867</v>
      </c>
      <c r="O36" s="13">
        <f t="shared" si="2"/>
        <v>2.9993858812673982E-2</v>
      </c>
    </row>
    <row r="37" spans="1:15" x14ac:dyDescent="0.25">
      <c r="A37" s="11">
        <f>'Monthly Data'!A37</f>
        <v>40878</v>
      </c>
      <c r="B37" s="6">
        <f t="shared" si="0"/>
        <v>2011</v>
      </c>
      <c r="C37">
        <f>'Monthly Data'!D37</f>
        <v>18884077.882800002</v>
      </c>
      <c r="D37">
        <f>'Monthly Data'!M37</f>
        <v>623.09999999999991</v>
      </c>
      <c r="E37">
        <f>'Monthly Data'!N37</f>
        <v>0</v>
      </c>
      <c r="F37">
        <f>'Monthly Data'!S37</f>
        <v>36</v>
      </c>
      <c r="G37" s="30">
        <f>'Monthly Data'!T37</f>
        <v>23234</v>
      </c>
      <c r="I37" s="101">
        <f>'Res OLS Model'!$B$5</f>
        <v>-20568225.384695102</v>
      </c>
      <c r="J37" s="101">
        <f>'Res OLS Model'!$B$6*D37</f>
        <v>9444079.2322622668</v>
      </c>
      <c r="K37" s="101">
        <f>'Res OLS Model'!$B$7*E37</f>
        <v>0</v>
      </c>
      <c r="L37" s="101">
        <f>'Res OLS Model'!$B$8*F37</f>
        <v>-1098700.5697074793</v>
      </c>
      <c r="M37" s="101">
        <f>'Res OLS Model'!$B$9*G37</f>
        <v>31661369.10435072</v>
      </c>
      <c r="N37" s="101">
        <f t="shared" si="1"/>
        <v>19438522.382210404</v>
      </c>
      <c r="O37" s="13">
        <f t="shared" si="2"/>
        <v>2.9360422195430641E-2</v>
      </c>
    </row>
    <row r="38" spans="1:15" x14ac:dyDescent="0.25">
      <c r="A38" s="11">
        <f>'Monthly Data'!A38</f>
        <v>40909</v>
      </c>
      <c r="B38" s="6">
        <f t="shared" si="0"/>
        <v>2012</v>
      </c>
      <c r="C38">
        <f>'Monthly Data'!D38</f>
        <v>20794679.283499997</v>
      </c>
      <c r="D38">
        <f>'Monthly Data'!M38</f>
        <v>712.69999999999993</v>
      </c>
      <c r="E38">
        <f>'Monthly Data'!N38</f>
        <v>0</v>
      </c>
      <c r="F38">
        <f>'Monthly Data'!S38</f>
        <v>37</v>
      </c>
      <c r="G38" s="30">
        <f>'Monthly Data'!T38</f>
        <v>23226</v>
      </c>
      <c r="I38" s="101">
        <f>'Res OLS Model'!$B$5</f>
        <v>-20568225.384695102</v>
      </c>
      <c r="J38" s="101">
        <f>'Res OLS Model'!$B$6*D38</f>
        <v>10802110.847108519</v>
      </c>
      <c r="K38" s="101">
        <f>'Res OLS Model'!$B$7*E38</f>
        <v>0</v>
      </c>
      <c r="L38" s="101">
        <f>'Res OLS Model'!$B$8*F38</f>
        <v>-1129220.0299771314</v>
      </c>
      <c r="M38" s="101">
        <f>'Res OLS Model'!$B$9*G38</f>
        <v>31650467.367549703</v>
      </c>
      <c r="N38" s="101">
        <f t="shared" si="1"/>
        <v>20755132.79998599</v>
      </c>
      <c r="O38" s="13">
        <f t="shared" si="2"/>
        <v>1.9017597229973257E-3</v>
      </c>
    </row>
    <row r="39" spans="1:15" x14ac:dyDescent="0.25">
      <c r="A39" s="11">
        <f>'Monthly Data'!A39</f>
        <v>40940</v>
      </c>
      <c r="B39" s="6">
        <f t="shared" si="0"/>
        <v>2012</v>
      </c>
      <c r="C39">
        <f>'Monthly Data'!D39</f>
        <v>18571936.430599999</v>
      </c>
      <c r="D39">
        <f>'Monthly Data'!M39</f>
        <v>604.40000000000009</v>
      </c>
      <c r="E39">
        <f>'Monthly Data'!N39</f>
        <v>0</v>
      </c>
      <c r="F39">
        <f>'Monthly Data'!S39</f>
        <v>38</v>
      </c>
      <c r="G39" s="30">
        <f>'Monthly Data'!T39</f>
        <v>23235</v>
      </c>
      <c r="I39" s="101">
        <f>'Res OLS Model'!$B$5</f>
        <v>-20568225.384695102</v>
      </c>
      <c r="J39" s="101">
        <f>'Res OLS Model'!$B$6*D39</f>
        <v>9160650.7590744924</v>
      </c>
      <c r="K39" s="101">
        <f>'Res OLS Model'!$B$7*E39</f>
        <v>0</v>
      </c>
      <c r="L39" s="101">
        <f>'Res OLS Model'!$B$8*F39</f>
        <v>-1159739.4902467837</v>
      </c>
      <c r="M39" s="101">
        <f>'Res OLS Model'!$B$9*G39</f>
        <v>31662731.821450848</v>
      </c>
      <c r="N39" s="101">
        <f t="shared" si="1"/>
        <v>19095417.705583453</v>
      </c>
      <c r="O39" s="13">
        <f t="shared" si="2"/>
        <v>2.8186682467905826E-2</v>
      </c>
    </row>
    <row r="40" spans="1:15" x14ac:dyDescent="0.25">
      <c r="A40" s="11">
        <f>'Monthly Data'!A40</f>
        <v>40969</v>
      </c>
      <c r="B40" s="6">
        <f t="shared" si="0"/>
        <v>2012</v>
      </c>
      <c r="C40">
        <f>'Monthly Data'!D40</f>
        <v>16671968.3027</v>
      </c>
      <c r="D40">
        <f>'Monthly Data'!M40</f>
        <v>412.19999999999993</v>
      </c>
      <c r="E40">
        <f>'Monthly Data'!N40</f>
        <v>0</v>
      </c>
      <c r="F40">
        <f>'Monthly Data'!S40</f>
        <v>39</v>
      </c>
      <c r="G40" s="30">
        <f>'Monthly Data'!T40</f>
        <v>23259</v>
      </c>
      <c r="I40" s="101">
        <f>'Res OLS Model'!$B$5</f>
        <v>-20568225.384695102</v>
      </c>
      <c r="J40" s="101">
        <f>'Res OLS Model'!$B$6*D40</f>
        <v>6247551.6924065258</v>
      </c>
      <c r="K40" s="101">
        <f>'Res OLS Model'!$B$7*E40</f>
        <v>0</v>
      </c>
      <c r="L40" s="101">
        <f>'Res OLS Model'!$B$8*F40</f>
        <v>-1190258.9505164358</v>
      </c>
      <c r="M40" s="101">
        <f>'Res OLS Model'!$B$9*G40</f>
        <v>31695437.031853896</v>
      </c>
      <c r="N40" s="101">
        <f t="shared" si="1"/>
        <v>16184504.389048884</v>
      </c>
      <c r="O40" s="13">
        <f t="shared" si="2"/>
        <v>2.9238534095111741E-2</v>
      </c>
    </row>
    <row r="41" spans="1:15" x14ac:dyDescent="0.25">
      <c r="A41" s="11">
        <f>'Monthly Data'!A41</f>
        <v>41000</v>
      </c>
      <c r="B41" s="6">
        <f t="shared" si="0"/>
        <v>2012</v>
      </c>
      <c r="C41">
        <f>'Monthly Data'!D41</f>
        <v>14395404.4703</v>
      </c>
      <c r="D41">
        <f>'Monthly Data'!M41</f>
        <v>358.9</v>
      </c>
      <c r="E41">
        <f>'Monthly Data'!N41</f>
        <v>0.8</v>
      </c>
      <c r="F41">
        <f>'Monthly Data'!S41</f>
        <v>40</v>
      </c>
      <c r="G41" s="30">
        <f>'Monthly Data'!T41</f>
        <v>23160</v>
      </c>
      <c r="I41" s="101">
        <f>'Res OLS Model'!$B$5</f>
        <v>-20568225.384695102</v>
      </c>
      <c r="J41" s="101">
        <f>'Res OLS Model'!$B$6*D41</f>
        <v>5439704.7608071389</v>
      </c>
      <c r="K41" s="101">
        <f>'Res OLS Model'!$B$7*E41</f>
        <v>31051.843010271681</v>
      </c>
      <c r="L41" s="101">
        <f>'Res OLS Model'!$B$8*F41</f>
        <v>-1220778.4107860881</v>
      </c>
      <c r="M41" s="101">
        <f>'Res OLS Model'!$B$9*G41</f>
        <v>31560528.038941324</v>
      </c>
      <c r="N41" s="101">
        <f t="shared" si="1"/>
        <v>15242280.847277543</v>
      </c>
      <c r="O41" s="13">
        <f t="shared" si="2"/>
        <v>5.8829634049170521E-2</v>
      </c>
    </row>
    <row r="42" spans="1:15" x14ac:dyDescent="0.25">
      <c r="A42" s="11">
        <f>'Monthly Data'!A42</f>
        <v>41030</v>
      </c>
      <c r="B42" s="6">
        <f t="shared" si="0"/>
        <v>2012</v>
      </c>
      <c r="C42">
        <f>'Monthly Data'!D42</f>
        <v>11731052.347100001</v>
      </c>
      <c r="D42">
        <f>'Monthly Data'!M42</f>
        <v>94.000000000000014</v>
      </c>
      <c r="E42">
        <f>'Monthly Data'!N42</f>
        <v>20.100000000000001</v>
      </c>
      <c r="F42">
        <f>'Monthly Data'!S42</f>
        <v>41</v>
      </c>
      <c r="G42" s="30">
        <f>'Monthly Data'!T42</f>
        <v>22994</v>
      </c>
      <c r="I42" s="101">
        <f>'Res OLS Model'!$B$5</f>
        <v>-20568225.384695102</v>
      </c>
      <c r="J42" s="101">
        <f>'Res OLS Model'!$B$6*D42</f>
        <v>1424720.6673610229</v>
      </c>
      <c r="K42" s="101">
        <f>'Res OLS Model'!$B$7*E42</f>
        <v>780177.555633076</v>
      </c>
      <c r="L42" s="101">
        <f>'Res OLS Model'!$B$8*F42</f>
        <v>-1251297.8710557402</v>
      </c>
      <c r="M42" s="101">
        <f>'Res OLS Model'!$B$9*G42</f>
        <v>31334317.000320241</v>
      </c>
      <c r="N42" s="101">
        <f t="shared" si="1"/>
        <v>11719691.967563499</v>
      </c>
      <c r="O42" s="13">
        <f t="shared" si="2"/>
        <v>9.6840242463928905E-4</v>
      </c>
    </row>
    <row r="43" spans="1:15" x14ac:dyDescent="0.25">
      <c r="A43" s="11">
        <f>'Monthly Data'!A43</f>
        <v>41061</v>
      </c>
      <c r="B43" s="6">
        <f t="shared" si="0"/>
        <v>2012</v>
      </c>
      <c r="C43">
        <f>'Monthly Data'!D43</f>
        <v>12434620.296799999</v>
      </c>
      <c r="D43">
        <f>'Monthly Data'!M43</f>
        <v>41.300000000000004</v>
      </c>
      <c r="E43">
        <f>'Monthly Data'!N43</f>
        <v>51.8</v>
      </c>
      <c r="F43">
        <f>'Monthly Data'!S43</f>
        <v>42</v>
      </c>
      <c r="G43" s="30">
        <f>'Monthly Data'!T43</f>
        <v>23023</v>
      </c>
      <c r="I43" s="101">
        <f>'Res OLS Model'!$B$5</f>
        <v>-20568225.384695102</v>
      </c>
      <c r="J43" s="101">
        <f>'Res OLS Model'!$B$6*D43</f>
        <v>625967.69746819406</v>
      </c>
      <c r="K43" s="101">
        <f>'Res OLS Model'!$B$7*E43</f>
        <v>2010606.8349150911</v>
      </c>
      <c r="L43" s="101">
        <f>'Res OLS Model'!$B$8*F43</f>
        <v>-1281817.3313253925</v>
      </c>
      <c r="M43" s="101">
        <f>'Res OLS Model'!$B$9*G43</f>
        <v>31373835.796223924</v>
      </c>
      <c r="N43" s="101">
        <f t="shared" si="1"/>
        <v>12160367.612586714</v>
      </c>
      <c r="O43" s="13">
        <f t="shared" si="2"/>
        <v>2.2055573685982374E-2</v>
      </c>
    </row>
    <row r="44" spans="1:15" x14ac:dyDescent="0.25">
      <c r="A44" s="11">
        <f>'Monthly Data'!A44</f>
        <v>41091</v>
      </c>
      <c r="B44" s="6">
        <f t="shared" si="0"/>
        <v>2012</v>
      </c>
      <c r="C44">
        <f>'Monthly Data'!D44</f>
        <v>14445687.284299999</v>
      </c>
      <c r="D44">
        <f>'Monthly Data'!M44</f>
        <v>0.2</v>
      </c>
      <c r="E44">
        <f>'Monthly Data'!N44</f>
        <v>120.69999999999996</v>
      </c>
      <c r="F44">
        <f>'Monthly Data'!S44</f>
        <v>43</v>
      </c>
      <c r="G44" s="30">
        <f>'Monthly Data'!T44</f>
        <v>23070</v>
      </c>
      <c r="I44" s="101">
        <f>'Res OLS Model'!$B$5</f>
        <v>-20568225.384695102</v>
      </c>
      <c r="J44" s="101">
        <f>'Res OLS Model'!$B$6*D44</f>
        <v>3031.3205688532398</v>
      </c>
      <c r="K44" s="101">
        <f>'Res OLS Model'!$B$7*E44</f>
        <v>4684946.8141747378</v>
      </c>
      <c r="L44" s="101">
        <f>'Res OLS Model'!$B$8*F44</f>
        <v>-1312336.7915950448</v>
      </c>
      <c r="M44" s="101">
        <f>'Res OLS Model'!$B$9*G44</f>
        <v>31437883.499929894</v>
      </c>
      <c r="N44" s="101">
        <f t="shared" si="1"/>
        <v>14245299.458383337</v>
      </c>
      <c r="O44" s="13">
        <f t="shared" si="2"/>
        <v>1.387180976390443E-2</v>
      </c>
    </row>
    <row r="45" spans="1:15" x14ac:dyDescent="0.25">
      <c r="A45" s="11">
        <f>'Monthly Data'!A45</f>
        <v>41122</v>
      </c>
      <c r="B45" s="6">
        <f t="shared" si="0"/>
        <v>2012</v>
      </c>
      <c r="C45">
        <f>'Monthly Data'!D45</f>
        <v>13861522.800799999</v>
      </c>
      <c r="D45">
        <f>'Monthly Data'!M45</f>
        <v>7.3000000000000007</v>
      </c>
      <c r="E45">
        <f>'Monthly Data'!N45</f>
        <v>87.199999999999974</v>
      </c>
      <c r="F45">
        <f>'Monthly Data'!S45</f>
        <v>44</v>
      </c>
      <c r="G45" s="30">
        <f>'Monthly Data'!T45</f>
        <v>23160</v>
      </c>
      <c r="I45" s="101">
        <f>'Res OLS Model'!$B$5</f>
        <v>-20568225.384695102</v>
      </c>
      <c r="J45" s="101">
        <f>'Res OLS Model'!$B$6*D45</f>
        <v>110643.20076314326</v>
      </c>
      <c r="K45" s="101">
        <f>'Res OLS Model'!$B$7*E45</f>
        <v>3384650.8881196119</v>
      </c>
      <c r="L45" s="101">
        <f>'Res OLS Model'!$B$8*F45</f>
        <v>-1342856.2518646969</v>
      </c>
      <c r="M45" s="101">
        <f>'Res OLS Model'!$B$9*G45</f>
        <v>31560528.038941324</v>
      </c>
      <c r="N45" s="101">
        <f t="shared" si="1"/>
        <v>13144740.49126428</v>
      </c>
      <c r="O45" s="13">
        <f t="shared" si="2"/>
        <v>5.1710213937991814E-2</v>
      </c>
    </row>
    <row r="46" spans="1:15" x14ac:dyDescent="0.25">
      <c r="A46" s="11">
        <f>'Monthly Data'!A46</f>
        <v>41153</v>
      </c>
      <c r="B46" s="6">
        <f t="shared" si="0"/>
        <v>2012</v>
      </c>
      <c r="C46">
        <f>'Monthly Data'!D46</f>
        <v>12546095.385499999</v>
      </c>
      <c r="D46">
        <f>'Monthly Data'!M46</f>
        <v>106.30000000000003</v>
      </c>
      <c r="E46">
        <f>'Monthly Data'!N46</f>
        <v>20.200000000000003</v>
      </c>
      <c r="F46">
        <f>'Monthly Data'!S46</f>
        <v>45</v>
      </c>
      <c r="G46" s="30">
        <f>'Monthly Data'!T46</f>
        <v>23229</v>
      </c>
      <c r="I46" s="101">
        <f>'Res OLS Model'!$B$5</f>
        <v>-20568225.384695102</v>
      </c>
      <c r="J46" s="101">
        <f>'Res OLS Model'!$B$6*D46</f>
        <v>1611146.8823454974</v>
      </c>
      <c r="K46" s="101">
        <f>'Res OLS Model'!$B$7*E46</f>
        <v>784059.03600935999</v>
      </c>
      <c r="L46" s="101">
        <f>'Res OLS Model'!$B$8*F46</f>
        <v>-1373375.7121343492</v>
      </c>
      <c r="M46" s="101">
        <f>'Res OLS Model'!$B$9*G46</f>
        <v>31654555.518850084</v>
      </c>
      <c r="N46" s="101">
        <f t="shared" si="1"/>
        <v>12108160.34037549</v>
      </c>
      <c r="O46" s="13">
        <f t="shared" si="2"/>
        <v>3.4906082862294088E-2</v>
      </c>
    </row>
    <row r="47" spans="1:15" x14ac:dyDescent="0.25">
      <c r="A47" s="11">
        <f>'Monthly Data'!A47</f>
        <v>41183</v>
      </c>
      <c r="B47" s="6">
        <f t="shared" si="0"/>
        <v>2012</v>
      </c>
      <c r="C47">
        <f>'Monthly Data'!D47</f>
        <v>13105249.1916</v>
      </c>
      <c r="D47">
        <f>'Monthly Data'!M47</f>
        <v>259.09999999999991</v>
      </c>
      <c r="E47">
        <f>'Monthly Data'!N47</f>
        <v>0</v>
      </c>
      <c r="F47">
        <f>'Monthly Data'!S47</f>
        <v>46</v>
      </c>
      <c r="G47" s="30">
        <f>'Monthly Data'!T47</f>
        <v>23301</v>
      </c>
      <c r="I47" s="101">
        <f>'Res OLS Model'!$B$5</f>
        <v>-20568225.384695102</v>
      </c>
      <c r="J47" s="101">
        <f>'Res OLS Model'!$B$6*D47</f>
        <v>3927075.7969493708</v>
      </c>
      <c r="K47" s="101">
        <f>'Res OLS Model'!$B$7*E47</f>
        <v>0</v>
      </c>
      <c r="L47" s="101">
        <f>'Res OLS Model'!$B$8*F47</f>
        <v>-1403895.1724040012</v>
      </c>
      <c r="M47" s="101">
        <f>'Res OLS Model'!$B$9*G47</f>
        <v>31752671.150059231</v>
      </c>
      <c r="N47" s="101">
        <f t="shared" si="1"/>
        <v>13707626.389909498</v>
      </c>
      <c r="O47" s="13">
        <f t="shared" si="2"/>
        <v>4.5964574156712741E-2</v>
      </c>
    </row>
    <row r="48" spans="1:15" x14ac:dyDescent="0.25">
      <c r="A48" s="11">
        <f>'Monthly Data'!A48</f>
        <v>41214</v>
      </c>
      <c r="B48" s="6">
        <f t="shared" si="0"/>
        <v>2012</v>
      </c>
      <c r="C48">
        <f>'Monthly Data'!D48</f>
        <v>16847106.408300001</v>
      </c>
      <c r="D48">
        <f>'Monthly Data'!M48</f>
        <v>498.9</v>
      </c>
      <c r="E48">
        <f>'Monthly Data'!N48</f>
        <v>0</v>
      </c>
      <c r="F48">
        <f>'Monthly Data'!S48</f>
        <v>47</v>
      </c>
      <c r="G48" s="30">
        <f>'Monthly Data'!T48</f>
        <v>23329</v>
      </c>
      <c r="I48" s="101">
        <f>'Res OLS Model'!$B$5</f>
        <v>-20568225.384695102</v>
      </c>
      <c r="J48" s="101">
        <f>'Res OLS Model'!$B$6*D48</f>
        <v>7561629.1590044061</v>
      </c>
      <c r="K48" s="101">
        <f>'Res OLS Model'!$B$7*E48</f>
        <v>0</v>
      </c>
      <c r="L48" s="101">
        <f>'Res OLS Model'!$B$8*F48</f>
        <v>-1434414.6326736535</v>
      </c>
      <c r="M48" s="101">
        <f>'Res OLS Model'!$B$9*G48</f>
        <v>31790827.228862785</v>
      </c>
      <c r="N48" s="101">
        <f t="shared" si="1"/>
        <v>17349816.370498434</v>
      </c>
      <c r="O48" s="13">
        <f t="shared" si="2"/>
        <v>2.9839543362221794E-2</v>
      </c>
    </row>
    <row r="49" spans="1:15" x14ac:dyDescent="0.25">
      <c r="A49" s="11">
        <f>'Monthly Data'!A49</f>
        <v>41244</v>
      </c>
      <c r="B49" s="6">
        <f t="shared" si="0"/>
        <v>2012</v>
      </c>
      <c r="C49">
        <f>'Monthly Data'!D49</f>
        <v>19547886.409699999</v>
      </c>
      <c r="D49">
        <f>'Monthly Data'!M49</f>
        <v>648.19999999999993</v>
      </c>
      <c r="E49">
        <f>'Monthly Data'!N49</f>
        <v>0</v>
      </c>
      <c r="F49">
        <f>'Monthly Data'!S49</f>
        <v>48</v>
      </c>
      <c r="G49" s="30">
        <f>'Monthly Data'!T49</f>
        <v>23324</v>
      </c>
      <c r="I49" s="101">
        <f>'Res OLS Model'!$B$5</f>
        <v>-20568225.384695102</v>
      </c>
      <c r="J49" s="101">
        <f>'Res OLS Model'!$B$6*D49</f>
        <v>9824509.9636533484</v>
      </c>
      <c r="K49" s="101">
        <f>'Res OLS Model'!$B$7*E49</f>
        <v>0</v>
      </c>
      <c r="L49" s="101">
        <f>'Res OLS Model'!$B$8*F49</f>
        <v>-1464934.0929433056</v>
      </c>
      <c r="M49" s="101">
        <f>'Res OLS Model'!$B$9*G49</f>
        <v>31784013.64336215</v>
      </c>
      <c r="N49" s="101">
        <f t="shared" si="1"/>
        <v>19575364.129377089</v>
      </c>
      <c r="O49" s="13">
        <f t="shared" si="2"/>
        <v>1.4056619268800195E-3</v>
      </c>
    </row>
    <row r="50" spans="1:15" x14ac:dyDescent="0.25">
      <c r="A50" s="11">
        <f>'Monthly Data'!A50</f>
        <v>41275</v>
      </c>
      <c r="B50" s="6">
        <f t="shared" si="0"/>
        <v>2013</v>
      </c>
      <c r="C50">
        <f>'Monthly Data'!D50</f>
        <v>21901118.335200001</v>
      </c>
      <c r="D50">
        <f>'Monthly Data'!M50</f>
        <v>743.9</v>
      </c>
      <c r="E50">
        <f>'Monthly Data'!N50</f>
        <v>0</v>
      </c>
      <c r="F50">
        <f>'Monthly Data'!S50</f>
        <v>49</v>
      </c>
      <c r="G50" s="30">
        <f>'Monthly Data'!T50</f>
        <v>23359</v>
      </c>
      <c r="I50" s="101">
        <f>'Res OLS Model'!$B$5</f>
        <v>-20568225.384695102</v>
      </c>
      <c r="J50" s="101">
        <f>'Res OLS Model'!$B$6*D50</f>
        <v>11274996.855849626</v>
      </c>
      <c r="K50" s="101">
        <f>'Res OLS Model'!$B$7*E50</f>
        <v>0</v>
      </c>
      <c r="L50" s="101">
        <f>'Res OLS Model'!$B$8*F50</f>
        <v>-1495453.5532129579</v>
      </c>
      <c r="M50" s="101">
        <f>'Res OLS Model'!$B$9*G50</f>
        <v>31831708.741866596</v>
      </c>
      <c r="N50" s="101">
        <f t="shared" si="1"/>
        <v>21043026.659808163</v>
      </c>
      <c r="O50" s="13">
        <f t="shared" si="2"/>
        <v>3.9180267521439417E-2</v>
      </c>
    </row>
    <row r="51" spans="1:15" x14ac:dyDescent="0.25">
      <c r="A51" s="11">
        <f>'Monthly Data'!A51</f>
        <v>41306</v>
      </c>
      <c r="B51" s="6">
        <f t="shared" si="0"/>
        <v>2013</v>
      </c>
      <c r="C51">
        <f>'Monthly Data'!D51</f>
        <v>19629047.322099999</v>
      </c>
      <c r="D51">
        <f>'Monthly Data'!M51</f>
        <v>693.5</v>
      </c>
      <c r="E51">
        <f>'Monthly Data'!N51</f>
        <v>0</v>
      </c>
      <c r="F51">
        <f>'Monthly Data'!S51</f>
        <v>50</v>
      </c>
      <c r="G51" s="30">
        <f>'Monthly Data'!T51</f>
        <v>23474</v>
      </c>
      <c r="I51" s="101">
        <f>'Res OLS Model'!$B$5</f>
        <v>-20568225.384695102</v>
      </c>
      <c r="J51" s="101">
        <f>'Res OLS Model'!$B$6*D51</f>
        <v>10511104.072498608</v>
      </c>
      <c r="K51" s="101">
        <f>'Res OLS Model'!$B$7*E51</f>
        <v>0</v>
      </c>
      <c r="L51" s="101">
        <f>'Res OLS Model'!$B$8*F51</f>
        <v>-1525973.01348261</v>
      </c>
      <c r="M51" s="101">
        <f>'Res OLS Model'!$B$9*G51</f>
        <v>31988421.208381202</v>
      </c>
      <c r="N51" s="101">
        <f t="shared" si="1"/>
        <v>20405326.882702097</v>
      </c>
      <c r="O51" s="13">
        <f t="shared" si="2"/>
        <v>3.9547490403576503E-2</v>
      </c>
    </row>
    <row r="52" spans="1:15" x14ac:dyDescent="0.25">
      <c r="A52" s="11">
        <f>'Monthly Data'!A52</f>
        <v>41334</v>
      </c>
      <c r="B52" s="6">
        <f t="shared" si="0"/>
        <v>2013</v>
      </c>
      <c r="C52">
        <f>'Monthly Data'!D52</f>
        <v>18854792.866099998</v>
      </c>
      <c r="D52">
        <f>'Monthly Data'!M52</f>
        <v>588.30000000000018</v>
      </c>
      <c r="E52">
        <f>'Monthly Data'!N52</f>
        <v>0</v>
      </c>
      <c r="F52">
        <f>'Monthly Data'!S52</f>
        <v>51</v>
      </c>
      <c r="G52" s="30">
        <f>'Monthly Data'!T52</f>
        <v>23489</v>
      </c>
      <c r="I52" s="101">
        <f>'Res OLS Model'!$B$5</f>
        <v>-20568225.384695102</v>
      </c>
      <c r="J52" s="101">
        <f>'Res OLS Model'!$B$6*D52</f>
        <v>8916629.4532818068</v>
      </c>
      <c r="K52" s="101">
        <f>'Res OLS Model'!$B$7*E52</f>
        <v>0</v>
      </c>
      <c r="L52" s="101">
        <f>'Res OLS Model'!$B$8*F52</f>
        <v>-1556492.4737522623</v>
      </c>
      <c r="M52" s="101">
        <f>'Res OLS Model'!$B$9*G52</f>
        <v>32008861.964883104</v>
      </c>
      <c r="N52" s="101">
        <f t="shared" si="1"/>
        <v>18800773.559717547</v>
      </c>
      <c r="O52" s="13">
        <f t="shared" si="2"/>
        <v>2.865017227506927E-3</v>
      </c>
    </row>
    <row r="53" spans="1:15" x14ac:dyDescent="0.25">
      <c r="A53" s="11">
        <f>'Monthly Data'!A53</f>
        <v>41365</v>
      </c>
      <c r="B53" s="6">
        <f t="shared" si="0"/>
        <v>2013</v>
      </c>
      <c r="C53">
        <f>'Monthly Data'!D53</f>
        <v>15311977.522799999</v>
      </c>
      <c r="D53">
        <f>'Monthly Data'!M53</f>
        <v>386.99999999999989</v>
      </c>
      <c r="E53">
        <f>'Monthly Data'!N53</f>
        <v>0</v>
      </c>
      <c r="F53">
        <f>'Monthly Data'!S53</f>
        <v>52</v>
      </c>
      <c r="G53" s="30">
        <f>'Monthly Data'!T53</f>
        <v>23431</v>
      </c>
      <c r="I53" s="101">
        <f>'Res OLS Model'!$B$5</f>
        <v>-20568225.384695102</v>
      </c>
      <c r="J53" s="101">
        <f>'Res OLS Model'!$B$6*D53</f>
        <v>5865605.3007310173</v>
      </c>
      <c r="K53" s="101">
        <f>'Res OLS Model'!$B$7*E53</f>
        <v>0</v>
      </c>
      <c r="L53" s="101">
        <f>'Res OLS Model'!$B$8*F53</f>
        <v>-1587011.9340219144</v>
      </c>
      <c r="M53" s="101">
        <f>'Res OLS Model'!$B$9*G53</f>
        <v>31929824.373075739</v>
      </c>
      <c r="N53" s="101">
        <f t="shared" si="1"/>
        <v>15640192.355089741</v>
      </c>
      <c r="O53" s="13">
        <f t="shared" si="2"/>
        <v>2.1435169415643437E-2</v>
      </c>
    </row>
    <row r="54" spans="1:15" x14ac:dyDescent="0.25">
      <c r="A54" s="11">
        <f>'Monthly Data'!A54</f>
        <v>41395</v>
      </c>
      <c r="B54" s="6">
        <f t="shared" si="0"/>
        <v>2013</v>
      </c>
      <c r="C54">
        <f>'Monthly Data'!D54</f>
        <v>11256892.577400001</v>
      </c>
      <c r="D54">
        <f>'Monthly Data'!M54</f>
        <v>139.70000000000002</v>
      </c>
      <c r="E54">
        <f>'Monthly Data'!N54</f>
        <v>6.3</v>
      </c>
      <c r="F54">
        <f>'Monthly Data'!S54</f>
        <v>53</v>
      </c>
      <c r="G54" s="30">
        <f>'Monthly Data'!T54</f>
        <v>23336</v>
      </c>
      <c r="I54" s="101">
        <f>'Res OLS Model'!$B$5</f>
        <v>-20568225.384695102</v>
      </c>
      <c r="J54" s="101">
        <f>'Res OLS Model'!$B$6*D54</f>
        <v>2117377.4173439881</v>
      </c>
      <c r="K54" s="101">
        <f>'Res OLS Model'!$B$7*E54</f>
        <v>244533.26370588946</v>
      </c>
      <c r="L54" s="101">
        <f>'Res OLS Model'!$B$8*F54</f>
        <v>-1617531.3942915667</v>
      </c>
      <c r="M54" s="101">
        <f>'Res OLS Model'!$B$9*G54</f>
        <v>31800366.248563673</v>
      </c>
      <c r="N54" s="101">
        <f t="shared" si="1"/>
        <v>11976520.150626887</v>
      </c>
      <c r="O54" s="13">
        <f t="shared" si="2"/>
        <v>6.3927728569752235E-2</v>
      </c>
    </row>
    <row r="55" spans="1:15" x14ac:dyDescent="0.25">
      <c r="A55" s="11">
        <f>'Monthly Data'!A55</f>
        <v>41426</v>
      </c>
      <c r="B55" s="6">
        <f t="shared" si="0"/>
        <v>2013</v>
      </c>
      <c r="C55">
        <f>'Monthly Data'!D55</f>
        <v>11837120.3138</v>
      </c>
      <c r="D55">
        <f>'Monthly Data'!M55</f>
        <v>72.200000000000017</v>
      </c>
      <c r="E55">
        <f>'Monthly Data'!N55</f>
        <v>30.800000000000004</v>
      </c>
      <c r="F55">
        <f>'Monthly Data'!S55</f>
        <v>54</v>
      </c>
      <c r="G55" s="30">
        <f>'Monthly Data'!T55</f>
        <v>23395</v>
      </c>
      <c r="I55" s="101">
        <f>'Res OLS Model'!$B$5</f>
        <v>-20568225.384695102</v>
      </c>
      <c r="J55" s="101">
        <f>'Res OLS Model'!$B$6*D55</f>
        <v>1094306.7253560198</v>
      </c>
      <c r="K55" s="101">
        <f>'Res OLS Model'!$B$7*E55</f>
        <v>1195495.9558954597</v>
      </c>
      <c r="L55" s="101">
        <f>'Res OLS Model'!$B$8*F55</f>
        <v>-1648050.854561219</v>
      </c>
      <c r="M55" s="101">
        <f>'Res OLS Model'!$B$9*G55</f>
        <v>31880766.557471167</v>
      </c>
      <c r="N55" s="101">
        <f t="shared" si="1"/>
        <v>11954292.999466326</v>
      </c>
      <c r="O55" s="13">
        <f t="shared" si="2"/>
        <v>9.8987492363090783E-3</v>
      </c>
    </row>
    <row r="56" spans="1:15" x14ac:dyDescent="0.25">
      <c r="A56" s="11">
        <f>'Monthly Data'!A56</f>
        <v>41456</v>
      </c>
      <c r="B56" s="6">
        <f t="shared" si="0"/>
        <v>2013</v>
      </c>
      <c r="C56">
        <f>'Monthly Data'!D56</f>
        <v>13724938.6174</v>
      </c>
      <c r="D56">
        <f>'Monthly Data'!M56</f>
        <v>4.8</v>
      </c>
      <c r="E56">
        <f>'Monthly Data'!N56</f>
        <v>97.09999999999998</v>
      </c>
      <c r="F56">
        <f>'Monthly Data'!S56</f>
        <v>55</v>
      </c>
      <c r="G56" s="30">
        <f>'Monthly Data'!T56</f>
        <v>23379</v>
      </c>
      <c r="I56" s="101">
        <f>'Res OLS Model'!$B$5</f>
        <v>-20568225.384695102</v>
      </c>
      <c r="J56" s="101">
        <f>'Res OLS Model'!$B$6*D56</f>
        <v>72751.693652477756</v>
      </c>
      <c r="K56" s="101">
        <f>'Res OLS Model'!$B$7*E56</f>
        <v>3768917.4453717242</v>
      </c>
      <c r="L56" s="101">
        <f>'Res OLS Model'!$B$8*F56</f>
        <v>-1678570.3148308711</v>
      </c>
      <c r="M56" s="101">
        <f>'Res OLS Model'!$B$9*G56</f>
        <v>31858963.083869137</v>
      </c>
      <c r="N56" s="101">
        <f t="shared" si="1"/>
        <v>13453836.523367368</v>
      </c>
      <c r="O56" s="13">
        <f t="shared" si="2"/>
        <v>1.9752517777306369E-2</v>
      </c>
    </row>
    <row r="57" spans="1:15" x14ac:dyDescent="0.25">
      <c r="A57" s="11">
        <f>'Monthly Data'!A57</f>
        <v>41487</v>
      </c>
      <c r="B57" s="6">
        <f t="shared" si="0"/>
        <v>2013</v>
      </c>
      <c r="C57">
        <f>'Monthly Data'!D57</f>
        <v>12808476.5385</v>
      </c>
      <c r="D57">
        <f>'Monthly Data'!M57</f>
        <v>7.7</v>
      </c>
      <c r="E57">
        <f>'Monthly Data'!N57</f>
        <v>59.999999999999993</v>
      </c>
      <c r="F57">
        <f>'Monthly Data'!S57</f>
        <v>56</v>
      </c>
      <c r="G57" s="30">
        <f>'Monthly Data'!T57</f>
        <v>23423</v>
      </c>
      <c r="I57" s="101">
        <f>'Res OLS Model'!$B$5</f>
        <v>-20568225.384695102</v>
      </c>
      <c r="J57" s="101">
        <f>'Res OLS Model'!$B$6*D57</f>
        <v>116705.84190084973</v>
      </c>
      <c r="K57" s="101">
        <f>'Res OLS Model'!$B$7*E57</f>
        <v>2328888.2257703757</v>
      </c>
      <c r="L57" s="101">
        <f>'Res OLS Model'!$B$8*F57</f>
        <v>-1709089.7751005234</v>
      </c>
      <c r="M57" s="101">
        <f>'Res OLS Model'!$B$9*G57</f>
        <v>31918922.636274721</v>
      </c>
      <c r="N57" s="101">
        <f t="shared" si="1"/>
        <v>12087201.544150326</v>
      </c>
      <c r="O57" s="13">
        <f t="shared" si="2"/>
        <v>5.6312317251911201E-2</v>
      </c>
    </row>
    <row r="58" spans="1:15" x14ac:dyDescent="0.25">
      <c r="A58" s="11">
        <f>'Monthly Data'!A58</f>
        <v>41518</v>
      </c>
      <c r="B58" s="6">
        <f t="shared" si="0"/>
        <v>2013</v>
      </c>
      <c r="C58">
        <f>'Monthly Data'!D58</f>
        <v>12245851.7632</v>
      </c>
      <c r="D58">
        <f>'Monthly Data'!M58</f>
        <v>118.4</v>
      </c>
      <c r="E58">
        <f>'Monthly Data'!N58</f>
        <v>16.5</v>
      </c>
      <c r="F58">
        <f>'Monthly Data'!S58</f>
        <v>57</v>
      </c>
      <c r="G58" s="30">
        <f>'Monthly Data'!T58</f>
        <v>23499</v>
      </c>
      <c r="I58" s="101">
        <f>'Res OLS Model'!$B$5</f>
        <v>-20568225.384695102</v>
      </c>
      <c r="J58" s="101">
        <f>'Res OLS Model'!$B$6*D58</f>
        <v>1794541.7767611181</v>
      </c>
      <c r="K58" s="101">
        <f>'Res OLS Model'!$B$7*E58</f>
        <v>640444.26208685338</v>
      </c>
      <c r="L58" s="101">
        <f>'Res OLS Model'!$B$8*F58</f>
        <v>-1739609.2353701754</v>
      </c>
      <c r="M58" s="101">
        <f>'Res OLS Model'!$B$9*G58</f>
        <v>32022489.135884374</v>
      </c>
      <c r="N58" s="101">
        <f t="shared" si="1"/>
        <v>12149640.554667071</v>
      </c>
      <c r="O58" s="13">
        <f t="shared" si="2"/>
        <v>7.8566367120377571E-3</v>
      </c>
    </row>
    <row r="59" spans="1:15" x14ac:dyDescent="0.25">
      <c r="A59" s="11">
        <f>'Monthly Data'!A59</f>
        <v>41548</v>
      </c>
      <c r="B59" s="6">
        <f t="shared" si="0"/>
        <v>2013</v>
      </c>
      <c r="C59">
        <f>'Monthly Data'!D59</f>
        <v>13101524.618600002</v>
      </c>
      <c r="D59">
        <f>'Monthly Data'!M59</f>
        <v>235.69999999999996</v>
      </c>
      <c r="E59">
        <f>'Monthly Data'!N59</f>
        <v>1.5</v>
      </c>
      <c r="F59">
        <f>'Monthly Data'!S59</f>
        <v>58</v>
      </c>
      <c r="G59" s="30">
        <f>'Monthly Data'!T59</f>
        <v>23572</v>
      </c>
      <c r="I59" s="101">
        <f>'Res OLS Model'!$B$5</f>
        <v>-20568225.384695102</v>
      </c>
      <c r="J59" s="101">
        <f>'Res OLS Model'!$B$6*D59</f>
        <v>3572411.2903935425</v>
      </c>
      <c r="K59" s="101">
        <f>'Res OLS Model'!$B$7*E59</f>
        <v>58222.205644259397</v>
      </c>
      <c r="L59" s="101">
        <f>'Res OLS Model'!$B$8*F59</f>
        <v>-1770128.6956398278</v>
      </c>
      <c r="M59" s="101">
        <f>'Res OLS Model'!$B$9*G59</f>
        <v>32121967.484193645</v>
      </c>
      <c r="N59" s="101">
        <f t="shared" si="1"/>
        <v>13414246.899896521</v>
      </c>
      <c r="O59" s="13">
        <f t="shared" si="2"/>
        <v>2.3869151904088573E-2</v>
      </c>
    </row>
    <row r="60" spans="1:15" x14ac:dyDescent="0.25">
      <c r="A60" s="11">
        <f>'Monthly Data'!A60</f>
        <v>41579</v>
      </c>
      <c r="B60" s="6">
        <f t="shared" si="0"/>
        <v>2013</v>
      </c>
      <c r="C60">
        <f>'Monthly Data'!D60</f>
        <v>17400393.981199998</v>
      </c>
      <c r="D60">
        <f>'Monthly Data'!M60</f>
        <v>501.50000000000006</v>
      </c>
      <c r="E60">
        <f>'Monthly Data'!N60</f>
        <v>0</v>
      </c>
      <c r="F60">
        <f>'Monthly Data'!S60</f>
        <v>59</v>
      </c>
      <c r="G60" s="30">
        <f>'Monthly Data'!T60</f>
        <v>23628</v>
      </c>
      <c r="I60" s="101">
        <f>'Res OLS Model'!$B$5</f>
        <v>-20568225.384695102</v>
      </c>
      <c r="J60" s="101">
        <f>'Res OLS Model'!$B$6*D60</f>
        <v>7601036.3263994996</v>
      </c>
      <c r="K60" s="101">
        <f>'Res OLS Model'!$B$7*E60</f>
        <v>0</v>
      </c>
      <c r="L60" s="101">
        <f>'Res OLS Model'!$B$8*F60</f>
        <v>-1800648.1559094798</v>
      </c>
      <c r="M60" s="101">
        <f>'Res OLS Model'!$B$9*G60</f>
        <v>32198279.641800757</v>
      </c>
      <c r="N60" s="101">
        <f t="shared" si="1"/>
        <v>17430442.427595675</v>
      </c>
      <c r="O60" s="13">
        <f t="shared" si="2"/>
        <v>1.7268831055286442E-3</v>
      </c>
    </row>
    <row r="61" spans="1:15" x14ac:dyDescent="0.25">
      <c r="A61" s="11">
        <f>'Monthly Data'!A61</f>
        <v>41609</v>
      </c>
      <c r="B61" s="6">
        <f t="shared" si="0"/>
        <v>2013</v>
      </c>
      <c r="C61">
        <f>'Monthly Data'!D61</f>
        <v>21276561.418000001</v>
      </c>
      <c r="D61">
        <f>'Monthly Data'!M61</f>
        <v>756.99999999999977</v>
      </c>
      <c r="E61">
        <f>'Monthly Data'!N61</f>
        <v>0</v>
      </c>
      <c r="F61">
        <f>'Monthly Data'!S61</f>
        <v>60</v>
      </c>
      <c r="G61" s="30">
        <f>'Monthly Data'!T61</f>
        <v>23625</v>
      </c>
      <c r="I61" s="101">
        <f>'Res OLS Model'!$B$5</f>
        <v>-20568225.384695102</v>
      </c>
      <c r="J61" s="101">
        <f>'Res OLS Model'!$B$6*D61</f>
        <v>11473548.353109509</v>
      </c>
      <c r="K61" s="101">
        <f>'Res OLS Model'!$B$7*E61</f>
        <v>0</v>
      </c>
      <c r="L61" s="101">
        <f>'Res OLS Model'!$B$8*F61</f>
        <v>-1831167.6161791321</v>
      </c>
      <c r="M61" s="101">
        <f>'Res OLS Model'!$B$9*G61</f>
        <v>32194191.490500376</v>
      </c>
      <c r="N61" s="101">
        <f t="shared" si="1"/>
        <v>21268346.842735648</v>
      </c>
      <c r="O61" s="13">
        <f t="shared" si="2"/>
        <v>3.8608566031744974E-4</v>
      </c>
    </row>
    <row r="62" spans="1:15" s="30" customFormat="1" x14ac:dyDescent="0.25">
      <c r="A62" s="11">
        <f>'Monthly Data'!A62</f>
        <v>41640</v>
      </c>
      <c r="B62" s="6">
        <f t="shared" ref="B62:B73" si="3">YEAR(A62)</f>
        <v>2014</v>
      </c>
      <c r="C62" s="30">
        <f>'Monthly Data'!D62</f>
        <v>24045022.723000001</v>
      </c>
      <c r="D62" s="30">
        <f>'Monthly Data'!M62</f>
        <v>844.5</v>
      </c>
      <c r="E62" s="30">
        <f>'Monthly Data'!N62</f>
        <v>0</v>
      </c>
      <c r="F62" s="30">
        <f>'Monthly Data'!S62</f>
        <v>61</v>
      </c>
      <c r="G62" s="30">
        <f>'Monthly Data'!T62</f>
        <v>23649</v>
      </c>
      <c r="I62" s="101">
        <f>'Res OLS Model'!$B$5</f>
        <v>-20568225.384695102</v>
      </c>
      <c r="J62" s="101">
        <f>'Res OLS Model'!$B$6*D62</f>
        <v>12799751.101982806</v>
      </c>
      <c r="K62" s="101">
        <f>'Res OLS Model'!$B$7*E62</f>
        <v>0</v>
      </c>
      <c r="L62" s="101">
        <f>'Res OLS Model'!$B$8*F62</f>
        <v>-1861687.0764487842</v>
      </c>
      <c r="M62" s="101">
        <f>'Res OLS Model'!$B$9*G62</f>
        <v>32226896.700903427</v>
      </c>
      <c r="N62" s="101">
        <f t="shared" ref="N62:N73" si="4">SUM(I62:M62)</f>
        <v>22596735.341742348</v>
      </c>
      <c r="O62" s="13">
        <f t="shared" ref="O62:O73" si="5">ABS(N62-C62)/C62</f>
        <v>6.0232314934446286E-2</v>
      </c>
    </row>
    <row r="63" spans="1:15" s="30" customFormat="1" x14ac:dyDescent="0.25">
      <c r="A63" s="11">
        <f>'Monthly Data'!A63</f>
        <v>41671</v>
      </c>
      <c r="B63" s="6">
        <f t="shared" si="3"/>
        <v>2014</v>
      </c>
      <c r="C63" s="30">
        <f>'Monthly Data'!D63</f>
        <v>20749302.4553</v>
      </c>
      <c r="D63" s="30">
        <f>'Monthly Data'!M63</f>
        <v>740.90000000000009</v>
      </c>
      <c r="E63" s="30">
        <f>'Monthly Data'!N63</f>
        <v>0</v>
      </c>
      <c r="F63" s="30">
        <f>'Monthly Data'!S63</f>
        <v>62</v>
      </c>
      <c r="G63" s="30">
        <f>'Monthly Data'!T63</f>
        <v>23652</v>
      </c>
      <c r="I63" s="101">
        <f>'Res OLS Model'!$B$5</f>
        <v>-20568225.384695102</v>
      </c>
      <c r="J63" s="101">
        <f>'Res OLS Model'!$B$6*D63</f>
        <v>11229527.047316829</v>
      </c>
      <c r="K63" s="101">
        <f>'Res OLS Model'!$B$7*E63</f>
        <v>0</v>
      </c>
      <c r="L63" s="101">
        <f>'Res OLS Model'!$B$8*F63</f>
        <v>-1892206.5367184365</v>
      </c>
      <c r="M63" s="101">
        <f>'Res OLS Model'!$B$9*G63</f>
        <v>32230984.852203805</v>
      </c>
      <c r="N63" s="101">
        <f t="shared" si="4"/>
        <v>21000079.978107095</v>
      </c>
      <c r="O63" s="13">
        <f t="shared" si="5"/>
        <v>1.2086070042467333E-2</v>
      </c>
    </row>
    <row r="64" spans="1:15" s="30" customFormat="1" x14ac:dyDescent="0.25">
      <c r="A64" s="11">
        <f>'Monthly Data'!A64</f>
        <v>41699</v>
      </c>
      <c r="B64" s="6">
        <f t="shared" si="3"/>
        <v>2014</v>
      </c>
      <c r="C64" s="30">
        <f>'Monthly Data'!D64</f>
        <v>20476865.275200002</v>
      </c>
      <c r="D64" s="30">
        <f>'Monthly Data'!M64</f>
        <v>720.19999999999993</v>
      </c>
      <c r="E64" s="30">
        <f>'Monthly Data'!N64</f>
        <v>0</v>
      </c>
      <c r="F64" s="30">
        <f>'Monthly Data'!S64</f>
        <v>63</v>
      </c>
      <c r="G64" s="30">
        <f>'Monthly Data'!T64</f>
        <v>23692</v>
      </c>
      <c r="I64" s="101">
        <f>'Res OLS Model'!$B$5</f>
        <v>-20568225.384695102</v>
      </c>
      <c r="J64" s="101">
        <f>'Res OLS Model'!$B$6*D64</f>
        <v>10915785.368440516</v>
      </c>
      <c r="K64" s="101">
        <f>'Res OLS Model'!$B$7*E64</f>
        <v>0</v>
      </c>
      <c r="L64" s="101">
        <f>'Res OLS Model'!$B$8*F64</f>
        <v>-1922725.9969880886</v>
      </c>
      <c r="M64" s="101">
        <f>'Res OLS Model'!$B$9*G64</f>
        <v>32285493.536208887</v>
      </c>
      <c r="N64" s="101">
        <f t="shared" si="4"/>
        <v>20710327.522966214</v>
      </c>
      <c r="O64" s="13">
        <f t="shared" si="5"/>
        <v>1.1401268926106725E-2</v>
      </c>
    </row>
    <row r="65" spans="1:15" s="30" customFormat="1" x14ac:dyDescent="0.25">
      <c r="A65" s="11">
        <f>'Monthly Data'!A65</f>
        <v>41730</v>
      </c>
      <c r="B65" s="6">
        <f t="shared" si="3"/>
        <v>2014</v>
      </c>
      <c r="C65" s="30">
        <f>'Monthly Data'!D65</f>
        <v>15606789.041399999</v>
      </c>
      <c r="D65" s="30">
        <f>'Monthly Data'!M65</f>
        <v>352.09999999999991</v>
      </c>
      <c r="E65" s="30">
        <f>'Monthly Data'!N65</f>
        <v>0</v>
      </c>
      <c r="F65" s="30">
        <f>'Monthly Data'!S65</f>
        <v>64</v>
      </c>
      <c r="G65" s="30">
        <f>'Monthly Data'!T65</f>
        <v>23826</v>
      </c>
      <c r="I65" s="101">
        <f>'Res OLS Model'!$B$5</f>
        <v>-20568225.384695102</v>
      </c>
      <c r="J65" s="101">
        <f>'Res OLS Model'!$B$6*D65</f>
        <v>5336639.8614661274</v>
      </c>
      <c r="K65" s="101">
        <f>'Res OLS Model'!$B$7*E65</f>
        <v>0</v>
      </c>
      <c r="L65" s="101">
        <f>'Res OLS Model'!$B$8*F65</f>
        <v>-1953245.4572577409</v>
      </c>
      <c r="M65" s="101">
        <f>'Res OLS Model'!$B$9*G65</f>
        <v>32468097.627625905</v>
      </c>
      <c r="N65" s="101">
        <f t="shared" si="4"/>
        <v>15283266.647139192</v>
      </c>
      <c r="O65" s="13">
        <f t="shared" si="5"/>
        <v>2.0729593602028053E-2</v>
      </c>
    </row>
    <row r="66" spans="1:15" s="30" customFormat="1" x14ac:dyDescent="0.25">
      <c r="A66" s="11">
        <f>'Monthly Data'!A66</f>
        <v>41760</v>
      </c>
      <c r="B66" s="6">
        <f t="shared" si="3"/>
        <v>2014</v>
      </c>
      <c r="C66" s="30">
        <f>'Monthly Data'!D66</f>
        <v>11442915.201100001</v>
      </c>
      <c r="D66" s="30">
        <f>'Monthly Data'!M66</f>
        <v>127.70000000000003</v>
      </c>
      <c r="E66" s="30">
        <f>'Monthly Data'!N66</f>
        <v>12.399999999999999</v>
      </c>
      <c r="F66" s="30">
        <f>'Monthly Data'!S66</f>
        <v>65</v>
      </c>
      <c r="G66" s="30">
        <f>'Monthly Data'!T66</f>
        <v>23751</v>
      </c>
      <c r="I66" s="101">
        <f>'Res OLS Model'!$B$5</f>
        <v>-20568225.384695102</v>
      </c>
      <c r="J66" s="101">
        <f>'Res OLS Model'!$B$6*D66</f>
        <v>1935498.1832127941</v>
      </c>
      <c r="K66" s="101">
        <f>'Res OLS Model'!$B$7*E66</f>
        <v>481303.56665921095</v>
      </c>
      <c r="L66" s="101">
        <f>'Res OLS Model'!$B$8*F66</f>
        <v>-1983764.9175273932</v>
      </c>
      <c r="M66" s="101">
        <f>'Res OLS Model'!$B$9*G66</f>
        <v>32365893.845116381</v>
      </c>
      <c r="N66" s="101">
        <f t="shared" si="4"/>
        <v>12230705.292765893</v>
      </c>
      <c r="O66" s="13">
        <f t="shared" si="5"/>
        <v>6.8845226746953619E-2</v>
      </c>
    </row>
    <row r="67" spans="1:15" s="30" customFormat="1" x14ac:dyDescent="0.25">
      <c r="A67" s="11">
        <f>'Monthly Data'!A67</f>
        <v>41791</v>
      </c>
      <c r="B67" s="6">
        <f t="shared" si="3"/>
        <v>2014</v>
      </c>
      <c r="C67" s="30">
        <f>'Monthly Data'!D67</f>
        <v>11450449.290999999</v>
      </c>
      <c r="D67" s="30">
        <f>'Monthly Data'!M67</f>
        <v>25.699999999999996</v>
      </c>
      <c r="E67" s="30">
        <f>'Monthly Data'!N67</f>
        <v>47.4</v>
      </c>
      <c r="F67" s="30">
        <f>'Monthly Data'!S67</f>
        <v>66</v>
      </c>
      <c r="G67" s="30">
        <f>'Monthly Data'!T67</f>
        <v>23799</v>
      </c>
      <c r="I67" s="101">
        <f>'Res OLS Model'!$B$5</f>
        <v>-20568225.384695102</v>
      </c>
      <c r="J67" s="101">
        <f>'Res OLS Model'!$B$6*D67</f>
        <v>389524.69309764123</v>
      </c>
      <c r="K67" s="101">
        <f>'Res OLS Model'!$B$7*E67</f>
        <v>1839821.6983585968</v>
      </c>
      <c r="L67" s="101">
        <f>'Res OLS Model'!$B$8*F67</f>
        <v>-2014284.3777970453</v>
      </c>
      <c r="M67" s="101">
        <f>'Res OLS Model'!$B$9*G67</f>
        <v>32431304.265922476</v>
      </c>
      <c r="N67" s="101">
        <f t="shared" si="4"/>
        <v>12078140.894886564</v>
      </c>
      <c r="O67" s="13">
        <f t="shared" si="5"/>
        <v>5.481807638586967E-2</v>
      </c>
    </row>
    <row r="68" spans="1:15" s="30" customFormat="1" x14ac:dyDescent="0.25">
      <c r="A68" s="11">
        <f>'Monthly Data'!A68</f>
        <v>41821</v>
      </c>
      <c r="B68" s="6">
        <f t="shared" si="3"/>
        <v>2014</v>
      </c>
      <c r="C68" s="30">
        <f>'Monthly Data'!D68</f>
        <v>12659349.261</v>
      </c>
      <c r="D68" s="30">
        <f>'Monthly Data'!M68</f>
        <v>10.600000000000001</v>
      </c>
      <c r="E68" s="30">
        <f>'Monthly Data'!N68</f>
        <v>55.899999999999984</v>
      </c>
      <c r="F68" s="30">
        <f>'Monthly Data'!S68</f>
        <v>67</v>
      </c>
      <c r="G68" s="30">
        <f>'Monthly Data'!T68</f>
        <v>23834</v>
      </c>
      <c r="I68" s="101">
        <f>'Res OLS Model'!$B$5</f>
        <v>-20568225.384695102</v>
      </c>
      <c r="J68" s="101">
        <f>'Res OLS Model'!$B$6*D68</f>
        <v>160659.99014922173</v>
      </c>
      <c r="K68" s="101">
        <f>'Res OLS Model'!$B$7*E68</f>
        <v>2169747.530342733</v>
      </c>
      <c r="L68" s="101">
        <f>'Res OLS Model'!$B$8*F68</f>
        <v>-2044803.8380666976</v>
      </c>
      <c r="M68" s="101">
        <f>'Res OLS Model'!$B$9*G68</f>
        <v>32478999.364426922</v>
      </c>
      <c r="N68" s="101">
        <f t="shared" si="4"/>
        <v>12196377.662157077</v>
      </c>
      <c r="O68" s="13">
        <f t="shared" si="5"/>
        <v>3.657151637874561E-2</v>
      </c>
    </row>
    <row r="69" spans="1:15" s="30" customFormat="1" x14ac:dyDescent="0.25">
      <c r="A69" s="11">
        <f>'Monthly Data'!A69</f>
        <v>41852</v>
      </c>
      <c r="B69" s="6">
        <f t="shared" si="3"/>
        <v>2014</v>
      </c>
      <c r="C69" s="30">
        <f>'Monthly Data'!D69</f>
        <v>12690651.3156</v>
      </c>
      <c r="D69" s="30">
        <f>'Monthly Data'!M69</f>
        <v>18.999999999999996</v>
      </c>
      <c r="E69" s="30">
        <f>'Monthly Data'!N69</f>
        <v>51.999999999999993</v>
      </c>
      <c r="F69" s="30">
        <f>'Monthly Data'!S69</f>
        <v>68</v>
      </c>
      <c r="G69" s="30">
        <f>'Monthly Data'!T69</f>
        <v>23862</v>
      </c>
      <c r="I69" s="101">
        <f>'Res OLS Model'!$B$5</f>
        <v>-20568225.384695102</v>
      </c>
      <c r="J69" s="101">
        <f>'Res OLS Model'!$B$6*D69</f>
        <v>287975.45404105773</v>
      </c>
      <c r="K69" s="101">
        <f>'Res OLS Model'!$B$7*E69</f>
        <v>2018369.7956676588</v>
      </c>
      <c r="L69" s="101">
        <f>'Res OLS Model'!$B$8*F69</f>
        <v>-2075323.2983363497</v>
      </c>
      <c r="M69" s="101">
        <f>'Res OLS Model'!$B$9*G69</f>
        <v>32517155.443230476</v>
      </c>
      <c r="N69" s="101">
        <f t="shared" si="4"/>
        <v>12179952.009907741</v>
      </c>
      <c r="O69" s="13">
        <f t="shared" si="5"/>
        <v>4.0242166693562953E-2</v>
      </c>
    </row>
    <row r="70" spans="1:15" s="30" customFormat="1" x14ac:dyDescent="0.25">
      <c r="A70" s="11">
        <f>'Monthly Data'!A70</f>
        <v>41883</v>
      </c>
      <c r="B70" s="6">
        <f t="shared" si="3"/>
        <v>2014</v>
      </c>
      <c r="C70" s="30">
        <f>'Monthly Data'!D70</f>
        <v>12397214.755899999</v>
      </c>
      <c r="D70" s="30">
        <f>'Monthly Data'!M70</f>
        <v>90.500000000000014</v>
      </c>
      <c r="E70" s="30">
        <f>'Monthly Data'!N70</f>
        <v>25.400000000000006</v>
      </c>
      <c r="F70" s="30">
        <f>'Monthly Data'!S70</f>
        <v>69</v>
      </c>
      <c r="G70" s="30">
        <f>'Monthly Data'!T70</f>
        <v>24020</v>
      </c>
      <c r="I70" s="101">
        <f>'Res OLS Model'!$B$5</f>
        <v>-20568225.384695102</v>
      </c>
      <c r="J70" s="101">
        <f>'Res OLS Model'!$B$6*D70</f>
        <v>1371672.5574060911</v>
      </c>
      <c r="K70" s="101">
        <f>'Res OLS Model'!$B$7*E70</f>
        <v>985896.01557612605</v>
      </c>
      <c r="L70" s="101">
        <f>'Res OLS Model'!$B$8*F70</f>
        <v>-2105842.7586060017</v>
      </c>
      <c r="M70" s="101">
        <f>'Res OLS Model'!$B$9*G70</f>
        <v>32732464.745050542</v>
      </c>
      <c r="N70" s="101">
        <f t="shared" si="4"/>
        <v>12415965.174731657</v>
      </c>
      <c r="O70" s="13">
        <f t="shared" si="5"/>
        <v>1.5124702766590411E-3</v>
      </c>
    </row>
    <row r="71" spans="1:15" s="30" customFormat="1" x14ac:dyDescent="0.25">
      <c r="A71" s="11">
        <f>'Monthly Data'!A71</f>
        <v>41913</v>
      </c>
      <c r="B71" s="6">
        <f t="shared" si="3"/>
        <v>2014</v>
      </c>
      <c r="C71" s="30">
        <f>'Monthly Data'!D71</f>
        <v>13065374.972399998</v>
      </c>
      <c r="D71" s="30">
        <f>'Monthly Data'!M71</f>
        <v>225.59999999999994</v>
      </c>
      <c r="E71" s="30">
        <f>'Monthly Data'!N71</f>
        <v>1.8</v>
      </c>
      <c r="F71" s="30">
        <f>'Monthly Data'!S71</f>
        <v>70</v>
      </c>
      <c r="G71" s="30">
        <f>'Monthly Data'!T71</f>
        <v>24052</v>
      </c>
      <c r="I71" s="101">
        <f>'Res OLS Model'!$B$5</f>
        <v>-20568225.384695102</v>
      </c>
      <c r="J71" s="101">
        <f>'Res OLS Model'!$B$6*D71</f>
        <v>3419329.6016664538</v>
      </c>
      <c r="K71" s="101">
        <f>'Res OLS Model'!$B$7*E71</f>
        <v>69866.646773111279</v>
      </c>
      <c r="L71" s="101">
        <f>'Res OLS Model'!$B$8*F71</f>
        <v>-2136362.218875654</v>
      </c>
      <c r="M71" s="101">
        <f>'Res OLS Model'!$B$9*G71</f>
        <v>32776071.692254607</v>
      </c>
      <c r="N71" s="101">
        <f t="shared" si="4"/>
        <v>13560680.337123416</v>
      </c>
      <c r="O71" s="13">
        <f t="shared" si="5"/>
        <v>3.7909770348706226E-2</v>
      </c>
    </row>
    <row r="72" spans="1:15" s="30" customFormat="1" x14ac:dyDescent="0.25">
      <c r="A72" s="11">
        <f>'Monthly Data'!A72</f>
        <v>41944</v>
      </c>
      <c r="B72" s="6">
        <f t="shared" si="3"/>
        <v>2014</v>
      </c>
      <c r="C72" s="30">
        <f>'Monthly Data'!D72</f>
        <v>17254782.230599999</v>
      </c>
      <c r="D72" s="30">
        <f>'Monthly Data'!M72</f>
        <v>491.6</v>
      </c>
      <c r="E72" s="30">
        <f>'Monthly Data'!N72</f>
        <v>0</v>
      </c>
      <c r="F72" s="30">
        <f>'Monthly Data'!S72</f>
        <v>71</v>
      </c>
      <c r="G72" s="30">
        <f>'Monthly Data'!T72</f>
        <v>24048</v>
      </c>
      <c r="I72" s="101">
        <f>'Res OLS Model'!$B$5</f>
        <v>-20568225.384695102</v>
      </c>
      <c r="J72" s="101">
        <f>'Res OLS Model'!$B$6*D72</f>
        <v>7450985.9582412634</v>
      </c>
      <c r="K72" s="101">
        <f>'Res OLS Model'!$B$7*E72</f>
        <v>0</v>
      </c>
      <c r="L72" s="101">
        <f>'Res OLS Model'!$B$8*F72</f>
        <v>-2166881.6791453063</v>
      </c>
      <c r="M72" s="101">
        <f>'Res OLS Model'!$B$9*G72</f>
        <v>32770620.8238541</v>
      </c>
      <c r="N72" s="101">
        <f t="shared" si="4"/>
        <v>17486499.718254954</v>
      </c>
      <c r="O72" s="13">
        <f t="shared" si="5"/>
        <v>1.3429174854726444E-2</v>
      </c>
    </row>
    <row r="73" spans="1:15" s="30" customFormat="1" x14ac:dyDescent="0.25">
      <c r="A73" s="11">
        <f>'Monthly Data'!A73</f>
        <v>41974</v>
      </c>
      <c r="B73" s="6">
        <f t="shared" si="3"/>
        <v>2014</v>
      </c>
      <c r="C73" s="30">
        <f>'Monthly Data'!D73</f>
        <v>20222691.8213</v>
      </c>
      <c r="D73" s="30">
        <f>'Monthly Data'!M73</f>
        <v>619.89999999999986</v>
      </c>
      <c r="E73" s="30">
        <f>'Monthly Data'!N73</f>
        <v>0</v>
      </c>
      <c r="F73" s="30">
        <f>'Monthly Data'!S73</f>
        <v>72</v>
      </c>
      <c r="G73" s="30">
        <f>'Monthly Data'!T73</f>
        <v>24046</v>
      </c>
      <c r="I73" s="101">
        <f>'Res OLS Model'!$B$5</f>
        <v>-20568225.384695102</v>
      </c>
      <c r="J73" s="101">
        <f>'Res OLS Model'!$B$6*D73</f>
        <v>9395578.1031606141</v>
      </c>
      <c r="K73" s="101">
        <f>'Res OLS Model'!$B$7*E73</f>
        <v>0</v>
      </c>
      <c r="L73" s="101">
        <f>'Res OLS Model'!$B$8*F73</f>
        <v>-2197401.1394149587</v>
      </c>
      <c r="M73" s="101">
        <f>'Res OLS Model'!$B$9*G73</f>
        <v>32767895.389653843</v>
      </c>
      <c r="N73" s="101">
        <f t="shared" si="4"/>
        <v>19397846.968704395</v>
      </c>
      <c r="O73" s="13">
        <f t="shared" si="5"/>
        <v>4.0788083994180178E-2</v>
      </c>
    </row>
    <row r="74" spans="1:15" x14ac:dyDescent="0.25">
      <c r="O74" s="14">
        <f>AVERAGE(O2:O73)</f>
        <v>3.2628547688306177E-2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7" sqref="A27"/>
    </sheetView>
  </sheetViews>
  <sheetFormatPr defaultColWidth="20.6640625" defaultRowHeight="13.2" x14ac:dyDescent="0.25"/>
  <cols>
    <col min="2" max="2" width="12.88671875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167</v>
      </c>
    </row>
    <row r="2" spans="1:5" x14ac:dyDescent="0.25">
      <c r="A2" t="s">
        <v>77</v>
      </c>
    </row>
    <row r="4" spans="1:5" x14ac:dyDescent="0.25">
      <c r="B4" t="s">
        <v>47</v>
      </c>
      <c r="C4" t="s">
        <v>44</v>
      </c>
      <c r="D4" t="s">
        <v>48</v>
      </c>
      <c r="E4" t="s">
        <v>14</v>
      </c>
    </row>
    <row r="5" spans="1:5" x14ac:dyDescent="0.25">
      <c r="A5" t="s">
        <v>13</v>
      </c>
      <c r="B5" s="23">
        <v>-4820550.2123392904</v>
      </c>
      <c r="C5">
        <v>3817886.7070671902</v>
      </c>
      <c r="D5">
        <v>-1.2626226449873701</v>
      </c>
      <c r="E5" s="5">
        <v>0.21137847139143701</v>
      </c>
    </row>
    <row r="6" spans="1:5" x14ac:dyDescent="0.25">
      <c r="A6" t="s">
        <v>9</v>
      </c>
      <c r="B6" s="23">
        <v>3223.8854954871999</v>
      </c>
      <c r="C6">
        <v>145.18340295959601</v>
      </c>
      <c r="D6">
        <v>22.205606355599699</v>
      </c>
      <c r="E6" s="5">
        <v>1.70997268236917E-31</v>
      </c>
    </row>
    <row r="7" spans="1:5" x14ac:dyDescent="0.25">
      <c r="A7" t="s">
        <v>10</v>
      </c>
      <c r="B7" s="23">
        <v>15203.2087551599</v>
      </c>
      <c r="C7">
        <v>1230.5735536382899</v>
      </c>
      <c r="D7">
        <v>12.3545713380646</v>
      </c>
      <c r="E7" s="5">
        <v>1.7374226552594598E-18</v>
      </c>
    </row>
    <row r="8" spans="1:5" x14ac:dyDescent="0.25">
      <c r="A8" t="s">
        <v>81</v>
      </c>
      <c r="B8" s="23">
        <v>-7342.7159726151203</v>
      </c>
      <c r="C8">
        <v>3098.6897994228402</v>
      </c>
      <c r="D8">
        <v>-2.3696195643664502</v>
      </c>
      <c r="E8">
        <v>2.0882279146638202E-2</v>
      </c>
    </row>
    <row r="9" spans="1:5" x14ac:dyDescent="0.25">
      <c r="A9" s="12" t="s">
        <v>162</v>
      </c>
      <c r="B9" s="23">
        <v>3523.1688676927402</v>
      </c>
      <c r="C9">
        <v>1157.21793900435</v>
      </c>
      <c r="D9">
        <v>3.0445162911352801</v>
      </c>
      <c r="E9" s="5">
        <v>3.3989183909478599E-3</v>
      </c>
    </row>
    <row r="10" spans="1:5" x14ac:dyDescent="0.25">
      <c r="A10" t="s">
        <v>168</v>
      </c>
      <c r="B10" s="23">
        <v>893150.55620657699</v>
      </c>
      <c r="C10">
        <v>140259.514704081</v>
      </c>
      <c r="D10">
        <v>6.3678429095590499</v>
      </c>
      <c r="E10" s="5">
        <v>2.49093974409902E-8</v>
      </c>
    </row>
    <row r="11" spans="1:5" x14ac:dyDescent="0.25">
      <c r="A11" t="s">
        <v>158</v>
      </c>
      <c r="B11" s="23">
        <v>-173591.250541696</v>
      </c>
      <c r="C11">
        <v>76155.908788731394</v>
      </c>
      <c r="D11">
        <v>-2.2794193294083902</v>
      </c>
      <c r="E11">
        <v>2.6039525523979E-2</v>
      </c>
    </row>
    <row r="12" spans="1:5" x14ac:dyDescent="0.25">
      <c r="A12" t="s">
        <v>30</v>
      </c>
      <c r="B12" s="23">
        <v>-323195.56340474403</v>
      </c>
      <c r="C12">
        <v>104499.699712887</v>
      </c>
      <c r="D12">
        <v>-3.0927893983688302</v>
      </c>
      <c r="E12">
        <v>2.9540043660924802E-3</v>
      </c>
    </row>
    <row r="13" spans="1:5" x14ac:dyDescent="0.25">
      <c r="A13" t="s">
        <v>31</v>
      </c>
      <c r="B13" s="23">
        <v>-425159.68663676298</v>
      </c>
      <c r="C13">
        <v>104014.92726445101</v>
      </c>
      <c r="D13">
        <v>-4.0874872272498104</v>
      </c>
      <c r="E13">
        <v>1.2573761510236E-4</v>
      </c>
    </row>
    <row r="14" spans="1:5" x14ac:dyDescent="0.25">
      <c r="D14" s="5"/>
    </row>
    <row r="15" spans="1:5" x14ac:dyDescent="0.25">
      <c r="A15" t="s">
        <v>49</v>
      </c>
      <c r="B15" s="23">
        <v>7596391.3583958298</v>
      </c>
      <c r="C15" t="s">
        <v>50</v>
      </c>
      <c r="D15" s="30">
        <v>801475.09749485098</v>
      </c>
    </row>
    <row r="16" spans="1:5" x14ac:dyDescent="0.25">
      <c r="A16" t="s">
        <v>51</v>
      </c>
      <c r="B16">
        <v>3130092964055.5601</v>
      </c>
      <c r="C16" t="s">
        <v>52</v>
      </c>
      <c r="D16" s="5">
        <v>222899.11462917301</v>
      </c>
    </row>
    <row r="17" spans="1:4" x14ac:dyDescent="0.25">
      <c r="A17" t="s">
        <v>15</v>
      </c>
      <c r="B17">
        <v>0.93136923788097803</v>
      </c>
      <c r="C17" t="s">
        <v>16</v>
      </c>
      <c r="D17">
        <v>0.922654220469039</v>
      </c>
    </row>
    <row r="18" spans="1:4" x14ac:dyDescent="0.25">
      <c r="A18" t="s">
        <v>163</v>
      </c>
      <c r="B18">
        <v>106.86946380681201</v>
      </c>
      <c r="C18" t="s">
        <v>17</v>
      </c>
      <c r="D18" s="5">
        <v>1.1409367112377599E-33</v>
      </c>
    </row>
    <row r="19" spans="1:4" x14ac:dyDescent="0.25">
      <c r="A19" t="s">
        <v>53</v>
      </c>
      <c r="B19">
        <v>-983.99861166272603</v>
      </c>
      <c r="C19" t="s">
        <v>54</v>
      </c>
      <c r="D19">
        <v>1985.99722332545</v>
      </c>
    </row>
    <row r="20" spans="1:4" x14ac:dyDescent="0.25">
      <c r="A20" t="s">
        <v>55</v>
      </c>
      <c r="B20">
        <v>2006.4872183965999</v>
      </c>
      <c r="C20" t="s">
        <v>56</v>
      </c>
      <c r="D20">
        <v>1994.15435103972</v>
      </c>
    </row>
    <row r="21" spans="1:4" x14ac:dyDescent="0.25">
      <c r="A21" t="s">
        <v>57</v>
      </c>
      <c r="B21">
        <v>0.26204918931446602</v>
      </c>
      <c r="C21" t="s">
        <v>18</v>
      </c>
      <c r="D21">
        <v>1.46047986475291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workbookViewId="0">
      <pane ySplit="2400" topLeftCell="A62" activePane="bottomLeft"/>
      <selection activeCell="A36" sqref="A36"/>
      <selection pane="bottomLeft" activeCell="G50" sqref="G50:G61"/>
    </sheetView>
  </sheetViews>
  <sheetFormatPr defaultRowHeight="13.2" x14ac:dyDescent="0.25"/>
  <cols>
    <col min="1" max="1" width="7.109375" style="11" bestFit="1" customWidth="1"/>
    <col min="2" max="2" width="7.109375" style="11" customWidth="1"/>
    <col min="3" max="3" width="12" bestFit="1" customWidth="1"/>
    <col min="4" max="5" width="12.6640625" bestFit="1" customWidth="1"/>
    <col min="6" max="6" width="12.6640625" customWidth="1"/>
    <col min="7" max="7" width="14.88671875" bestFit="1" customWidth="1"/>
    <col min="8" max="8" width="4.5546875" customWidth="1"/>
    <col min="9" max="11" width="4.5546875" style="30" customWidth="1"/>
    <col min="13" max="15" width="10.33203125" style="23" bestFit="1" customWidth="1"/>
    <col min="16" max="16" width="8.6640625" style="23" bestFit="1" customWidth="1"/>
    <col min="17" max="17" width="12.44140625" style="23" bestFit="1" customWidth="1"/>
    <col min="18" max="18" width="15.33203125" style="23" bestFit="1" customWidth="1"/>
    <col min="19" max="21" width="8.6640625" style="23" bestFit="1" customWidth="1"/>
    <col min="22" max="22" width="15.44140625" style="23" bestFit="1" customWidth="1"/>
    <col min="24" max="24" width="9.109375" style="30"/>
  </cols>
  <sheetData>
    <row r="1" spans="1:24" x14ac:dyDescent="0.25">
      <c r="A1" s="11" t="str">
        <f>'Monthly Data'!A1</f>
        <v>Date</v>
      </c>
      <c r="B1" s="15" t="s">
        <v>33</v>
      </c>
      <c r="C1" t="str">
        <f>'Monthly Data'!E1</f>
        <v>GSlt50kWh</v>
      </c>
      <c r="D1" t="str">
        <f>'Monthly Data'!M1</f>
        <v>HDD</v>
      </c>
      <c r="E1" t="str">
        <f>'Monthly Data'!N1</f>
        <v>CDD</v>
      </c>
      <c r="F1" t="str">
        <f>'Monthly Data'!S1</f>
        <v>Trend</v>
      </c>
      <c r="G1" t="str">
        <f>'Monthly Data'!U1</f>
        <v>GS&lt;50 Cust</v>
      </c>
      <c r="H1" t="str">
        <f>'Monthly Data'!Y1</f>
        <v>Reclassification</v>
      </c>
      <c r="I1" s="30" t="str">
        <f>'Monthly Data'!AE1</f>
        <v>Fall</v>
      </c>
      <c r="J1" s="30" t="str">
        <f>'Monthly Data'!AF1</f>
        <v>DFEB</v>
      </c>
      <c r="K1" s="30" t="str">
        <f>'Monthly Data'!AG1</f>
        <v>DAPR</v>
      </c>
      <c r="M1" s="23" t="s">
        <v>13</v>
      </c>
      <c r="N1" s="23" t="str">
        <f>D1</f>
        <v>HDD</v>
      </c>
      <c r="O1" s="23" t="str">
        <f t="shared" ref="O1:U1" si="0">E1</f>
        <v>CDD</v>
      </c>
      <c r="P1" s="23" t="str">
        <f t="shared" si="0"/>
        <v>Trend</v>
      </c>
      <c r="Q1" s="23" t="str">
        <f t="shared" si="0"/>
        <v>GS&lt;50 Cust</v>
      </c>
      <c r="R1" s="23" t="str">
        <f t="shared" si="0"/>
        <v>Reclassification</v>
      </c>
      <c r="S1" s="23" t="str">
        <f t="shared" si="0"/>
        <v>Fall</v>
      </c>
      <c r="T1" s="23" t="str">
        <f t="shared" si="0"/>
        <v>DFEB</v>
      </c>
      <c r="U1" s="23" t="str">
        <f t="shared" si="0"/>
        <v>DAPR</v>
      </c>
      <c r="V1" s="80" t="s">
        <v>58</v>
      </c>
      <c r="W1" s="12" t="s">
        <v>59</v>
      </c>
      <c r="X1" s="12" t="s">
        <v>59</v>
      </c>
    </row>
    <row r="2" spans="1:24" x14ac:dyDescent="0.25">
      <c r="A2" s="11">
        <f>'Monthly Data'!A2</f>
        <v>39814</v>
      </c>
      <c r="B2" s="6">
        <f>YEAR(A2)</f>
        <v>2009</v>
      </c>
      <c r="C2">
        <f>'Monthly Data'!E2</f>
        <v>9405720.7811999973</v>
      </c>
      <c r="D2">
        <f>'Monthly Data'!M2</f>
        <v>887.09999999999991</v>
      </c>
      <c r="E2">
        <f>'Monthly Data'!N2</f>
        <v>0</v>
      </c>
      <c r="F2" s="30">
        <f>'Monthly Data'!S2</f>
        <v>1</v>
      </c>
      <c r="G2" s="30">
        <f>'Monthly Data'!U2</f>
        <v>3262</v>
      </c>
      <c r="H2" s="30">
        <f>'Monthly Data'!Y2</f>
        <v>0</v>
      </c>
      <c r="I2" s="30">
        <f>'Monthly Data'!AE2</f>
        <v>0</v>
      </c>
      <c r="J2" s="30">
        <f>'Monthly Data'!AF2</f>
        <v>0</v>
      </c>
      <c r="K2" s="30">
        <f>'Monthly Data'!AG2</f>
        <v>0</v>
      </c>
      <c r="M2" s="23">
        <f>'GS &lt; 50 OLS Model'!$B$5</f>
        <v>-4820550.2123392904</v>
      </c>
      <c r="N2" s="23">
        <f>'GS &lt; 50 OLS Model'!$B$6*D2</f>
        <v>2859908.823046695</v>
      </c>
      <c r="O2" s="23">
        <f>'GS &lt; 50 OLS Model'!$B$7*E2</f>
        <v>0</v>
      </c>
      <c r="P2" s="23">
        <f>'GS &lt; 50 OLS Model'!$B$8*F2</f>
        <v>-7342.7159726151203</v>
      </c>
      <c r="Q2" s="23">
        <f>'GS &lt; 50 OLS Model'!$B$9*G2</f>
        <v>11492576.846413719</v>
      </c>
      <c r="R2" s="23">
        <f>'GS &lt; 50 OLS Model'!$B$10*H2</f>
        <v>0</v>
      </c>
      <c r="S2" s="23">
        <f>'GS &lt; 50 OLS Model'!$B$11*I2</f>
        <v>0</v>
      </c>
      <c r="T2" s="23">
        <f>'GS &lt; 50 OLS Model'!$B$12*J2</f>
        <v>0</v>
      </c>
      <c r="U2" s="23">
        <f>'GS &lt; 50 OLS Model'!$B$13*K2</f>
        <v>0</v>
      </c>
      <c r="V2" s="23">
        <f>SUM(M2:U2)</f>
        <v>9524592.7411485072</v>
      </c>
      <c r="W2" s="13">
        <f>ABS(V2-C2)/C2</f>
        <v>1.2638261619046706E-2</v>
      </c>
      <c r="X2" s="13">
        <f>(V2-C2)/C2</f>
        <v>1.2638261619046706E-2</v>
      </c>
    </row>
    <row r="3" spans="1:24" x14ac:dyDescent="0.25">
      <c r="A3" s="11">
        <f>'Monthly Data'!A3</f>
        <v>39845</v>
      </c>
      <c r="B3" s="6">
        <f t="shared" ref="B3:B61" si="1">YEAR(A3)</f>
        <v>2009</v>
      </c>
      <c r="C3">
        <f>'Monthly Data'!E3</f>
        <v>8296015.0248000016</v>
      </c>
      <c r="D3">
        <f>'Monthly Data'!M3</f>
        <v>653.80000000000007</v>
      </c>
      <c r="E3">
        <f>'Monthly Data'!N3</f>
        <v>0</v>
      </c>
      <c r="F3" s="30">
        <f>'Monthly Data'!S3</f>
        <v>2</v>
      </c>
      <c r="G3" s="30">
        <f>'Monthly Data'!U3</f>
        <v>3265</v>
      </c>
      <c r="H3" s="30">
        <f>'Monthly Data'!Y3</f>
        <v>0</v>
      </c>
      <c r="I3" s="30">
        <f>'Monthly Data'!AE3</f>
        <v>0</v>
      </c>
      <c r="J3" s="30">
        <f>'Monthly Data'!AF3</f>
        <v>1</v>
      </c>
      <c r="K3" s="30">
        <f>'Monthly Data'!AG3</f>
        <v>0</v>
      </c>
      <c r="M3" s="23">
        <f>'GS &lt; 50 OLS Model'!$B$5</f>
        <v>-4820550.2123392904</v>
      </c>
      <c r="N3" s="23">
        <f>'GS &lt; 50 OLS Model'!$B$6*D3</f>
        <v>2107776.3369495315</v>
      </c>
      <c r="O3" s="23">
        <f>'GS &lt; 50 OLS Model'!$B$7*E3</f>
        <v>0</v>
      </c>
      <c r="P3" s="23">
        <f>'GS &lt; 50 OLS Model'!$B$8*F3</f>
        <v>-14685.431945230241</v>
      </c>
      <c r="Q3" s="23">
        <f>'GS &lt; 50 OLS Model'!$B$9*G3</f>
        <v>11503146.353016797</v>
      </c>
      <c r="R3" s="23">
        <f>'GS &lt; 50 OLS Model'!$B$10*H3</f>
        <v>0</v>
      </c>
      <c r="S3" s="23">
        <f>'GS &lt; 50 OLS Model'!$B$11*I3</f>
        <v>0</v>
      </c>
      <c r="T3" s="23">
        <f>'GS &lt; 50 OLS Model'!$B$12*J3</f>
        <v>-323195.56340474403</v>
      </c>
      <c r="U3" s="23">
        <f>'GS &lt; 50 OLS Model'!$B$13*K3</f>
        <v>0</v>
      </c>
      <c r="V3" s="23">
        <f t="shared" ref="V3:V66" si="2">SUM(M3:U3)</f>
        <v>8452491.4822770637</v>
      </c>
      <c r="W3" s="13">
        <f t="shared" ref="W3:W61" si="3">ABS(V3-C3)/C3</f>
        <v>1.8861641042029611E-2</v>
      </c>
      <c r="X3" s="13">
        <f t="shared" ref="X3:X66" si="4">(V3-C3)/C3</f>
        <v>1.8861641042029611E-2</v>
      </c>
    </row>
    <row r="4" spans="1:24" x14ac:dyDescent="0.25">
      <c r="A4" s="11">
        <f>'Monthly Data'!A4</f>
        <v>39873</v>
      </c>
      <c r="B4" s="6">
        <f t="shared" si="1"/>
        <v>2009</v>
      </c>
      <c r="C4">
        <f>'Monthly Data'!E4</f>
        <v>8604597.311900001</v>
      </c>
      <c r="D4">
        <f>'Monthly Data'!M4</f>
        <v>555.60000000000014</v>
      </c>
      <c r="E4">
        <f>'Monthly Data'!N4</f>
        <v>0</v>
      </c>
      <c r="F4" s="30">
        <f>'Monthly Data'!S4</f>
        <v>3</v>
      </c>
      <c r="G4" s="30">
        <f>'Monthly Data'!U4</f>
        <v>3290</v>
      </c>
      <c r="H4" s="30">
        <f>'Monthly Data'!Y4</f>
        <v>0</v>
      </c>
      <c r="I4" s="30">
        <f>'Monthly Data'!AE4</f>
        <v>0</v>
      </c>
      <c r="J4" s="30">
        <f>'Monthly Data'!AF4</f>
        <v>0</v>
      </c>
      <c r="K4" s="30">
        <f>'Monthly Data'!AG4</f>
        <v>0</v>
      </c>
      <c r="M4" s="23">
        <f>'GS &lt; 50 OLS Model'!$B$5</f>
        <v>-4820550.2123392904</v>
      </c>
      <c r="N4" s="23">
        <f>'GS &lt; 50 OLS Model'!$B$6*D4</f>
        <v>1791190.7812926888</v>
      </c>
      <c r="O4" s="23">
        <f>'GS &lt; 50 OLS Model'!$B$7*E4</f>
        <v>0</v>
      </c>
      <c r="P4" s="23">
        <f>'GS &lt; 50 OLS Model'!$B$8*F4</f>
        <v>-22028.147917845359</v>
      </c>
      <c r="Q4" s="23">
        <f>'GS &lt; 50 OLS Model'!$B$9*G4</f>
        <v>11591225.574709116</v>
      </c>
      <c r="R4" s="23">
        <f>'GS &lt; 50 OLS Model'!$B$10*H4</f>
        <v>0</v>
      </c>
      <c r="S4" s="23">
        <f>'GS &lt; 50 OLS Model'!$B$11*I4</f>
        <v>0</v>
      </c>
      <c r="T4" s="23">
        <f>'GS &lt; 50 OLS Model'!$B$12*J4</f>
        <v>0</v>
      </c>
      <c r="U4" s="23">
        <f>'GS &lt; 50 OLS Model'!$B$13*K4</f>
        <v>0</v>
      </c>
      <c r="V4" s="23">
        <f t="shared" si="2"/>
        <v>8539837.9957446679</v>
      </c>
      <c r="W4" s="13">
        <f t="shared" si="3"/>
        <v>7.5261297894524499E-3</v>
      </c>
      <c r="X4" s="13">
        <f t="shared" si="4"/>
        <v>-7.5261297894524499E-3</v>
      </c>
    </row>
    <row r="5" spans="1:24" x14ac:dyDescent="0.25">
      <c r="A5" s="11">
        <f>'Monthly Data'!A5</f>
        <v>39904</v>
      </c>
      <c r="B5" s="6">
        <f t="shared" si="1"/>
        <v>2009</v>
      </c>
      <c r="C5">
        <f>'Monthly Data'!E5</f>
        <v>7316308.4113000007</v>
      </c>
      <c r="D5">
        <f>'Monthly Data'!M5</f>
        <v>326.29999999999995</v>
      </c>
      <c r="E5">
        <f>'Monthly Data'!N5</f>
        <v>0.8</v>
      </c>
      <c r="F5" s="30">
        <f>'Monthly Data'!S5</f>
        <v>4</v>
      </c>
      <c r="G5" s="30">
        <f>'Monthly Data'!U5</f>
        <v>3289</v>
      </c>
      <c r="H5" s="30">
        <f>'Monthly Data'!Y5</f>
        <v>0</v>
      </c>
      <c r="I5" s="30">
        <f>'Monthly Data'!AE5</f>
        <v>0</v>
      </c>
      <c r="J5" s="30">
        <f>'Monthly Data'!AF5</f>
        <v>0</v>
      </c>
      <c r="K5" s="30">
        <f>'Monthly Data'!AG5</f>
        <v>1</v>
      </c>
      <c r="M5" s="23">
        <f>'GS &lt; 50 OLS Model'!$B$5</f>
        <v>-4820550.2123392904</v>
      </c>
      <c r="N5" s="23">
        <f>'GS &lt; 50 OLS Model'!$B$6*D5</f>
        <v>1051953.8371774731</v>
      </c>
      <c r="O5" s="23">
        <f>'GS &lt; 50 OLS Model'!$B$7*E5</f>
        <v>12162.567004127921</v>
      </c>
      <c r="P5" s="23">
        <f>'GS &lt; 50 OLS Model'!$B$8*F5</f>
        <v>-29370.863890460481</v>
      </c>
      <c r="Q5" s="23">
        <f>'GS &lt; 50 OLS Model'!$B$9*G5</f>
        <v>11587702.405841423</v>
      </c>
      <c r="R5" s="23">
        <f>'GS &lt; 50 OLS Model'!$B$10*H5</f>
        <v>0</v>
      </c>
      <c r="S5" s="23">
        <f>'GS &lt; 50 OLS Model'!$B$11*I5</f>
        <v>0</v>
      </c>
      <c r="T5" s="23">
        <f>'GS &lt; 50 OLS Model'!$B$12*J5</f>
        <v>0</v>
      </c>
      <c r="U5" s="23">
        <f>'GS &lt; 50 OLS Model'!$B$13*K5</f>
        <v>-425159.68663676298</v>
      </c>
      <c r="V5" s="23">
        <f t="shared" si="2"/>
        <v>7376738.0471565109</v>
      </c>
      <c r="W5" s="13">
        <f t="shared" si="3"/>
        <v>8.2595801679405528E-3</v>
      </c>
      <c r="X5" s="13">
        <f t="shared" si="4"/>
        <v>8.2595801679405528E-3</v>
      </c>
    </row>
    <row r="6" spans="1:24" x14ac:dyDescent="0.25">
      <c r="A6" s="11">
        <f>'Monthly Data'!A6</f>
        <v>39934</v>
      </c>
      <c r="B6" s="6">
        <f t="shared" si="1"/>
        <v>2009</v>
      </c>
      <c r="C6">
        <f>'Monthly Data'!E6</f>
        <v>6892994.1161999991</v>
      </c>
      <c r="D6">
        <f>'Monthly Data'!M6</f>
        <v>165.29999999999995</v>
      </c>
      <c r="E6">
        <f>'Monthly Data'!N6</f>
        <v>0</v>
      </c>
      <c r="F6" s="30">
        <f>'Monthly Data'!S6</f>
        <v>5</v>
      </c>
      <c r="G6" s="30">
        <f>'Monthly Data'!U6</f>
        <v>3284</v>
      </c>
      <c r="H6" s="30">
        <f>'Monthly Data'!Y6</f>
        <v>0</v>
      </c>
      <c r="I6" s="30">
        <f>'Monthly Data'!AE6</f>
        <v>0</v>
      </c>
      <c r="J6" s="30">
        <f>'Monthly Data'!AF6</f>
        <v>0</v>
      </c>
      <c r="K6" s="30">
        <f>'Monthly Data'!AG6</f>
        <v>0</v>
      </c>
      <c r="M6" s="23">
        <f>'GS &lt; 50 OLS Model'!$B$5</f>
        <v>-4820550.2123392904</v>
      </c>
      <c r="N6" s="23">
        <f>'GS &lt; 50 OLS Model'!$B$6*D6</f>
        <v>532908.27240403404</v>
      </c>
      <c r="O6" s="23">
        <f>'GS &lt; 50 OLS Model'!$B$7*E6</f>
        <v>0</v>
      </c>
      <c r="P6" s="23">
        <f>'GS &lt; 50 OLS Model'!$B$8*F6</f>
        <v>-36713.579863075603</v>
      </c>
      <c r="Q6" s="23">
        <f>'GS &lt; 50 OLS Model'!$B$9*G6</f>
        <v>11570086.56150296</v>
      </c>
      <c r="R6" s="23">
        <f>'GS &lt; 50 OLS Model'!$B$10*H6</f>
        <v>0</v>
      </c>
      <c r="S6" s="23">
        <f>'GS &lt; 50 OLS Model'!$B$11*I6</f>
        <v>0</v>
      </c>
      <c r="T6" s="23">
        <f>'GS &lt; 50 OLS Model'!$B$12*J6</f>
        <v>0</v>
      </c>
      <c r="U6" s="23">
        <f>'GS &lt; 50 OLS Model'!$B$13*K6</f>
        <v>0</v>
      </c>
      <c r="V6" s="23">
        <f t="shared" si="2"/>
        <v>7245731.0417046277</v>
      </c>
      <c r="W6" s="13">
        <f t="shared" si="3"/>
        <v>5.1173252081504313E-2</v>
      </c>
      <c r="X6" s="13">
        <f t="shared" si="4"/>
        <v>5.1173252081504313E-2</v>
      </c>
    </row>
    <row r="7" spans="1:24" x14ac:dyDescent="0.25">
      <c r="A7" s="11">
        <f>'Monthly Data'!A7</f>
        <v>39965</v>
      </c>
      <c r="B7" s="6">
        <f t="shared" si="1"/>
        <v>2009</v>
      </c>
      <c r="C7">
        <f>'Monthly Data'!E7</f>
        <v>6896984.1305000009</v>
      </c>
      <c r="D7">
        <f>'Monthly Data'!M7</f>
        <v>59.20000000000001</v>
      </c>
      <c r="E7">
        <f>'Monthly Data'!N7</f>
        <v>32.6</v>
      </c>
      <c r="F7" s="30">
        <f>'Monthly Data'!S7</f>
        <v>6</v>
      </c>
      <c r="G7" s="30">
        <f>'Monthly Data'!U7</f>
        <v>3268</v>
      </c>
      <c r="H7" s="30">
        <f>'Monthly Data'!Y7</f>
        <v>0</v>
      </c>
      <c r="I7" s="30">
        <f>'Monthly Data'!AE7</f>
        <v>0</v>
      </c>
      <c r="J7" s="30">
        <f>'Monthly Data'!AF7</f>
        <v>0</v>
      </c>
      <c r="K7" s="30">
        <f>'Monthly Data'!AG7</f>
        <v>0</v>
      </c>
      <c r="M7" s="23">
        <f>'GS &lt; 50 OLS Model'!$B$5</f>
        <v>-4820550.2123392904</v>
      </c>
      <c r="N7" s="23">
        <f>'GS &lt; 50 OLS Model'!$B$6*D7</f>
        <v>190854.02133284227</v>
      </c>
      <c r="O7" s="23">
        <f>'GS &lt; 50 OLS Model'!$B$7*E7</f>
        <v>495624.60541821277</v>
      </c>
      <c r="P7" s="23">
        <f>'GS &lt; 50 OLS Model'!$B$8*F7</f>
        <v>-44056.295835690718</v>
      </c>
      <c r="Q7" s="23">
        <f>'GS &lt; 50 OLS Model'!$B$9*G7</f>
        <v>11513715.859619875</v>
      </c>
      <c r="R7" s="23">
        <f>'GS &lt; 50 OLS Model'!$B$10*H7</f>
        <v>0</v>
      </c>
      <c r="S7" s="23">
        <f>'GS &lt; 50 OLS Model'!$B$11*I7</f>
        <v>0</v>
      </c>
      <c r="T7" s="23">
        <f>'GS &lt; 50 OLS Model'!$B$12*J7</f>
        <v>0</v>
      </c>
      <c r="U7" s="23">
        <f>'GS &lt; 50 OLS Model'!$B$13*K7</f>
        <v>0</v>
      </c>
      <c r="V7" s="23">
        <f t="shared" si="2"/>
        <v>7335587.9781959485</v>
      </c>
      <c r="W7" s="13">
        <f t="shared" si="3"/>
        <v>6.3593570667553612E-2</v>
      </c>
      <c r="X7" s="13">
        <f t="shared" si="4"/>
        <v>6.3593570667553612E-2</v>
      </c>
    </row>
    <row r="8" spans="1:24" x14ac:dyDescent="0.25">
      <c r="A8" s="11">
        <f>'Monthly Data'!A8</f>
        <v>39995</v>
      </c>
      <c r="B8" s="6">
        <f t="shared" si="1"/>
        <v>2009</v>
      </c>
      <c r="C8">
        <f>'Monthly Data'!E8</f>
        <v>7547793.2116999989</v>
      </c>
      <c r="D8">
        <f>'Monthly Data'!M8</f>
        <v>11.799999999999999</v>
      </c>
      <c r="E8">
        <f>'Monthly Data'!N8</f>
        <v>35.6</v>
      </c>
      <c r="F8" s="30">
        <f>'Monthly Data'!S8</f>
        <v>7</v>
      </c>
      <c r="G8" s="30">
        <f>'Monthly Data'!U8</f>
        <v>3268</v>
      </c>
      <c r="H8" s="30">
        <f>'Monthly Data'!Y8</f>
        <v>0</v>
      </c>
      <c r="I8" s="30">
        <f>'Monthly Data'!AE8</f>
        <v>0</v>
      </c>
      <c r="J8" s="30">
        <f>'Monthly Data'!AF8</f>
        <v>0</v>
      </c>
      <c r="K8" s="30">
        <f>'Monthly Data'!AG8</f>
        <v>0</v>
      </c>
      <c r="M8" s="23">
        <f>'GS &lt; 50 OLS Model'!$B$5</f>
        <v>-4820550.2123392904</v>
      </c>
      <c r="N8" s="23">
        <f>'GS &lt; 50 OLS Model'!$B$6*D8</f>
        <v>38041.848846748959</v>
      </c>
      <c r="O8" s="23">
        <f>'GS &lt; 50 OLS Model'!$B$7*E8</f>
        <v>541234.23168369243</v>
      </c>
      <c r="P8" s="23">
        <f>'GS &lt; 50 OLS Model'!$B$8*F8</f>
        <v>-51399.011808305841</v>
      </c>
      <c r="Q8" s="23">
        <f>'GS &lt; 50 OLS Model'!$B$9*G8</f>
        <v>11513715.859619875</v>
      </c>
      <c r="R8" s="23">
        <f>'GS &lt; 50 OLS Model'!$B$10*H8</f>
        <v>0</v>
      </c>
      <c r="S8" s="23">
        <f>'GS &lt; 50 OLS Model'!$B$11*I8</f>
        <v>0</v>
      </c>
      <c r="T8" s="23">
        <f>'GS &lt; 50 OLS Model'!$B$12*J8</f>
        <v>0</v>
      </c>
      <c r="U8" s="23">
        <f>'GS &lt; 50 OLS Model'!$B$13*K8</f>
        <v>0</v>
      </c>
      <c r="V8" s="23">
        <f t="shared" si="2"/>
        <v>7221042.7160027195</v>
      </c>
      <c r="W8" s="13">
        <f t="shared" si="3"/>
        <v>4.3290864830633727E-2</v>
      </c>
      <c r="X8" s="13">
        <f t="shared" si="4"/>
        <v>-4.3290864830633727E-2</v>
      </c>
    </row>
    <row r="9" spans="1:24" x14ac:dyDescent="0.25">
      <c r="A9" s="11">
        <f>'Monthly Data'!A9</f>
        <v>40026</v>
      </c>
      <c r="B9" s="6">
        <f t="shared" si="1"/>
        <v>2009</v>
      </c>
      <c r="C9">
        <f>'Monthly Data'!E9</f>
        <v>7818900.3452000003</v>
      </c>
      <c r="D9">
        <f>'Monthly Data'!M9</f>
        <v>20.6</v>
      </c>
      <c r="E9">
        <f>'Monthly Data'!N9</f>
        <v>85.199999999999989</v>
      </c>
      <c r="F9" s="30">
        <f>'Monthly Data'!S9</f>
        <v>8</v>
      </c>
      <c r="G9" s="30">
        <f>'Monthly Data'!U9</f>
        <v>3261</v>
      </c>
      <c r="H9" s="30">
        <f>'Monthly Data'!Y9</f>
        <v>0</v>
      </c>
      <c r="I9" s="30">
        <f>'Monthly Data'!AE9</f>
        <v>0</v>
      </c>
      <c r="J9" s="30">
        <f>'Monthly Data'!AF9</f>
        <v>0</v>
      </c>
      <c r="K9" s="30">
        <f>'Monthly Data'!AG9</f>
        <v>0</v>
      </c>
      <c r="M9" s="23">
        <f>'GS &lt; 50 OLS Model'!$B$5</f>
        <v>-4820550.2123392904</v>
      </c>
      <c r="N9" s="23">
        <f>'GS &lt; 50 OLS Model'!$B$6*D9</f>
        <v>66412.041207036324</v>
      </c>
      <c r="O9" s="23">
        <f>'GS &lt; 50 OLS Model'!$B$7*E9</f>
        <v>1295313.3859396232</v>
      </c>
      <c r="P9" s="23">
        <f>'GS &lt; 50 OLS Model'!$B$8*F9</f>
        <v>-58741.727780920963</v>
      </c>
      <c r="Q9" s="23">
        <f>'GS &lt; 50 OLS Model'!$B$9*G9</f>
        <v>11489053.677546026</v>
      </c>
      <c r="R9" s="23">
        <f>'GS &lt; 50 OLS Model'!$B$10*H9</f>
        <v>0</v>
      </c>
      <c r="S9" s="23">
        <f>'GS &lt; 50 OLS Model'!$B$11*I9</f>
        <v>0</v>
      </c>
      <c r="T9" s="23">
        <f>'GS &lt; 50 OLS Model'!$B$12*J9</f>
        <v>0</v>
      </c>
      <c r="U9" s="23">
        <f>'GS &lt; 50 OLS Model'!$B$13*K9</f>
        <v>0</v>
      </c>
      <c r="V9" s="23">
        <f t="shared" si="2"/>
        <v>7971487.1645724736</v>
      </c>
      <c r="W9" s="13">
        <f t="shared" si="3"/>
        <v>1.9515125226803265E-2</v>
      </c>
      <c r="X9" s="13">
        <f t="shared" si="4"/>
        <v>1.9515125226803265E-2</v>
      </c>
    </row>
    <row r="10" spans="1:24" x14ac:dyDescent="0.25">
      <c r="A10" s="11">
        <f>'Monthly Data'!A10</f>
        <v>40057</v>
      </c>
      <c r="B10" s="6">
        <f t="shared" si="1"/>
        <v>2009</v>
      </c>
      <c r="C10">
        <f>'Monthly Data'!E10</f>
        <v>7086905.3305000011</v>
      </c>
      <c r="D10">
        <f>'Monthly Data'!M10</f>
        <v>100.9</v>
      </c>
      <c r="E10">
        <f>'Monthly Data'!N10</f>
        <v>4.5999999999999996</v>
      </c>
      <c r="F10" s="30">
        <f>'Monthly Data'!S10</f>
        <v>9</v>
      </c>
      <c r="G10" s="30">
        <f>'Monthly Data'!U10</f>
        <v>3260</v>
      </c>
      <c r="H10" s="30">
        <f>'Monthly Data'!Y10</f>
        <v>0</v>
      </c>
      <c r="I10" s="30">
        <f>'Monthly Data'!AE10</f>
        <v>1</v>
      </c>
      <c r="J10" s="30">
        <f>'Monthly Data'!AF10</f>
        <v>0</v>
      </c>
      <c r="K10" s="30">
        <f>'Monthly Data'!AG10</f>
        <v>0</v>
      </c>
      <c r="M10" s="23">
        <f>'GS &lt; 50 OLS Model'!$B$5</f>
        <v>-4820550.2123392904</v>
      </c>
      <c r="N10" s="23">
        <f>'GS &lt; 50 OLS Model'!$B$6*D10</f>
        <v>325290.04649465851</v>
      </c>
      <c r="O10" s="23">
        <f>'GS &lt; 50 OLS Model'!$B$7*E10</f>
        <v>69934.760273735534</v>
      </c>
      <c r="P10" s="23">
        <f>'GS &lt; 50 OLS Model'!$B$8*F10</f>
        <v>-66084.443753536078</v>
      </c>
      <c r="Q10" s="23">
        <f>'GS &lt; 50 OLS Model'!$B$9*G10</f>
        <v>11485530.508678332</v>
      </c>
      <c r="R10" s="23">
        <f>'GS &lt; 50 OLS Model'!$B$10*H10</f>
        <v>0</v>
      </c>
      <c r="S10" s="23">
        <f>'GS &lt; 50 OLS Model'!$B$11*I10</f>
        <v>-173591.250541696</v>
      </c>
      <c r="T10" s="23">
        <f>'GS &lt; 50 OLS Model'!$B$12*J10</f>
        <v>0</v>
      </c>
      <c r="U10" s="23">
        <f>'GS &lt; 50 OLS Model'!$B$13*K10</f>
        <v>0</v>
      </c>
      <c r="V10" s="23">
        <f t="shared" si="2"/>
        <v>6820529.4088122034</v>
      </c>
      <c r="W10" s="13">
        <f t="shared" si="3"/>
        <v>3.7587057998558597E-2</v>
      </c>
      <c r="X10" s="13">
        <f t="shared" si="4"/>
        <v>-3.7587057998558597E-2</v>
      </c>
    </row>
    <row r="11" spans="1:24" x14ac:dyDescent="0.25">
      <c r="A11" s="11">
        <f>'Monthly Data'!A11</f>
        <v>40087</v>
      </c>
      <c r="B11" s="6">
        <f t="shared" si="1"/>
        <v>2009</v>
      </c>
      <c r="C11">
        <f>'Monthly Data'!E11</f>
        <v>7315482.7944999998</v>
      </c>
      <c r="D11">
        <f>'Monthly Data'!M11</f>
        <v>330.19999999999993</v>
      </c>
      <c r="E11">
        <f>'Monthly Data'!N11</f>
        <v>0</v>
      </c>
      <c r="F11" s="30">
        <f>'Monthly Data'!S11</f>
        <v>10</v>
      </c>
      <c r="G11" s="30">
        <f>'Monthly Data'!U11</f>
        <v>3248</v>
      </c>
      <c r="H11" s="30">
        <f>'Monthly Data'!Y11</f>
        <v>0</v>
      </c>
      <c r="I11" s="30">
        <f>'Monthly Data'!AE11</f>
        <v>1</v>
      </c>
      <c r="J11" s="30">
        <f>'Monthly Data'!AF11</f>
        <v>0</v>
      </c>
      <c r="K11" s="30">
        <f>'Monthly Data'!AG11</f>
        <v>0</v>
      </c>
      <c r="M11" s="23">
        <f>'GS &lt; 50 OLS Model'!$B$5</f>
        <v>-4820550.2123392904</v>
      </c>
      <c r="N11" s="23">
        <f>'GS &lt; 50 OLS Model'!$B$6*D11</f>
        <v>1064526.9906098731</v>
      </c>
      <c r="O11" s="23">
        <f>'GS &lt; 50 OLS Model'!$B$7*E11</f>
        <v>0</v>
      </c>
      <c r="P11" s="23">
        <f>'GS &lt; 50 OLS Model'!$B$8*F11</f>
        <v>-73427.159726151207</v>
      </c>
      <c r="Q11" s="23">
        <f>'GS &lt; 50 OLS Model'!$B$9*G11</f>
        <v>11443252.48226602</v>
      </c>
      <c r="R11" s="23">
        <f>'GS &lt; 50 OLS Model'!$B$10*H11</f>
        <v>0</v>
      </c>
      <c r="S11" s="23">
        <f>'GS &lt; 50 OLS Model'!$B$11*I11</f>
        <v>-173591.250541696</v>
      </c>
      <c r="T11" s="23">
        <f>'GS &lt; 50 OLS Model'!$B$12*J11</f>
        <v>0</v>
      </c>
      <c r="U11" s="23">
        <f>'GS &lt; 50 OLS Model'!$B$13*K11</f>
        <v>0</v>
      </c>
      <c r="V11" s="23">
        <f t="shared" si="2"/>
        <v>7440210.8502687551</v>
      </c>
      <c r="W11" s="13">
        <f t="shared" si="3"/>
        <v>1.7049873435903584E-2</v>
      </c>
      <c r="X11" s="13">
        <f t="shared" si="4"/>
        <v>1.7049873435903584E-2</v>
      </c>
    </row>
    <row r="12" spans="1:24" x14ac:dyDescent="0.25">
      <c r="A12" s="11">
        <f>'Monthly Data'!A12</f>
        <v>40118</v>
      </c>
      <c r="B12" s="6">
        <f t="shared" si="1"/>
        <v>2009</v>
      </c>
      <c r="C12">
        <f>'Monthly Data'!E12</f>
        <v>7548115.7056999998</v>
      </c>
      <c r="D12">
        <f>'Monthly Data'!M12</f>
        <v>384.49999999999989</v>
      </c>
      <c r="E12">
        <f>'Monthly Data'!N12</f>
        <v>0</v>
      </c>
      <c r="F12" s="30">
        <f>'Monthly Data'!S12</f>
        <v>11</v>
      </c>
      <c r="G12" s="30">
        <f>'Monthly Data'!U12</f>
        <v>3247</v>
      </c>
      <c r="H12" s="30">
        <f>'Monthly Data'!Y12</f>
        <v>0</v>
      </c>
      <c r="I12" s="30">
        <f>'Monthly Data'!AE12</f>
        <v>1</v>
      </c>
      <c r="J12" s="30">
        <f>'Monthly Data'!AF12</f>
        <v>0</v>
      </c>
      <c r="K12" s="30">
        <f>'Monthly Data'!AG12</f>
        <v>0</v>
      </c>
      <c r="M12" s="23">
        <f>'GS &lt; 50 OLS Model'!$B$5</f>
        <v>-4820550.2123392904</v>
      </c>
      <c r="N12" s="23">
        <f>'GS &lt; 50 OLS Model'!$B$6*D12</f>
        <v>1239583.9730148281</v>
      </c>
      <c r="O12" s="23">
        <f>'GS &lt; 50 OLS Model'!$B$7*E12</f>
        <v>0</v>
      </c>
      <c r="P12" s="23">
        <f>'GS &lt; 50 OLS Model'!$B$8*F12</f>
        <v>-80769.875698766322</v>
      </c>
      <c r="Q12" s="23">
        <f>'GS &lt; 50 OLS Model'!$B$9*G12</f>
        <v>11439729.313398328</v>
      </c>
      <c r="R12" s="23">
        <f>'GS &lt; 50 OLS Model'!$B$10*H12</f>
        <v>0</v>
      </c>
      <c r="S12" s="23">
        <f>'GS &lt; 50 OLS Model'!$B$11*I12</f>
        <v>-173591.250541696</v>
      </c>
      <c r="T12" s="23">
        <f>'GS &lt; 50 OLS Model'!$B$12*J12</f>
        <v>0</v>
      </c>
      <c r="U12" s="23">
        <f>'GS &lt; 50 OLS Model'!$B$13*K12</f>
        <v>0</v>
      </c>
      <c r="V12" s="23">
        <f t="shared" si="2"/>
        <v>7604401.9478334021</v>
      </c>
      <c r="W12" s="13">
        <f t="shared" si="3"/>
        <v>7.4569924903108483E-3</v>
      </c>
      <c r="X12" s="13">
        <f t="shared" si="4"/>
        <v>7.4569924903108483E-3</v>
      </c>
    </row>
    <row r="13" spans="1:24" x14ac:dyDescent="0.25">
      <c r="A13" s="11">
        <f>'Monthly Data'!A13</f>
        <v>40148</v>
      </c>
      <c r="B13" s="6">
        <f t="shared" si="1"/>
        <v>2009</v>
      </c>
      <c r="C13">
        <f>'Monthly Data'!E13</f>
        <v>8620869.761500001</v>
      </c>
      <c r="D13">
        <f>'Monthly Data'!M13</f>
        <v>696.79999999999984</v>
      </c>
      <c r="E13">
        <f>'Monthly Data'!N13</f>
        <v>0</v>
      </c>
      <c r="F13" s="30">
        <f>'Monthly Data'!S13</f>
        <v>12</v>
      </c>
      <c r="G13" s="30">
        <f>'Monthly Data'!U13</f>
        <v>3255</v>
      </c>
      <c r="H13" s="30">
        <f>'Monthly Data'!Y13</f>
        <v>0</v>
      </c>
      <c r="I13" s="30">
        <f>'Monthly Data'!AE13</f>
        <v>0</v>
      </c>
      <c r="J13" s="30">
        <f>'Monthly Data'!AF13</f>
        <v>0</v>
      </c>
      <c r="K13" s="30">
        <f>'Monthly Data'!AG13</f>
        <v>0</v>
      </c>
      <c r="M13" s="23">
        <f>'GS &lt; 50 OLS Model'!$B$5</f>
        <v>-4820550.2123392904</v>
      </c>
      <c r="N13" s="23">
        <f>'GS &lt; 50 OLS Model'!$B$6*D13</f>
        <v>2246403.4132554806</v>
      </c>
      <c r="O13" s="23">
        <f>'GS &lt; 50 OLS Model'!$B$7*E13</f>
        <v>0</v>
      </c>
      <c r="P13" s="23">
        <f>'GS &lt; 50 OLS Model'!$B$8*F13</f>
        <v>-88112.591671381437</v>
      </c>
      <c r="Q13" s="23">
        <f>'GS &lt; 50 OLS Model'!$B$9*G13</f>
        <v>11467914.664339868</v>
      </c>
      <c r="R13" s="23">
        <f>'GS &lt; 50 OLS Model'!$B$10*H13</f>
        <v>0</v>
      </c>
      <c r="S13" s="23">
        <f>'GS &lt; 50 OLS Model'!$B$11*I13</f>
        <v>0</v>
      </c>
      <c r="T13" s="23">
        <f>'GS &lt; 50 OLS Model'!$B$12*J13</f>
        <v>0</v>
      </c>
      <c r="U13" s="23">
        <f>'GS &lt; 50 OLS Model'!$B$13*K13</f>
        <v>0</v>
      </c>
      <c r="V13" s="23">
        <f t="shared" si="2"/>
        <v>8805655.2735846769</v>
      </c>
      <c r="W13" s="13">
        <f t="shared" si="3"/>
        <v>2.1434671581504548E-2</v>
      </c>
      <c r="X13" s="13">
        <f t="shared" si="4"/>
        <v>2.1434671581504548E-2</v>
      </c>
    </row>
    <row r="14" spans="1:24" x14ac:dyDescent="0.25">
      <c r="A14" s="11">
        <f>'Monthly Data'!A14</f>
        <v>40179</v>
      </c>
      <c r="B14" s="6">
        <f t="shared" si="1"/>
        <v>2010</v>
      </c>
      <c r="C14">
        <f>'Monthly Data'!E14</f>
        <v>9325181.3517000005</v>
      </c>
      <c r="D14">
        <f>'Monthly Data'!M14</f>
        <v>750.59999999999991</v>
      </c>
      <c r="E14">
        <f>'Monthly Data'!N14</f>
        <v>0</v>
      </c>
      <c r="F14" s="30">
        <f>'Monthly Data'!S14</f>
        <v>13</v>
      </c>
      <c r="G14" s="30">
        <f>'Monthly Data'!U14</f>
        <v>3254</v>
      </c>
      <c r="H14" s="30">
        <f>'Monthly Data'!Y14</f>
        <v>0</v>
      </c>
      <c r="I14" s="30">
        <f>'Monthly Data'!AE14</f>
        <v>0</v>
      </c>
      <c r="J14" s="30">
        <f>'Monthly Data'!AF14</f>
        <v>0</v>
      </c>
      <c r="K14" s="30">
        <f>'Monthly Data'!AG14</f>
        <v>0</v>
      </c>
      <c r="M14" s="23">
        <f>'GS &lt; 50 OLS Model'!$B$5</f>
        <v>-4820550.2123392904</v>
      </c>
      <c r="N14" s="23">
        <f>'GS &lt; 50 OLS Model'!$B$6*D14</f>
        <v>2419848.452912692</v>
      </c>
      <c r="O14" s="23">
        <f>'GS &lt; 50 OLS Model'!$B$7*E14</f>
        <v>0</v>
      </c>
      <c r="P14" s="23">
        <f>'GS &lt; 50 OLS Model'!$B$8*F14</f>
        <v>-95455.307643996566</v>
      </c>
      <c r="Q14" s="23">
        <f>'GS &lt; 50 OLS Model'!$B$9*G14</f>
        <v>11464391.495472176</v>
      </c>
      <c r="R14" s="23">
        <f>'GS &lt; 50 OLS Model'!$B$10*H14</f>
        <v>0</v>
      </c>
      <c r="S14" s="23">
        <f>'GS &lt; 50 OLS Model'!$B$11*I14</f>
        <v>0</v>
      </c>
      <c r="T14" s="23">
        <f>'GS &lt; 50 OLS Model'!$B$12*J14</f>
        <v>0</v>
      </c>
      <c r="U14" s="23">
        <f>'GS &lt; 50 OLS Model'!$B$13*K14</f>
        <v>0</v>
      </c>
      <c r="V14" s="23">
        <f t="shared" si="2"/>
        <v>8968234.4284015819</v>
      </c>
      <c r="W14" s="13">
        <f t="shared" si="3"/>
        <v>3.8277746012236678E-2</v>
      </c>
      <c r="X14" s="13">
        <f t="shared" si="4"/>
        <v>-3.8277746012236678E-2</v>
      </c>
    </row>
    <row r="15" spans="1:24" x14ac:dyDescent="0.25">
      <c r="A15" s="11">
        <f>'Monthly Data'!A15</f>
        <v>40210</v>
      </c>
      <c r="B15" s="6">
        <f t="shared" si="1"/>
        <v>2010</v>
      </c>
      <c r="C15">
        <f>'Monthly Data'!E15</f>
        <v>8591993.1293000001</v>
      </c>
      <c r="D15">
        <f>'Monthly Data'!M15</f>
        <v>620.40000000000009</v>
      </c>
      <c r="E15">
        <f>'Monthly Data'!N15</f>
        <v>0</v>
      </c>
      <c r="F15" s="30">
        <f>'Monthly Data'!S15</f>
        <v>14</v>
      </c>
      <c r="G15" s="30">
        <f>'Monthly Data'!U15</f>
        <v>3250</v>
      </c>
      <c r="H15" s="30">
        <f>'Monthly Data'!Y15</f>
        <v>0</v>
      </c>
      <c r="I15" s="30">
        <f>'Monthly Data'!AE15</f>
        <v>0</v>
      </c>
      <c r="J15" s="30">
        <f>'Monthly Data'!AF15</f>
        <v>1</v>
      </c>
      <c r="K15" s="30">
        <f>'Monthly Data'!AG15</f>
        <v>0</v>
      </c>
      <c r="M15" s="23">
        <f>'GS &lt; 50 OLS Model'!$B$5</f>
        <v>-4820550.2123392904</v>
      </c>
      <c r="N15" s="23">
        <f>'GS &lt; 50 OLS Model'!$B$6*D15</f>
        <v>2000098.5614002591</v>
      </c>
      <c r="O15" s="23">
        <f>'GS &lt; 50 OLS Model'!$B$7*E15</f>
        <v>0</v>
      </c>
      <c r="P15" s="23">
        <f>'GS &lt; 50 OLS Model'!$B$8*F15</f>
        <v>-102798.02361661168</v>
      </c>
      <c r="Q15" s="23">
        <f>'GS &lt; 50 OLS Model'!$B$9*G15</f>
        <v>11450298.820001405</v>
      </c>
      <c r="R15" s="23">
        <f>'GS &lt; 50 OLS Model'!$B$10*H15</f>
        <v>0</v>
      </c>
      <c r="S15" s="23">
        <f>'GS &lt; 50 OLS Model'!$B$11*I15</f>
        <v>0</v>
      </c>
      <c r="T15" s="23">
        <f>'GS &lt; 50 OLS Model'!$B$12*J15</f>
        <v>-323195.56340474403</v>
      </c>
      <c r="U15" s="23">
        <f>'GS &lt; 50 OLS Model'!$B$13*K15</f>
        <v>0</v>
      </c>
      <c r="V15" s="23">
        <f t="shared" si="2"/>
        <v>8203853.5820410177</v>
      </c>
      <c r="W15" s="13">
        <f t="shared" si="3"/>
        <v>4.5174564436669264E-2</v>
      </c>
      <c r="X15" s="13">
        <f t="shared" si="4"/>
        <v>-4.5174564436669264E-2</v>
      </c>
    </row>
    <row r="16" spans="1:24" x14ac:dyDescent="0.25">
      <c r="A16" s="11">
        <f>'Monthly Data'!A16</f>
        <v>40238</v>
      </c>
      <c r="B16" s="6">
        <f t="shared" si="1"/>
        <v>2010</v>
      </c>
      <c r="C16">
        <f>'Monthly Data'!E16</f>
        <v>8207095.9015999986</v>
      </c>
      <c r="D16">
        <f>'Monthly Data'!M16</f>
        <v>451.89999999999992</v>
      </c>
      <c r="E16">
        <f>'Monthly Data'!N16</f>
        <v>0</v>
      </c>
      <c r="F16" s="30">
        <f>'Monthly Data'!S16</f>
        <v>15</v>
      </c>
      <c r="G16" s="30">
        <f>'Monthly Data'!U16</f>
        <v>3249</v>
      </c>
      <c r="H16" s="30">
        <f>'Monthly Data'!Y16</f>
        <v>0</v>
      </c>
      <c r="I16" s="30">
        <f>'Monthly Data'!AE16</f>
        <v>0</v>
      </c>
      <c r="J16" s="30">
        <f>'Monthly Data'!AF16</f>
        <v>0</v>
      </c>
      <c r="K16" s="30">
        <f>'Monthly Data'!AG16</f>
        <v>0</v>
      </c>
      <c r="M16" s="23">
        <f>'GS &lt; 50 OLS Model'!$B$5</f>
        <v>-4820550.2123392904</v>
      </c>
      <c r="N16" s="23">
        <f>'GS &lt; 50 OLS Model'!$B$6*D16</f>
        <v>1456873.8554106655</v>
      </c>
      <c r="O16" s="23">
        <f>'GS &lt; 50 OLS Model'!$B$7*E16</f>
        <v>0</v>
      </c>
      <c r="P16" s="23">
        <f>'GS &lt; 50 OLS Model'!$B$8*F16</f>
        <v>-110140.73958922681</v>
      </c>
      <c r="Q16" s="23">
        <f>'GS &lt; 50 OLS Model'!$B$9*G16</f>
        <v>11446775.651133712</v>
      </c>
      <c r="R16" s="23">
        <f>'GS &lt; 50 OLS Model'!$B$10*H16</f>
        <v>0</v>
      </c>
      <c r="S16" s="23">
        <f>'GS &lt; 50 OLS Model'!$B$11*I16</f>
        <v>0</v>
      </c>
      <c r="T16" s="23">
        <f>'GS &lt; 50 OLS Model'!$B$12*J16</f>
        <v>0</v>
      </c>
      <c r="U16" s="23">
        <f>'GS &lt; 50 OLS Model'!$B$13*K16</f>
        <v>0</v>
      </c>
      <c r="V16" s="23">
        <f t="shared" si="2"/>
        <v>7972958.5546158608</v>
      </c>
      <c r="W16" s="13">
        <f t="shared" si="3"/>
        <v>2.852864762290544E-2</v>
      </c>
      <c r="X16" s="13">
        <f t="shared" si="4"/>
        <v>-2.852864762290544E-2</v>
      </c>
    </row>
    <row r="17" spans="1:24" x14ac:dyDescent="0.25">
      <c r="A17" s="11">
        <f>'Monthly Data'!A17</f>
        <v>40269</v>
      </c>
      <c r="B17" s="6">
        <f t="shared" si="1"/>
        <v>2010</v>
      </c>
      <c r="C17">
        <f>'Monthly Data'!E17</f>
        <v>6918818.8890000004</v>
      </c>
      <c r="D17">
        <f>'Monthly Data'!M17</f>
        <v>243.49999999999989</v>
      </c>
      <c r="E17">
        <f>'Monthly Data'!N17</f>
        <v>1.3</v>
      </c>
      <c r="F17" s="30">
        <f>'Monthly Data'!S17</f>
        <v>16</v>
      </c>
      <c r="G17" s="30">
        <f>'Monthly Data'!U17</f>
        <v>3250</v>
      </c>
      <c r="H17" s="30">
        <f>'Monthly Data'!Y17</f>
        <v>0</v>
      </c>
      <c r="I17" s="30">
        <f>'Monthly Data'!AE17</f>
        <v>0</v>
      </c>
      <c r="J17" s="30">
        <f>'Monthly Data'!AF17</f>
        <v>0</v>
      </c>
      <c r="K17" s="30">
        <f>'Monthly Data'!AG17</f>
        <v>1</v>
      </c>
      <c r="M17" s="23">
        <f>'GS &lt; 50 OLS Model'!$B$5</f>
        <v>-4820550.2123392904</v>
      </c>
      <c r="N17" s="23">
        <f>'GS &lt; 50 OLS Model'!$B$6*D17</f>
        <v>785016.11815113283</v>
      </c>
      <c r="O17" s="23">
        <f>'GS &lt; 50 OLS Model'!$B$7*E17</f>
        <v>19764.171381707871</v>
      </c>
      <c r="P17" s="23">
        <f>'GS &lt; 50 OLS Model'!$B$8*F17</f>
        <v>-117483.45556184193</v>
      </c>
      <c r="Q17" s="23">
        <f>'GS &lt; 50 OLS Model'!$B$9*G17</f>
        <v>11450298.820001405</v>
      </c>
      <c r="R17" s="23">
        <f>'GS &lt; 50 OLS Model'!$B$10*H17</f>
        <v>0</v>
      </c>
      <c r="S17" s="23">
        <f>'GS &lt; 50 OLS Model'!$B$11*I17</f>
        <v>0</v>
      </c>
      <c r="T17" s="23">
        <f>'GS &lt; 50 OLS Model'!$B$12*J17</f>
        <v>0</v>
      </c>
      <c r="U17" s="23">
        <f>'GS &lt; 50 OLS Model'!$B$13*K17</f>
        <v>-425159.68663676298</v>
      </c>
      <c r="V17" s="23">
        <f t="shared" si="2"/>
        <v>6891885.75499635</v>
      </c>
      <c r="W17" s="13">
        <f t="shared" si="3"/>
        <v>3.8927358029952901E-3</v>
      </c>
      <c r="X17" s="13">
        <f t="shared" si="4"/>
        <v>-3.8927358029952901E-3</v>
      </c>
    </row>
    <row r="18" spans="1:24" x14ac:dyDescent="0.25">
      <c r="A18" s="11">
        <f>'Monthly Data'!A18</f>
        <v>40299</v>
      </c>
      <c r="B18" s="6">
        <f t="shared" si="1"/>
        <v>2010</v>
      </c>
      <c r="C18">
        <f>'Monthly Data'!E18</f>
        <v>6986125.7528999997</v>
      </c>
      <c r="D18">
        <f>'Monthly Data'!M18</f>
        <v>110.2</v>
      </c>
      <c r="E18">
        <f>'Monthly Data'!N18</f>
        <v>26.100000000000005</v>
      </c>
      <c r="F18" s="30">
        <f>'Monthly Data'!S18</f>
        <v>17</v>
      </c>
      <c r="G18" s="30">
        <f>'Monthly Data'!U18</f>
        <v>3237</v>
      </c>
      <c r="H18" s="30">
        <f>'Monthly Data'!Y18</f>
        <v>0</v>
      </c>
      <c r="I18" s="30">
        <f>'Monthly Data'!AE18</f>
        <v>0</v>
      </c>
      <c r="J18" s="30">
        <f>'Monthly Data'!AF18</f>
        <v>0</v>
      </c>
      <c r="K18" s="30">
        <f>'Monthly Data'!AG18</f>
        <v>0</v>
      </c>
      <c r="M18" s="23">
        <f>'GS &lt; 50 OLS Model'!$B$5</f>
        <v>-4820550.2123392904</v>
      </c>
      <c r="N18" s="23">
        <f>'GS &lt; 50 OLS Model'!$B$6*D18</f>
        <v>355272.18160268944</v>
      </c>
      <c r="O18" s="23">
        <f>'GS &lt; 50 OLS Model'!$B$7*E18</f>
        <v>396803.74850967346</v>
      </c>
      <c r="P18" s="23">
        <f>'GS &lt; 50 OLS Model'!$B$8*F18</f>
        <v>-124826.17153445704</v>
      </c>
      <c r="Q18" s="23">
        <f>'GS &lt; 50 OLS Model'!$B$9*G18</f>
        <v>11404497.6247214</v>
      </c>
      <c r="R18" s="23">
        <f>'GS &lt; 50 OLS Model'!$B$10*H18</f>
        <v>0</v>
      </c>
      <c r="S18" s="23">
        <f>'GS &lt; 50 OLS Model'!$B$11*I18</f>
        <v>0</v>
      </c>
      <c r="T18" s="23">
        <f>'GS &lt; 50 OLS Model'!$B$12*J18</f>
        <v>0</v>
      </c>
      <c r="U18" s="23">
        <f>'GS &lt; 50 OLS Model'!$B$13*K18</f>
        <v>0</v>
      </c>
      <c r="V18" s="23">
        <f t="shared" si="2"/>
        <v>7211197.1709600156</v>
      </c>
      <c r="W18" s="13">
        <f t="shared" si="3"/>
        <v>3.2216914785220811E-2</v>
      </c>
      <c r="X18" s="13">
        <f t="shared" si="4"/>
        <v>3.2216914785220811E-2</v>
      </c>
    </row>
    <row r="19" spans="1:24" x14ac:dyDescent="0.25">
      <c r="A19" s="11">
        <f>'Monthly Data'!A19</f>
        <v>40330</v>
      </c>
      <c r="B19" s="6">
        <f t="shared" si="1"/>
        <v>2010</v>
      </c>
      <c r="C19">
        <f>'Monthly Data'!E19</f>
        <v>7185164.8809000012</v>
      </c>
      <c r="D19">
        <f>'Monthly Data'!M19</f>
        <v>38.300000000000004</v>
      </c>
      <c r="E19">
        <f>'Monthly Data'!N19</f>
        <v>33.700000000000003</v>
      </c>
      <c r="F19" s="30">
        <f>'Monthly Data'!S19</f>
        <v>18</v>
      </c>
      <c r="G19" s="30">
        <f>'Monthly Data'!U19</f>
        <v>3237</v>
      </c>
      <c r="H19" s="30">
        <f>'Monthly Data'!Y19</f>
        <v>0</v>
      </c>
      <c r="I19" s="30">
        <f>'Monthly Data'!AE19</f>
        <v>0</v>
      </c>
      <c r="J19" s="30">
        <f>'Monthly Data'!AF19</f>
        <v>0</v>
      </c>
      <c r="K19" s="30">
        <f>'Monthly Data'!AG19</f>
        <v>0</v>
      </c>
      <c r="M19" s="23">
        <f>'GS &lt; 50 OLS Model'!$B$5</f>
        <v>-4820550.2123392904</v>
      </c>
      <c r="N19" s="23">
        <f>'GS &lt; 50 OLS Model'!$B$6*D19</f>
        <v>123474.81447715977</v>
      </c>
      <c r="O19" s="23">
        <f>'GS &lt; 50 OLS Model'!$B$7*E19</f>
        <v>512348.13504888868</v>
      </c>
      <c r="P19" s="23">
        <f>'GS &lt; 50 OLS Model'!$B$8*F19</f>
        <v>-132168.88750707216</v>
      </c>
      <c r="Q19" s="23">
        <f>'GS &lt; 50 OLS Model'!$B$9*G19</f>
        <v>11404497.6247214</v>
      </c>
      <c r="R19" s="23">
        <f>'GS &lt; 50 OLS Model'!$B$10*H19</f>
        <v>0</v>
      </c>
      <c r="S19" s="23">
        <f>'GS &lt; 50 OLS Model'!$B$11*I19</f>
        <v>0</v>
      </c>
      <c r="T19" s="23">
        <f>'GS &lt; 50 OLS Model'!$B$12*J19</f>
        <v>0</v>
      </c>
      <c r="U19" s="23">
        <f>'GS &lt; 50 OLS Model'!$B$13*K19</f>
        <v>0</v>
      </c>
      <c r="V19" s="23">
        <f t="shared" si="2"/>
        <v>7087601.4744010866</v>
      </c>
      <c r="W19" s="13">
        <f t="shared" si="3"/>
        <v>1.3578450615414961E-2</v>
      </c>
      <c r="X19" s="13">
        <f t="shared" si="4"/>
        <v>-1.3578450615414961E-2</v>
      </c>
    </row>
    <row r="20" spans="1:24" x14ac:dyDescent="0.25">
      <c r="A20" s="11">
        <f>'Monthly Data'!A20</f>
        <v>40360</v>
      </c>
      <c r="B20" s="6">
        <f t="shared" si="1"/>
        <v>2010</v>
      </c>
      <c r="C20">
        <f>'Monthly Data'!E20</f>
        <v>8291002.0009999992</v>
      </c>
      <c r="D20">
        <f>'Monthly Data'!M20</f>
        <v>3.4000000000000004</v>
      </c>
      <c r="E20">
        <f>'Monthly Data'!N20</f>
        <v>139.79999999999995</v>
      </c>
      <c r="F20" s="30">
        <f>'Monthly Data'!S20</f>
        <v>19</v>
      </c>
      <c r="G20" s="30">
        <f>'Monthly Data'!U20</f>
        <v>3227</v>
      </c>
      <c r="H20" s="30">
        <f>'Monthly Data'!Y20</f>
        <v>0</v>
      </c>
      <c r="I20" s="30">
        <f>'Monthly Data'!AE20</f>
        <v>0</v>
      </c>
      <c r="J20" s="30">
        <f>'Monthly Data'!AF20</f>
        <v>0</v>
      </c>
      <c r="K20" s="30">
        <f>'Monthly Data'!AG20</f>
        <v>0</v>
      </c>
      <c r="M20" s="23">
        <f>'GS &lt; 50 OLS Model'!$B$5</f>
        <v>-4820550.2123392904</v>
      </c>
      <c r="N20" s="23">
        <f>'GS &lt; 50 OLS Model'!$B$6*D20</f>
        <v>10961.21068465648</v>
      </c>
      <c r="O20" s="23">
        <f>'GS &lt; 50 OLS Model'!$B$7*E20</f>
        <v>2125408.5839713532</v>
      </c>
      <c r="P20" s="23">
        <f>'GS &lt; 50 OLS Model'!$B$8*F20</f>
        <v>-139511.6034796873</v>
      </c>
      <c r="Q20" s="23">
        <f>'GS &lt; 50 OLS Model'!$B$9*G20</f>
        <v>11369265.936044473</v>
      </c>
      <c r="R20" s="23">
        <f>'GS &lt; 50 OLS Model'!$B$10*H20</f>
        <v>0</v>
      </c>
      <c r="S20" s="23">
        <f>'GS &lt; 50 OLS Model'!$B$11*I20</f>
        <v>0</v>
      </c>
      <c r="T20" s="23">
        <f>'GS &lt; 50 OLS Model'!$B$12*J20</f>
        <v>0</v>
      </c>
      <c r="U20" s="23">
        <f>'GS &lt; 50 OLS Model'!$B$13*K20</f>
        <v>0</v>
      </c>
      <c r="V20" s="23">
        <f t="shared" si="2"/>
        <v>8545573.9148815051</v>
      </c>
      <c r="W20" s="13">
        <f t="shared" si="3"/>
        <v>3.0704601669472673E-2</v>
      </c>
      <c r="X20" s="13">
        <f t="shared" si="4"/>
        <v>3.0704601669472673E-2</v>
      </c>
    </row>
    <row r="21" spans="1:24" x14ac:dyDescent="0.25">
      <c r="A21" s="11">
        <f>'Monthly Data'!A21</f>
        <v>40391</v>
      </c>
      <c r="B21" s="6">
        <f t="shared" si="1"/>
        <v>2010</v>
      </c>
      <c r="C21">
        <f>'Monthly Data'!E21</f>
        <v>8091227.442999999</v>
      </c>
      <c r="D21">
        <f>'Monthly Data'!M21</f>
        <v>10.100000000000001</v>
      </c>
      <c r="E21">
        <f>'Monthly Data'!N21</f>
        <v>90.299999999999969</v>
      </c>
      <c r="F21" s="30">
        <f>'Monthly Data'!S21</f>
        <v>20</v>
      </c>
      <c r="G21" s="30">
        <f>'Monthly Data'!U21</f>
        <v>3244</v>
      </c>
      <c r="H21" s="30">
        <f>'Monthly Data'!Y21</f>
        <v>0</v>
      </c>
      <c r="I21" s="30">
        <f>'Monthly Data'!AE21</f>
        <v>0</v>
      </c>
      <c r="J21" s="30">
        <f>'Monthly Data'!AF21</f>
        <v>0</v>
      </c>
      <c r="K21" s="30">
        <f>'Monthly Data'!AG21</f>
        <v>0</v>
      </c>
      <c r="M21" s="23">
        <f>'GS &lt; 50 OLS Model'!$B$5</f>
        <v>-4820550.2123392904</v>
      </c>
      <c r="N21" s="23">
        <f>'GS &lt; 50 OLS Model'!$B$6*D21</f>
        <v>32561.243504420723</v>
      </c>
      <c r="O21" s="23">
        <f>'GS &lt; 50 OLS Model'!$B$7*E21</f>
        <v>1372849.7505909384</v>
      </c>
      <c r="P21" s="23">
        <f>'GS &lt; 50 OLS Model'!$B$8*F21</f>
        <v>-146854.31945230241</v>
      </c>
      <c r="Q21" s="23">
        <f>'GS &lt; 50 OLS Model'!$B$9*G21</f>
        <v>11429159.806795249</v>
      </c>
      <c r="R21" s="23">
        <f>'GS &lt; 50 OLS Model'!$B$10*H21</f>
        <v>0</v>
      </c>
      <c r="S21" s="23">
        <f>'GS &lt; 50 OLS Model'!$B$11*I21</f>
        <v>0</v>
      </c>
      <c r="T21" s="23">
        <f>'GS &lt; 50 OLS Model'!$B$12*J21</f>
        <v>0</v>
      </c>
      <c r="U21" s="23">
        <f>'GS &lt; 50 OLS Model'!$B$13*K21</f>
        <v>0</v>
      </c>
      <c r="V21" s="23">
        <f t="shared" si="2"/>
        <v>7867166.2690990148</v>
      </c>
      <c r="W21" s="13">
        <f t="shared" si="3"/>
        <v>2.7691864488969136E-2</v>
      </c>
      <c r="X21" s="13">
        <f t="shared" si="4"/>
        <v>-2.7691864488969136E-2</v>
      </c>
    </row>
    <row r="22" spans="1:24" x14ac:dyDescent="0.25">
      <c r="A22" s="11">
        <f>'Monthly Data'!A22</f>
        <v>40422</v>
      </c>
      <c r="B22" s="6">
        <f t="shared" si="1"/>
        <v>2010</v>
      </c>
      <c r="C22">
        <f>'Monthly Data'!E22</f>
        <v>7107037.0582999997</v>
      </c>
      <c r="D22">
        <f>'Monthly Data'!M22</f>
        <v>99.40000000000002</v>
      </c>
      <c r="E22">
        <f>'Monthly Data'!N22</f>
        <v>29.400000000000002</v>
      </c>
      <c r="F22" s="30">
        <f>'Monthly Data'!S22</f>
        <v>21</v>
      </c>
      <c r="G22" s="30">
        <f>'Monthly Data'!U22</f>
        <v>3242</v>
      </c>
      <c r="H22" s="30">
        <f>'Monthly Data'!Y22</f>
        <v>0</v>
      </c>
      <c r="I22" s="30">
        <f>'Monthly Data'!AE22</f>
        <v>1</v>
      </c>
      <c r="J22" s="30">
        <f>'Monthly Data'!AF22</f>
        <v>0</v>
      </c>
      <c r="K22" s="30">
        <f>'Monthly Data'!AG22</f>
        <v>0</v>
      </c>
      <c r="M22" s="23">
        <f>'GS &lt; 50 OLS Model'!$B$5</f>
        <v>-4820550.2123392904</v>
      </c>
      <c r="N22" s="23">
        <f>'GS &lt; 50 OLS Model'!$B$6*D22</f>
        <v>320454.21825142775</v>
      </c>
      <c r="O22" s="23">
        <f>'GS &lt; 50 OLS Model'!$B$7*E22</f>
        <v>446974.33740170108</v>
      </c>
      <c r="P22" s="23">
        <f>'GS &lt; 50 OLS Model'!$B$8*F22</f>
        <v>-154197.03542491753</v>
      </c>
      <c r="Q22" s="23">
        <f>'GS &lt; 50 OLS Model'!$B$9*G22</f>
        <v>11422113.469059864</v>
      </c>
      <c r="R22" s="23">
        <f>'GS &lt; 50 OLS Model'!$B$10*H22</f>
        <v>0</v>
      </c>
      <c r="S22" s="23">
        <f>'GS &lt; 50 OLS Model'!$B$11*I22</f>
        <v>-173591.250541696</v>
      </c>
      <c r="T22" s="23">
        <f>'GS &lt; 50 OLS Model'!$B$12*J22</f>
        <v>0</v>
      </c>
      <c r="U22" s="23">
        <f>'GS &lt; 50 OLS Model'!$B$13*K22</f>
        <v>0</v>
      </c>
      <c r="V22" s="23">
        <f t="shared" si="2"/>
        <v>7041203.5264070882</v>
      </c>
      <c r="W22" s="13">
        <f t="shared" si="3"/>
        <v>9.2631474062777556E-3</v>
      </c>
      <c r="X22" s="13">
        <f t="shared" si="4"/>
        <v>-9.2631474062777556E-3</v>
      </c>
    </row>
    <row r="23" spans="1:24" x14ac:dyDescent="0.25">
      <c r="A23" s="11">
        <f>'Monthly Data'!A23</f>
        <v>40452</v>
      </c>
      <c r="B23" s="6">
        <f t="shared" si="1"/>
        <v>2010</v>
      </c>
      <c r="C23">
        <f>'Monthly Data'!E23</f>
        <v>7112672.8845999986</v>
      </c>
      <c r="D23">
        <f>'Monthly Data'!M23</f>
        <v>284.69999999999993</v>
      </c>
      <c r="E23">
        <f>'Monthly Data'!N23</f>
        <v>0</v>
      </c>
      <c r="F23" s="30">
        <f>'Monthly Data'!S23</f>
        <v>22</v>
      </c>
      <c r="G23" s="30">
        <f>'Monthly Data'!U23</f>
        <v>3247</v>
      </c>
      <c r="H23" s="30">
        <f>'Monthly Data'!Y23</f>
        <v>0</v>
      </c>
      <c r="I23" s="30">
        <f>'Monthly Data'!AE23</f>
        <v>1</v>
      </c>
      <c r="J23" s="30">
        <f>'Monthly Data'!AF23</f>
        <v>0</v>
      </c>
      <c r="K23" s="30">
        <f>'Monthly Data'!AG23</f>
        <v>0</v>
      </c>
      <c r="M23" s="23">
        <f>'GS &lt; 50 OLS Model'!$B$5</f>
        <v>-4820550.2123392904</v>
      </c>
      <c r="N23" s="23">
        <f>'GS &lt; 50 OLS Model'!$B$6*D23</f>
        <v>917840.20056520565</v>
      </c>
      <c r="O23" s="23">
        <f>'GS &lt; 50 OLS Model'!$B$7*E23</f>
        <v>0</v>
      </c>
      <c r="P23" s="23">
        <f>'GS &lt; 50 OLS Model'!$B$8*F23</f>
        <v>-161539.75139753264</v>
      </c>
      <c r="Q23" s="23">
        <f>'GS &lt; 50 OLS Model'!$B$9*G23</f>
        <v>11439729.313398328</v>
      </c>
      <c r="R23" s="23">
        <f>'GS &lt; 50 OLS Model'!$B$10*H23</f>
        <v>0</v>
      </c>
      <c r="S23" s="23">
        <f>'GS &lt; 50 OLS Model'!$B$11*I23</f>
        <v>-173591.250541696</v>
      </c>
      <c r="T23" s="23">
        <f>'GS &lt; 50 OLS Model'!$B$12*J23</f>
        <v>0</v>
      </c>
      <c r="U23" s="23">
        <f>'GS &lt; 50 OLS Model'!$B$13*K23</f>
        <v>0</v>
      </c>
      <c r="V23" s="23">
        <f t="shared" si="2"/>
        <v>7201888.2996850144</v>
      </c>
      <c r="W23" s="13">
        <f t="shared" si="3"/>
        <v>1.2543162961729977E-2</v>
      </c>
      <c r="X23" s="13">
        <f t="shared" si="4"/>
        <v>1.2543162961729977E-2</v>
      </c>
    </row>
    <row r="24" spans="1:24" x14ac:dyDescent="0.25">
      <c r="A24" s="11">
        <f>'Monthly Data'!A24</f>
        <v>40483</v>
      </c>
      <c r="B24" s="6">
        <f t="shared" si="1"/>
        <v>2010</v>
      </c>
      <c r="C24">
        <f>'Monthly Data'!E24</f>
        <v>7591437.2906999998</v>
      </c>
      <c r="D24">
        <f>'Monthly Data'!M24</f>
        <v>451.4</v>
      </c>
      <c r="E24">
        <f>'Monthly Data'!N24</f>
        <v>0</v>
      </c>
      <c r="F24" s="30">
        <f>'Monthly Data'!S24</f>
        <v>23</v>
      </c>
      <c r="G24" s="30">
        <f>'Monthly Data'!U24</f>
        <v>3263</v>
      </c>
      <c r="H24" s="30">
        <f>'Monthly Data'!Y24</f>
        <v>0</v>
      </c>
      <c r="I24" s="30">
        <f>'Monthly Data'!AE24</f>
        <v>1</v>
      </c>
      <c r="J24" s="30">
        <f>'Monthly Data'!AF24</f>
        <v>0</v>
      </c>
      <c r="K24" s="30">
        <f>'Monthly Data'!AG24</f>
        <v>0</v>
      </c>
      <c r="M24" s="23">
        <f>'GS &lt; 50 OLS Model'!$B$5</f>
        <v>-4820550.2123392904</v>
      </c>
      <c r="N24" s="23">
        <f>'GS &lt; 50 OLS Model'!$B$6*D24</f>
        <v>1455261.9126629219</v>
      </c>
      <c r="O24" s="23">
        <f>'GS &lt; 50 OLS Model'!$B$7*E24</f>
        <v>0</v>
      </c>
      <c r="P24" s="23">
        <f>'GS &lt; 50 OLS Model'!$B$8*F24</f>
        <v>-168882.46737014776</v>
      </c>
      <c r="Q24" s="23">
        <f>'GS &lt; 50 OLS Model'!$B$9*G24</f>
        <v>11496100.015281411</v>
      </c>
      <c r="R24" s="23">
        <f>'GS &lt; 50 OLS Model'!$B$10*H24</f>
        <v>0</v>
      </c>
      <c r="S24" s="23">
        <f>'GS &lt; 50 OLS Model'!$B$11*I24</f>
        <v>-173591.250541696</v>
      </c>
      <c r="T24" s="23">
        <f>'GS &lt; 50 OLS Model'!$B$12*J24</f>
        <v>0</v>
      </c>
      <c r="U24" s="23">
        <f>'GS &lt; 50 OLS Model'!$B$13*K24</f>
        <v>0</v>
      </c>
      <c r="V24" s="23">
        <f t="shared" si="2"/>
        <v>7788337.9976931978</v>
      </c>
      <c r="W24" s="13">
        <f t="shared" si="3"/>
        <v>2.5937210498256251E-2</v>
      </c>
      <c r="X24" s="13">
        <f t="shared" si="4"/>
        <v>2.5937210498256251E-2</v>
      </c>
    </row>
    <row r="25" spans="1:24" x14ac:dyDescent="0.25">
      <c r="A25" s="11">
        <f>'Monthly Data'!A25</f>
        <v>40513</v>
      </c>
      <c r="B25" s="6">
        <f t="shared" si="1"/>
        <v>2010</v>
      </c>
      <c r="C25">
        <f>'Monthly Data'!E25</f>
        <v>8718326.5439999998</v>
      </c>
      <c r="D25">
        <f>'Monthly Data'!M25</f>
        <v>713.49999999999989</v>
      </c>
      <c r="E25">
        <f>'Monthly Data'!N25</f>
        <v>0</v>
      </c>
      <c r="F25" s="30">
        <f>'Monthly Data'!S25</f>
        <v>24</v>
      </c>
      <c r="G25" s="30">
        <f>'Monthly Data'!U25</f>
        <v>3264</v>
      </c>
      <c r="H25" s="30">
        <f>'Monthly Data'!Y25</f>
        <v>0</v>
      </c>
      <c r="I25" s="30">
        <f>'Monthly Data'!AE25</f>
        <v>0</v>
      </c>
      <c r="J25" s="30">
        <f>'Monthly Data'!AF25</f>
        <v>0</v>
      </c>
      <c r="K25" s="30">
        <f>'Monthly Data'!AG25</f>
        <v>0</v>
      </c>
      <c r="M25" s="23">
        <f>'GS &lt; 50 OLS Model'!$B$5</f>
        <v>-4820550.2123392904</v>
      </c>
      <c r="N25" s="23">
        <f>'GS &lt; 50 OLS Model'!$B$6*D25</f>
        <v>2300242.3010301166</v>
      </c>
      <c r="O25" s="23">
        <f>'GS &lt; 50 OLS Model'!$B$7*E25</f>
        <v>0</v>
      </c>
      <c r="P25" s="23">
        <f>'GS &lt; 50 OLS Model'!$B$8*F25</f>
        <v>-176225.18334276287</v>
      </c>
      <c r="Q25" s="23">
        <f>'GS &lt; 50 OLS Model'!$B$9*G25</f>
        <v>11499623.184149103</v>
      </c>
      <c r="R25" s="23">
        <f>'GS &lt; 50 OLS Model'!$B$10*H25</f>
        <v>0</v>
      </c>
      <c r="S25" s="23">
        <f>'GS &lt; 50 OLS Model'!$B$11*I25</f>
        <v>0</v>
      </c>
      <c r="T25" s="23">
        <f>'GS &lt; 50 OLS Model'!$B$12*J25</f>
        <v>0</v>
      </c>
      <c r="U25" s="23">
        <f>'GS &lt; 50 OLS Model'!$B$13*K25</f>
        <v>0</v>
      </c>
      <c r="V25" s="23">
        <f t="shared" si="2"/>
        <v>8803090.0894971676</v>
      </c>
      <c r="W25" s="13">
        <f t="shared" si="3"/>
        <v>9.7224559173575108E-3</v>
      </c>
      <c r="X25" s="13">
        <f t="shared" si="4"/>
        <v>9.7224559173575108E-3</v>
      </c>
    </row>
    <row r="26" spans="1:24" x14ac:dyDescent="0.25">
      <c r="A26" s="11">
        <f>'Monthly Data'!A26</f>
        <v>40544</v>
      </c>
      <c r="B26" s="6">
        <f t="shared" si="1"/>
        <v>2011</v>
      </c>
      <c r="C26">
        <f>'Monthly Data'!E26</f>
        <v>9393676.9426000006</v>
      </c>
      <c r="D26">
        <f>'Monthly Data'!M26</f>
        <v>853.19999999999982</v>
      </c>
      <c r="E26">
        <f>'Monthly Data'!N26</f>
        <v>0</v>
      </c>
      <c r="F26" s="30">
        <f>'Monthly Data'!S26</f>
        <v>25</v>
      </c>
      <c r="G26" s="30">
        <f>'Monthly Data'!U26</f>
        <v>3262</v>
      </c>
      <c r="H26" s="30">
        <f>'Monthly Data'!Y26</f>
        <v>0</v>
      </c>
      <c r="I26" s="30">
        <f>'Monthly Data'!AE26</f>
        <v>0</v>
      </c>
      <c r="J26" s="30">
        <f>'Monthly Data'!AF26</f>
        <v>0</v>
      </c>
      <c r="K26" s="30">
        <f>'Monthly Data'!AG26</f>
        <v>0</v>
      </c>
      <c r="M26" s="23">
        <f>'GS &lt; 50 OLS Model'!$B$5</f>
        <v>-4820550.2123392904</v>
      </c>
      <c r="N26" s="23">
        <f>'GS &lt; 50 OLS Model'!$B$6*D26</f>
        <v>2750619.1047496782</v>
      </c>
      <c r="O26" s="23">
        <f>'GS &lt; 50 OLS Model'!$B$7*E26</f>
        <v>0</v>
      </c>
      <c r="P26" s="23">
        <f>'GS &lt; 50 OLS Model'!$B$8*F26</f>
        <v>-183567.89931537802</v>
      </c>
      <c r="Q26" s="23">
        <f>'GS &lt; 50 OLS Model'!$B$9*G26</f>
        <v>11492576.846413719</v>
      </c>
      <c r="R26" s="23">
        <f>'GS &lt; 50 OLS Model'!$B$10*H26</f>
        <v>0</v>
      </c>
      <c r="S26" s="23">
        <f>'GS &lt; 50 OLS Model'!$B$11*I26</f>
        <v>0</v>
      </c>
      <c r="T26" s="23">
        <f>'GS &lt; 50 OLS Model'!$B$12*J26</f>
        <v>0</v>
      </c>
      <c r="U26" s="23">
        <f>'GS &lt; 50 OLS Model'!$B$13*K26</f>
        <v>0</v>
      </c>
      <c r="V26" s="23">
        <f t="shared" si="2"/>
        <v>9239077.8395087272</v>
      </c>
      <c r="W26" s="13">
        <f t="shared" si="3"/>
        <v>1.6457783681081459E-2</v>
      </c>
      <c r="X26" s="13">
        <f t="shared" si="4"/>
        <v>-1.6457783681081459E-2</v>
      </c>
    </row>
    <row r="27" spans="1:24" x14ac:dyDescent="0.25">
      <c r="A27" s="11">
        <f>'Monthly Data'!A27</f>
        <v>40575</v>
      </c>
      <c r="B27" s="6">
        <f t="shared" si="1"/>
        <v>2011</v>
      </c>
      <c r="C27">
        <f>'Monthly Data'!E27</f>
        <v>8452752.0697000008</v>
      </c>
      <c r="D27">
        <f>'Monthly Data'!M27</f>
        <v>700.39999999999986</v>
      </c>
      <c r="E27">
        <f>'Monthly Data'!N27</f>
        <v>0</v>
      </c>
      <c r="F27" s="30">
        <f>'Monthly Data'!S27</f>
        <v>26</v>
      </c>
      <c r="G27" s="30">
        <f>'Monthly Data'!U27</f>
        <v>3264</v>
      </c>
      <c r="H27" s="30">
        <f>'Monthly Data'!Y27</f>
        <v>0</v>
      </c>
      <c r="I27" s="30">
        <f>'Monthly Data'!AE27</f>
        <v>0</v>
      </c>
      <c r="J27" s="30">
        <f>'Monthly Data'!AF27</f>
        <v>1</v>
      </c>
      <c r="K27" s="30">
        <f>'Monthly Data'!AG27</f>
        <v>0</v>
      </c>
      <c r="M27" s="23">
        <f>'GS &lt; 50 OLS Model'!$B$5</f>
        <v>-4820550.2123392904</v>
      </c>
      <c r="N27" s="23">
        <f>'GS &lt; 50 OLS Model'!$B$6*D27</f>
        <v>2258009.4010392344</v>
      </c>
      <c r="O27" s="23">
        <f>'GS &lt; 50 OLS Model'!$B$7*E27</f>
        <v>0</v>
      </c>
      <c r="P27" s="23">
        <f>'GS &lt; 50 OLS Model'!$B$8*F27</f>
        <v>-190910.61528799313</v>
      </c>
      <c r="Q27" s="23">
        <f>'GS &lt; 50 OLS Model'!$B$9*G27</f>
        <v>11499623.184149103</v>
      </c>
      <c r="R27" s="23">
        <f>'GS &lt; 50 OLS Model'!$B$10*H27</f>
        <v>0</v>
      </c>
      <c r="S27" s="23">
        <f>'GS &lt; 50 OLS Model'!$B$11*I27</f>
        <v>0</v>
      </c>
      <c r="T27" s="23">
        <f>'GS &lt; 50 OLS Model'!$B$12*J27</f>
        <v>-323195.56340474403</v>
      </c>
      <c r="U27" s="23">
        <f>'GS &lt; 50 OLS Model'!$B$13*K27</f>
        <v>0</v>
      </c>
      <c r="V27" s="23">
        <f t="shared" si="2"/>
        <v>8422976.1941563096</v>
      </c>
      <c r="W27" s="13">
        <f t="shared" si="3"/>
        <v>3.5226249744656243E-3</v>
      </c>
      <c r="X27" s="13">
        <f t="shared" si="4"/>
        <v>-3.5226249744656243E-3</v>
      </c>
    </row>
    <row r="28" spans="1:24" x14ac:dyDescent="0.25">
      <c r="A28" s="11">
        <f>'Monthly Data'!A28</f>
        <v>40603</v>
      </c>
      <c r="B28" s="6">
        <f t="shared" si="1"/>
        <v>2011</v>
      </c>
      <c r="C28">
        <f>'Monthly Data'!E28</f>
        <v>8568325.1115000006</v>
      </c>
      <c r="D28">
        <f>'Monthly Data'!M28</f>
        <v>595.70000000000016</v>
      </c>
      <c r="E28">
        <f>'Monthly Data'!N28</f>
        <v>0</v>
      </c>
      <c r="F28" s="30">
        <f>'Monthly Data'!S28</f>
        <v>27</v>
      </c>
      <c r="G28" s="30">
        <f>'Monthly Data'!U28</f>
        <v>3261</v>
      </c>
      <c r="H28" s="30">
        <f>'Monthly Data'!Y28</f>
        <v>0</v>
      </c>
      <c r="I28" s="30">
        <f>'Monthly Data'!AE28</f>
        <v>0</v>
      </c>
      <c r="J28" s="30">
        <f>'Monthly Data'!AF28</f>
        <v>0</v>
      </c>
      <c r="K28" s="30">
        <f>'Monthly Data'!AG28</f>
        <v>0</v>
      </c>
      <c r="M28" s="23">
        <f>'GS &lt; 50 OLS Model'!$B$5</f>
        <v>-4820550.2123392904</v>
      </c>
      <c r="N28" s="23">
        <f>'GS &lt; 50 OLS Model'!$B$6*D28</f>
        <v>1920468.5896617256</v>
      </c>
      <c r="O28" s="23">
        <f>'GS &lt; 50 OLS Model'!$B$7*E28</f>
        <v>0</v>
      </c>
      <c r="P28" s="23">
        <f>'GS &lt; 50 OLS Model'!$B$8*F28</f>
        <v>-198253.33126060825</v>
      </c>
      <c r="Q28" s="23">
        <f>'GS &lt; 50 OLS Model'!$B$9*G28</f>
        <v>11489053.677546026</v>
      </c>
      <c r="R28" s="23">
        <f>'GS &lt; 50 OLS Model'!$B$10*H28</f>
        <v>0</v>
      </c>
      <c r="S28" s="23">
        <f>'GS &lt; 50 OLS Model'!$B$11*I28</f>
        <v>0</v>
      </c>
      <c r="T28" s="23">
        <f>'GS &lt; 50 OLS Model'!$B$12*J28</f>
        <v>0</v>
      </c>
      <c r="U28" s="23">
        <f>'GS &lt; 50 OLS Model'!$B$13*K28</f>
        <v>0</v>
      </c>
      <c r="V28" s="23">
        <f t="shared" si="2"/>
        <v>8390718.7236078531</v>
      </c>
      <c r="W28" s="13">
        <f t="shared" si="3"/>
        <v>2.072825033842059E-2</v>
      </c>
      <c r="X28" s="13">
        <f t="shared" si="4"/>
        <v>-2.072825033842059E-2</v>
      </c>
    </row>
    <row r="29" spans="1:24" x14ac:dyDescent="0.25">
      <c r="A29" s="11">
        <f>'Monthly Data'!A29</f>
        <v>40634</v>
      </c>
      <c r="B29" s="6">
        <f t="shared" si="1"/>
        <v>2011</v>
      </c>
      <c r="C29">
        <f>'Monthly Data'!E29</f>
        <v>7346493.2652000012</v>
      </c>
      <c r="D29">
        <f>'Monthly Data'!M29</f>
        <v>350.99999999999989</v>
      </c>
      <c r="E29">
        <f>'Monthly Data'!N29</f>
        <v>0</v>
      </c>
      <c r="F29" s="30">
        <f>'Monthly Data'!S29</f>
        <v>28</v>
      </c>
      <c r="G29" s="30">
        <f>'Monthly Data'!U29</f>
        <v>3260</v>
      </c>
      <c r="H29" s="30">
        <f>'Monthly Data'!Y29</f>
        <v>0</v>
      </c>
      <c r="I29" s="30">
        <f>'Monthly Data'!AE29</f>
        <v>0</v>
      </c>
      <c r="J29" s="30">
        <f>'Monthly Data'!AF29</f>
        <v>0</v>
      </c>
      <c r="K29" s="30">
        <f>'Monthly Data'!AG29</f>
        <v>1</v>
      </c>
      <c r="M29" s="23">
        <f>'GS &lt; 50 OLS Model'!$B$5</f>
        <v>-4820550.2123392904</v>
      </c>
      <c r="N29" s="23">
        <f>'GS &lt; 50 OLS Model'!$B$6*D29</f>
        <v>1131583.8089160067</v>
      </c>
      <c r="O29" s="23">
        <f>'GS &lt; 50 OLS Model'!$B$7*E29</f>
        <v>0</v>
      </c>
      <c r="P29" s="23">
        <f>'GS &lt; 50 OLS Model'!$B$8*F29</f>
        <v>-205596.04723322336</v>
      </c>
      <c r="Q29" s="23">
        <f>'GS &lt; 50 OLS Model'!$B$9*G29</f>
        <v>11485530.508678332</v>
      </c>
      <c r="R29" s="23">
        <f>'GS &lt; 50 OLS Model'!$B$10*H29</f>
        <v>0</v>
      </c>
      <c r="S29" s="23">
        <f>'GS &lt; 50 OLS Model'!$B$11*I29</f>
        <v>0</v>
      </c>
      <c r="T29" s="23">
        <f>'GS &lt; 50 OLS Model'!$B$12*J29</f>
        <v>0</v>
      </c>
      <c r="U29" s="23">
        <f>'GS &lt; 50 OLS Model'!$B$13*K29</f>
        <v>-425159.68663676298</v>
      </c>
      <c r="V29" s="23">
        <f t="shared" si="2"/>
        <v>7165808.3713850621</v>
      </c>
      <c r="W29" s="13">
        <f t="shared" si="3"/>
        <v>2.4594713054571907E-2</v>
      </c>
      <c r="X29" s="13">
        <f t="shared" si="4"/>
        <v>-2.4594713054571907E-2</v>
      </c>
    </row>
    <row r="30" spans="1:24" x14ac:dyDescent="0.25">
      <c r="A30" s="11">
        <f>'Monthly Data'!A30</f>
        <v>40664</v>
      </c>
      <c r="B30" s="6">
        <f t="shared" si="1"/>
        <v>2011</v>
      </c>
      <c r="C30">
        <f>'Monthly Data'!E30</f>
        <v>7368309.8563999999</v>
      </c>
      <c r="D30">
        <f>'Monthly Data'!M30</f>
        <v>150</v>
      </c>
      <c r="E30">
        <f>'Monthly Data'!N30</f>
        <v>1.2999999999999998</v>
      </c>
      <c r="F30" s="30">
        <f>'Monthly Data'!S30</f>
        <v>29</v>
      </c>
      <c r="G30" s="30">
        <f>'Monthly Data'!U30</f>
        <v>3250</v>
      </c>
      <c r="H30" s="30">
        <f>'Monthly Data'!Y30</f>
        <v>0</v>
      </c>
      <c r="I30" s="30">
        <f>'Monthly Data'!AE30</f>
        <v>0</v>
      </c>
      <c r="J30" s="30">
        <f>'Monthly Data'!AF30</f>
        <v>0</v>
      </c>
      <c r="K30" s="30">
        <f>'Monthly Data'!AG30</f>
        <v>0</v>
      </c>
      <c r="M30" s="23">
        <f>'GS &lt; 50 OLS Model'!$B$5</f>
        <v>-4820550.2123392904</v>
      </c>
      <c r="N30" s="23">
        <f>'GS &lt; 50 OLS Model'!$B$6*D30</f>
        <v>483582.82432308001</v>
      </c>
      <c r="O30" s="23">
        <f>'GS &lt; 50 OLS Model'!$B$7*E30</f>
        <v>19764.171381707867</v>
      </c>
      <c r="P30" s="23">
        <f>'GS &lt; 50 OLS Model'!$B$8*F30</f>
        <v>-212938.76320583848</v>
      </c>
      <c r="Q30" s="23">
        <f>'GS &lt; 50 OLS Model'!$B$9*G30</f>
        <v>11450298.820001405</v>
      </c>
      <c r="R30" s="23">
        <f>'GS &lt; 50 OLS Model'!$B$10*H30</f>
        <v>0</v>
      </c>
      <c r="S30" s="23">
        <f>'GS &lt; 50 OLS Model'!$B$11*I30</f>
        <v>0</v>
      </c>
      <c r="T30" s="23">
        <f>'GS &lt; 50 OLS Model'!$B$12*J30</f>
        <v>0</v>
      </c>
      <c r="U30" s="23">
        <f>'GS &lt; 50 OLS Model'!$B$13*K30</f>
        <v>0</v>
      </c>
      <c r="V30" s="23">
        <f t="shared" si="2"/>
        <v>6920156.8401610637</v>
      </c>
      <c r="W30" s="13">
        <f t="shared" si="3"/>
        <v>6.0821684344568847E-2</v>
      </c>
      <c r="X30" s="13">
        <f t="shared" si="4"/>
        <v>-6.0821684344568847E-2</v>
      </c>
    </row>
    <row r="31" spans="1:24" x14ac:dyDescent="0.25">
      <c r="A31" s="11">
        <f>'Monthly Data'!A31</f>
        <v>40695</v>
      </c>
      <c r="B31" s="6">
        <f t="shared" si="1"/>
        <v>2011</v>
      </c>
      <c r="C31">
        <f>'Monthly Data'!E31</f>
        <v>7131096.6754999999</v>
      </c>
      <c r="D31">
        <f>'Monthly Data'!M31</f>
        <v>25.199999999999996</v>
      </c>
      <c r="E31">
        <f>'Monthly Data'!N31</f>
        <v>24.900000000000002</v>
      </c>
      <c r="F31" s="30">
        <f>'Monthly Data'!S31</f>
        <v>30</v>
      </c>
      <c r="G31" s="30">
        <f>'Monthly Data'!U31</f>
        <v>3250</v>
      </c>
      <c r="H31" s="30">
        <f>'Monthly Data'!Y31</f>
        <v>0</v>
      </c>
      <c r="I31" s="30">
        <f>'Monthly Data'!AE31</f>
        <v>0</v>
      </c>
      <c r="J31" s="30">
        <f>'Monthly Data'!AF31</f>
        <v>0</v>
      </c>
      <c r="K31" s="30">
        <f>'Monthly Data'!AG31</f>
        <v>0</v>
      </c>
      <c r="M31" s="23">
        <f>'GS &lt; 50 OLS Model'!$B$5</f>
        <v>-4820550.2123392904</v>
      </c>
      <c r="N31" s="23">
        <f>'GS &lt; 50 OLS Model'!$B$6*D31</f>
        <v>81241.914486277426</v>
      </c>
      <c r="O31" s="23">
        <f>'GS &lt; 50 OLS Model'!$B$7*E31</f>
        <v>378559.89800348156</v>
      </c>
      <c r="P31" s="23">
        <f>'GS &lt; 50 OLS Model'!$B$8*F31</f>
        <v>-220281.47917845362</v>
      </c>
      <c r="Q31" s="23">
        <f>'GS &lt; 50 OLS Model'!$B$9*G31</f>
        <v>11450298.820001405</v>
      </c>
      <c r="R31" s="23">
        <f>'GS &lt; 50 OLS Model'!$B$10*H31</f>
        <v>0</v>
      </c>
      <c r="S31" s="23">
        <f>'GS &lt; 50 OLS Model'!$B$11*I31</f>
        <v>0</v>
      </c>
      <c r="T31" s="23">
        <f>'GS &lt; 50 OLS Model'!$B$12*J31</f>
        <v>0</v>
      </c>
      <c r="U31" s="23">
        <f>'GS &lt; 50 OLS Model'!$B$13*K31</f>
        <v>0</v>
      </c>
      <c r="V31" s="23">
        <f t="shared" si="2"/>
        <v>6869268.9409734197</v>
      </c>
      <c r="W31" s="13">
        <f t="shared" si="3"/>
        <v>3.6716335010031541E-2</v>
      </c>
      <c r="X31" s="13">
        <f t="shared" si="4"/>
        <v>-3.6716335010031541E-2</v>
      </c>
    </row>
    <row r="32" spans="1:24" x14ac:dyDescent="0.25">
      <c r="A32" s="11">
        <f>'Monthly Data'!A32</f>
        <v>40725</v>
      </c>
      <c r="B32" s="6">
        <f t="shared" si="1"/>
        <v>2011</v>
      </c>
      <c r="C32">
        <f>'Monthly Data'!E32</f>
        <v>8127943.4221000001</v>
      </c>
      <c r="D32">
        <f>'Monthly Data'!M32</f>
        <v>0</v>
      </c>
      <c r="E32">
        <f>'Monthly Data'!N32</f>
        <v>118.30000000000003</v>
      </c>
      <c r="F32" s="30">
        <f>'Monthly Data'!S32</f>
        <v>31</v>
      </c>
      <c r="G32" s="30">
        <f>'Monthly Data'!U32</f>
        <v>3245</v>
      </c>
      <c r="H32" s="30">
        <f>'Monthly Data'!Y32</f>
        <v>0</v>
      </c>
      <c r="I32" s="30">
        <f>'Monthly Data'!AE32</f>
        <v>0</v>
      </c>
      <c r="J32" s="30">
        <f>'Monthly Data'!AF32</f>
        <v>0</v>
      </c>
      <c r="K32" s="30">
        <f>'Monthly Data'!AG32</f>
        <v>0</v>
      </c>
      <c r="M32" s="23">
        <f>'GS &lt; 50 OLS Model'!$B$5</f>
        <v>-4820550.2123392904</v>
      </c>
      <c r="N32" s="23">
        <f>'GS &lt; 50 OLS Model'!$B$6*D32</f>
        <v>0</v>
      </c>
      <c r="O32" s="23">
        <f>'GS &lt; 50 OLS Model'!$B$7*E32</f>
        <v>1798539.5957354165</v>
      </c>
      <c r="P32" s="23">
        <f>'GS &lt; 50 OLS Model'!$B$8*F32</f>
        <v>-227624.19515106874</v>
      </c>
      <c r="Q32" s="23">
        <f>'GS &lt; 50 OLS Model'!$B$9*G32</f>
        <v>11432682.975662941</v>
      </c>
      <c r="R32" s="23">
        <f>'GS &lt; 50 OLS Model'!$B$10*H32</f>
        <v>0</v>
      </c>
      <c r="S32" s="23">
        <f>'GS &lt; 50 OLS Model'!$B$11*I32</f>
        <v>0</v>
      </c>
      <c r="T32" s="23">
        <f>'GS &lt; 50 OLS Model'!$B$12*J32</f>
        <v>0</v>
      </c>
      <c r="U32" s="23">
        <f>'GS &lt; 50 OLS Model'!$B$13*K32</f>
        <v>0</v>
      </c>
      <c r="V32" s="23">
        <f t="shared" si="2"/>
        <v>8183048.1639079992</v>
      </c>
      <c r="W32" s="13">
        <f t="shared" si="3"/>
        <v>6.7796660171339862E-3</v>
      </c>
      <c r="X32" s="13">
        <f t="shared" si="4"/>
        <v>6.7796660171339862E-3</v>
      </c>
    </row>
    <row r="33" spans="1:24" x14ac:dyDescent="0.25">
      <c r="A33" s="11">
        <f>'Monthly Data'!A33</f>
        <v>40756</v>
      </c>
      <c r="B33" s="6">
        <f t="shared" si="1"/>
        <v>2011</v>
      </c>
      <c r="C33">
        <f>'Monthly Data'!E33</f>
        <v>7808808.1944000004</v>
      </c>
      <c r="D33">
        <f>'Monthly Data'!M33</f>
        <v>7</v>
      </c>
      <c r="E33">
        <f>'Monthly Data'!N33</f>
        <v>68.2</v>
      </c>
      <c r="F33" s="30">
        <f>'Monthly Data'!S33</f>
        <v>32</v>
      </c>
      <c r="G33" s="30">
        <f>'Monthly Data'!U33</f>
        <v>3235</v>
      </c>
      <c r="H33" s="30">
        <f>'Monthly Data'!Y33</f>
        <v>0</v>
      </c>
      <c r="I33" s="30">
        <f>'Monthly Data'!AE33</f>
        <v>0</v>
      </c>
      <c r="J33" s="30">
        <f>'Monthly Data'!AF33</f>
        <v>0</v>
      </c>
      <c r="K33" s="30">
        <f>'Monthly Data'!AG33</f>
        <v>0</v>
      </c>
      <c r="M33" s="23">
        <f>'GS &lt; 50 OLS Model'!$B$5</f>
        <v>-4820550.2123392904</v>
      </c>
      <c r="N33" s="23">
        <f>'GS &lt; 50 OLS Model'!$B$6*D33</f>
        <v>22567.198468410399</v>
      </c>
      <c r="O33" s="23">
        <f>'GS &lt; 50 OLS Model'!$B$7*E33</f>
        <v>1036858.8371019053</v>
      </c>
      <c r="P33" s="23">
        <f>'GS &lt; 50 OLS Model'!$B$8*F33</f>
        <v>-234966.91112368385</v>
      </c>
      <c r="Q33" s="23">
        <f>'GS &lt; 50 OLS Model'!$B$9*G33</f>
        <v>11397451.286986014</v>
      </c>
      <c r="R33" s="23">
        <f>'GS &lt; 50 OLS Model'!$B$10*H33</f>
        <v>0</v>
      </c>
      <c r="S33" s="23">
        <f>'GS &lt; 50 OLS Model'!$B$11*I33</f>
        <v>0</v>
      </c>
      <c r="T33" s="23">
        <f>'GS &lt; 50 OLS Model'!$B$12*J33</f>
        <v>0</v>
      </c>
      <c r="U33" s="23">
        <f>'GS &lt; 50 OLS Model'!$B$13*K33</f>
        <v>0</v>
      </c>
      <c r="V33" s="23">
        <f t="shared" si="2"/>
        <v>7401360.1990933549</v>
      </c>
      <c r="W33" s="13">
        <f t="shared" si="3"/>
        <v>5.2178000171504056E-2</v>
      </c>
      <c r="X33" s="13">
        <f t="shared" si="4"/>
        <v>-5.2178000171504056E-2</v>
      </c>
    </row>
    <row r="34" spans="1:24" x14ac:dyDescent="0.25">
      <c r="A34" s="11">
        <f>'Monthly Data'!A34</f>
        <v>40787</v>
      </c>
      <c r="B34" s="6">
        <f t="shared" si="1"/>
        <v>2011</v>
      </c>
      <c r="C34">
        <f>'Monthly Data'!E34</f>
        <v>6954625.1506999992</v>
      </c>
      <c r="D34">
        <f>'Monthly Data'!M34</f>
        <v>72.5</v>
      </c>
      <c r="E34">
        <f>'Monthly Data'!N34</f>
        <v>24.500000000000004</v>
      </c>
      <c r="F34" s="30">
        <f>'Monthly Data'!S34</f>
        <v>33</v>
      </c>
      <c r="G34" s="30">
        <f>'Monthly Data'!U34</f>
        <v>3235</v>
      </c>
      <c r="H34" s="30">
        <f>'Monthly Data'!Y34</f>
        <v>0</v>
      </c>
      <c r="I34" s="30">
        <f>'Monthly Data'!AE34</f>
        <v>1</v>
      </c>
      <c r="J34" s="30">
        <f>'Monthly Data'!AF34</f>
        <v>0</v>
      </c>
      <c r="K34" s="30">
        <f>'Monthly Data'!AG34</f>
        <v>0</v>
      </c>
      <c r="M34" s="23">
        <f>'GS &lt; 50 OLS Model'!$B$5</f>
        <v>-4820550.2123392904</v>
      </c>
      <c r="N34" s="23">
        <f>'GS &lt; 50 OLS Model'!$B$6*D34</f>
        <v>233731.698422822</v>
      </c>
      <c r="O34" s="23">
        <f>'GS &lt; 50 OLS Model'!$B$7*E34</f>
        <v>372478.61450141761</v>
      </c>
      <c r="P34" s="23">
        <f>'GS &lt; 50 OLS Model'!$B$8*F34</f>
        <v>-242309.62709629897</v>
      </c>
      <c r="Q34" s="23">
        <f>'GS &lt; 50 OLS Model'!$B$9*G34</f>
        <v>11397451.286986014</v>
      </c>
      <c r="R34" s="23">
        <f>'GS &lt; 50 OLS Model'!$B$10*H34</f>
        <v>0</v>
      </c>
      <c r="S34" s="23">
        <f>'GS &lt; 50 OLS Model'!$B$11*I34</f>
        <v>-173591.250541696</v>
      </c>
      <c r="T34" s="23">
        <f>'GS &lt; 50 OLS Model'!$B$12*J34</f>
        <v>0</v>
      </c>
      <c r="U34" s="23">
        <f>'GS &lt; 50 OLS Model'!$B$13*K34</f>
        <v>0</v>
      </c>
      <c r="V34" s="23">
        <f t="shared" si="2"/>
        <v>6767210.5099329678</v>
      </c>
      <c r="W34" s="13">
        <f t="shared" si="3"/>
        <v>2.694820162207702E-2</v>
      </c>
      <c r="X34" s="13">
        <f t="shared" si="4"/>
        <v>-2.694820162207702E-2</v>
      </c>
    </row>
    <row r="35" spans="1:24" x14ac:dyDescent="0.25">
      <c r="A35" s="11">
        <f>'Monthly Data'!A35</f>
        <v>40817</v>
      </c>
      <c r="B35" s="6">
        <f t="shared" si="1"/>
        <v>2011</v>
      </c>
      <c r="C35">
        <f>'Monthly Data'!E35</f>
        <v>6817049.963200001</v>
      </c>
      <c r="D35">
        <f>'Monthly Data'!M35</f>
        <v>266.49999999999994</v>
      </c>
      <c r="E35">
        <f>'Monthly Data'!N35</f>
        <v>0.5</v>
      </c>
      <c r="F35" s="30">
        <f>'Monthly Data'!S35</f>
        <v>34</v>
      </c>
      <c r="G35" s="30">
        <f>'Monthly Data'!U35</f>
        <v>3226</v>
      </c>
      <c r="H35" s="30">
        <f>'Monthly Data'!Y35</f>
        <v>0</v>
      </c>
      <c r="I35" s="30">
        <f>'Monthly Data'!AE35</f>
        <v>1</v>
      </c>
      <c r="J35" s="30">
        <f>'Monthly Data'!AF35</f>
        <v>0</v>
      </c>
      <c r="K35" s="30">
        <f>'Monthly Data'!AG35</f>
        <v>0</v>
      </c>
      <c r="M35" s="23">
        <f>'GS &lt; 50 OLS Model'!$B$5</f>
        <v>-4820550.2123392904</v>
      </c>
      <c r="N35" s="23">
        <f>'GS &lt; 50 OLS Model'!$B$6*D35</f>
        <v>859165.48454733856</v>
      </c>
      <c r="O35" s="23">
        <f>'GS &lt; 50 OLS Model'!$B$7*E35</f>
        <v>7601.6043775799499</v>
      </c>
      <c r="P35" s="23">
        <f>'GS &lt; 50 OLS Model'!$B$8*F35</f>
        <v>-249652.34306891408</v>
      </c>
      <c r="Q35" s="23">
        <f>'GS &lt; 50 OLS Model'!$B$9*G35</f>
        <v>11365742.767176779</v>
      </c>
      <c r="R35" s="23">
        <f>'GS &lt; 50 OLS Model'!$B$10*H35</f>
        <v>0</v>
      </c>
      <c r="S35" s="23">
        <f>'GS &lt; 50 OLS Model'!$B$11*I35</f>
        <v>-173591.250541696</v>
      </c>
      <c r="T35" s="23">
        <f>'GS &lt; 50 OLS Model'!$B$12*J35</f>
        <v>0</v>
      </c>
      <c r="U35" s="23">
        <f>'GS &lt; 50 OLS Model'!$B$13*K35</f>
        <v>0</v>
      </c>
      <c r="V35" s="23">
        <f t="shared" si="2"/>
        <v>6988716.0501517961</v>
      </c>
      <c r="W35" s="13">
        <f t="shared" si="3"/>
        <v>2.5181873079776141E-2</v>
      </c>
      <c r="X35" s="13">
        <f t="shared" si="4"/>
        <v>2.5181873079776141E-2</v>
      </c>
    </row>
    <row r="36" spans="1:24" x14ac:dyDescent="0.25">
      <c r="A36" s="11">
        <f>'Monthly Data'!A36</f>
        <v>40848</v>
      </c>
      <c r="B36" s="6">
        <f t="shared" si="1"/>
        <v>2011</v>
      </c>
      <c r="C36">
        <f>'Monthly Data'!E36</f>
        <v>7100784.7841999996</v>
      </c>
      <c r="D36">
        <f>'Monthly Data'!M36</f>
        <v>394.7</v>
      </c>
      <c r="E36">
        <f>'Monthly Data'!N36</f>
        <v>0</v>
      </c>
      <c r="F36" s="30">
        <f>'Monthly Data'!S36</f>
        <v>35</v>
      </c>
      <c r="G36" s="30">
        <f>'Monthly Data'!U36</f>
        <v>3224</v>
      </c>
      <c r="H36" s="30">
        <f>'Monthly Data'!Y36</f>
        <v>0</v>
      </c>
      <c r="I36" s="30">
        <f>'Monthly Data'!AE36</f>
        <v>1</v>
      </c>
      <c r="J36" s="30">
        <f>'Monthly Data'!AF36</f>
        <v>0</v>
      </c>
      <c r="K36" s="30">
        <f>'Monthly Data'!AG36</f>
        <v>0</v>
      </c>
      <c r="M36" s="23">
        <f>'GS &lt; 50 OLS Model'!$B$5</f>
        <v>-4820550.2123392904</v>
      </c>
      <c r="N36" s="23">
        <f>'GS &lt; 50 OLS Model'!$B$6*D36</f>
        <v>1272467.6050687977</v>
      </c>
      <c r="O36" s="23">
        <f>'GS &lt; 50 OLS Model'!$B$7*E36</f>
        <v>0</v>
      </c>
      <c r="P36" s="23">
        <f>'GS &lt; 50 OLS Model'!$B$8*F36</f>
        <v>-256995.05904152922</v>
      </c>
      <c r="Q36" s="23">
        <f>'GS &lt; 50 OLS Model'!$B$9*G36</f>
        <v>11358696.429441394</v>
      </c>
      <c r="R36" s="23">
        <f>'GS &lt; 50 OLS Model'!$B$10*H36</f>
        <v>0</v>
      </c>
      <c r="S36" s="23">
        <f>'GS &lt; 50 OLS Model'!$B$11*I36</f>
        <v>-173591.250541696</v>
      </c>
      <c r="T36" s="23">
        <f>'GS &lt; 50 OLS Model'!$B$12*J36</f>
        <v>0</v>
      </c>
      <c r="U36" s="23">
        <f>'GS &lt; 50 OLS Model'!$B$13*K36</f>
        <v>0</v>
      </c>
      <c r="V36" s="23">
        <f t="shared" si="2"/>
        <v>7380027.5125876758</v>
      </c>
      <c r="W36" s="13">
        <f t="shared" si="3"/>
        <v>3.9325614967097848E-2</v>
      </c>
      <c r="X36" s="13">
        <f t="shared" si="4"/>
        <v>3.9325614967097848E-2</v>
      </c>
    </row>
    <row r="37" spans="1:24" x14ac:dyDescent="0.25">
      <c r="A37" s="11">
        <f>'Monthly Data'!A37</f>
        <v>40878</v>
      </c>
      <c r="B37" s="6">
        <f t="shared" si="1"/>
        <v>2011</v>
      </c>
      <c r="C37">
        <f>'Monthly Data'!E37</f>
        <v>7938769.4755000006</v>
      </c>
      <c r="D37">
        <f>'Monthly Data'!M37</f>
        <v>623.09999999999991</v>
      </c>
      <c r="E37">
        <f>'Monthly Data'!N37</f>
        <v>0</v>
      </c>
      <c r="F37" s="30">
        <f>'Monthly Data'!S37</f>
        <v>36</v>
      </c>
      <c r="G37" s="30">
        <f>'Monthly Data'!U37</f>
        <v>3225</v>
      </c>
      <c r="H37" s="30">
        <f>'Monthly Data'!Y37</f>
        <v>0</v>
      </c>
      <c r="I37" s="30">
        <f>'Monthly Data'!AE37</f>
        <v>0</v>
      </c>
      <c r="J37" s="30">
        <f>'Monthly Data'!AF37</f>
        <v>0</v>
      </c>
      <c r="K37" s="30">
        <f>'Monthly Data'!AG37</f>
        <v>0</v>
      </c>
      <c r="M37" s="23">
        <f>'GS &lt; 50 OLS Model'!$B$5</f>
        <v>-4820550.2123392904</v>
      </c>
      <c r="N37" s="23">
        <f>'GS &lt; 50 OLS Model'!$B$6*D37</f>
        <v>2008803.0522380739</v>
      </c>
      <c r="O37" s="23">
        <f>'GS &lt; 50 OLS Model'!$B$7*E37</f>
        <v>0</v>
      </c>
      <c r="P37" s="23">
        <f>'GS &lt; 50 OLS Model'!$B$8*F37</f>
        <v>-264337.77501414431</v>
      </c>
      <c r="Q37" s="23">
        <f>'GS &lt; 50 OLS Model'!$B$9*G37</f>
        <v>11362219.598309087</v>
      </c>
      <c r="R37" s="23">
        <f>'GS &lt; 50 OLS Model'!$B$10*H37</f>
        <v>0</v>
      </c>
      <c r="S37" s="23">
        <f>'GS &lt; 50 OLS Model'!$B$11*I37</f>
        <v>0</v>
      </c>
      <c r="T37" s="23">
        <f>'GS &lt; 50 OLS Model'!$B$12*J37</f>
        <v>0</v>
      </c>
      <c r="U37" s="23">
        <f>'GS &lt; 50 OLS Model'!$B$13*K37</f>
        <v>0</v>
      </c>
      <c r="V37" s="23">
        <f t="shared" si="2"/>
        <v>8286134.663193726</v>
      </c>
      <c r="W37" s="13">
        <f t="shared" si="3"/>
        <v>4.3755545335550573E-2</v>
      </c>
      <c r="X37" s="13">
        <f t="shared" si="4"/>
        <v>4.3755545335550573E-2</v>
      </c>
    </row>
    <row r="38" spans="1:24" x14ac:dyDescent="0.25">
      <c r="A38" s="11">
        <f>'Monthly Data'!A38</f>
        <v>40909</v>
      </c>
      <c r="B38" s="6">
        <f t="shared" si="1"/>
        <v>2012</v>
      </c>
      <c r="C38">
        <f>'Monthly Data'!E38</f>
        <v>8455236.2163999993</v>
      </c>
      <c r="D38">
        <f>'Monthly Data'!M38</f>
        <v>712.69999999999993</v>
      </c>
      <c r="E38">
        <f>'Monthly Data'!N38</f>
        <v>0</v>
      </c>
      <c r="F38" s="30">
        <f>'Monthly Data'!S38</f>
        <v>37</v>
      </c>
      <c r="G38" s="30">
        <f>'Monthly Data'!U38</f>
        <v>3226</v>
      </c>
      <c r="H38" s="30">
        <f>'Monthly Data'!Y38</f>
        <v>0</v>
      </c>
      <c r="I38" s="30">
        <f>'Monthly Data'!AE38</f>
        <v>0</v>
      </c>
      <c r="J38" s="30">
        <f>'Monthly Data'!AF38</f>
        <v>0</v>
      </c>
      <c r="K38" s="30">
        <f>'Monthly Data'!AG38</f>
        <v>0</v>
      </c>
      <c r="M38" s="23">
        <f>'GS &lt; 50 OLS Model'!$B$5</f>
        <v>-4820550.2123392904</v>
      </c>
      <c r="N38" s="23">
        <f>'GS &lt; 50 OLS Model'!$B$6*D38</f>
        <v>2297663.1926337271</v>
      </c>
      <c r="O38" s="23">
        <f>'GS &lt; 50 OLS Model'!$B$7*E38</f>
        <v>0</v>
      </c>
      <c r="P38" s="23">
        <f>'GS &lt; 50 OLS Model'!$B$8*F38</f>
        <v>-271680.49098675943</v>
      </c>
      <c r="Q38" s="23">
        <f>'GS &lt; 50 OLS Model'!$B$9*G38</f>
        <v>11365742.767176779</v>
      </c>
      <c r="R38" s="23">
        <f>'GS &lt; 50 OLS Model'!$B$10*H38</f>
        <v>0</v>
      </c>
      <c r="S38" s="23">
        <f>'GS &lt; 50 OLS Model'!$B$11*I38</f>
        <v>0</v>
      </c>
      <c r="T38" s="23">
        <f>'GS &lt; 50 OLS Model'!$B$12*J38</f>
        <v>0</v>
      </c>
      <c r="U38" s="23">
        <f>'GS &lt; 50 OLS Model'!$B$13*K38</f>
        <v>0</v>
      </c>
      <c r="V38" s="23">
        <f t="shared" si="2"/>
        <v>8571175.2564844564</v>
      </c>
      <c r="W38" s="13">
        <f t="shared" si="3"/>
        <v>1.3712099475065949E-2</v>
      </c>
      <c r="X38" s="13">
        <f t="shared" si="4"/>
        <v>1.3712099475065949E-2</v>
      </c>
    </row>
    <row r="39" spans="1:24" x14ac:dyDescent="0.25">
      <c r="A39" s="11">
        <f>'Monthly Data'!A39</f>
        <v>40940</v>
      </c>
      <c r="B39" s="6">
        <f t="shared" si="1"/>
        <v>2012</v>
      </c>
      <c r="C39">
        <f>'Monthly Data'!E39</f>
        <v>7820724.9231000002</v>
      </c>
      <c r="D39">
        <f>'Monthly Data'!M39</f>
        <v>604.40000000000009</v>
      </c>
      <c r="E39">
        <f>'Monthly Data'!N39</f>
        <v>0</v>
      </c>
      <c r="F39" s="30">
        <f>'Monthly Data'!S39</f>
        <v>38</v>
      </c>
      <c r="G39" s="30">
        <f>'Monthly Data'!U39</f>
        <v>3225</v>
      </c>
      <c r="H39" s="30">
        <f>'Monthly Data'!Y39</f>
        <v>0</v>
      </c>
      <c r="I39" s="30">
        <f>'Monthly Data'!AE39</f>
        <v>0</v>
      </c>
      <c r="J39" s="30">
        <f>'Monthly Data'!AF39</f>
        <v>1</v>
      </c>
      <c r="K39" s="30">
        <f>'Monthly Data'!AG39</f>
        <v>0</v>
      </c>
      <c r="M39" s="23">
        <f>'GS &lt; 50 OLS Model'!$B$5</f>
        <v>-4820550.2123392904</v>
      </c>
      <c r="N39" s="23">
        <f>'GS &lt; 50 OLS Model'!$B$6*D39</f>
        <v>1948516.3934724638</v>
      </c>
      <c r="O39" s="23">
        <f>'GS &lt; 50 OLS Model'!$B$7*E39</f>
        <v>0</v>
      </c>
      <c r="P39" s="23">
        <f>'GS &lt; 50 OLS Model'!$B$8*F39</f>
        <v>-279023.2069593746</v>
      </c>
      <c r="Q39" s="23">
        <f>'GS &lt; 50 OLS Model'!$B$9*G39</f>
        <v>11362219.598309087</v>
      </c>
      <c r="R39" s="23">
        <f>'GS &lt; 50 OLS Model'!$B$10*H39</f>
        <v>0</v>
      </c>
      <c r="S39" s="23">
        <f>'GS &lt; 50 OLS Model'!$B$11*I39</f>
        <v>0</v>
      </c>
      <c r="T39" s="23">
        <f>'GS &lt; 50 OLS Model'!$B$12*J39</f>
        <v>-323195.56340474403</v>
      </c>
      <c r="U39" s="23">
        <f>'GS &lt; 50 OLS Model'!$B$13*K39</f>
        <v>0</v>
      </c>
      <c r="V39" s="23">
        <f t="shared" si="2"/>
        <v>7887967.0090781413</v>
      </c>
      <c r="W39" s="13">
        <f t="shared" si="3"/>
        <v>8.5979351836718808E-3</v>
      </c>
      <c r="X39" s="13">
        <f t="shared" si="4"/>
        <v>8.5979351836718808E-3</v>
      </c>
    </row>
    <row r="40" spans="1:24" x14ac:dyDescent="0.25">
      <c r="A40" s="11">
        <f>'Monthly Data'!A40</f>
        <v>40969</v>
      </c>
      <c r="B40" s="6">
        <f t="shared" si="1"/>
        <v>2012</v>
      </c>
      <c r="C40">
        <f>'Monthly Data'!E40</f>
        <v>7522796.9426999995</v>
      </c>
      <c r="D40">
        <f>'Monthly Data'!M40</f>
        <v>412.19999999999993</v>
      </c>
      <c r="E40">
        <f>'Monthly Data'!N40</f>
        <v>0</v>
      </c>
      <c r="F40" s="30">
        <f>'Monthly Data'!S40</f>
        <v>39</v>
      </c>
      <c r="G40" s="30">
        <f>'Monthly Data'!U40</f>
        <v>3222</v>
      </c>
      <c r="H40" s="30">
        <f>'Monthly Data'!Y40</f>
        <v>0</v>
      </c>
      <c r="I40" s="30">
        <f>'Monthly Data'!AE40</f>
        <v>0</v>
      </c>
      <c r="J40" s="30">
        <f>'Monthly Data'!AF40</f>
        <v>0</v>
      </c>
      <c r="K40" s="30">
        <f>'Monthly Data'!AG40</f>
        <v>0</v>
      </c>
      <c r="M40" s="23">
        <f>'GS &lt; 50 OLS Model'!$B$5</f>
        <v>-4820550.2123392904</v>
      </c>
      <c r="N40" s="23">
        <f>'GS &lt; 50 OLS Model'!$B$6*D40</f>
        <v>1328885.6012398235</v>
      </c>
      <c r="O40" s="23">
        <f>'GS &lt; 50 OLS Model'!$B$7*E40</f>
        <v>0</v>
      </c>
      <c r="P40" s="23">
        <f>'GS &lt; 50 OLS Model'!$B$8*F40</f>
        <v>-286365.92293198971</v>
      </c>
      <c r="Q40" s="23">
        <f>'GS &lt; 50 OLS Model'!$B$9*G40</f>
        <v>11351650.09170601</v>
      </c>
      <c r="R40" s="23">
        <f>'GS &lt; 50 OLS Model'!$B$10*H40</f>
        <v>0</v>
      </c>
      <c r="S40" s="23">
        <f>'GS &lt; 50 OLS Model'!$B$11*I40</f>
        <v>0</v>
      </c>
      <c r="T40" s="23">
        <f>'GS &lt; 50 OLS Model'!$B$12*J40</f>
        <v>0</v>
      </c>
      <c r="U40" s="23">
        <f>'GS &lt; 50 OLS Model'!$B$13*K40</f>
        <v>0</v>
      </c>
      <c r="V40" s="23">
        <f t="shared" si="2"/>
        <v>7573619.5576745532</v>
      </c>
      <c r="W40" s="13">
        <f t="shared" si="3"/>
        <v>6.7558137434337029E-3</v>
      </c>
      <c r="X40" s="13">
        <f t="shared" si="4"/>
        <v>6.7558137434337029E-3</v>
      </c>
    </row>
    <row r="41" spans="1:24" x14ac:dyDescent="0.25">
      <c r="A41" s="11">
        <f>'Monthly Data'!A41</f>
        <v>41000</v>
      </c>
      <c r="B41" s="6">
        <f t="shared" si="1"/>
        <v>2012</v>
      </c>
      <c r="C41">
        <f>'Monthly Data'!E41</f>
        <v>6733723.8155000005</v>
      </c>
      <c r="D41">
        <f>'Monthly Data'!M41</f>
        <v>358.9</v>
      </c>
      <c r="E41">
        <f>'Monthly Data'!N41</f>
        <v>0.8</v>
      </c>
      <c r="F41" s="30">
        <f>'Monthly Data'!S41</f>
        <v>40</v>
      </c>
      <c r="G41" s="30">
        <f>'Monthly Data'!U41</f>
        <v>3213</v>
      </c>
      <c r="H41" s="30">
        <f>'Monthly Data'!Y41</f>
        <v>0</v>
      </c>
      <c r="I41" s="30">
        <f>'Monthly Data'!AE41</f>
        <v>0</v>
      </c>
      <c r="J41" s="30">
        <f>'Monthly Data'!AF41</f>
        <v>0</v>
      </c>
      <c r="K41" s="30">
        <f>'Monthly Data'!AG41</f>
        <v>1</v>
      </c>
      <c r="M41" s="23">
        <f>'GS &lt; 50 OLS Model'!$B$5</f>
        <v>-4820550.2123392904</v>
      </c>
      <c r="N41" s="23">
        <f>'GS &lt; 50 OLS Model'!$B$6*D41</f>
        <v>1157052.5043303559</v>
      </c>
      <c r="O41" s="23">
        <f>'GS &lt; 50 OLS Model'!$B$7*E41</f>
        <v>12162.567004127921</v>
      </c>
      <c r="P41" s="23">
        <f>'GS &lt; 50 OLS Model'!$B$8*F41</f>
        <v>-293708.63890460483</v>
      </c>
      <c r="Q41" s="23">
        <f>'GS &lt; 50 OLS Model'!$B$9*G41</f>
        <v>11319941.571896775</v>
      </c>
      <c r="R41" s="23">
        <f>'GS &lt; 50 OLS Model'!$B$10*H41</f>
        <v>0</v>
      </c>
      <c r="S41" s="23">
        <f>'GS &lt; 50 OLS Model'!$B$11*I41</f>
        <v>0</v>
      </c>
      <c r="T41" s="23">
        <f>'GS &lt; 50 OLS Model'!$B$12*J41</f>
        <v>0</v>
      </c>
      <c r="U41" s="23">
        <f>'GS &lt; 50 OLS Model'!$B$13*K41</f>
        <v>-425159.68663676298</v>
      </c>
      <c r="V41" s="23">
        <f t="shared" si="2"/>
        <v>6949738.1053506006</v>
      </c>
      <c r="W41" s="13">
        <f t="shared" si="3"/>
        <v>3.2079469810354901E-2</v>
      </c>
      <c r="X41" s="13">
        <f t="shared" si="4"/>
        <v>3.2079469810354901E-2</v>
      </c>
    </row>
    <row r="42" spans="1:24" x14ac:dyDescent="0.25">
      <c r="A42" s="11">
        <f>'Monthly Data'!A42</f>
        <v>41030</v>
      </c>
      <c r="B42" s="6">
        <f t="shared" si="1"/>
        <v>2012</v>
      </c>
      <c r="C42">
        <f>'Monthly Data'!E42</f>
        <v>6797543.6818000004</v>
      </c>
      <c r="D42">
        <f>'Monthly Data'!M42</f>
        <v>94.000000000000014</v>
      </c>
      <c r="E42">
        <f>'Monthly Data'!N42</f>
        <v>20.100000000000001</v>
      </c>
      <c r="F42" s="30">
        <f>'Monthly Data'!S42</f>
        <v>41</v>
      </c>
      <c r="G42" s="30">
        <f>'Monthly Data'!U42</f>
        <v>3198</v>
      </c>
      <c r="H42" s="30">
        <f>'Monthly Data'!Y42</f>
        <v>0</v>
      </c>
      <c r="I42" s="30">
        <f>'Monthly Data'!AE42</f>
        <v>0</v>
      </c>
      <c r="J42" s="30">
        <f>'Monthly Data'!AF42</f>
        <v>0</v>
      </c>
      <c r="K42" s="30">
        <f>'Monthly Data'!AG42</f>
        <v>0</v>
      </c>
      <c r="M42" s="23">
        <f>'GS &lt; 50 OLS Model'!$B$5</f>
        <v>-4820550.2123392904</v>
      </c>
      <c r="N42" s="23">
        <f>'GS &lt; 50 OLS Model'!$B$6*D42</f>
        <v>303045.23657579685</v>
      </c>
      <c r="O42" s="23">
        <f>'GS &lt; 50 OLS Model'!$B$7*E42</f>
        <v>305584.49597871403</v>
      </c>
      <c r="P42" s="23">
        <f>'GS &lt; 50 OLS Model'!$B$8*F42</f>
        <v>-301051.35487721994</v>
      </c>
      <c r="Q42" s="23">
        <f>'GS &lt; 50 OLS Model'!$B$9*G42</f>
        <v>11267094.038881384</v>
      </c>
      <c r="R42" s="23">
        <f>'GS &lt; 50 OLS Model'!$B$10*H42</f>
        <v>0</v>
      </c>
      <c r="S42" s="23">
        <f>'GS &lt; 50 OLS Model'!$B$11*I42</f>
        <v>0</v>
      </c>
      <c r="T42" s="23">
        <f>'GS &lt; 50 OLS Model'!$B$12*J42</f>
        <v>0</v>
      </c>
      <c r="U42" s="23">
        <f>'GS &lt; 50 OLS Model'!$B$13*K42</f>
        <v>0</v>
      </c>
      <c r="V42" s="23">
        <f t="shared" si="2"/>
        <v>6754122.2042193851</v>
      </c>
      <c r="W42" s="13">
        <f t="shared" si="3"/>
        <v>6.3878188376889173E-3</v>
      </c>
      <c r="X42" s="13">
        <f t="shared" si="4"/>
        <v>-6.3878188376889173E-3</v>
      </c>
    </row>
    <row r="43" spans="1:24" x14ac:dyDescent="0.25">
      <c r="A43" s="11">
        <f>'Monthly Data'!A43</f>
        <v>41061</v>
      </c>
      <c r="B43" s="6">
        <f t="shared" si="1"/>
        <v>2012</v>
      </c>
      <c r="C43">
        <f>'Monthly Data'!E43</f>
        <v>7173898.5476000002</v>
      </c>
      <c r="D43">
        <f>'Monthly Data'!M43</f>
        <v>41.300000000000004</v>
      </c>
      <c r="E43">
        <f>'Monthly Data'!N43</f>
        <v>51.8</v>
      </c>
      <c r="F43" s="30">
        <f>'Monthly Data'!S43</f>
        <v>42</v>
      </c>
      <c r="G43" s="30">
        <f>'Monthly Data'!U43</f>
        <v>3201</v>
      </c>
      <c r="H43" s="30">
        <f>'Monthly Data'!Y43</f>
        <v>0</v>
      </c>
      <c r="I43" s="30">
        <f>'Monthly Data'!AE43</f>
        <v>0</v>
      </c>
      <c r="J43" s="30">
        <f>'Monthly Data'!AF43</f>
        <v>0</v>
      </c>
      <c r="K43" s="30">
        <f>'Monthly Data'!AG43</f>
        <v>0</v>
      </c>
      <c r="M43" s="23">
        <f>'GS &lt; 50 OLS Model'!$B$5</f>
        <v>-4820550.2123392904</v>
      </c>
      <c r="N43" s="23">
        <f>'GS &lt; 50 OLS Model'!$B$6*D43</f>
        <v>133146.47096362137</v>
      </c>
      <c r="O43" s="23">
        <f>'GS &lt; 50 OLS Model'!$B$7*E43</f>
        <v>787526.21351728274</v>
      </c>
      <c r="P43" s="23">
        <f>'GS &lt; 50 OLS Model'!$B$8*F43</f>
        <v>-308394.07084983506</v>
      </c>
      <c r="Q43" s="23">
        <f>'GS &lt; 50 OLS Model'!$B$9*G43</f>
        <v>11277663.545484461</v>
      </c>
      <c r="R43" s="23">
        <f>'GS &lt; 50 OLS Model'!$B$10*H43</f>
        <v>0</v>
      </c>
      <c r="S43" s="23">
        <f>'GS &lt; 50 OLS Model'!$B$11*I43</f>
        <v>0</v>
      </c>
      <c r="T43" s="23">
        <f>'GS &lt; 50 OLS Model'!$B$12*J43</f>
        <v>0</v>
      </c>
      <c r="U43" s="23">
        <f>'GS &lt; 50 OLS Model'!$B$13*K43</f>
        <v>0</v>
      </c>
      <c r="V43" s="23">
        <f t="shared" si="2"/>
        <v>7069391.9467762392</v>
      </c>
      <c r="W43" s="13">
        <f t="shared" si="3"/>
        <v>1.456761621736667E-2</v>
      </c>
      <c r="X43" s="13">
        <f t="shared" si="4"/>
        <v>-1.456761621736667E-2</v>
      </c>
    </row>
    <row r="44" spans="1:24" x14ac:dyDescent="0.25">
      <c r="A44" s="11">
        <f>'Monthly Data'!A44</f>
        <v>41091</v>
      </c>
      <c r="B44" s="6">
        <f t="shared" si="1"/>
        <v>2012</v>
      </c>
      <c r="C44">
        <f>'Monthly Data'!E44</f>
        <v>7895965.2410000004</v>
      </c>
      <c r="D44">
        <f>'Monthly Data'!M44</f>
        <v>0.2</v>
      </c>
      <c r="E44">
        <f>'Monthly Data'!N44</f>
        <v>120.69999999999996</v>
      </c>
      <c r="F44" s="30">
        <f>'Monthly Data'!S44</f>
        <v>43</v>
      </c>
      <c r="G44" s="30">
        <f>'Monthly Data'!U44</f>
        <v>3197</v>
      </c>
      <c r="H44" s="30">
        <f>'Monthly Data'!Y44</f>
        <v>0</v>
      </c>
      <c r="I44" s="30">
        <f>'Monthly Data'!AE44</f>
        <v>0</v>
      </c>
      <c r="J44" s="30">
        <f>'Monthly Data'!AF44</f>
        <v>0</v>
      </c>
      <c r="K44" s="30">
        <f>'Monthly Data'!AG44</f>
        <v>0</v>
      </c>
      <c r="M44" s="23">
        <f>'GS &lt; 50 OLS Model'!$B$5</f>
        <v>-4820550.2123392904</v>
      </c>
      <c r="N44" s="23">
        <f>'GS &lt; 50 OLS Model'!$B$6*D44</f>
        <v>644.77709909743999</v>
      </c>
      <c r="O44" s="23">
        <f>'GS &lt; 50 OLS Model'!$B$7*E44</f>
        <v>1835027.2967477993</v>
      </c>
      <c r="P44" s="23">
        <f>'GS &lt; 50 OLS Model'!$B$8*F44</f>
        <v>-315736.78682245017</v>
      </c>
      <c r="Q44" s="23">
        <f>'GS &lt; 50 OLS Model'!$B$9*G44</f>
        <v>11263570.87001369</v>
      </c>
      <c r="R44" s="23">
        <f>'GS &lt; 50 OLS Model'!$B$10*H44</f>
        <v>0</v>
      </c>
      <c r="S44" s="23">
        <f>'GS &lt; 50 OLS Model'!$B$11*I44</f>
        <v>0</v>
      </c>
      <c r="T44" s="23">
        <f>'GS &lt; 50 OLS Model'!$B$12*J44</f>
        <v>0</v>
      </c>
      <c r="U44" s="23">
        <f>'GS &lt; 50 OLS Model'!$B$13*K44</f>
        <v>0</v>
      </c>
      <c r="V44" s="23">
        <f t="shared" si="2"/>
        <v>7962955.944698845</v>
      </c>
      <c r="W44" s="13">
        <f t="shared" si="3"/>
        <v>8.4841690222993531E-3</v>
      </c>
      <c r="X44" s="13">
        <f t="shared" si="4"/>
        <v>8.4841690222993531E-3</v>
      </c>
    </row>
    <row r="45" spans="1:24" x14ac:dyDescent="0.25">
      <c r="A45" s="11">
        <f>'Monthly Data'!A45</f>
        <v>41122</v>
      </c>
      <c r="B45" s="6">
        <f t="shared" si="1"/>
        <v>2012</v>
      </c>
      <c r="C45">
        <f>'Monthly Data'!E45</f>
        <v>7673572.2456</v>
      </c>
      <c r="D45">
        <f>'Monthly Data'!M45</f>
        <v>7.3000000000000007</v>
      </c>
      <c r="E45">
        <f>'Monthly Data'!N45</f>
        <v>87.199999999999974</v>
      </c>
      <c r="F45" s="30">
        <f>'Monthly Data'!S45</f>
        <v>44</v>
      </c>
      <c r="G45" s="30">
        <f>'Monthly Data'!U45</f>
        <v>3194</v>
      </c>
      <c r="H45" s="30">
        <f>'Monthly Data'!Y45</f>
        <v>0</v>
      </c>
      <c r="I45" s="30">
        <f>'Monthly Data'!AE45</f>
        <v>0</v>
      </c>
      <c r="J45" s="30">
        <f>'Monthly Data'!AF45</f>
        <v>0</v>
      </c>
      <c r="K45" s="30">
        <f>'Monthly Data'!AG45</f>
        <v>0</v>
      </c>
      <c r="M45" s="23">
        <f>'GS &lt; 50 OLS Model'!$B$5</f>
        <v>-4820550.2123392904</v>
      </c>
      <c r="N45" s="23">
        <f>'GS &lt; 50 OLS Model'!$B$6*D45</f>
        <v>23534.364117056561</v>
      </c>
      <c r="O45" s="23">
        <f>'GS &lt; 50 OLS Model'!$B$7*E45</f>
        <v>1325719.803449943</v>
      </c>
      <c r="P45" s="23">
        <f>'GS &lt; 50 OLS Model'!$B$8*F45</f>
        <v>-323079.50279506529</v>
      </c>
      <c r="Q45" s="23">
        <f>'GS &lt; 50 OLS Model'!$B$9*G45</f>
        <v>11253001.363410613</v>
      </c>
      <c r="R45" s="23">
        <f>'GS &lt; 50 OLS Model'!$B$10*H45</f>
        <v>0</v>
      </c>
      <c r="S45" s="23">
        <f>'GS &lt; 50 OLS Model'!$B$11*I45</f>
        <v>0</v>
      </c>
      <c r="T45" s="23">
        <f>'GS &lt; 50 OLS Model'!$B$12*J45</f>
        <v>0</v>
      </c>
      <c r="U45" s="23">
        <f>'GS &lt; 50 OLS Model'!$B$13*K45</f>
        <v>0</v>
      </c>
      <c r="V45" s="23">
        <f t="shared" si="2"/>
        <v>7458625.8158432562</v>
      </c>
      <c r="W45" s="13">
        <f t="shared" si="3"/>
        <v>2.8011260320119274E-2</v>
      </c>
      <c r="X45" s="13">
        <f t="shared" si="4"/>
        <v>-2.8011260320119274E-2</v>
      </c>
    </row>
    <row r="46" spans="1:24" x14ac:dyDescent="0.25">
      <c r="A46" s="11">
        <f>'Monthly Data'!A46</f>
        <v>41153</v>
      </c>
      <c r="B46" s="6">
        <f t="shared" si="1"/>
        <v>2012</v>
      </c>
      <c r="C46">
        <f>'Monthly Data'!E46</f>
        <v>6803174.4414999997</v>
      </c>
      <c r="D46">
        <f>'Monthly Data'!M46</f>
        <v>106.30000000000003</v>
      </c>
      <c r="E46">
        <f>'Monthly Data'!N46</f>
        <v>20.200000000000003</v>
      </c>
      <c r="F46" s="30">
        <f>'Monthly Data'!S46</f>
        <v>45</v>
      </c>
      <c r="G46" s="30">
        <f>'Monthly Data'!U46</f>
        <v>3166</v>
      </c>
      <c r="H46" s="30">
        <f>'Monthly Data'!Y46</f>
        <v>0</v>
      </c>
      <c r="I46" s="30">
        <f>'Monthly Data'!AE46</f>
        <v>1</v>
      </c>
      <c r="J46" s="30">
        <f>'Monthly Data'!AF46</f>
        <v>0</v>
      </c>
      <c r="K46" s="30">
        <f>'Monthly Data'!AG46</f>
        <v>0</v>
      </c>
      <c r="M46" s="23">
        <f>'GS &lt; 50 OLS Model'!$B$5</f>
        <v>-4820550.2123392904</v>
      </c>
      <c r="N46" s="23">
        <f>'GS &lt; 50 OLS Model'!$B$6*D46</f>
        <v>342699.02817028941</v>
      </c>
      <c r="O46" s="23">
        <f>'GS &lt; 50 OLS Model'!$B$7*E46</f>
        <v>307104.81685423001</v>
      </c>
      <c r="P46" s="23">
        <f>'GS &lt; 50 OLS Model'!$B$8*F46</f>
        <v>-330422.2187676804</v>
      </c>
      <c r="Q46" s="23">
        <f>'GS &lt; 50 OLS Model'!$B$9*G46</f>
        <v>11154352.635115216</v>
      </c>
      <c r="R46" s="23">
        <f>'GS &lt; 50 OLS Model'!$B$10*H46</f>
        <v>0</v>
      </c>
      <c r="S46" s="23">
        <f>'GS &lt; 50 OLS Model'!$B$11*I46</f>
        <v>-173591.250541696</v>
      </c>
      <c r="T46" s="23">
        <f>'GS &lt; 50 OLS Model'!$B$12*J46</f>
        <v>0</v>
      </c>
      <c r="U46" s="23">
        <f>'GS &lt; 50 OLS Model'!$B$13*K46</f>
        <v>0</v>
      </c>
      <c r="V46" s="23">
        <f t="shared" si="2"/>
        <v>6479592.7984910682</v>
      </c>
      <c r="W46" s="13">
        <f t="shared" si="3"/>
        <v>4.7563331763926749E-2</v>
      </c>
      <c r="X46" s="13">
        <f t="shared" si="4"/>
        <v>-4.7563331763926749E-2</v>
      </c>
    </row>
    <row r="47" spans="1:24" x14ac:dyDescent="0.25">
      <c r="A47" s="11">
        <f>'Monthly Data'!A47</f>
        <v>41183</v>
      </c>
      <c r="B47" s="6">
        <f t="shared" si="1"/>
        <v>2012</v>
      </c>
      <c r="C47">
        <f>'Monthly Data'!E47</f>
        <v>6614485.8804000001</v>
      </c>
      <c r="D47">
        <f>'Monthly Data'!M47</f>
        <v>259.09999999999991</v>
      </c>
      <c r="E47">
        <f>'Monthly Data'!N47</f>
        <v>0</v>
      </c>
      <c r="F47" s="30">
        <f>'Monthly Data'!S47</f>
        <v>46</v>
      </c>
      <c r="G47" s="30">
        <f>'Monthly Data'!U47</f>
        <v>3163</v>
      </c>
      <c r="H47" s="30">
        <f>'Monthly Data'!Y47</f>
        <v>0</v>
      </c>
      <c r="I47" s="30">
        <f>'Monthly Data'!AE47</f>
        <v>1</v>
      </c>
      <c r="J47" s="30">
        <f>'Monthly Data'!AF47</f>
        <v>0</v>
      </c>
      <c r="K47" s="30">
        <f>'Monthly Data'!AG47</f>
        <v>0</v>
      </c>
      <c r="M47" s="23">
        <f>'GS &lt; 50 OLS Model'!$B$5</f>
        <v>-4820550.2123392904</v>
      </c>
      <c r="N47" s="23">
        <f>'GS &lt; 50 OLS Model'!$B$6*D47</f>
        <v>835308.73188073316</v>
      </c>
      <c r="O47" s="23">
        <f>'GS &lt; 50 OLS Model'!$B$7*E47</f>
        <v>0</v>
      </c>
      <c r="P47" s="23">
        <f>'GS &lt; 50 OLS Model'!$B$8*F47</f>
        <v>-337764.93474029552</v>
      </c>
      <c r="Q47" s="23">
        <f>'GS &lt; 50 OLS Model'!$B$9*G47</f>
        <v>11143783.128512137</v>
      </c>
      <c r="R47" s="23">
        <f>'GS &lt; 50 OLS Model'!$B$10*H47</f>
        <v>0</v>
      </c>
      <c r="S47" s="23">
        <f>'GS &lt; 50 OLS Model'!$B$11*I47</f>
        <v>-173591.250541696</v>
      </c>
      <c r="T47" s="23">
        <f>'GS &lt; 50 OLS Model'!$B$12*J47</f>
        <v>0</v>
      </c>
      <c r="U47" s="23">
        <f>'GS &lt; 50 OLS Model'!$B$13*K47</f>
        <v>0</v>
      </c>
      <c r="V47" s="23">
        <f t="shared" si="2"/>
        <v>6647185.462771588</v>
      </c>
      <c r="W47" s="13">
        <f t="shared" si="3"/>
        <v>4.9436317444539486E-3</v>
      </c>
      <c r="X47" s="13">
        <f t="shared" si="4"/>
        <v>4.9436317444539486E-3</v>
      </c>
    </row>
    <row r="48" spans="1:24" x14ac:dyDescent="0.25">
      <c r="A48" s="11">
        <f>'Monthly Data'!A48</f>
        <v>41214</v>
      </c>
      <c r="B48" s="6">
        <f t="shared" si="1"/>
        <v>2012</v>
      </c>
      <c r="C48">
        <f>'Monthly Data'!E48</f>
        <v>7233949.3405999998</v>
      </c>
      <c r="D48">
        <f>'Monthly Data'!M48</f>
        <v>498.9</v>
      </c>
      <c r="E48">
        <f>'Monthly Data'!N48</f>
        <v>0</v>
      </c>
      <c r="F48" s="30">
        <f>'Monthly Data'!S48</f>
        <v>47</v>
      </c>
      <c r="G48" s="30">
        <f>'Monthly Data'!U48</f>
        <v>3177</v>
      </c>
      <c r="H48" s="30">
        <f>'Monthly Data'!Y48</f>
        <v>0</v>
      </c>
      <c r="I48" s="30">
        <f>'Monthly Data'!AE48</f>
        <v>1</v>
      </c>
      <c r="J48" s="30">
        <f>'Monthly Data'!AF48</f>
        <v>0</v>
      </c>
      <c r="K48" s="30">
        <f>'Monthly Data'!AG48</f>
        <v>0</v>
      </c>
      <c r="M48" s="23">
        <f>'GS &lt; 50 OLS Model'!$B$5</f>
        <v>-4820550.2123392904</v>
      </c>
      <c r="N48" s="23">
        <f>'GS &lt; 50 OLS Model'!$B$6*D48</f>
        <v>1608396.4736985639</v>
      </c>
      <c r="O48" s="23">
        <f>'GS &lt; 50 OLS Model'!$B$7*E48</f>
        <v>0</v>
      </c>
      <c r="P48" s="23">
        <f>'GS &lt; 50 OLS Model'!$B$8*F48</f>
        <v>-345107.65071291063</v>
      </c>
      <c r="Q48" s="23">
        <f>'GS &lt; 50 OLS Model'!$B$9*G48</f>
        <v>11193107.492659835</v>
      </c>
      <c r="R48" s="23">
        <f>'GS &lt; 50 OLS Model'!$B$10*H48</f>
        <v>0</v>
      </c>
      <c r="S48" s="23">
        <f>'GS &lt; 50 OLS Model'!$B$11*I48</f>
        <v>-173591.250541696</v>
      </c>
      <c r="T48" s="23">
        <f>'GS &lt; 50 OLS Model'!$B$12*J48</f>
        <v>0</v>
      </c>
      <c r="U48" s="23">
        <f>'GS &lt; 50 OLS Model'!$B$13*K48</f>
        <v>0</v>
      </c>
      <c r="V48" s="23">
        <f t="shared" si="2"/>
        <v>7462254.8527645022</v>
      </c>
      <c r="W48" s="13">
        <f t="shared" si="3"/>
        <v>3.1560286285550104E-2</v>
      </c>
      <c r="X48" s="13">
        <f t="shared" si="4"/>
        <v>3.1560286285550104E-2</v>
      </c>
    </row>
    <row r="49" spans="1:24" x14ac:dyDescent="0.25">
      <c r="A49" s="11">
        <f>'Monthly Data'!A49</f>
        <v>41244</v>
      </c>
      <c r="B49" s="6">
        <f t="shared" si="1"/>
        <v>2012</v>
      </c>
      <c r="C49">
        <f>'Monthly Data'!E49</f>
        <v>7883569.6208999995</v>
      </c>
      <c r="D49">
        <f>'Monthly Data'!M49</f>
        <v>648.19999999999993</v>
      </c>
      <c r="E49">
        <f>'Monthly Data'!N49</f>
        <v>0</v>
      </c>
      <c r="F49" s="30">
        <f>'Monthly Data'!S49</f>
        <v>48</v>
      </c>
      <c r="G49" s="30">
        <f>'Monthly Data'!U49</f>
        <v>3180</v>
      </c>
      <c r="H49" s="30">
        <f>'Monthly Data'!Y49</f>
        <v>0</v>
      </c>
      <c r="I49" s="30">
        <f>'Monthly Data'!AE49</f>
        <v>0</v>
      </c>
      <c r="J49" s="30">
        <f>'Monthly Data'!AF49</f>
        <v>0</v>
      </c>
      <c r="K49" s="30">
        <f>'Monthly Data'!AG49</f>
        <v>0</v>
      </c>
      <c r="M49" s="23">
        <f>'GS &lt; 50 OLS Model'!$B$5</f>
        <v>-4820550.2123392904</v>
      </c>
      <c r="N49" s="23">
        <f>'GS &lt; 50 OLS Model'!$B$6*D49</f>
        <v>2089722.5781748027</v>
      </c>
      <c r="O49" s="23">
        <f>'GS &lt; 50 OLS Model'!$B$7*E49</f>
        <v>0</v>
      </c>
      <c r="P49" s="23">
        <f>'GS &lt; 50 OLS Model'!$B$8*F49</f>
        <v>-352450.36668552575</v>
      </c>
      <c r="Q49" s="23">
        <f>'GS &lt; 50 OLS Model'!$B$9*G49</f>
        <v>11203676.999262914</v>
      </c>
      <c r="R49" s="23">
        <f>'GS &lt; 50 OLS Model'!$B$10*H49</f>
        <v>0</v>
      </c>
      <c r="S49" s="23">
        <f>'GS &lt; 50 OLS Model'!$B$11*I49</f>
        <v>0</v>
      </c>
      <c r="T49" s="23">
        <f>'GS &lt; 50 OLS Model'!$B$12*J49</f>
        <v>0</v>
      </c>
      <c r="U49" s="23">
        <f>'GS &lt; 50 OLS Model'!$B$13*K49</f>
        <v>0</v>
      </c>
      <c r="V49" s="23">
        <f t="shared" si="2"/>
        <v>8120398.9984129006</v>
      </c>
      <c r="W49" s="13">
        <f t="shared" si="3"/>
        <v>3.0040881085777019E-2</v>
      </c>
      <c r="X49" s="13">
        <f t="shared" si="4"/>
        <v>3.0040881085777019E-2</v>
      </c>
    </row>
    <row r="50" spans="1:24" x14ac:dyDescent="0.25">
      <c r="A50" s="11">
        <f>'Monthly Data'!A50</f>
        <v>41275</v>
      </c>
      <c r="B50" s="6">
        <f t="shared" si="1"/>
        <v>2013</v>
      </c>
      <c r="C50">
        <f>'Monthly Data'!E50</f>
        <v>8494433.2956000008</v>
      </c>
      <c r="D50">
        <f>'Monthly Data'!M50</f>
        <v>743.9</v>
      </c>
      <c r="E50">
        <f>'Monthly Data'!N50</f>
        <v>0</v>
      </c>
      <c r="F50" s="30">
        <f>'Monthly Data'!S50</f>
        <v>49</v>
      </c>
      <c r="G50" s="30">
        <f>'Monthly Data'!U50</f>
        <v>3175</v>
      </c>
      <c r="H50" s="30">
        <f>'Monthly Data'!Y50</f>
        <v>0</v>
      </c>
      <c r="I50" s="30">
        <f>'Monthly Data'!AE50</f>
        <v>0</v>
      </c>
      <c r="J50" s="30">
        <f>'Monthly Data'!AF50</f>
        <v>0</v>
      </c>
      <c r="K50" s="30">
        <f>'Monthly Data'!AG50</f>
        <v>0</v>
      </c>
      <c r="M50" s="23">
        <f>'GS &lt; 50 OLS Model'!$B$5</f>
        <v>-4820550.2123392904</v>
      </c>
      <c r="N50" s="23">
        <f>'GS &lt; 50 OLS Model'!$B$6*D50</f>
        <v>2398248.4200929278</v>
      </c>
      <c r="O50" s="23">
        <f>'GS &lt; 50 OLS Model'!$B$7*E50</f>
        <v>0</v>
      </c>
      <c r="P50" s="23">
        <f>'GS &lt; 50 OLS Model'!$B$8*F50</f>
        <v>-359793.08265814092</v>
      </c>
      <c r="Q50" s="23">
        <f>'GS &lt; 50 OLS Model'!$B$9*G50</f>
        <v>11186061.15492445</v>
      </c>
      <c r="R50" s="23">
        <f>'GS &lt; 50 OLS Model'!$B$10*H50</f>
        <v>0</v>
      </c>
      <c r="S50" s="23">
        <f>'GS &lt; 50 OLS Model'!$B$11*I50</f>
        <v>0</v>
      </c>
      <c r="T50" s="23">
        <f>'GS &lt; 50 OLS Model'!$B$12*J50</f>
        <v>0</v>
      </c>
      <c r="U50" s="23">
        <f>'GS &lt; 50 OLS Model'!$B$13*K50</f>
        <v>0</v>
      </c>
      <c r="V50" s="23">
        <f t="shared" si="2"/>
        <v>8403966.2800199464</v>
      </c>
      <c r="W50" s="13">
        <f t="shared" si="3"/>
        <v>1.0650153156999307E-2</v>
      </c>
      <c r="X50" s="13">
        <f t="shared" si="4"/>
        <v>-1.0650153156999307E-2</v>
      </c>
    </row>
    <row r="51" spans="1:24" x14ac:dyDescent="0.25">
      <c r="A51" s="11">
        <f>'Monthly Data'!A51</f>
        <v>41306</v>
      </c>
      <c r="B51" s="6">
        <f t="shared" si="1"/>
        <v>2013</v>
      </c>
      <c r="C51">
        <f>'Monthly Data'!E51</f>
        <v>7732556.6048999997</v>
      </c>
      <c r="D51">
        <f>'Monthly Data'!M51</f>
        <v>693.5</v>
      </c>
      <c r="E51">
        <f>'Monthly Data'!N51</f>
        <v>0</v>
      </c>
      <c r="F51" s="30">
        <f>'Monthly Data'!S51</f>
        <v>50</v>
      </c>
      <c r="G51" s="30">
        <f>'Monthly Data'!U51</f>
        <v>3183</v>
      </c>
      <c r="H51" s="30">
        <f>'Monthly Data'!Y51</f>
        <v>0</v>
      </c>
      <c r="I51" s="30">
        <f>'Monthly Data'!AE51</f>
        <v>0</v>
      </c>
      <c r="J51" s="30">
        <f>'Monthly Data'!AF51</f>
        <v>1</v>
      </c>
      <c r="K51" s="30">
        <f>'Monthly Data'!AG51</f>
        <v>0</v>
      </c>
      <c r="M51" s="23">
        <f>'GS &lt; 50 OLS Model'!$B$5</f>
        <v>-4820550.2123392904</v>
      </c>
      <c r="N51" s="23">
        <f>'GS &lt; 50 OLS Model'!$B$6*D51</f>
        <v>2235764.591120373</v>
      </c>
      <c r="O51" s="23">
        <f>'GS &lt; 50 OLS Model'!$B$7*E51</f>
        <v>0</v>
      </c>
      <c r="P51" s="23">
        <f>'GS &lt; 50 OLS Model'!$B$8*F51</f>
        <v>-367135.79863075603</v>
      </c>
      <c r="Q51" s="23">
        <f>'GS &lt; 50 OLS Model'!$B$9*G51</f>
        <v>11214246.505865991</v>
      </c>
      <c r="R51" s="23">
        <f>'GS &lt; 50 OLS Model'!$B$10*H51</f>
        <v>0</v>
      </c>
      <c r="S51" s="23">
        <f>'GS &lt; 50 OLS Model'!$B$11*I51</f>
        <v>0</v>
      </c>
      <c r="T51" s="23">
        <f>'GS &lt; 50 OLS Model'!$B$12*J51</f>
        <v>-323195.56340474403</v>
      </c>
      <c r="U51" s="23">
        <f>'GS &lt; 50 OLS Model'!$B$13*K51</f>
        <v>0</v>
      </c>
      <c r="V51" s="23">
        <f t="shared" si="2"/>
        <v>7939129.5226115733</v>
      </c>
      <c r="W51" s="13">
        <f t="shared" si="3"/>
        <v>2.6714698419494483E-2</v>
      </c>
      <c r="X51" s="13">
        <f t="shared" si="4"/>
        <v>2.6714698419494483E-2</v>
      </c>
    </row>
    <row r="52" spans="1:24" x14ac:dyDescent="0.25">
      <c r="A52" s="11">
        <f>'Monthly Data'!A52</f>
        <v>41334</v>
      </c>
      <c r="B52" s="6">
        <f t="shared" si="1"/>
        <v>2013</v>
      </c>
      <c r="C52">
        <f>'Monthly Data'!E52</f>
        <v>7818446.9395999992</v>
      </c>
      <c r="D52">
        <f>'Monthly Data'!M52</f>
        <v>588.30000000000018</v>
      </c>
      <c r="E52">
        <f>'Monthly Data'!N52</f>
        <v>0</v>
      </c>
      <c r="F52" s="30">
        <f>'Monthly Data'!S52</f>
        <v>51</v>
      </c>
      <c r="G52" s="30">
        <f>'Monthly Data'!U52</f>
        <v>3179</v>
      </c>
      <c r="H52" s="30">
        <f>'Monthly Data'!Y52</f>
        <v>0</v>
      </c>
      <c r="I52" s="30">
        <f>'Monthly Data'!AE52</f>
        <v>0</v>
      </c>
      <c r="J52" s="30">
        <f>'Monthly Data'!AF52</f>
        <v>0</v>
      </c>
      <c r="K52" s="30">
        <f>'Monthly Data'!AG52</f>
        <v>0</v>
      </c>
      <c r="M52" s="23">
        <f>'GS &lt; 50 OLS Model'!$B$5</f>
        <v>-4820550.2123392904</v>
      </c>
      <c r="N52" s="23">
        <f>'GS &lt; 50 OLS Model'!$B$6*D52</f>
        <v>1896611.8369951204</v>
      </c>
      <c r="O52" s="23">
        <f>'GS &lt; 50 OLS Model'!$B$7*E52</f>
        <v>0</v>
      </c>
      <c r="P52" s="23">
        <f>'GS &lt; 50 OLS Model'!$B$8*F52</f>
        <v>-374478.51460337115</v>
      </c>
      <c r="Q52" s="23">
        <f>'GS &lt; 50 OLS Model'!$B$9*G52</f>
        <v>11200153.830395222</v>
      </c>
      <c r="R52" s="23">
        <f>'GS &lt; 50 OLS Model'!$B$10*H52</f>
        <v>0</v>
      </c>
      <c r="S52" s="23">
        <f>'GS &lt; 50 OLS Model'!$B$11*I52</f>
        <v>0</v>
      </c>
      <c r="T52" s="23">
        <f>'GS &lt; 50 OLS Model'!$B$12*J52</f>
        <v>0</v>
      </c>
      <c r="U52" s="23">
        <f>'GS &lt; 50 OLS Model'!$B$13*K52</f>
        <v>0</v>
      </c>
      <c r="V52" s="23">
        <f t="shared" si="2"/>
        <v>7901736.9404476807</v>
      </c>
      <c r="W52" s="13">
        <f t="shared" si="3"/>
        <v>1.0653010948481622E-2</v>
      </c>
      <c r="X52" s="13">
        <f t="shared" si="4"/>
        <v>1.0653010948481622E-2</v>
      </c>
    </row>
    <row r="53" spans="1:24" x14ac:dyDescent="0.25">
      <c r="A53" s="11">
        <f>'Monthly Data'!A53</f>
        <v>41365</v>
      </c>
      <c r="B53" s="6">
        <f t="shared" si="1"/>
        <v>2013</v>
      </c>
      <c r="C53">
        <f>'Monthly Data'!E53</f>
        <v>6860921.9294999996</v>
      </c>
      <c r="D53">
        <f>'Monthly Data'!M53</f>
        <v>386.99999999999989</v>
      </c>
      <c r="E53">
        <f>'Monthly Data'!N53</f>
        <v>0</v>
      </c>
      <c r="F53" s="30">
        <f>'Monthly Data'!S53</f>
        <v>52</v>
      </c>
      <c r="G53" s="30">
        <f>'Monthly Data'!U53</f>
        <v>3182</v>
      </c>
      <c r="H53" s="30">
        <f>'Monthly Data'!Y53</f>
        <v>0</v>
      </c>
      <c r="I53" s="30">
        <f>'Monthly Data'!AE53</f>
        <v>0</v>
      </c>
      <c r="J53" s="30">
        <f>'Monthly Data'!AF53</f>
        <v>0</v>
      </c>
      <c r="K53" s="30">
        <f>'Monthly Data'!AG53</f>
        <v>1</v>
      </c>
      <c r="M53" s="23">
        <f>'GS &lt; 50 OLS Model'!$B$5</f>
        <v>-4820550.2123392904</v>
      </c>
      <c r="N53" s="23">
        <f>'GS &lt; 50 OLS Model'!$B$6*D53</f>
        <v>1247643.6867535461</v>
      </c>
      <c r="O53" s="23">
        <f>'GS &lt; 50 OLS Model'!$B$7*E53</f>
        <v>0</v>
      </c>
      <c r="P53" s="23">
        <f>'GS &lt; 50 OLS Model'!$B$8*F53</f>
        <v>-381821.23057598626</v>
      </c>
      <c r="Q53" s="23">
        <f>'GS &lt; 50 OLS Model'!$B$9*G53</f>
        <v>11210723.336998299</v>
      </c>
      <c r="R53" s="23">
        <f>'GS &lt; 50 OLS Model'!$B$10*H53</f>
        <v>0</v>
      </c>
      <c r="S53" s="23">
        <f>'GS &lt; 50 OLS Model'!$B$11*I53</f>
        <v>0</v>
      </c>
      <c r="T53" s="23">
        <f>'GS &lt; 50 OLS Model'!$B$12*J53</f>
        <v>0</v>
      </c>
      <c r="U53" s="23">
        <f>'GS &lt; 50 OLS Model'!$B$13*K53</f>
        <v>-425159.68663676298</v>
      </c>
      <c r="V53" s="23">
        <f t="shared" si="2"/>
        <v>6830835.8941998053</v>
      </c>
      <c r="W53" s="13">
        <f t="shared" si="3"/>
        <v>4.3851301048672409E-3</v>
      </c>
      <c r="X53" s="13">
        <f t="shared" si="4"/>
        <v>-4.3851301048672409E-3</v>
      </c>
    </row>
    <row r="54" spans="1:24" x14ac:dyDescent="0.25">
      <c r="A54" s="11">
        <f>'Monthly Data'!A54</f>
        <v>41395</v>
      </c>
      <c r="B54" s="6">
        <f t="shared" si="1"/>
        <v>2013</v>
      </c>
      <c r="C54">
        <f>'Monthly Data'!E54</f>
        <v>6349928.6646999987</v>
      </c>
      <c r="D54">
        <f>'Monthly Data'!M54</f>
        <v>139.70000000000002</v>
      </c>
      <c r="E54">
        <f>'Monthly Data'!N54</f>
        <v>6.3</v>
      </c>
      <c r="F54" s="30">
        <f>'Monthly Data'!S54</f>
        <v>53</v>
      </c>
      <c r="G54" s="30">
        <f>'Monthly Data'!U54</f>
        <v>3169</v>
      </c>
      <c r="H54" s="30">
        <f>'Monthly Data'!Y54</f>
        <v>0</v>
      </c>
      <c r="I54" s="30">
        <f>'Monthly Data'!AE54</f>
        <v>0</v>
      </c>
      <c r="J54" s="30">
        <f>'Monthly Data'!AF54</f>
        <v>0</v>
      </c>
      <c r="K54" s="30">
        <f>'Monthly Data'!AG54</f>
        <v>0</v>
      </c>
      <c r="M54" s="23">
        <f>'GS &lt; 50 OLS Model'!$B$5</f>
        <v>-4820550.2123392904</v>
      </c>
      <c r="N54" s="23">
        <f>'GS &lt; 50 OLS Model'!$B$6*D54</f>
        <v>450376.8037195619</v>
      </c>
      <c r="O54" s="23">
        <f>'GS &lt; 50 OLS Model'!$B$7*E54</f>
        <v>95780.215157507366</v>
      </c>
      <c r="P54" s="23">
        <f>'GS &lt; 50 OLS Model'!$B$8*F54</f>
        <v>-389163.94654860138</v>
      </c>
      <c r="Q54" s="23">
        <f>'GS &lt; 50 OLS Model'!$B$9*G54</f>
        <v>11164922.141718293</v>
      </c>
      <c r="R54" s="23">
        <f>'GS &lt; 50 OLS Model'!$B$10*H54</f>
        <v>0</v>
      </c>
      <c r="S54" s="23">
        <f>'GS &lt; 50 OLS Model'!$B$11*I54</f>
        <v>0</v>
      </c>
      <c r="T54" s="23">
        <f>'GS &lt; 50 OLS Model'!$B$12*J54</f>
        <v>0</v>
      </c>
      <c r="U54" s="23">
        <f>'GS &lt; 50 OLS Model'!$B$13*K54</f>
        <v>0</v>
      </c>
      <c r="V54" s="23">
        <f t="shared" si="2"/>
        <v>6501365.0017074691</v>
      </c>
      <c r="W54" s="13">
        <f t="shared" si="3"/>
        <v>2.3848509960328036E-2</v>
      </c>
      <c r="X54" s="13">
        <f t="shared" si="4"/>
        <v>2.3848509960328036E-2</v>
      </c>
    </row>
    <row r="55" spans="1:24" x14ac:dyDescent="0.25">
      <c r="A55" s="11">
        <f>'Monthly Data'!A55</f>
        <v>41426</v>
      </c>
      <c r="B55" s="6">
        <f t="shared" si="1"/>
        <v>2013</v>
      </c>
      <c r="C55">
        <f>'Monthly Data'!E55</f>
        <v>6492686.1686000004</v>
      </c>
      <c r="D55">
        <f>'Monthly Data'!M55</f>
        <v>72.200000000000017</v>
      </c>
      <c r="E55">
        <f>'Monthly Data'!N55</f>
        <v>30.800000000000004</v>
      </c>
      <c r="F55" s="30">
        <f>'Monthly Data'!S55</f>
        <v>54</v>
      </c>
      <c r="G55" s="30">
        <f>'Monthly Data'!U55</f>
        <v>3174</v>
      </c>
      <c r="H55" s="30">
        <f>'Monthly Data'!Y55</f>
        <v>0</v>
      </c>
      <c r="I55" s="30">
        <f>'Monthly Data'!AE55</f>
        <v>0</v>
      </c>
      <c r="J55" s="30">
        <f>'Monthly Data'!AF55</f>
        <v>0</v>
      </c>
      <c r="K55" s="30">
        <f>'Monthly Data'!AG55</f>
        <v>0</v>
      </c>
      <c r="M55" s="23">
        <f>'GS &lt; 50 OLS Model'!$B$5</f>
        <v>-4820550.2123392904</v>
      </c>
      <c r="N55" s="23">
        <f>'GS &lt; 50 OLS Model'!$B$6*D55</f>
        <v>232764.5327741759</v>
      </c>
      <c r="O55" s="23">
        <f>'GS &lt; 50 OLS Model'!$B$7*E55</f>
        <v>468258.82965892495</v>
      </c>
      <c r="P55" s="23">
        <f>'GS &lt; 50 OLS Model'!$B$8*F55</f>
        <v>-396506.66252121649</v>
      </c>
      <c r="Q55" s="23">
        <f>'GS &lt; 50 OLS Model'!$B$9*G55</f>
        <v>11182537.986056758</v>
      </c>
      <c r="R55" s="23">
        <f>'GS &lt; 50 OLS Model'!$B$10*H55</f>
        <v>0</v>
      </c>
      <c r="S55" s="23">
        <f>'GS &lt; 50 OLS Model'!$B$11*I55</f>
        <v>0</v>
      </c>
      <c r="T55" s="23">
        <f>'GS &lt; 50 OLS Model'!$B$12*J55</f>
        <v>0</v>
      </c>
      <c r="U55" s="23">
        <f>'GS &lt; 50 OLS Model'!$B$13*K55</f>
        <v>0</v>
      </c>
      <c r="V55" s="23">
        <f t="shared" si="2"/>
        <v>6666504.4736293517</v>
      </c>
      <c r="W55" s="13">
        <f t="shared" si="3"/>
        <v>2.6771401006562313E-2</v>
      </c>
      <c r="X55" s="13">
        <f t="shared" si="4"/>
        <v>2.6771401006562313E-2</v>
      </c>
    </row>
    <row r="56" spans="1:24" x14ac:dyDescent="0.25">
      <c r="A56" s="11">
        <f>'Monthly Data'!A56</f>
        <v>41456</v>
      </c>
      <c r="B56" s="6">
        <f t="shared" si="1"/>
        <v>2013</v>
      </c>
      <c r="C56">
        <f>'Monthly Data'!E56</f>
        <v>7411287.6236999994</v>
      </c>
      <c r="D56">
        <f>'Monthly Data'!M56</f>
        <v>4.8</v>
      </c>
      <c r="E56">
        <f>'Monthly Data'!N56</f>
        <v>97.09999999999998</v>
      </c>
      <c r="F56" s="30">
        <f>'Monthly Data'!S56</f>
        <v>55</v>
      </c>
      <c r="G56" s="30">
        <f>'Monthly Data'!U56</f>
        <v>3174</v>
      </c>
      <c r="H56" s="30">
        <f>'Monthly Data'!Y56</f>
        <v>0</v>
      </c>
      <c r="I56" s="30">
        <f>'Monthly Data'!AE56</f>
        <v>0</v>
      </c>
      <c r="J56" s="30">
        <f>'Monthly Data'!AF56</f>
        <v>0</v>
      </c>
      <c r="K56" s="30">
        <f>'Monthly Data'!AG56</f>
        <v>0</v>
      </c>
      <c r="M56" s="23">
        <f>'GS &lt; 50 OLS Model'!$B$5</f>
        <v>-4820550.2123392904</v>
      </c>
      <c r="N56" s="23">
        <f>'GS &lt; 50 OLS Model'!$B$6*D56</f>
        <v>15474.65037833856</v>
      </c>
      <c r="O56" s="23">
        <f>'GS &lt; 50 OLS Model'!$B$7*E56</f>
        <v>1476231.5701260259</v>
      </c>
      <c r="P56" s="23">
        <f>'GS &lt; 50 OLS Model'!$B$8*F56</f>
        <v>-403849.37849383161</v>
      </c>
      <c r="Q56" s="23">
        <f>'GS &lt; 50 OLS Model'!$B$9*G56</f>
        <v>11182537.986056758</v>
      </c>
      <c r="R56" s="23">
        <f>'GS &lt; 50 OLS Model'!$B$10*H56</f>
        <v>0</v>
      </c>
      <c r="S56" s="23">
        <f>'GS &lt; 50 OLS Model'!$B$11*I56</f>
        <v>0</v>
      </c>
      <c r="T56" s="23">
        <f>'GS &lt; 50 OLS Model'!$B$12*J56</f>
        <v>0</v>
      </c>
      <c r="U56" s="23">
        <f>'GS &lt; 50 OLS Model'!$B$13*K56</f>
        <v>0</v>
      </c>
      <c r="V56" s="23">
        <f t="shared" si="2"/>
        <v>7449844.6157280011</v>
      </c>
      <c r="W56" s="13">
        <f t="shared" si="3"/>
        <v>5.2024687187558595E-3</v>
      </c>
      <c r="X56" s="13">
        <f t="shared" si="4"/>
        <v>5.2024687187558595E-3</v>
      </c>
    </row>
    <row r="57" spans="1:24" x14ac:dyDescent="0.25">
      <c r="A57" s="11">
        <f>'Monthly Data'!A57</f>
        <v>41487</v>
      </c>
      <c r="B57" s="6">
        <f t="shared" si="1"/>
        <v>2013</v>
      </c>
      <c r="C57">
        <f>'Monthly Data'!E57</f>
        <v>7080591.3404999999</v>
      </c>
      <c r="D57">
        <f>'Monthly Data'!M57</f>
        <v>7.7</v>
      </c>
      <c r="E57">
        <f>'Monthly Data'!N57</f>
        <v>59.999999999999993</v>
      </c>
      <c r="F57" s="30">
        <f>'Monthly Data'!S57</f>
        <v>56</v>
      </c>
      <c r="G57" s="30">
        <f>'Monthly Data'!U57</f>
        <v>3170</v>
      </c>
      <c r="H57" s="30">
        <f>'Monthly Data'!Y57</f>
        <v>0</v>
      </c>
      <c r="I57" s="30">
        <f>'Monthly Data'!AE57</f>
        <v>0</v>
      </c>
      <c r="J57" s="30">
        <f>'Monthly Data'!AF57</f>
        <v>0</v>
      </c>
      <c r="K57" s="30">
        <f>'Monthly Data'!AG57</f>
        <v>0</v>
      </c>
      <c r="M57" s="23">
        <f>'GS &lt; 50 OLS Model'!$B$5</f>
        <v>-4820550.2123392904</v>
      </c>
      <c r="N57" s="23">
        <f>'GS &lt; 50 OLS Model'!$B$6*D57</f>
        <v>24823.918315251442</v>
      </c>
      <c r="O57" s="23">
        <f>'GS &lt; 50 OLS Model'!$B$7*E57</f>
        <v>912192.52530959388</v>
      </c>
      <c r="P57" s="23">
        <f>'GS &lt; 50 OLS Model'!$B$8*F57</f>
        <v>-411192.09446644672</v>
      </c>
      <c r="Q57" s="23">
        <f>'GS &lt; 50 OLS Model'!$B$9*G57</f>
        <v>11168445.310585987</v>
      </c>
      <c r="R57" s="23">
        <f>'GS &lt; 50 OLS Model'!$B$10*H57</f>
        <v>0</v>
      </c>
      <c r="S57" s="23">
        <f>'GS &lt; 50 OLS Model'!$B$11*I57</f>
        <v>0</v>
      </c>
      <c r="T57" s="23">
        <f>'GS &lt; 50 OLS Model'!$B$12*J57</f>
        <v>0</v>
      </c>
      <c r="U57" s="23">
        <f>'GS &lt; 50 OLS Model'!$B$13*K57</f>
        <v>0</v>
      </c>
      <c r="V57" s="23">
        <f t="shared" si="2"/>
        <v>6873719.4474050952</v>
      </c>
      <c r="W57" s="13">
        <f t="shared" si="3"/>
        <v>2.9216753678697173E-2</v>
      </c>
      <c r="X57" s="13">
        <f t="shared" si="4"/>
        <v>-2.9216753678697173E-2</v>
      </c>
    </row>
    <row r="58" spans="1:24" x14ac:dyDescent="0.25">
      <c r="A58" s="11">
        <f>'Monthly Data'!A58</f>
        <v>41518</v>
      </c>
      <c r="B58" s="6">
        <f t="shared" si="1"/>
        <v>2013</v>
      </c>
      <c r="C58">
        <f>'Monthly Data'!E58</f>
        <v>6427748.052699999</v>
      </c>
      <c r="D58">
        <f>'Monthly Data'!M58</f>
        <v>118.4</v>
      </c>
      <c r="E58">
        <f>'Monthly Data'!N58</f>
        <v>16.5</v>
      </c>
      <c r="F58" s="30">
        <f>'Monthly Data'!S58</f>
        <v>57</v>
      </c>
      <c r="G58" s="30">
        <f>'Monthly Data'!U58</f>
        <v>3166</v>
      </c>
      <c r="H58" s="30">
        <f>'Monthly Data'!Y58</f>
        <v>0</v>
      </c>
      <c r="I58" s="30">
        <f>'Monthly Data'!AE58</f>
        <v>1</v>
      </c>
      <c r="J58" s="30">
        <f>'Monthly Data'!AF58</f>
        <v>0</v>
      </c>
      <c r="K58" s="30">
        <f>'Monthly Data'!AG58</f>
        <v>0</v>
      </c>
      <c r="M58" s="23">
        <f>'GS &lt; 50 OLS Model'!$B$5</f>
        <v>-4820550.2123392904</v>
      </c>
      <c r="N58" s="23">
        <f>'GS &lt; 50 OLS Model'!$B$6*D58</f>
        <v>381708.04266568448</v>
      </c>
      <c r="O58" s="23">
        <f>'GS &lt; 50 OLS Model'!$B$7*E58</f>
        <v>250852.94446013836</v>
      </c>
      <c r="P58" s="23">
        <f>'GS &lt; 50 OLS Model'!$B$8*F58</f>
        <v>-418534.81043906184</v>
      </c>
      <c r="Q58" s="23">
        <f>'GS &lt; 50 OLS Model'!$B$9*G58</f>
        <v>11154352.635115216</v>
      </c>
      <c r="R58" s="23">
        <f>'GS &lt; 50 OLS Model'!$B$10*H58</f>
        <v>0</v>
      </c>
      <c r="S58" s="23">
        <f>'GS &lt; 50 OLS Model'!$B$11*I58</f>
        <v>-173591.250541696</v>
      </c>
      <c r="T58" s="23">
        <f>'GS &lt; 50 OLS Model'!$B$12*J58</f>
        <v>0</v>
      </c>
      <c r="U58" s="23">
        <f>'GS &lt; 50 OLS Model'!$B$13*K58</f>
        <v>0</v>
      </c>
      <c r="V58" s="23">
        <f t="shared" si="2"/>
        <v>6374237.3489209898</v>
      </c>
      <c r="W58" s="13">
        <f t="shared" si="3"/>
        <v>8.3249535203128878E-3</v>
      </c>
      <c r="X58" s="13">
        <f t="shared" si="4"/>
        <v>-8.3249535203128878E-3</v>
      </c>
    </row>
    <row r="59" spans="1:24" x14ac:dyDescent="0.25">
      <c r="A59" s="11">
        <f>'Monthly Data'!A59</f>
        <v>41548</v>
      </c>
      <c r="B59" s="6">
        <f t="shared" si="1"/>
        <v>2013</v>
      </c>
      <c r="C59">
        <f>'Monthly Data'!E59</f>
        <v>6420522.6624999996</v>
      </c>
      <c r="D59">
        <f>'Monthly Data'!M59</f>
        <v>235.69999999999996</v>
      </c>
      <c r="E59">
        <f>'Monthly Data'!N59</f>
        <v>1.5</v>
      </c>
      <c r="F59" s="30">
        <f>'Monthly Data'!S59</f>
        <v>58</v>
      </c>
      <c r="G59" s="30">
        <f>'Monthly Data'!U59</f>
        <v>3142</v>
      </c>
      <c r="H59" s="30">
        <f>'Monthly Data'!Y59</f>
        <v>0</v>
      </c>
      <c r="I59" s="30">
        <f>'Monthly Data'!AE59</f>
        <v>1</v>
      </c>
      <c r="J59" s="30">
        <f>'Monthly Data'!AF59</f>
        <v>0</v>
      </c>
      <c r="K59" s="30">
        <f>'Monthly Data'!AG59</f>
        <v>0</v>
      </c>
      <c r="M59" s="23">
        <f>'GS &lt; 50 OLS Model'!$B$5</f>
        <v>-4820550.2123392904</v>
      </c>
      <c r="N59" s="23">
        <f>'GS &lt; 50 OLS Model'!$B$6*D59</f>
        <v>759869.8112863329</v>
      </c>
      <c r="O59" s="23">
        <f>'GS &lt; 50 OLS Model'!$B$7*E59</f>
        <v>22804.813132739851</v>
      </c>
      <c r="P59" s="23">
        <f>'GS &lt; 50 OLS Model'!$B$8*F59</f>
        <v>-425877.52641167695</v>
      </c>
      <c r="Q59" s="23">
        <f>'GS &lt; 50 OLS Model'!$B$9*G59</f>
        <v>11069796.58229059</v>
      </c>
      <c r="R59" s="23">
        <f>'GS &lt; 50 OLS Model'!$B$10*H59</f>
        <v>0</v>
      </c>
      <c r="S59" s="23">
        <f>'GS &lt; 50 OLS Model'!$B$11*I59</f>
        <v>-173591.250541696</v>
      </c>
      <c r="T59" s="23">
        <f>'GS &lt; 50 OLS Model'!$B$12*J59</f>
        <v>0</v>
      </c>
      <c r="U59" s="23">
        <f>'GS &lt; 50 OLS Model'!$B$13*K59</f>
        <v>0</v>
      </c>
      <c r="V59" s="23">
        <f t="shared" si="2"/>
        <v>6432452.2174169989</v>
      </c>
      <c r="W59" s="13">
        <f t="shared" si="3"/>
        <v>1.8580348585444002E-3</v>
      </c>
      <c r="X59" s="13">
        <f t="shared" si="4"/>
        <v>1.8580348585444002E-3</v>
      </c>
    </row>
    <row r="60" spans="1:24" x14ac:dyDescent="0.25">
      <c r="A60" s="11">
        <f>'Monthly Data'!A60</f>
        <v>41579</v>
      </c>
      <c r="B60" s="6">
        <f t="shared" si="1"/>
        <v>2013</v>
      </c>
      <c r="C60">
        <f>'Monthly Data'!E60</f>
        <v>7196501.2766999993</v>
      </c>
      <c r="D60">
        <f>'Monthly Data'!M60</f>
        <v>501.50000000000006</v>
      </c>
      <c r="E60">
        <f>'Monthly Data'!N60</f>
        <v>0</v>
      </c>
      <c r="F60" s="30">
        <f>'Monthly Data'!S60</f>
        <v>59</v>
      </c>
      <c r="G60" s="30">
        <f>'Monthly Data'!U60</f>
        <v>3104</v>
      </c>
      <c r="H60" s="30">
        <f>'Monthly Data'!Y60</f>
        <v>0</v>
      </c>
      <c r="I60" s="30">
        <f>'Monthly Data'!AE60</f>
        <v>1</v>
      </c>
      <c r="J60" s="30">
        <f>'Monthly Data'!AF60</f>
        <v>0</v>
      </c>
      <c r="K60" s="30">
        <f>'Monthly Data'!AG60</f>
        <v>0</v>
      </c>
      <c r="M60" s="23">
        <f>'GS &lt; 50 OLS Model'!$B$5</f>
        <v>-4820550.2123392904</v>
      </c>
      <c r="N60" s="23">
        <f>'GS &lt; 50 OLS Model'!$B$6*D60</f>
        <v>1616778.575986831</v>
      </c>
      <c r="O60" s="23">
        <f>'GS &lt; 50 OLS Model'!$B$7*E60</f>
        <v>0</v>
      </c>
      <c r="P60" s="23">
        <f>'GS &lt; 50 OLS Model'!$B$8*F60</f>
        <v>-433220.24238429213</v>
      </c>
      <c r="Q60" s="23">
        <f>'GS &lt; 50 OLS Model'!$B$9*G60</f>
        <v>10935916.165318266</v>
      </c>
      <c r="R60" s="23">
        <f>'GS &lt; 50 OLS Model'!$B$10*H60</f>
        <v>0</v>
      </c>
      <c r="S60" s="23">
        <f>'GS &lt; 50 OLS Model'!$B$11*I60</f>
        <v>-173591.250541696</v>
      </c>
      <c r="T60" s="23">
        <f>'GS &lt; 50 OLS Model'!$B$12*J60</f>
        <v>0</v>
      </c>
      <c r="U60" s="23">
        <f>'GS &lt; 50 OLS Model'!$B$13*K60</f>
        <v>0</v>
      </c>
      <c r="V60" s="23">
        <f t="shared" si="2"/>
        <v>7125333.0360398181</v>
      </c>
      <c r="W60" s="13">
        <f t="shared" si="3"/>
        <v>9.8892834064521849E-3</v>
      </c>
      <c r="X60" s="13">
        <f t="shared" si="4"/>
        <v>-9.8892834064521849E-3</v>
      </c>
    </row>
    <row r="61" spans="1:24" x14ac:dyDescent="0.25">
      <c r="A61" s="11">
        <f>'Monthly Data'!A61</f>
        <v>41609</v>
      </c>
      <c r="B61" s="6">
        <f t="shared" si="1"/>
        <v>2013</v>
      </c>
      <c r="C61">
        <f>'Monthly Data'!E61</f>
        <v>8089952.5006000008</v>
      </c>
      <c r="D61">
        <f>'Monthly Data'!M61</f>
        <v>756.99999999999977</v>
      </c>
      <c r="E61">
        <f>'Monthly Data'!N61</f>
        <v>0</v>
      </c>
      <c r="F61" s="30">
        <f>'Monthly Data'!S61</f>
        <v>60</v>
      </c>
      <c r="G61" s="30">
        <f>'Monthly Data'!U61</f>
        <v>3099</v>
      </c>
      <c r="H61" s="30">
        <f>'Monthly Data'!Y61</f>
        <v>0</v>
      </c>
      <c r="I61" s="30">
        <f>'Monthly Data'!AE61</f>
        <v>0</v>
      </c>
      <c r="J61" s="30">
        <f>'Monthly Data'!AF61</f>
        <v>0</v>
      </c>
      <c r="K61" s="30">
        <f>'Monthly Data'!AG61</f>
        <v>0</v>
      </c>
      <c r="M61" s="23">
        <f>'GS &lt; 50 OLS Model'!$B$5</f>
        <v>-4820550.2123392904</v>
      </c>
      <c r="N61" s="23">
        <f>'GS &lt; 50 OLS Model'!$B$6*D61</f>
        <v>2440481.3200838096</v>
      </c>
      <c r="O61" s="23">
        <f>'GS &lt; 50 OLS Model'!$B$7*E61</f>
        <v>0</v>
      </c>
      <c r="P61" s="23">
        <f>'GS &lt; 50 OLS Model'!$B$8*F61</f>
        <v>-440562.95835690724</v>
      </c>
      <c r="Q61" s="23">
        <f>'GS &lt; 50 OLS Model'!$B$9*G61</f>
        <v>10918300.320979802</v>
      </c>
      <c r="R61" s="23">
        <f>'GS &lt; 50 OLS Model'!$B$10*H61</f>
        <v>0</v>
      </c>
      <c r="S61" s="23">
        <f>'GS &lt; 50 OLS Model'!$B$11*I61</f>
        <v>0</v>
      </c>
      <c r="T61" s="23">
        <f>'GS &lt; 50 OLS Model'!$B$12*J61</f>
        <v>0</v>
      </c>
      <c r="U61" s="23">
        <f>'GS &lt; 50 OLS Model'!$B$13*K61</f>
        <v>0</v>
      </c>
      <c r="V61" s="23">
        <f t="shared" si="2"/>
        <v>8097668.4703674139</v>
      </c>
      <c r="W61" s="13">
        <f t="shared" si="3"/>
        <v>9.5377194944480063E-4</v>
      </c>
      <c r="X61" s="13">
        <f t="shared" si="4"/>
        <v>9.5377194944480063E-4</v>
      </c>
    </row>
    <row r="62" spans="1:24" s="30" customFormat="1" x14ac:dyDescent="0.25">
      <c r="A62" s="11">
        <f>'Monthly Data'!A62</f>
        <v>41640</v>
      </c>
      <c r="B62" s="6">
        <f t="shared" ref="B62:B73" si="5">YEAR(A62)</f>
        <v>2014</v>
      </c>
      <c r="C62" s="30">
        <f>'Monthly Data'!E62</f>
        <v>9744747.6810999997</v>
      </c>
      <c r="D62" s="30">
        <f>'Monthly Data'!M62</f>
        <v>844.5</v>
      </c>
      <c r="E62" s="30">
        <f>'Monthly Data'!N62</f>
        <v>0</v>
      </c>
      <c r="F62" s="30">
        <f>'Monthly Data'!S62</f>
        <v>61</v>
      </c>
      <c r="G62" s="30">
        <f>'Monthly Data'!U62</f>
        <v>3122</v>
      </c>
      <c r="H62" s="30">
        <f>'Monthly Data'!Y62</f>
        <v>1</v>
      </c>
      <c r="I62" s="30">
        <f>'Monthly Data'!AE62</f>
        <v>0</v>
      </c>
      <c r="J62" s="30">
        <f>'Monthly Data'!AF62</f>
        <v>0</v>
      </c>
      <c r="K62" s="30">
        <f>'Monthly Data'!AG62</f>
        <v>0</v>
      </c>
      <c r="M62" s="23">
        <f>'GS &lt; 50 OLS Model'!$B$5</f>
        <v>-4820550.2123392904</v>
      </c>
      <c r="N62" s="23">
        <f>'GS &lt; 50 OLS Model'!$B$6*D62</f>
        <v>2722571.3009389401</v>
      </c>
      <c r="O62" s="23">
        <f>'GS &lt; 50 OLS Model'!$B$7*E62</f>
        <v>0</v>
      </c>
      <c r="P62" s="23">
        <f>'GS &lt; 50 OLS Model'!$B$8*F62</f>
        <v>-447905.67432952236</v>
      </c>
      <c r="Q62" s="23">
        <f>'GS &lt; 50 OLS Model'!$B$9*G62</f>
        <v>10999333.204936735</v>
      </c>
      <c r="R62" s="23">
        <f>'GS &lt; 50 OLS Model'!$B$10*H62</f>
        <v>893150.55620657699</v>
      </c>
      <c r="S62" s="23">
        <f>'GS &lt; 50 OLS Model'!$B$11*I62</f>
        <v>0</v>
      </c>
      <c r="T62" s="23">
        <f>'GS &lt; 50 OLS Model'!$B$12*J62</f>
        <v>0</v>
      </c>
      <c r="U62" s="23">
        <f>'GS &lt; 50 OLS Model'!$B$13*K62</f>
        <v>0</v>
      </c>
      <c r="V62" s="23">
        <f t="shared" si="2"/>
        <v>9346599.1754134391</v>
      </c>
      <c r="W62" s="13">
        <f t="shared" ref="W62:W73" si="6">ABS(V62-C62)/C62</f>
        <v>4.0857754219616398E-2</v>
      </c>
      <c r="X62" s="13">
        <f t="shared" si="4"/>
        <v>-4.0857754219616398E-2</v>
      </c>
    </row>
    <row r="63" spans="1:24" s="30" customFormat="1" x14ac:dyDescent="0.25">
      <c r="A63" s="11">
        <f>'Monthly Data'!A63</f>
        <v>41671</v>
      </c>
      <c r="B63" s="6">
        <f t="shared" si="5"/>
        <v>2014</v>
      </c>
      <c r="C63" s="30">
        <f>'Monthly Data'!E63</f>
        <v>8690919.2281999998</v>
      </c>
      <c r="D63" s="30">
        <f>'Monthly Data'!M63</f>
        <v>740.90000000000009</v>
      </c>
      <c r="E63" s="30">
        <f>'Monthly Data'!N63</f>
        <v>0</v>
      </c>
      <c r="F63" s="30">
        <f>'Monthly Data'!S63</f>
        <v>62</v>
      </c>
      <c r="G63" s="30">
        <f>'Monthly Data'!U63</f>
        <v>3121</v>
      </c>
      <c r="H63" s="30">
        <f>'Monthly Data'!Y63</f>
        <v>1</v>
      </c>
      <c r="I63" s="30">
        <f>'Monthly Data'!AE63</f>
        <v>0</v>
      </c>
      <c r="J63" s="30">
        <f>'Monthly Data'!AF63</f>
        <v>1</v>
      </c>
      <c r="K63" s="30">
        <f>'Monthly Data'!AG63</f>
        <v>0</v>
      </c>
      <c r="M63" s="23">
        <f>'GS &lt; 50 OLS Model'!$B$5</f>
        <v>-4820550.2123392904</v>
      </c>
      <c r="N63" s="23">
        <f>'GS &lt; 50 OLS Model'!$B$6*D63</f>
        <v>2388576.7636064668</v>
      </c>
      <c r="O63" s="23">
        <f>'GS &lt; 50 OLS Model'!$B$7*E63</f>
        <v>0</v>
      </c>
      <c r="P63" s="23">
        <f>'GS &lt; 50 OLS Model'!$B$8*F63</f>
        <v>-455248.39030213747</v>
      </c>
      <c r="Q63" s="23">
        <f>'GS &lt; 50 OLS Model'!$B$9*G63</f>
        <v>10995810.036069041</v>
      </c>
      <c r="R63" s="23">
        <f>'GS &lt; 50 OLS Model'!$B$10*H63</f>
        <v>893150.55620657699</v>
      </c>
      <c r="S63" s="23">
        <f>'GS &lt; 50 OLS Model'!$B$11*I63</f>
        <v>0</v>
      </c>
      <c r="T63" s="23">
        <f>'GS &lt; 50 OLS Model'!$B$12*J63</f>
        <v>-323195.56340474403</v>
      </c>
      <c r="U63" s="23">
        <f>'GS &lt; 50 OLS Model'!$B$13*K63</f>
        <v>0</v>
      </c>
      <c r="V63" s="23">
        <f t="shared" si="2"/>
        <v>8678543.1898359116</v>
      </c>
      <c r="W63" s="13">
        <f t="shared" si="6"/>
        <v>1.4240194896681139E-3</v>
      </c>
      <c r="X63" s="13">
        <f t="shared" si="4"/>
        <v>-1.4240194896681139E-3</v>
      </c>
    </row>
    <row r="64" spans="1:24" s="30" customFormat="1" x14ac:dyDescent="0.25">
      <c r="A64" s="11">
        <f>'Monthly Data'!A64</f>
        <v>41699</v>
      </c>
      <c r="B64" s="6">
        <f t="shared" si="5"/>
        <v>2014</v>
      </c>
      <c r="C64" s="30">
        <f>'Monthly Data'!E64</f>
        <v>8839537.966</v>
      </c>
      <c r="D64" s="30">
        <f>'Monthly Data'!M64</f>
        <v>720.19999999999993</v>
      </c>
      <c r="E64" s="30">
        <f>'Monthly Data'!N64</f>
        <v>0</v>
      </c>
      <c r="F64" s="30">
        <f>'Monthly Data'!S64</f>
        <v>63</v>
      </c>
      <c r="G64" s="30">
        <f>'Monthly Data'!U64</f>
        <v>3085</v>
      </c>
      <c r="H64" s="30">
        <f>'Monthly Data'!Y64</f>
        <v>1</v>
      </c>
      <c r="I64" s="30">
        <f>'Monthly Data'!AE64</f>
        <v>0</v>
      </c>
      <c r="J64" s="30">
        <f>'Monthly Data'!AF64</f>
        <v>0</v>
      </c>
      <c r="K64" s="30">
        <f>'Monthly Data'!AG64</f>
        <v>0</v>
      </c>
      <c r="M64" s="23">
        <f>'GS &lt; 50 OLS Model'!$B$5</f>
        <v>-4820550.2123392904</v>
      </c>
      <c r="N64" s="23">
        <f>'GS &lt; 50 OLS Model'!$B$6*D64</f>
        <v>2321842.3338498813</v>
      </c>
      <c r="O64" s="23">
        <f>'GS &lt; 50 OLS Model'!$B$7*E64</f>
        <v>0</v>
      </c>
      <c r="P64" s="23">
        <f>'GS &lt; 50 OLS Model'!$B$8*F64</f>
        <v>-462591.10627475259</v>
      </c>
      <c r="Q64" s="23">
        <f>'GS &lt; 50 OLS Model'!$B$9*G64</f>
        <v>10868975.956832103</v>
      </c>
      <c r="R64" s="23">
        <f>'GS &lt; 50 OLS Model'!$B$10*H64</f>
        <v>893150.55620657699</v>
      </c>
      <c r="S64" s="23">
        <f>'GS &lt; 50 OLS Model'!$B$11*I64</f>
        <v>0</v>
      </c>
      <c r="T64" s="23">
        <f>'GS &lt; 50 OLS Model'!$B$12*J64</f>
        <v>0</v>
      </c>
      <c r="U64" s="23">
        <f>'GS &lt; 50 OLS Model'!$B$13*K64</f>
        <v>0</v>
      </c>
      <c r="V64" s="23">
        <f t="shared" si="2"/>
        <v>8800827.5282745194</v>
      </c>
      <c r="W64" s="13">
        <f t="shared" si="6"/>
        <v>4.3792376789799116E-3</v>
      </c>
      <c r="X64" s="13">
        <f t="shared" si="4"/>
        <v>-4.3792376789799116E-3</v>
      </c>
    </row>
    <row r="65" spans="1:24" s="30" customFormat="1" x14ac:dyDescent="0.25">
      <c r="A65" s="11">
        <f>'Monthly Data'!A65</f>
        <v>41730</v>
      </c>
      <c r="B65" s="6">
        <f t="shared" si="5"/>
        <v>2014</v>
      </c>
      <c r="C65" s="30">
        <f>'Monthly Data'!E65</f>
        <v>7227399.0751</v>
      </c>
      <c r="D65" s="30">
        <f>'Monthly Data'!M65</f>
        <v>352.09999999999991</v>
      </c>
      <c r="E65" s="30">
        <f>'Monthly Data'!N65</f>
        <v>0</v>
      </c>
      <c r="F65" s="30">
        <f>'Monthly Data'!S65</f>
        <v>64</v>
      </c>
      <c r="G65" s="30">
        <f>'Monthly Data'!U65</f>
        <v>3087</v>
      </c>
      <c r="H65" s="30">
        <f>'Monthly Data'!Y65</f>
        <v>1</v>
      </c>
      <c r="I65" s="30">
        <f>'Monthly Data'!AE65</f>
        <v>0</v>
      </c>
      <c r="J65" s="30">
        <f>'Monthly Data'!AF65</f>
        <v>0</v>
      </c>
      <c r="K65" s="30">
        <f>'Monthly Data'!AG65</f>
        <v>1</v>
      </c>
      <c r="M65" s="23">
        <f>'GS &lt; 50 OLS Model'!$B$5</f>
        <v>-4820550.2123392904</v>
      </c>
      <c r="N65" s="23">
        <f>'GS &lt; 50 OLS Model'!$B$6*D65</f>
        <v>1135130.0829610429</v>
      </c>
      <c r="O65" s="23">
        <f>'GS &lt; 50 OLS Model'!$B$7*E65</f>
        <v>0</v>
      </c>
      <c r="P65" s="23">
        <f>'GS &lt; 50 OLS Model'!$B$8*F65</f>
        <v>-469933.8222473677</v>
      </c>
      <c r="Q65" s="23">
        <f>'GS &lt; 50 OLS Model'!$B$9*G65</f>
        <v>10876022.294567488</v>
      </c>
      <c r="R65" s="23">
        <f>'GS &lt; 50 OLS Model'!$B$10*H65</f>
        <v>893150.55620657699</v>
      </c>
      <c r="S65" s="23">
        <f>'GS &lt; 50 OLS Model'!$B$11*I65</f>
        <v>0</v>
      </c>
      <c r="T65" s="23">
        <f>'GS &lt; 50 OLS Model'!$B$12*J65</f>
        <v>0</v>
      </c>
      <c r="U65" s="23">
        <f>'GS &lt; 50 OLS Model'!$B$13*K65</f>
        <v>-425159.68663676298</v>
      </c>
      <c r="V65" s="23">
        <f t="shared" si="2"/>
        <v>7188659.2125116866</v>
      </c>
      <c r="W65" s="13">
        <f t="shared" si="6"/>
        <v>5.360138852963145E-3</v>
      </c>
      <c r="X65" s="13">
        <f t="shared" si="4"/>
        <v>-5.360138852963145E-3</v>
      </c>
    </row>
    <row r="66" spans="1:24" s="30" customFormat="1" x14ac:dyDescent="0.25">
      <c r="A66" s="11">
        <f>'Monthly Data'!A66</f>
        <v>41760</v>
      </c>
      <c r="B66" s="6">
        <f t="shared" si="5"/>
        <v>2014</v>
      </c>
      <c r="C66" s="30">
        <f>'Monthly Data'!E66</f>
        <v>6595622.3787000002</v>
      </c>
      <c r="D66" s="30">
        <f>'Monthly Data'!M66</f>
        <v>127.70000000000003</v>
      </c>
      <c r="E66" s="30">
        <f>'Monthly Data'!N66</f>
        <v>12.399999999999999</v>
      </c>
      <c r="F66" s="30">
        <f>'Monthly Data'!S66</f>
        <v>65</v>
      </c>
      <c r="G66" s="30">
        <f>'Monthly Data'!U66</f>
        <v>3075</v>
      </c>
      <c r="H66" s="30">
        <f>'Monthly Data'!Y66</f>
        <v>1</v>
      </c>
      <c r="I66" s="30">
        <f>'Monthly Data'!AE66</f>
        <v>0</v>
      </c>
      <c r="J66" s="30">
        <f>'Monthly Data'!AF66</f>
        <v>0</v>
      </c>
      <c r="K66" s="30">
        <f>'Monthly Data'!AG66</f>
        <v>0</v>
      </c>
      <c r="M66" s="23">
        <f>'GS &lt; 50 OLS Model'!$B$5</f>
        <v>-4820550.2123392904</v>
      </c>
      <c r="N66" s="23">
        <f>'GS &lt; 50 OLS Model'!$B$6*D66</f>
        <v>411690.17777371552</v>
      </c>
      <c r="O66" s="23">
        <f>'GS &lt; 50 OLS Model'!$B$7*E66</f>
        <v>188519.78856398273</v>
      </c>
      <c r="P66" s="23">
        <f>'GS &lt; 50 OLS Model'!$B$8*F66</f>
        <v>-477276.53821998282</v>
      </c>
      <c r="Q66" s="23">
        <f>'GS &lt; 50 OLS Model'!$B$9*G66</f>
        <v>10833744.268155176</v>
      </c>
      <c r="R66" s="23">
        <f>'GS &lt; 50 OLS Model'!$B$10*H66</f>
        <v>893150.55620657699</v>
      </c>
      <c r="S66" s="23">
        <f>'GS &lt; 50 OLS Model'!$B$11*I66</f>
        <v>0</v>
      </c>
      <c r="T66" s="23">
        <f>'GS &lt; 50 OLS Model'!$B$12*J66</f>
        <v>0</v>
      </c>
      <c r="U66" s="23">
        <f>'GS &lt; 50 OLS Model'!$B$13*K66</f>
        <v>0</v>
      </c>
      <c r="V66" s="23">
        <f t="shared" si="2"/>
        <v>7029278.0401401781</v>
      </c>
      <c r="W66" s="13">
        <f t="shared" si="6"/>
        <v>6.5749012987861732E-2</v>
      </c>
      <c r="X66" s="13">
        <f t="shared" si="4"/>
        <v>6.5749012987861732E-2</v>
      </c>
    </row>
    <row r="67" spans="1:24" s="30" customFormat="1" x14ac:dyDescent="0.25">
      <c r="A67" s="11">
        <f>'Monthly Data'!A67</f>
        <v>41791</v>
      </c>
      <c r="B67" s="6">
        <f t="shared" si="5"/>
        <v>2014</v>
      </c>
      <c r="C67" s="30">
        <f>'Monthly Data'!E67</f>
        <v>6748420.8118000003</v>
      </c>
      <c r="D67" s="30">
        <f>'Monthly Data'!M67</f>
        <v>25.699999999999996</v>
      </c>
      <c r="E67" s="30">
        <f>'Monthly Data'!N67</f>
        <v>47.4</v>
      </c>
      <c r="F67" s="30">
        <f>'Monthly Data'!S67</f>
        <v>66</v>
      </c>
      <c r="G67" s="30">
        <f>'Monthly Data'!U67</f>
        <v>3067</v>
      </c>
      <c r="H67" s="30">
        <f>'Monthly Data'!Y67</f>
        <v>1</v>
      </c>
      <c r="I67" s="30">
        <f>'Monthly Data'!AE67</f>
        <v>0</v>
      </c>
      <c r="J67" s="30">
        <f>'Monthly Data'!AF67</f>
        <v>0</v>
      </c>
      <c r="K67" s="30">
        <f>'Monthly Data'!AG67</f>
        <v>0</v>
      </c>
      <c r="M67" s="23">
        <f>'GS &lt; 50 OLS Model'!$B$5</f>
        <v>-4820550.2123392904</v>
      </c>
      <c r="N67" s="23">
        <f>'GS &lt; 50 OLS Model'!$B$6*D67</f>
        <v>82853.857234021023</v>
      </c>
      <c r="O67" s="23">
        <f>'GS &lt; 50 OLS Model'!$B$7*E67</f>
        <v>720632.09499457921</v>
      </c>
      <c r="P67" s="23">
        <f>'GS &lt; 50 OLS Model'!$B$8*F67</f>
        <v>-484619.25419259793</v>
      </c>
      <c r="Q67" s="23">
        <f>'GS &lt; 50 OLS Model'!$B$9*G67</f>
        <v>10805558.917213634</v>
      </c>
      <c r="R67" s="23">
        <f>'GS &lt; 50 OLS Model'!$B$10*H67</f>
        <v>893150.55620657699</v>
      </c>
      <c r="S67" s="23">
        <f>'GS &lt; 50 OLS Model'!$B$11*I67</f>
        <v>0</v>
      </c>
      <c r="T67" s="23">
        <f>'GS &lt; 50 OLS Model'!$B$12*J67</f>
        <v>0</v>
      </c>
      <c r="U67" s="23">
        <f>'GS &lt; 50 OLS Model'!$B$13*K67</f>
        <v>0</v>
      </c>
      <c r="V67" s="23">
        <f t="shared" ref="V67:V73" si="7">SUM(M67:U67)</f>
        <v>7197025.9591169227</v>
      </c>
      <c r="W67" s="13">
        <f t="shared" si="6"/>
        <v>6.6475574038375118E-2</v>
      </c>
      <c r="X67" s="13">
        <f t="shared" ref="X67:X73" si="8">(V67-C67)/C67</f>
        <v>6.6475574038375118E-2</v>
      </c>
    </row>
    <row r="68" spans="1:24" s="30" customFormat="1" x14ac:dyDescent="0.25">
      <c r="A68" s="11">
        <f>'Monthly Data'!A68</f>
        <v>41821</v>
      </c>
      <c r="B68" s="6">
        <f t="shared" si="5"/>
        <v>2014</v>
      </c>
      <c r="C68" s="30">
        <f>'Monthly Data'!E68</f>
        <v>7210633.4199000001</v>
      </c>
      <c r="D68" s="30">
        <f>'Monthly Data'!M68</f>
        <v>10.600000000000001</v>
      </c>
      <c r="E68" s="30">
        <f>'Monthly Data'!N68</f>
        <v>55.899999999999984</v>
      </c>
      <c r="F68" s="30">
        <f>'Monthly Data'!S68</f>
        <v>67</v>
      </c>
      <c r="G68" s="30">
        <f>'Monthly Data'!U68</f>
        <v>3066</v>
      </c>
      <c r="H68" s="30">
        <f>'Monthly Data'!Y68</f>
        <v>1</v>
      </c>
      <c r="I68" s="30">
        <f>'Monthly Data'!AE68</f>
        <v>0</v>
      </c>
      <c r="J68" s="30">
        <f>'Monthly Data'!AF68</f>
        <v>0</v>
      </c>
      <c r="K68" s="30">
        <f>'Monthly Data'!AG68</f>
        <v>0</v>
      </c>
      <c r="M68" s="23">
        <f>'GS &lt; 50 OLS Model'!$B$5</f>
        <v>-4820550.2123392904</v>
      </c>
      <c r="N68" s="23">
        <f>'GS &lt; 50 OLS Model'!$B$6*D68</f>
        <v>34173.186252164327</v>
      </c>
      <c r="O68" s="23">
        <f>'GS &lt; 50 OLS Model'!$B$7*E68</f>
        <v>849859.36941343814</v>
      </c>
      <c r="P68" s="23">
        <f>'GS &lt; 50 OLS Model'!$B$8*F68</f>
        <v>-491961.97016521305</v>
      </c>
      <c r="Q68" s="23">
        <f>'GS &lt; 50 OLS Model'!$B$9*G68</f>
        <v>10802035.748345941</v>
      </c>
      <c r="R68" s="23">
        <f>'GS &lt; 50 OLS Model'!$B$10*H68</f>
        <v>893150.55620657699</v>
      </c>
      <c r="S68" s="23">
        <f>'GS &lt; 50 OLS Model'!$B$11*I68</f>
        <v>0</v>
      </c>
      <c r="T68" s="23">
        <f>'GS &lt; 50 OLS Model'!$B$12*J68</f>
        <v>0</v>
      </c>
      <c r="U68" s="23">
        <f>'GS &lt; 50 OLS Model'!$B$13*K68</f>
        <v>0</v>
      </c>
      <c r="V68" s="23">
        <f t="shared" si="7"/>
        <v>7266706.6777136177</v>
      </c>
      <c r="W68" s="13">
        <f t="shared" si="6"/>
        <v>7.7764676899072247E-3</v>
      </c>
      <c r="X68" s="13">
        <f t="shared" si="8"/>
        <v>7.7764676899072247E-3</v>
      </c>
    </row>
    <row r="69" spans="1:24" s="30" customFormat="1" x14ac:dyDescent="0.25">
      <c r="A69" s="11">
        <f>'Monthly Data'!A69</f>
        <v>41852</v>
      </c>
      <c r="B69" s="6">
        <f t="shared" si="5"/>
        <v>2014</v>
      </c>
      <c r="C69" s="30">
        <f>'Monthly Data'!E69</f>
        <v>7172486.9500000002</v>
      </c>
      <c r="D69" s="30">
        <f>'Monthly Data'!M69</f>
        <v>18.999999999999996</v>
      </c>
      <c r="E69" s="30">
        <f>'Monthly Data'!N69</f>
        <v>51.999999999999993</v>
      </c>
      <c r="F69" s="30">
        <f>'Monthly Data'!S69</f>
        <v>68</v>
      </c>
      <c r="G69" s="30">
        <f>'Monthly Data'!U69</f>
        <v>3062</v>
      </c>
      <c r="H69" s="30">
        <f>'Monthly Data'!Y69</f>
        <v>1</v>
      </c>
      <c r="I69" s="30">
        <f>'Monthly Data'!AE69</f>
        <v>0</v>
      </c>
      <c r="J69" s="30">
        <f>'Monthly Data'!AF69</f>
        <v>0</v>
      </c>
      <c r="K69" s="30">
        <f>'Monthly Data'!AG69</f>
        <v>0</v>
      </c>
      <c r="M69" s="23">
        <f>'GS &lt; 50 OLS Model'!$B$5</f>
        <v>-4820550.2123392904</v>
      </c>
      <c r="N69" s="23">
        <f>'GS &lt; 50 OLS Model'!$B$6*D69</f>
        <v>61253.824414256786</v>
      </c>
      <c r="O69" s="23">
        <f>'GS &lt; 50 OLS Model'!$B$7*E69</f>
        <v>790566.85526831471</v>
      </c>
      <c r="P69" s="23">
        <f>'GS &lt; 50 OLS Model'!$B$8*F69</f>
        <v>-499304.68613782816</v>
      </c>
      <c r="Q69" s="23">
        <f>'GS &lt; 50 OLS Model'!$B$9*G69</f>
        <v>10787943.07287517</v>
      </c>
      <c r="R69" s="23">
        <f>'GS &lt; 50 OLS Model'!$B$10*H69</f>
        <v>893150.55620657699</v>
      </c>
      <c r="S69" s="23">
        <f>'GS &lt; 50 OLS Model'!$B$11*I69</f>
        <v>0</v>
      </c>
      <c r="T69" s="23">
        <f>'GS &lt; 50 OLS Model'!$B$12*J69</f>
        <v>0</v>
      </c>
      <c r="U69" s="23">
        <f>'GS &lt; 50 OLS Model'!$B$13*K69</f>
        <v>0</v>
      </c>
      <c r="V69" s="23">
        <f t="shared" si="7"/>
        <v>7213059.4102871995</v>
      </c>
      <c r="W69" s="13">
        <f t="shared" si="6"/>
        <v>5.6566795548089986E-3</v>
      </c>
      <c r="X69" s="13">
        <f t="shared" si="8"/>
        <v>5.6566795548089986E-3</v>
      </c>
    </row>
    <row r="70" spans="1:24" s="30" customFormat="1" x14ac:dyDescent="0.25">
      <c r="A70" s="11">
        <f>'Monthly Data'!A70</f>
        <v>41883</v>
      </c>
      <c r="B70" s="6">
        <f t="shared" si="5"/>
        <v>2014</v>
      </c>
      <c r="C70" s="30">
        <f>'Monthly Data'!E70</f>
        <v>6683803.4541999996</v>
      </c>
      <c r="D70" s="30">
        <f>'Monthly Data'!M70</f>
        <v>90.500000000000014</v>
      </c>
      <c r="E70" s="30">
        <f>'Monthly Data'!N70</f>
        <v>25.400000000000006</v>
      </c>
      <c r="F70" s="30">
        <f>'Monthly Data'!S70</f>
        <v>69</v>
      </c>
      <c r="G70" s="30">
        <f>'Monthly Data'!U70</f>
        <v>2981</v>
      </c>
      <c r="H70" s="30">
        <f>'Monthly Data'!Y70</f>
        <v>1</v>
      </c>
      <c r="I70" s="30">
        <f>'Monthly Data'!AE70</f>
        <v>1</v>
      </c>
      <c r="J70" s="30">
        <f>'Monthly Data'!AF70</f>
        <v>0</v>
      </c>
      <c r="K70" s="30">
        <f>'Monthly Data'!AG70</f>
        <v>0</v>
      </c>
      <c r="M70" s="23">
        <f>'GS &lt; 50 OLS Model'!$B$5</f>
        <v>-4820550.2123392904</v>
      </c>
      <c r="N70" s="23">
        <f>'GS &lt; 50 OLS Model'!$B$6*D70</f>
        <v>291761.63734159165</v>
      </c>
      <c r="O70" s="23">
        <f>'GS &lt; 50 OLS Model'!$B$7*E70</f>
        <v>386161.50238106155</v>
      </c>
      <c r="P70" s="23">
        <f>'GS &lt; 50 OLS Model'!$B$8*F70</f>
        <v>-506647.40211044328</v>
      </c>
      <c r="Q70" s="23">
        <f>'GS &lt; 50 OLS Model'!$B$9*G70</f>
        <v>10502566.394592058</v>
      </c>
      <c r="R70" s="23">
        <f>'GS &lt; 50 OLS Model'!$B$10*H70</f>
        <v>893150.55620657699</v>
      </c>
      <c r="S70" s="23">
        <f>'GS &lt; 50 OLS Model'!$B$11*I70</f>
        <v>-173591.250541696</v>
      </c>
      <c r="T70" s="23">
        <f>'GS &lt; 50 OLS Model'!$B$12*J70</f>
        <v>0</v>
      </c>
      <c r="U70" s="23">
        <f>'GS &lt; 50 OLS Model'!$B$13*K70</f>
        <v>0</v>
      </c>
      <c r="V70" s="23">
        <f t="shared" si="7"/>
        <v>6572851.2255298588</v>
      </c>
      <c r="W70" s="13">
        <f t="shared" si="6"/>
        <v>1.6600163279849298E-2</v>
      </c>
      <c r="X70" s="13">
        <f t="shared" si="8"/>
        <v>-1.6600163279849298E-2</v>
      </c>
    </row>
    <row r="71" spans="1:24" s="30" customFormat="1" x14ac:dyDescent="0.25">
      <c r="A71" s="11">
        <f>'Monthly Data'!A71</f>
        <v>41913</v>
      </c>
      <c r="B71" s="6">
        <f t="shared" si="5"/>
        <v>2014</v>
      </c>
      <c r="C71" s="30">
        <f>'Monthly Data'!E71</f>
        <v>6719023.064100001</v>
      </c>
      <c r="D71" s="30">
        <f>'Monthly Data'!M71</f>
        <v>225.59999999999994</v>
      </c>
      <c r="E71" s="30">
        <f>'Monthly Data'!N71</f>
        <v>1.8</v>
      </c>
      <c r="F71" s="30">
        <f>'Monthly Data'!S71</f>
        <v>70</v>
      </c>
      <c r="G71" s="30">
        <f>'Monthly Data'!U71</f>
        <v>2984</v>
      </c>
      <c r="H71" s="30">
        <f>'Monthly Data'!Y71</f>
        <v>1</v>
      </c>
      <c r="I71" s="30">
        <f>'Monthly Data'!AE71</f>
        <v>1</v>
      </c>
      <c r="J71" s="30">
        <f>'Monthly Data'!AF71</f>
        <v>0</v>
      </c>
      <c r="K71" s="30">
        <f>'Monthly Data'!AG71</f>
        <v>0</v>
      </c>
      <c r="M71" s="23">
        <f>'GS &lt; 50 OLS Model'!$B$5</f>
        <v>-4820550.2123392904</v>
      </c>
      <c r="N71" s="23">
        <f>'GS &lt; 50 OLS Model'!$B$6*D71</f>
        <v>727308.56778191205</v>
      </c>
      <c r="O71" s="23">
        <f>'GS &lt; 50 OLS Model'!$B$7*E71</f>
        <v>27365.775759287819</v>
      </c>
      <c r="P71" s="23">
        <f>'GS &lt; 50 OLS Model'!$B$8*F71</f>
        <v>-513990.11808305845</v>
      </c>
      <c r="Q71" s="23">
        <f>'GS &lt; 50 OLS Model'!$B$9*G71</f>
        <v>10513135.901195137</v>
      </c>
      <c r="R71" s="23">
        <f>'GS &lt; 50 OLS Model'!$B$10*H71</f>
        <v>893150.55620657699</v>
      </c>
      <c r="S71" s="23">
        <f>'GS &lt; 50 OLS Model'!$B$11*I71</f>
        <v>-173591.250541696</v>
      </c>
      <c r="T71" s="23">
        <f>'GS &lt; 50 OLS Model'!$B$12*J71</f>
        <v>0</v>
      </c>
      <c r="U71" s="23">
        <f>'GS &lt; 50 OLS Model'!$B$13*K71</f>
        <v>0</v>
      </c>
      <c r="V71" s="23">
        <f t="shared" si="7"/>
        <v>6652829.219978869</v>
      </c>
      <c r="W71" s="13">
        <f t="shared" si="6"/>
        <v>9.8517066379498388E-3</v>
      </c>
      <c r="X71" s="13">
        <f t="shared" si="8"/>
        <v>-9.8517066379498388E-3</v>
      </c>
    </row>
    <row r="72" spans="1:24" s="30" customFormat="1" x14ac:dyDescent="0.25">
      <c r="A72" s="11">
        <f>'Monthly Data'!A72</f>
        <v>41944</v>
      </c>
      <c r="B72" s="6">
        <f t="shared" si="5"/>
        <v>2014</v>
      </c>
      <c r="C72" s="30">
        <f>'Monthly Data'!E72</f>
        <v>7525140.5691000018</v>
      </c>
      <c r="D72" s="30">
        <f>'Monthly Data'!M72</f>
        <v>491.6</v>
      </c>
      <c r="E72" s="30">
        <f>'Monthly Data'!N72</f>
        <v>0</v>
      </c>
      <c r="F72" s="30">
        <f>'Monthly Data'!S72</f>
        <v>71</v>
      </c>
      <c r="G72" s="30">
        <f>'Monthly Data'!U72</f>
        <v>2985</v>
      </c>
      <c r="H72" s="30">
        <f>'Monthly Data'!Y72</f>
        <v>1</v>
      </c>
      <c r="I72" s="30">
        <f>'Monthly Data'!AE72</f>
        <v>1</v>
      </c>
      <c r="J72" s="30">
        <f>'Monthly Data'!AF72</f>
        <v>0</v>
      </c>
      <c r="K72" s="30">
        <f>'Monthly Data'!AG72</f>
        <v>0</v>
      </c>
      <c r="M72" s="23">
        <f>'GS &lt; 50 OLS Model'!$B$5</f>
        <v>-4820550.2123392904</v>
      </c>
      <c r="N72" s="23">
        <f>'GS &lt; 50 OLS Model'!$B$6*D72</f>
        <v>1584862.1095815075</v>
      </c>
      <c r="O72" s="23">
        <f>'GS &lt; 50 OLS Model'!$B$7*E72</f>
        <v>0</v>
      </c>
      <c r="P72" s="23">
        <f>'GS &lt; 50 OLS Model'!$B$8*F72</f>
        <v>-521332.83405567356</v>
      </c>
      <c r="Q72" s="23">
        <f>'GS &lt; 50 OLS Model'!$B$9*G72</f>
        <v>10516659.070062829</v>
      </c>
      <c r="R72" s="23">
        <f>'GS &lt; 50 OLS Model'!$B$10*H72</f>
        <v>893150.55620657699</v>
      </c>
      <c r="S72" s="23">
        <f>'GS &lt; 50 OLS Model'!$B$11*I72</f>
        <v>-173591.250541696</v>
      </c>
      <c r="T72" s="23">
        <f>'GS &lt; 50 OLS Model'!$B$12*J72</f>
        <v>0</v>
      </c>
      <c r="U72" s="23">
        <f>'GS &lt; 50 OLS Model'!$B$13*K72</f>
        <v>0</v>
      </c>
      <c r="V72" s="23">
        <f t="shared" si="7"/>
        <v>7479197.4389142543</v>
      </c>
      <c r="W72" s="13">
        <f t="shared" si="6"/>
        <v>6.1052853117988023E-3</v>
      </c>
      <c r="X72" s="13">
        <f t="shared" si="8"/>
        <v>-6.1052853117988023E-3</v>
      </c>
    </row>
    <row r="73" spans="1:24" s="30" customFormat="1" x14ac:dyDescent="0.25">
      <c r="A73" s="11">
        <f>'Monthly Data'!A73</f>
        <v>41974</v>
      </c>
      <c r="B73" s="6">
        <f t="shared" si="5"/>
        <v>2014</v>
      </c>
      <c r="C73" s="30">
        <f>'Monthly Data'!E73</f>
        <v>8312820.2866000012</v>
      </c>
      <c r="D73" s="30">
        <f>'Monthly Data'!M73</f>
        <v>619.89999999999986</v>
      </c>
      <c r="E73" s="30">
        <f>'Monthly Data'!N73</f>
        <v>0</v>
      </c>
      <c r="F73" s="30">
        <f>'Monthly Data'!S73</f>
        <v>72</v>
      </c>
      <c r="G73" s="30">
        <f>'Monthly Data'!U73</f>
        <v>2981</v>
      </c>
      <c r="H73" s="30">
        <f>'Monthly Data'!Y73</f>
        <v>1</v>
      </c>
      <c r="I73" s="30">
        <f>'Monthly Data'!AE73</f>
        <v>0</v>
      </c>
      <c r="J73" s="30">
        <f>'Monthly Data'!AF73</f>
        <v>0</v>
      </c>
      <c r="K73" s="30">
        <f>'Monthly Data'!AG73</f>
        <v>0</v>
      </c>
      <c r="M73" s="23">
        <f>'GS &lt; 50 OLS Model'!$B$5</f>
        <v>-4820550.2123392904</v>
      </c>
      <c r="N73" s="23">
        <f>'GS &lt; 50 OLS Model'!$B$6*D73</f>
        <v>1998486.6186525149</v>
      </c>
      <c r="O73" s="23">
        <f>'GS &lt; 50 OLS Model'!$B$7*E73</f>
        <v>0</v>
      </c>
      <c r="P73" s="23">
        <f>'GS &lt; 50 OLS Model'!$B$8*F73</f>
        <v>-528675.55002828862</v>
      </c>
      <c r="Q73" s="23">
        <f>'GS &lt; 50 OLS Model'!$B$9*G73</f>
        <v>10502566.394592058</v>
      </c>
      <c r="R73" s="23">
        <f>'GS &lt; 50 OLS Model'!$B$10*H73</f>
        <v>893150.55620657699</v>
      </c>
      <c r="S73" s="23">
        <f>'GS &lt; 50 OLS Model'!$B$11*I73</f>
        <v>0</v>
      </c>
      <c r="T73" s="23">
        <f>'GS &lt; 50 OLS Model'!$B$12*J73</f>
        <v>0</v>
      </c>
      <c r="U73" s="23">
        <f>'GS &lt; 50 OLS Model'!$B$13*K73</f>
        <v>0</v>
      </c>
      <c r="V73" s="23">
        <f t="shared" si="7"/>
        <v>8044977.8070835713</v>
      </c>
      <c r="W73" s="13">
        <f t="shared" si="6"/>
        <v>3.2220410195584678E-2</v>
      </c>
      <c r="X73" s="13">
        <f t="shared" si="8"/>
        <v>-3.2220410195584678E-2</v>
      </c>
    </row>
    <row r="74" spans="1:24" x14ac:dyDescent="0.25">
      <c r="W74" s="14">
        <f>AVERAGE(W2:W73)</f>
        <v>2.2174413179181111E-2</v>
      </c>
      <c r="X74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3.2" x14ac:dyDescent="0.25"/>
  <cols>
    <col min="1" max="1" width="22.109375" customWidth="1"/>
    <col min="2" max="2" width="14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172</v>
      </c>
    </row>
    <row r="2" spans="1:5" x14ac:dyDescent="0.25">
      <c r="A2" t="s">
        <v>78</v>
      </c>
    </row>
    <row r="4" spans="1:5" x14ac:dyDescent="0.25">
      <c r="B4" t="s">
        <v>47</v>
      </c>
      <c r="C4" t="s">
        <v>44</v>
      </c>
      <c r="D4" t="s">
        <v>48</v>
      </c>
      <c r="E4" t="s">
        <v>14</v>
      </c>
    </row>
    <row r="5" spans="1:5" x14ac:dyDescent="0.25">
      <c r="A5" t="s">
        <v>13</v>
      </c>
      <c r="B5" s="101">
        <v>-14985611.9194983</v>
      </c>
      <c r="C5">
        <v>8301060.8191585699</v>
      </c>
      <c r="D5">
        <v>-1.8052646819442699</v>
      </c>
      <c r="E5">
        <v>7.5968773999736103E-2</v>
      </c>
    </row>
    <row r="6" spans="1:5" x14ac:dyDescent="0.25">
      <c r="A6" t="s">
        <v>9</v>
      </c>
      <c r="B6" s="101">
        <v>7710.4155481453099</v>
      </c>
      <c r="C6">
        <v>523.06828384707899</v>
      </c>
      <c r="D6">
        <v>14.7407437733302</v>
      </c>
      <c r="E6" s="5">
        <v>9.0097995458594805E-22</v>
      </c>
    </row>
    <row r="7" spans="1:5" x14ac:dyDescent="0.25">
      <c r="A7" t="s">
        <v>10</v>
      </c>
      <c r="B7" s="101">
        <v>32420.9965891953</v>
      </c>
      <c r="C7">
        <v>2843.6392032639601</v>
      </c>
      <c r="D7">
        <v>11.4012342184558</v>
      </c>
      <c r="E7" s="5">
        <v>9.3267961536237595E-17</v>
      </c>
    </row>
    <row r="8" spans="1:5" x14ac:dyDescent="0.25">
      <c r="A8" t="s">
        <v>159</v>
      </c>
      <c r="B8" s="101">
        <v>5543.96192968583</v>
      </c>
      <c r="C8">
        <v>1315.9048790429599</v>
      </c>
      <c r="D8">
        <v>4.2130415488069799</v>
      </c>
      <c r="E8" s="5">
        <v>8.4493372916202196E-5</v>
      </c>
    </row>
    <row r="9" spans="1:5" x14ac:dyDescent="0.25">
      <c r="A9" s="12" t="s">
        <v>81</v>
      </c>
      <c r="B9" s="101">
        <v>-31159.123316906302</v>
      </c>
      <c r="C9">
        <v>10455.5892735459</v>
      </c>
      <c r="D9">
        <v>-2.98014033467663</v>
      </c>
      <c r="E9" s="5">
        <v>4.1330622085472904E-3</v>
      </c>
    </row>
    <row r="10" spans="1:5" x14ac:dyDescent="0.25">
      <c r="A10" t="s">
        <v>168</v>
      </c>
      <c r="B10" s="101">
        <v>-439218.30194811599</v>
      </c>
      <c r="C10">
        <v>180953.16922802699</v>
      </c>
      <c r="D10">
        <v>-2.4272484633559501</v>
      </c>
      <c r="E10">
        <v>1.81816902530955E-2</v>
      </c>
    </row>
    <row r="11" spans="1:5" x14ac:dyDescent="0.25">
      <c r="A11" t="s">
        <v>158</v>
      </c>
      <c r="B11" s="101">
        <v>-1629695.87956432</v>
      </c>
      <c r="C11">
        <v>289240.86370920099</v>
      </c>
      <c r="D11">
        <v>-5.6343901711025204</v>
      </c>
      <c r="E11" s="5">
        <v>4.7633793958289798E-7</v>
      </c>
    </row>
    <row r="12" spans="1:5" x14ac:dyDescent="0.25">
      <c r="A12" t="s">
        <v>30</v>
      </c>
      <c r="B12" s="101">
        <v>-1507735.557816</v>
      </c>
      <c r="C12">
        <v>213149.000388688</v>
      </c>
      <c r="D12">
        <v>-7.0736224662868299</v>
      </c>
      <c r="E12" s="5">
        <v>1.7315686970654999E-9</v>
      </c>
    </row>
    <row r="13" spans="1:5" x14ac:dyDescent="0.25">
      <c r="A13" t="s">
        <v>31</v>
      </c>
      <c r="B13" s="101">
        <v>-1602103.9965178701</v>
      </c>
      <c r="C13">
        <v>276498.19632480497</v>
      </c>
      <c r="D13">
        <v>-5.79426563287908</v>
      </c>
      <c r="E13" s="5">
        <v>2.5835559204792601E-7</v>
      </c>
    </row>
    <row r="14" spans="1:5" x14ac:dyDescent="0.25">
      <c r="A14" t="s">
        <v>32</v>
      </c>
      <c r="B14" s="101">
        <v>-1130663.3851056299</v>
      </c>
      <c r="C14">
        <v>224794.26249864401</v>
      </c>
      <c r="D14">
        <v>-5.0297697660875702</v>
      </c>
      <c r="E14" s="5">
        <v>4.6035045381641899E-6</v>
      </c>
    </row>
    <row r="15" spans="1:5" x14ac:dyDescent="0.25">
      <c r="A15" t="s">
        <v>45</v>
      </c>
      <c r="B15" s="101">
        <v>-1248171.7663678101</v>
      </c>
      <c r="C15">
        <v>353288.28081975901</v>
      </c>
      <c r="D15">
        <v>-3.5330120871023198</v>
      </c>
      <c r="E15">
        <v>7.8979984554715995E-4</v>
      </c>
    </row>
    <row r="16" spans="1:5" x14ac:dyDescent="0.25">
      <c r="B16" s="101"/>
    </row>
    <row r="17" spans="1:4" x14ac:dyDescent="0.25">
      <c r="A17" t="s">
        <v>49</v>
      </c>
      <c r="B17" s="101">
        <v>22834246.769081902</v>
      </c>
      <c r="C17" t="s">
        <v>50</v>
      </c>
      <c r="D17" s="30">
        <v>1972351.17912141</v>
      </c>
    </row>
    <row r="18" spans="1:4" x14ac:dyDescent="0.25">
      <c r="A18" t="s">
        <v>51</v>
      </c>
      <c r="B18">
        <v>11081561389966.699</v>
      </c>
      <c r="C18" t="s">
        <v>52</v>
      </c>
      <c r="D18" s="5">
        <v>426221.70383396302</v>
      </c>
    </row>
    <row r="19" spans="1:4" x14ac:dyDescent="0.25">
      <c r="A19" t="s">
        <v>15</v>
      </c>
      <c r="B19">
        <v>0.95987878098256696</v>
      </c>
      <c r="C19" t="s">
        <v>16</v>
      </c>
      <c r="D19">
        <v>0.95330153196331602</v>
      </c>
    </row>
    <row r="20" spans="1:4" x14ac:dyDescent="0.25">
      <c r="A20" t="s">
        <v>173</v>
      </c>
      <c r="B20">
        <v>145.93924879125601</v>
      </c>
      <c r="C20" t="s">
        <v>17</v>
      </c>
      <c r="D20" s="5">
        <v>1.06397317485593E-38</v>
      </c>
    </row>
    <row r="21" spans="1:4" x14ac:dyDescent="0.25">
      <c r="A21" t="s">
        <v>53</v>
      </c>
      <c r="B21">
        <v>-1029.5105275578501</v>
      </c>
      <c r="C21" t="s">
        <v>54</v>
      </c>
      <c r="D21">
        <v>2081.0210551157102</v>
      </c>
    </row>
    <row r="22" spans="1:4" x14ac:dyDescent="0.25">
      <c r="A22" t="s">
        <v>55</v>
      </c>
      <c r="B22">
        <v>2106.06438242488</v>
      </c>
      <c r="C22" t="s">
        <v>56</v>
      </c>
      <c r="D22">
        <v>2090.9908778775898</v>
      </c>
    </row>
    <row r="23" spans="1:4" x14ac:dyDescent="0.25">
      <c r="A23" t="s">
        <v>57</v>
      </c>
      <c r="B23">
        <v>0.105344201611261</v>
      </c>
      <c r="C23" t="s">
        <v>18</v>
      </c>
      <c r="D23">
        <v>1.77242966687744</v>
      </c>
    </row>
    <row r="24" spans="1:4" x14ac:dyDescent="0.25">
      <c r="A24" t="s">
        <v>165</v>
      </c>
      <c r="B24">
        <v>0.22614999999999999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topLeftCell="R1" workbookViewId="0">
      <selection activeCell="C2" sqref="C2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5" width="6" bestFit="1" customWidth="1"/>
    <col min="6" max="6" width="7.44140625" bestFit="1" customWidth="1"/>
    <col min="7" max="7" width="5.5546875" bestFit="1" customWidth="1"/>
    <col min="8" max="8" width="14.109375" bestFit="1" customWidth="1"/>
    <col min="9" max="9" width="4" bestFit="1" customWidth="1"/>
    <col min="10" max="10" width="6" bestFit="1" customWidth="1"/>
    <col min="11" max="12" width="6.109375" style="30" bestFit="1" customWidth="1"/>
    <col min="13" max="13" width="14.5546875" style="30" bestFit="1" customWidth="1"/>
    <col min="15" max="15" width="11.33203125" style="23" bestFit="1" customWidth="1"/>
    <col min="16" max="17" width="10.33203125" style="23" bestFit="1" customWidth="1"/>
    <col min="18" max="18" width="11.33203125" style="23" bestFit="1" customWidth="1"/>
    <col min="19" max="19" width="10.33203125" style="23" bestFit="1" customWidth="1"/>
    <col min="20" max="20" width="15.33203125" style="23" bestFit="1" customWidth="1"/>
    <col min="21" max="24" width="10.33203125" style="23" bestFit="1" customWidth="1"/>
    <col min="25" max="25" width="15.6640625" style="23" bestFit="1" customWidth="1"/>
    <col min="26" max="26" width="15.44140625" style="23" bestFit="1" customWidth="1"/>
    <col min="27" max="27" width="15.33203125" bestFit="1" customWidth="1"/>
  </cols>
  <sheetData>
    <row r="1" spans="1:27" x14ac:dyDescent="0.25">
      <c r="A1" s="11" t="str">
        <f>'Monthly Data'!A1</f>
        <v>Date</v>
      </c>
      <c r="B1" s="15" t="s">
        <v>33</v>
      </c>
      <c r="C1" t="str">
        <f>'Monthly Data'!H1</f>
        <v>GSgt50kWh</v>
      </c>
      <c r="D1" t="str">
        <f>'Monthly Data'!M1</f>
        <v>HDD</v>
      </c>
      <c r="E1" s="30" t="str">
        <f>'Monthly Data'!N1</f>
        <v>CDD</v>
      </c>
      <c r="F1" s="30" t="str">
        <f>'Monthly Data'!Q1</f>
        <v>OntFTE</v>
      </c>
      <c r="G1" s="30" t="str">
        <f>'Monthly Data'!S1</f>
        <v>Trend</v>
      </c>
      <c r="H1" s="30" t="str">
        <f>'Monthly Data'!Y1</f>
        <v>Reclassification</v>
      </c>
      <c r="I1" s="30" t="str">
        <f>'Monthly Data'!AE1</f>
        <v>Fall</v>
      </c>
      <c r="J1" s="30" t="str">
        <f>'Monthly Data'!AF1</f>
        <v>DFEB</v>
      </c>
      <c r="K1" s="30" t="str">
        <f>'Monthly Data'!AG1</f>
        <v>DAPR</v>
      </c>
      <c r="L1" s="30" t="str">
        <f>'Monthly Data'!AH1</f>
        <v>DDEC</v>
      </c>
      <c r="M1" s="30" t="str">
        <f>'Monthly Data'!AI1</f>
        <v>QueensSummer</v>
      </c>
      <c r="O1" s="23" t="str">
        <f>'GS &gt; 50 OLS Model'!$A$5</f>
        <v>const</v>
      </c>
      <c r="P1" s="23" t="str">
        <f>D1</f>
        <v>HDD</v>
      </c>
      <c r="Q1" s="23" t="str">
        <f t="shared" ref="Q1:Y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Reclassification</v>
      </c>
      <c r="U1" s="23" t="str">
        <f t="shared" si="0"/>
        <v>Fall</v>
      </c>
      <c r="V1" s="23" t="str">
        <f t="shared" si="0"/>
        <v>DFEB</v>
      </c>
      <c r="W1" s="23" t="str">
        <f t="shared" si="0"/>
        <v>DAPR</v>
      </c>
      <c r="X1" s="23" t="str">
        <f t="shared" si="0"/>
        <v>DDEC</v>
      </c>
      <c r="Y1" s="23" t="str">
        <f t="shared" si="0"/>
        <v>QueensSummer</v>
      </c>
      <c r="Z1" s="23" t="s">
        <v>58</v>
      </c>
      <c r="AA1" s="12" t="s">
        <v>59</v>
      </c>
    </row>
    <row r="2" spans="1:27" x14ac:dyDescent="0.25">
      <c r="A2" s="11">
        <f>'Monthly Data'!A2</f>
        <v>39814</v>
      </c>
      <c r="B2" s="6">
        <f>YEAR(A2)</f>
        <v>2009</v>
      </c>
      <c r="C2">
        <f>'Monthly Data'!H2</f>
        <v>27533756.625</v>
      </c>
      <c r="D2" s="30">
        <f>'Monthly Data'!M2</f>
        <v>887.09999999999991</v>
      </c>
      <c r="E2" s="30">
        <f>'Monthly Data'!N2</f>
        <v>0</v>
      </c>
      <c r="F2" s="30">
        <f>'Monthly Data'!Q2</f>
        <v>6506.5</v>
      </c>
      <c r="G2" s="30">
        <f>'Monthly Data'!S2</f>
        <v>1</v>
      </c>
      <c r="H2" s="30">
        <f>'Monthly Data'!Y2</f>
        <v>0</v>
      </c>
      <c r="I2" s="30">
        <f>'Monthly Data'!AE2</f>
        <v>0</v>
      </c>
      <c r="J2" s="30">
        <f>'Monthly Data'!AF2</f>
        <v>0</v>
      </c>
      <c r="K2" s="30">
        <f>'Monthly Data'!AG2</f>
        <v>0</v>
      </c>
      <c r="L2" s="30">
        <f>'Monthly Data'!AH2</f>
        <v>0</v>
      </c>
      <c r="M2" s="30">
        <f>'Monthly Data'!AI2</f>
        <v>0</v>
      </c>
      <c r="O2" s="23">
        <f>'GS &gt; 50 OLS Model'!$B$5</f>
        <v>-14985611.9194983</v>
      </c>
      <c r="P2" s="23">
        <f>'GS &gt; 50 OLS Model'!$B$6*D2</f>
        <v>6839909.6327597033</v>
      </c>
      <c r="Q2" s="23">
        <f>'GS &gt; 50 OLS Model'!$B$7*E2</f>
        <v>0</v>
      </c>
      <c r="R2" s="23">
        <f>'GS &gt; 50 OLS Model'!$B$8*F2</f>
        <v>36071788.295500852</v>
      </c>
      <c r="S2" s="23">
        <f>'GS &gt; 50 OLS Model'!$B$9*G2</f>
        <v>-31159.123316906302</v>
      </c>
      <c r="T2" s="23">
        <f>'GS &gt; 50 OLS Model'!$B$10*H2</f>
        <v>0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>SUM(O2:Y2)</f>
        <v>27894926.885445349</v>
      </c>
      <c r="AA2" s="13">
        <f>ABS(Z2-C2)/C2</f>
        <v>1.3117362275128663E-2</v>
      </c>
    </row>
    <row r="3" spans="1:27" x14ac:dyDescent="0.25">
      <c r="A3" s="11">
        <f>'Monthly Data'!A3</f>
        <v>39845</v>
      </c>
      <c r="B3" s="6">
        <f t="shared" ref="B3:B66" si="1">YEAR(A3)</f>
        <v>2009</v>
      </c>
      <c r="C3" s="30">
        <f>'Monthly Data'!H3</f>
        <v>24291631.503800005</v>
      </c>
      <c r="D3" s="30">
        <f>'Monthly Data'!M3</f>
        <v>653.80000000000007</v>
      </c>
      <c r="E3" s="30">
        <f>'Monthly Data'!N3</f>
        <v>0</v>
      </c>
      <c r="F3" s="30">
        <f>'Monthly Data'!Q3</f>
        <v>6436.2</v>
      </c>
      <c r="G3" s="30">
        <f>'Monthly Data'!S3</f>
        <v>2</v>
      </c>
      <c r="H3" s="30">
        <f>'Monthly Data'!Y3</f>
        <v>0</v>
      </c>
      <c r="I3" s="30">
        <f>'Monthly Data'!AE3</f>
        <v>0</v>
      </c>
      <c r="J3" s="30">
        <f>'Monthly Data'!AF3</f>
        <v>1</v>
      </c>
      <c r="K3" s="30">
        <f>'Monthly Data'!AG3</f>
        <v>0</v>
      </c>
      <c r="L3" s="30">
        <f>'Monthly Data'!AH3</f>
        <v>0</v>
      </c>
      <c r="M3" s="30">
        <f>'Monthly Data'!AI3</f>
        <v>0</v>
      </c>
      <c r="N3" s="30"/>
      <c r="O3" s="23">
        <f>'GS &gt; 50 OLS Model'!$B$5</f>
        <v>-14985611.9194983</v>
      </c>
      <c r="P3" s="23">
        <f>'GS &gt; 50 OLS Model'!$B$6*D3</f>
        <v>5041069.6853774041</v>
      </c>
      <c r="Q3" s="23">
        <f>'GS &gt; 50 OLS Model'!$B$7*E3</f>
        <v>0</v>
      </c>
      <c r="R3" s="23">
        <f>'GS &gt; 50 OLS Model'!$B$8*F3</f>
        <v>35682047.77184394</v>
      </c>
      <c r="S3" s="23">
        <f>'GS &gt; 50 OLS Model'!$B$9*G3</f>
        <v>-62318.246633812603</v>
      </c>
      <c r="T3" s="23">
        <f>'GS &gt; 50 OLS Model'!$B$10*H3</f>
        <v>0</v>
      </c>
      <c r="U3" s="23">
        <f>'GS &gt; 50 OLS Model'!$B$11*I3</f>
        <v>0</v>
      </c>
      <c r="V3" s="23">
        <f>'GS &gt; 50 OLS Model'!$B$12*J3</f>
        <v>-1507735.557816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si="2">SUM(O3:Y3)</f>
        <v>24167451.73327323</v>
      </c>
      <c r="AA3" s="13">
        <f t="shared" ref="AA3:AA66" si="3">ABS(Z3-C3)/C3</f>
        <v>5.1120391196181475E-3</v>
      </c>
    </row>
    <row r="4" spans="1:27" x14ac:dyDescent="0.25">
      <c r="A4" s="11">
        <f>'Monthly Data'!A4</f>
        <v>39873</v>
      </c>
      <c r="B4" s="6">
        <f t="shared" si="1"/>
        <v>2009</v>
      </c>
      <c r="C4" s="30">
        <f>'Monthly Data'!H4</f>
        <v>24586605.8006</v>
      </c>
      <c r="D4" s="30">
        <f>'Monthly Data'!M4</f>
        <v>555.60000000000014</v>
      </c>
      <c r="E4" s="30">
        <f>'Monthly Data'!N4</f>
        <v>0</v>
      </c>
      <c r="F4" s="30">
        <f>'Monthly Data'!Q4</f>
        <v>6363.8</v>
      </c>
      <c r="G4" s="30">
        <f>'Monthly Data'!S4</f>
        <v>3</v>
      </c>
      <c r="H4" s="30">
        <f>'Monthly Data'!Y4</f>
        <v>0</v>
      </c>
      <c r="I4" s="30">
        <f>'Monthly Data'!AE4</f>
        <v>0</v>
      </c>
      <c r="J4" s="30">
        <f>'Monthly Data'!AF4</f>
        <v>0</v>
      </c>
      <c r="K4" s="30">
        <f>'Monthly Data'!AG4</f>
        <v>0</v>
      </c>
      <c r="L4" s="30">
        <f>'Monthly Data'!AH4</f>
        <v>0</v>
      </c>
      <c r="M4" s="30">
        <f>'Monthly Data'!AI4</f>
        <v>0</v>
      </c>
      <c r="N4" s="30"/>
      <c r="O4" s="23">
        <f>'GS &gt; 50 OLS Model'!$B$5</f>
        <v>-14985611.9194983</v>
      </c>
      <c r="P4" s="23">
        <f>'GS &gt; 50 OLS Model'!$B$6*D4</f>
        <v>4283906.8785495348</v>
      </c>
      <c r="Q4" s="23">
        <f>'GS &gt; 50 OLS Model'!$B$7*E4</f>
        <v>0</v>
      </c>
      <c r="R4" s="23">
        <f>'GS &gt; 50 OLS Model'!$B$8*F4</f>
        <v>35280664.928134687</v>
      </c>
      <c r="S4" s="23">
        <f>'GS &gt; 50 OLS Model'!$B$9*G4</f>
        <v>-93477.369950718901</v>
      </c>
      <c r="T4" s="23">
        <f>'GS &gt; 50 OLS Model'!$B$10*H4</f>
        <v>0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si="2"/>
        <v>24485482.517235205</v>
      </c>
      <c r="AA4" s="13">
        <f t="shared" si="3"/>
        <v>4.112941989021005E-3</v>
      </c>
    </row>
    <row r="5" spans="1:27" x14ac:dyDescent="0.25">
      <c r="A5" s="11">
        <f>'Monthly Data'!A5</f>
        <v>39904</v>
      </c>
      <c r="B5" s="6">
        <f t="shared" si="1"/>
        <v>2009</v>
      </c>
      <c r="C5" s="30">
        <f>'Monthly Data'!H5</f>
        <v>21089323.380000003</v>
      </c>
      <c r="D5" s="30">
        <f>'Monthly Data'!M5</f>
        <v>326.29999999999995</v>
      </c>
      <c r="E5" s="30">
        <f>'Monthly Data'!N5</f>
        <v>0.8</v>
      </c>
      <c r="F5" s="30">
        <f>'Monthly Data'!Q5</f>
        <v>6359.6</v>
      </c>
      <c r="G5" s="30">
        <f>'Monthly Data'!S5</f>
        <v>4</v>
      </c>
      <c r="H5" s="30">
        <f>'Monthly Data'!Y5</f>
        <v>0</v>
      </c>
      <c r="I5" s="30">
        <f>'Monthly Data'!AE5</f>
        <v>0</v>
      </c>
      <c r="J5" s="30">
        <f>'Monthly Data'!AF5</f>
        <v>0</v>
      </c>
      <c r="K5" s="30">
        <f>'Monthly Data'!AG5</f>
        <v>1</v>
      </c>
      <c r="L5" s="30">
        <f>'Monthly Data'!AH5</f>
        <v>0</v>
      </c>
      <c r="M5" s="30">
        <f>'Monthly Data'!AI5</f>
        <v>0</v>
      </c>
      <c r="N5" s="30"/>
      <c r="O5" s="23">
        <f>'GS &gt; 50 OLS Model'!$B$5</f>
        <v>-14985611.9194983</v>
      </c>
      <c r="P5" s="23">
        <f>'GS &gt; 50 OLS Model'!$B$6*D5</f>
        <v>2515908.5933598145</v>
      </c>
      <c r="Q5" s="23">
        <f>'GS &gt; 50 OLS Model'!$B$7*E5</f>
        <v>25936.797271356241</v>
      </c>
      <c r="R5" s="23">
        <f>'GS &gt; 50 OLS Model'!$B$8*F5</f>
        <v>35257380.288030006</v>
      </c>
      <c r="S5" s="23">
        <f>'GS &gt; 50 OLS Model'!$B$9*G5</f>
        <v>-124636.49326762521</v>
      </c>
      <c r="T5" s="23">
        <f>'GS &gt; 50 OLS Model'!$B$10*H5</f>
        <v>0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-1602103.9965178701</v>
      </c>
      <c r="X5" s="23">
        <f>'GS &gt; 50 OLS Model'!$B$14*L5</f>
        <v>0</v>
      </c>
      <c r="Y5" s="23">
        <f>'GS &gt; 50 OLS Model'!$B$15*M5</f>
        <v>0</v>
      </c>
      <c r="Z5" s="23">
        <f t="shared" si="2"/>
        <v>21086873.269377381</v>
      </c>
      <c r="AA5" s="13">
        <f t="shared" si="3"/>
        <v>1.1617777291734395E-4</v>
      </c>
    </row>
    <row r="6" spans="1:27" x14ac:dyDescent="0.25">
      <c r="A6" s="11">
        <f>'Monthly Data'!A6</f>
        <v>39934</v>
      </c>
      <c r="B6" s="6">
        <f t="shared" si="1"/>
        <v>2009</v>
      </c>
      <c r="C6" s="30">
        <f>'Monthly Data'!H6</f>
        <v>19975230.055300001</v>
      </c>
      <c r="D6" s="30">
        <f>'Monthly Data'!M6</f>
        <v>165.29999999999995</v>
      </c>
      <c r="E6" s="30">
        <f>'Monthly Data'!N6</f>
        <v>0</v>
      </c>
      <c r="F6" s="30">
        <f>'Monthly Data'!Q6</f>
        <v>6382.1</v>
      </c>
      <c r="G6" s="30">
        <f>'Monthly Data'!S6</f>
        <v>5</v>
      </c>
      <c r="H6" s="30">
        <f>'Monthly Data'!Y6</f>
        <v>0</v>
      </c>
      <c r="I6" s="30">
        <f>'Monthly Data'!AE6</f>
        <v>0</v>
      </c>
      <c r="J6" s="30">
        <f>'Monthly Data'!AF6</f>
        <v>0</v>
      </c>
      <c r="K6" s="30">
        <f>'Monthly Data'!AG6</f>
        <v>0</v>
      </c>
      <c r="L6" s="30">
        <f>'Monthly Data'!AH6</f>
        <v>0</v>
      </c>
      <c r="M6" s="30">
        <f>'Monthly Data'!AI6</f>
        <v>1</v>
      </c>
      <c r="N6" s="30"/>
      <c r="O6" s="23">
        <f>'GS &gt; 50 OLS Model'!$B$5</f>
        <v>-14985611.9194983</v>
      </c>
      <c r="P6" s="23">
        <f>'GS &gt; 50 OLS Model'!$B$6*D6</f>
        <v>1274531.6901084194</v>
      </c>
      <c r="Q6" s="23">
        <f>'GS &gt; 50 OLS Model'!$B$7*E6</f>
        <v>0</v>
      </c>
      <c r="R6" s="23">
        <f>'GS &gt; 50 OLS Model'!$B$8*F6</f>
        <v>35382119.431447938</v>
      </c>
      <c r="S6" s="23">
        <f>'GS &gt; 50 OLS Model'!$B$9*G6</f>
        <v>-155795.6165845315</v>
      </c>
      <c r="T6" s="23">
        <f>'GS &gt; 50 OLS Model'!$B$10*H6</f>
        <v>0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-1248171.7663678101</v>
      </c>
      <c r="Z6" s="23">
        <f t="shared" si="2"/>
        <v>20267071.819105715</v>
      </c>
      <c r="AA6" s="13">
        <f t="shared" si="3"/>
        <v>1.4610182861362316E-2</v>
      </c>
    </row>
    <row r="7" spans="1:27" x14ac:dyDescent="0.25">
      <c r="A7" s="11">
        <f>'Monthly Data'!A7</f>
        <v>39965</v>
      </c>
      <c r="B7" s="6">
        <f t="shared" si="1"/>
        <v>2009</v>
      </c>
      <c r="C7" s="30">
        <f>'Monthly Data'!H7</f>
        <v>20048133.696800001</v>
      </c>
      <c r="D7" s="30">
        <f>'Monthly Data'!M7</f>
        <v>59.20000000000001</v>
      </c>
      <c r="E7" s="30">
        <f>'Monthly Data'!N7</f>
        <v>32.6</v>
      </c>
      <c r="F7" s="30">
        <f>'Monthly Data'!Q7</f>
        <v>6429.4</v>
      </c>
      <c r="G7" s="30">
        <f>'Monthly Data'!S7</f>
        <v>6</v>
      </c>
      <c r="H7" s="30">
        <f>'Monthly Data'!Y7</f>
        <v>0</v>
      </c>
      <c r="I7" s="30">
        <f>'Monthly Data'!AE7</f>
        <v>0</v>
      </c>
      <c r="J7" s="30">
        <f>'Monthly Data'!AF7</f>
        <v>0</v>
      </c>
      <c r="K7" s="30">
        <f>'Monthly Data'!AG7</f>
        <v>0</v>
      </c>
      <c r="L7" s="30">
        <f>'Monthly Data'!AH7</f>
        <v>0</v>
      </c>
      <c r="M7" s="30">
        <f>'Monthly Data'!AI7</f>
        <v>1</v>
      </c>
      <c r="N7" s="30"/>
      <c r="O7" s="23">
        <f>'GS &gt; 50 OLS Model'!$B$5</f>
        <v>-14985611.9194983</v>
      </c>
      <c r="P7" s="23">
        <f>'GS &gt; 50 OLS Model'!$B$6*D7</f>
        <v>456456.60045020242</v>
      </c>
      <c r="Q7" s="23">
        <f>'GS &gt; 50 OLS Model'!$B$7*E7</f>
        <v>1056924.4888077669</v>
      </c>
      <c r="R7" s="23">
        <f>'GS &gt; 50 OLS Model'!$B$8*F7</f>
        <v>35644348.830722071</v>
      </c>
      <c r="S7" s="23">
        <f>'GS &gt; 50 OLS Model'!$B$9*G7</f>
        <v>-186954.7399014378</v>
      </c>
      <c r="T7" s="23">
        <f>'GS &gt; 50 OLS Model'!$B$10*H7</f>
        <v>0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-1248171.7663678101</v>
      </c>
      <c r="Z7" s="23">
        <f t="shared" si="2"/>
        <v>20736991.49421249</v>
      </c>
      <c r="AA7" s="13">
        <f t="shared" si="3"/>
        <v>3.4360195708513314E-2</v>
      </c>
    </row>
    <row r="8" spans="1:27" x14ac:dyDescent="0.25">
      <c r="A8" s="11">
        <f>'Monthly Data'!A8</f>
        <v>39995</v>
      </c>
      <c r="B8" s="6">
        <f t="shared" si="1"/>
        <v>2009</v>
      </c>
      <c r="C8" s="30">
        <f>'Monthly Data'!H8</f>
        <v>21499529.221799999</v>
      </c>
      <c r="D8" s="30">
        <f>'Monthly Data'!M8</f>
        <v>11.799999999999999</v>
      </c>
      <c r="E8" s="30">
        <f>'Monthly Data'!N8</f>
        <v>35.6</v>
      </c>
      <c r="F8" s="30">
        <f>'Monthly Data'!Q8</f>
        <v>6467</v>
      </c>
      <c r="G8" s="30">
        <f>'Monthly Data'!S8</f>
        <v>7</v>
      </c>
      <c r="H8" s="30">
        <f>'Monthly Data'!Y8</f>
        <v>0</v>
      </c>
      <c r="I8" s="30">
        <f>'Monthly Data'!AE8</f>
        <v>0</v>
      </c>
      <c r="J8" s="30">
        <f>'Monthly Data'!AF8</f>
        <v>0</v>
      </c>
      <c r="K8" s="30">
        <f>'Monthly Data'!AG8</f>
        <v>0</v>
      </c>
      <c r="L8" s="30">
        <f>'Monthly Data'!AH8</f>
        <v>0</v>
      </c>
      <c r="M8" s="30">
        <f>'Monthly Data'!AI8</f>
        <v>1</v>
      </c>
      <c r="N8" s="30"/>
      <c r="O8" s="23">
        <f>'GS &gt; 50 OLS Model'!$B$5</f>
        <v>-14985611.9194983</v>
      </c>
      <c r="P8" s="23">
        <f>'GS &gt; 50 OLS Model'!$B$6*D8</f>
        <v>90982.903468114644</v>
      </c>
      <c r="Q8" s="23">
        <f>'GS &gt; 50 OLS Model'!$B$7*E8</f>
        <v>1154187.4785753528</v>
      </c>
      <c r="R8" s="23">
        <f>'GS &gt; 50 OLS Model'!$B$8*F8</f>
        <v>35852801.799278259</v>
      </c>
      <c r="S8" s="23">
        <f>'GS &gt; 50 OLS Model'!$B$9*G8</f>
        <v>-218113.86321834411</v>
      </c>
      <c r="T8" s="23">
        <f>'GS &gt; 50 OLS Model'!$B$10*H8</f>
        <v>0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-1248171.7663678101</v>
      </c>
      <c r="Z8" s="23">
        <f t="shared" si="2"/>
        <v>20646074.63223727</v>
      </c>
      <c r="AA8" s="13">
        <f t="shared" si="3"/>
        <v>3.9696431524525982E-2</v>
      </c>
    </row>
    <row r="9" spans="1:27" x14ac:dyDescent="0.25">
      <c r="A9" s="11">
        <f>'Monthly Data'!A9</f>
        <v>40026</v>
      </c>
      <c r="B9" s="6">
        <f t="shared" si="1"/>
        <v>2009</v>
      </c>
      <c r="C9" s="30">
        <f>'Monthly Data'!H9</f>
        <v>22275252.256499998</v>
      </c>
      <c r="D9" s="30">
        <f>'Monthly Data'!M9</f>
        <v>20.6</v>
      </c>
      <c r="E9" s="30">
        <f>'Monthly Data'!N9</f>
        <v>85.199999999999989</v>
      </c>
      <c r="F9" s="30">
        <f>'Monthly Data'!Q9</f>
        <v>6487.6</v>
      </c>
      <c r="G9" s="30">
        <f>'Monthly Data'!S9</f>
        <v>8</v>
      </c>
      <c r="H9" s="30">
        <f>'Monthly Data'!Y9</f>
        <v>0</v>
      </c>
      <c r="I9" s="30">
        <f>'Monthly Data'!AE9</f>
        <v>0</v>
      </c>
      <c r="J9" s="30">
        <f>'Monthly Data'!AF9</f>
        <v>0</v>
      </c>
      <c r="K9" s="30">
        <f>'Monthly Data'!AG9</f>
        <v>0</v>
      </c>
      <c r="L9" s="30">
        <f>'Monthly Data'!AH9</f>
        <v>0</v>
      </c>
      <c r="M9" s="30">
        <f>'Monthly Data'!AI9</f>
        <v>1</v>
      </c>
      <c r="N9" s="30"/>
      <c r="O9" s="23">
        <f>'GS &gt; 50 OLS Model'!$B$5</f>
        <v>-14985611.9194983</v>
      </c>
      <c r="P9" s="23">
        <f>'GS &gt; 50 OLS Model'!$B$6*D9</f>
        <v>158834.5602917934</v>
      </c>
      <c r="Q9" s="23">
        <f>'GS &gt; 50 OLS Model'!$B$7*E9</f>
        <v>2762268.9093994391</v>
      </c>
      <c r="R9" s="23">
        <f>'GS &gt; 50 OLS Model'!$B$8*F9</f>
        <v>35967007.415029794</v>
      </c>
      <c r="S9" s="23">
        <f>'GS &gt; 50 OLS Model'!$B$9*G9</f>
        <v>-249272.98653525041</v>
      </c>
      <c r="T9" s="23">
        <f>'GS &gt; 50 OLS Model'!$B$10*H9</f>
        <v>0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-1248171.7663678101</v>
      </c>
      <c r="Z9" s="23">
        <f t="shared" si="2"/>
        <v>22405054.212319661</v>
      </c>
      <c r="AA9" s="13">
        <f t="shared" si="3"/>
        <v>5.8271823063995153E-3</v>
      </c>
    </row>
    <row r="10" spans="1:27" x14ac:dyDescent="0.25">
      <c r="A10" s="11">
        <f>'Monthly Data'!A10</f>
        <v>40057</v>
      </c>
      <c r="B10" s="6">
        <f t="shared" si="1"/>
        <v>2009</v>
      </c>
      <c r="C10" s="30">
        <f>'Monthly Data'!H10</f>
        <v>20599806.352499999</v>
      </c>
      <c r="D10" s="30">
        <f>'Monthly Data'!M10</f>
        <v>100.9</v>
      </c>
      <c r="E10" s="30">
        <f>'Monthly Data'!N10</f>
        <v>4.5999999999999996</v>
      </c>
      <c r="F10" s="30">
        <f>'Monthly Data'!Q10</f>
        <v>6470.2</v>
      </c>
      <c r="G10" s="30">
        <f>'Monthly Data'!S10</f>
        <v>9</v>
      </c>
      <c r="H10" s="30">
        <f>'Monthly Data'!Y10</f>
        <v>0</v>
      </c>
      <c r="I10" s="30">
        <f>'Monthly Data'!AE10</f>
        <v>1</v>
      </c>
      <c r="J10" s="30">
        <f>'Monthly Data'!AF10</f>
        <v>0</v>
      </c>
      <c r="K10" s="30">
        <f>'Monthly Data'!AG10</f>
        <v>0</v>
      </c>
      <c r="L10" s="30">
        <f>'Monthly Data'!AH10</f>
        <v>0</v>
      </c>
      <c r="M10" s="30">
        <f>'Monthly Data'!AI10</f>
        <v>0</v>
      </c>
      <c r="N10" s="30"/>
      <c r="O10" s="23">
        <f>'GS &gt; 50 OLS Model'!$B$5</f>
        <v>-14985611.9194983</v>
      </c>
      <c r="P10" s="23">
        <f>'GS &gt; 50 OLS Model'!$B$6*D10</f>
        <v>777980.92880786187</v>
      </c>
      <c r="Q10" s="23">
        <f>'GS &gt; 50 OLS Model'!$B$7*E10</f>
        <v>149136.58431029838</v>
      </c>
      <c r="R10" s="23">
        <f>'GS &gt; 50 OLS Model'!$B$8*F10</f>
        <v>35870542.477453254</v>
      </c>
      <c r="S10" s="23">
        <f>'GS &gt; 50 OLS Model'!$B$9*G10</f>
        <v>-280432.10985215672</v>
      </c>
      <c r="T10" s="23">
        <f>'GS &gt; 50 OLS Model'!$B$10*H10</f>
        <v>0</v>
      </c>
      <c r="U10" s="23">
        <f>'GS &gt; 50 OLS Model'!$B$11*I10</f>
        <v>-1629695.87956432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si="2"/>
        <v>19901920.081656639</v>
      </c>
      <c r="AA10" s="13">
        <f t="shared" si="3"/>
        <v>3.3878292781070969E-2</v>
      </c>
    </row>
    <row r="11" spans="1:27" x14ac:dyDescent="0.25">
      <c r="A11" s="11">
        <f>'Monthly Data'!A11</f>
        <v>40087</v>
      </c>
      <c r="B11" s="6">
        <f t="shared" si="1"/>
        <v>2009</v>
      </c>
      <c r="C11" s="30">
        <f>'Monthly Data'!H11</f>
        <v>21874263.0603</v>
      </c>
      <c r="D11" s="30">
        <f>'Monthly Data'!M11</f>
        <v>330.19999999999993</v>
      </c>
      <c r="E11" s="30">
        <f>'Monthly Data'!N11</f>
        <v>0</v>
      </c>
      <c r="F11" s="30">
        <f>'Monthly Data'!Q11</f>
        <v>6472.1</v>
      </c>
      <c r="G11" s="30">
        <f>'Monthly Data'!S11</f>
        <v>10</v>
      </c>
      <c r="H11" s="30">
        <f>'Monthly Data'!Y11</f>
        <v>0</v>
      </c>
      <c r="I11" s="30">
        <f>'Monthly Data'!AE11</f>
        <v>1</v>
      </c>
      <c r="J11" s="30">
        <f>'Monthly Data'!AF11</f>
        <v>0</v>
      </c>
      <c r="K11" s="30">
        <f>'Monthly Data'!AG11</f>
        <v>0</v>
      </c>
      <c r="L11" s="30">
        <f>'Monthly Data'!AH11</f>
        <v>0</v>
      </c>
      <c r="M11" s="30">
        <f>'Monthly Data'!AI11</f>
        <v>0</v>
      </c>
      <c r="N11" s="30"/>
      <c r="O11" s="23">
        <f>'GS &gt; 50 OLS Model'!$B$5</f>
        <v>-14985611.9194983</v>
      </c>
      <c r="P11" s="23">
        <f>'GS &gt; 50 OLS Model'!$B$6*D11</f>
        <v>2545979.2139975806</v>
      </c>
      <c r="Q11" s="23">
        <f>'GS &gt; 50 OLS Model'!$B$7*E11</f>
        <v>0</v>
      </c>
      <c r="R11" s="23">
        <f>'GS &gt; 50 OLS Model'!$B$8*F11</f>
        <v>35881076.005119659</v>
      </c>
      <c r="S11" s="23">
        <f>'GS &gt; 50 OLS Model'!$B$9*G11</f>
        <v>-311591.23316906299</v>
      </c>
      <c r="T11" s="23">
        <f>'GS &gt; 50 OLS Model'!$B$10*H11</f>
        <v>0</v>
      </c>
      <c r="U11" s="23">
        <f>'GS &gt; 50 OLS Model'!$B$11*I11</f>
        <v>-1629695.87956432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si="2"/>
        <v>21500156.186885554</v>
      </c>
      <c r="AA11" s="13">
        <f t="shared" si="3"/>
        <v>1.7102604662984924E-2</v>
      </c>
    </row>
    <row r="12" spans="1:27" x14ac:dyDescent="0.25">
      <c r="A12" s="11">
        <f>'Monthly Data'!A12</f>
        <v>40118</v>
      </c>
      <c r="B12" s="6">
        <f t="shared" si="1"/>
        <v>2009</v>
      </c>
      <c r="C12" s="30">
        <f>'Monthly Data'!H12</f>
        <v>22191761.7973</v>
      </c>
      <c r="D12" s="30">
        <f>'Monthly Data'!M12</f>
        <v>384.49999999999989</v>
      </c>
      <c r="E12" s="30">
        <f>'Monthly Data'!N12</f>
        <v>0</v>
      </c>
      <c r="F12" s="30">
        <f>'Monthly Data'!Q12</f>
        <v>6465.6</v>
      </c>
      <c r="G12" s="30">
        <f>'Monthly Data'!S12</f>
        <v>11</v>
      </c>
      <c r="H12" s="30">
        <f>'Monthly Data'!Y12</f>
        <v>0</v>
      </c>
      <c r="I12" s="30">
        <f>'Monthly Data'!AE12</f>
        <v>1</v>
      </c>
      <c r="J12" s="30">
        <f>'Monthly Data'!AF12</f>
        <v>0</v>
      </c>
      <c r="K12" s="30">
        <f>'Monthly Data'!AG12</f>
        <v>0</v>
      </c>
      <c r="L12" s="30">
        <f>'Monthly Data'!AH12</f>
        <v>0</v>
      </c>
      <c r="M12" s="30">
        <f>'Monthly Data'!AI12</f>
        <v>0</v>
      </c>
      <c r="N12" s="30"/>
      <c r="O12" s="23">
        <f>'GS &gt; 50 OLS Model'!$B$5</f>
        <v>-14985611.9194983</v>
      </c>
      <c r="P12" s="23">
        <f>'GS &gt; 50 OLS Model'!$B$6*D12</f>
        <v>2964654.7782618706</v>
      </c>
      <c r="Q12" s="23">
        <f>'GS &gt; 50 OLS Model'!$B$7*E12</f>
        <v>0</v>
      </c>
      <c r="R12" s="23">
        <f>'GS &gt; 50 OLS Model'!$B$8*F12</f>
        <v>35845040.252576701</v>
      </c>
      <c r="S12" s="23">
        <f>'GS &gt; 50 OLS Model'!$B$9*G12</f>
        <v>-342750.35648596933</v>
      </c>
      <c r="T12" s="23">
        <f>'GS &gt; 50 OLS Model'!$B$10*H12</f>
        <v>0</v>
      </c>
      <c r="U12" s="23">
        <f>'GS &gt; 50 OLS Model'!$B$11*I12</f>
        <v>-1629695.87956432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si="2"/>
        <v>21851636.87528998</v>
      </c>
      <c r="AA12" s="13">
        <f t="shared" si="3"/>
        <v>1.5326629995253523E-2</v>
      </c>
    </row>
    <row r="13" spans="1:27" x14ac:dyDescent="0.25">
      <c r="A13" s="11">
        <f>'Monthly Data'!A13</f>
        <v>40148</v>
      </c>
      <c r="B13" s="6">
        <f t="shared" si="1"/>
        <v>2009</v>
      </c>
      <c r="C13" s="30">
        <f>'Monthly Data'!H13</f>
        <v>24151995.9263</v>
      </c>
      <c r="D13" s="30">
        <f>'Monthly Data'!M13</f>
        <v>696.79999999999984</v>
      </c>
      <c r="E13" s="30">
        <f>'Monthly Data'!N13</f>
        <v>0</v>
      </c>
      <c r="F13" s="30">
        <f>'Monthly Data'!Q13</f>
        <v>6467.5</v>
      </c>
      <c r="G13" s="30">
        <f>'Monthly Data'!S13</f>
        <v>12</v>
      </c>
      <c r="H13" s="30">
        <f>'Monthly Data'!Y13</f>
        <v>0</v>
      </c>
      <c r="I13" s="30">
        <f>'Monthly Data'!AE13</f>
        <v>0</v>
      </c>
      <c r="J13" s="30">
        <f>'Monthly Data'!AF13</f>
        <v>0</v>
      </c>
      <c r="K13" s="30">
        <f>'Monthly Data'!AG13</f>
        <v>0</v>
      </c>
      <c r="L13" s="30">
        <f>'Monthly Data'!AH13</f>
        <v>1</v>
      </c>
      <c r="M13" s="30">
        <f>'Monthly Data'!AI13</f>
        <v>0</v>
      </c>
      <c r="N13" s="30"/>
      <c r="O13" s="23">
        <f>'GS &gt; 50 OLS Model'!$B$5</f>
        <v>-14985611.9194983</v>
      </c>
      <c r="P13" s="23">
        <f>'GS &gt; 50 OLS Model'!$B$6*D13</f>
        <v>5372617.5539476508</v>
      </c>
      <c r="Q13" s="23">
        <f>'GS &gt; 50 OLS Model'!$B$7*E13</f>
        <v>0</v>
      </c>
      <c r="R13" s="23">
        <f>'GS &gt; 50 OLS Model'!$B$8*F13</f>
        <v>35855573.780243106</v>
      </c>
      <c r="S13" s="23">
        <f>'GS &gt; 50 OLS Model'!$B$9*G13</f>
        <v>-373909.4798028756</v>
      </c>
      <c r="T13" s="23">
        <f>'GS &gt; 50 OLS Model'!$B$10*H13</f>
        <v>0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-1130663.3851056299</v>
      </c>
      <c r="Y13" s="23">
        <f>'GS &gt; 50 OLS Model'!$B$15*M13</f>
        <v>0</v>
      </c>
      <c r="Z13" s="23">
        <f t="shared" si="2"/>
        <v>24738006.549783953</v>
      </c>
      <c r="AA13" s="13">
        <f t="shared" si="3"/>
        <v>2.4263444945592405E-2</v>
      </c>
    </row>
    <row r="14" spans="1:27" x14ac:dyDescent="0.25">
      <c r="A14" s="11">
        <f>'Monthly Data'!A14</f>
        <v>40179</v>
      </c>
      <c r="B14" s="6">
        <f t="shared" si="1"/>
        <v>2010</v>
      </c>
      <c r="C14" s="30">
        <f>'Monthly Data'!H14</f>
        <v>27078016.2597</v>
      </c>
      <c r="D14" s="30">
        <f>'Monthly Data'!M14</f>
        <v>750.59999999999991</v>
      </c>
      <c r="E14" s="30">
        <f>'Monthly Data'!N14</f>
        <v>0</v>
      </c>
      <c r="F14" s="30">
        <f>'Monthly Data'!Q14</f>
        <v>6434.5</v>
      </c>
      <c r="G14" s="30">
        <f>'Monthly Data'!S14</f>
        <v>13</v>
      </c>
      <c r="H14" s="30">
        <f>'Monthly Data'!Y14</f>
        <v>0</v>
      </c>
      <c r="I14" s="30">
        <f>'Monthly Data'!AE14</f>
        <v>0</v>
      </c>
      <c r="J14" s="30">
        <f>'Monthly Data'!AF14</f>
        <v>0</v>
      </c>
      <c r="K14" s="30">
        <f>'Monthly Data'!AG14</f>
        <v>0</v>
      </c>
      <c r="L14" s="30">
        <f>'Monthly Data'!AH14</f>
        <v>0</v>
      </c>
      <c r="M14" s="30">
        <f>'Monthly Data'!AI14</f>
        <v>0</v>
      </c>
      <c r="N14" s="30"/>
      <c r="O14" s="23">
        <f>'GS &gt; 50 OLS Model'!$B$5</f>
        <v>-14985611.9194983</v>
      </c>
      <c r="P14" s="23">
        <f>'GS &gt; 50 OLS Model'!$B$6*D14</f>
        <v>5787437.9104378689</v>
      </c>
      <c r="Q14" s="23">
        <f>'GS &gt; 50 OLS Model'!$B$7*E14</f>
        <v>0</v>
      </c>
      <c r="R14" s="23">
        <f>'GS &gt; 50 OLS Model'!$B$8*F14</f>
        <v>35672623.036563471</v>
      </c>
      <c r="S14" s="23">
        <f>'GS &gt; 50 OLS Model'!$B$9*G14</f>
        <v>-405068.60311978194</v>
      </c>
      <c r="T14" s="23">
        <f>'GS &gt; 50 OLS Model'!$B$10*H14</f>
        <v>0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si="2"/>
        <v>26069380.424383257</v>
      </c>
      <c r="AA14" s="13">
        <f t="shared" si="3"/>
        <v>3.7249251409080822E-2</v>
      </c>
    </row>
    <row r="15" spans="1:27" x14ac:dyDescent="0.25">
      <c r="A15" s="11">
        <f>'Monthly Data'!A15</f>
        <v>40210</v>
      </c>
      <c r="B15" s="6">
        <f t="shared" si="1"/>
        <v>2010</v>
      </c>
      <c r="C15" s="30">
        <f>'Monthly Data'!H15</f>
        <v>23463051.8583</v>
      </c>
      <c r="D15" s="30">
        <f>'Monthly Data'!M15</f>
        <v>620.40000000000009</v>
      </c>
      <c r="E15" s="30">
        <f>'Monthly Data'!N15</f>
        <v>0</v>
      </c>
      <c r="F15" s="30">
        <f>'Monthly Data'!Q15</f>
        <v>6404.1</v>
      </c>
      <c r="G15" s="30">
        <f>'Monthly Data'!S15</f>
        <v>14</v>
      </c>
      <c r="H15" s="30">
        <f>'Monthly Data'!Y15</f>
        <v>0</v>
      </c>
      <c r="I15" s="30">
        <f>'Monthly Data'!AE15</f>
        <v>0</v>
      </c>
      <c r="J15" s="30">
        <f>'Monthly Data'!AF15</f>
        <v>1</v>
      </c>
      <c r="K15" s="30">
        <f>'Monthly Data'!AG15</f>
        <v>0</v>
      </c>
      <c r="L15" s="30">
        <f>'Monthly Data'!AH15</f>
        <v>0</v>
      </c>
      <c r="M15" s="30">
        <f>'Monthly Data'!AI15</f>
        <v>0</v>
      </c>
      <c r="N15" s="30"/>
      <c r="O15" s="23">
        <f>'GS &gt; 50 OLS Model'!$B$5</f>
        <v>-14985611.9194983</v>
      </c>
      <c r="P15" s="23">
        <f>'GS &gt; 50 OLS Model'!$B$6*D15</f>
        <v>4783541.8060693508</v>
      </c>
      <c r="Q15" s="23">
        <f>'GS &gt; 50 OLS Model'!$B$7*E15</f>
        <v>0</v>
      </c>
      <c r="R15" s="23">
        <f>'GS &gt; 50 OLS Model'!$B$8*F15</f>
        <v>35504086.593901023</v>
      </c>
      <c r="S15" s="23">
        <f>'GS &gt; 50 OLS Model'!$B$9*G15</f>
        <v>-436227.72643668822</v>
      </c>
      <c r="T15" s="23">
        <f>'GS &gt; 50 OLS Model'!$B$10*H15</f>
        <v>0</v>
      </c>
      <c r="U15" s="23">
        <f>'GS &gt; 50 OLS Model'!$B$11*I15</f>
        <v>0</v>
      </c>
      <c r="V15" s="23">
        <f>'GS &gt; 50 OLS Model'!$B$12*J15</f>
        <v>-1507735.557816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si="2"/>
        <v>23358053.196219385</v>
      </c>
      <c r="AA15" s="13">
        <f t="shared" si="3"/>
        <v>4.4750641440308939E-3</v>
      </c>
    </row>
    <row r="16" spans="1:27" x14ac:dyDescent="0.25">
      <c r="A16" s="11">
        <f>'Monthly Data'!A16</f>
        <v>40238</v>
      </c>
      <c r="B16" s="6">
        <f t="shared" si="1"/>
        <v>2010</v>
      </c>
      <c r="C16" s="30">
        <f>'Monthly Data'!H16</f>
        <v>23312331.343999997</v>
      </c>
      <c r="D16" s="30">
        <f>'Monthly Data'!M16</f>
        <v>451.89999999999992</v>
      </c>
      <c r="E16" s="30">
        <f>'Monthly Data'!N16</f>
        <v>0</v>
      </c>
      <c r="F16" s="30">
        <f>'Monthly Data'!Q16</f>
        <v>6377.2</v>
      </c>
      <c r="G16" s="30">
        <f>'Monthly Data'!S16</f>
        <v>15</v>
      </c>
      <c r="H16" s="30">
        <f>'Monthly Data'!Y16</f>
        <v>0</v>
      </c>
      <c r="I16" s="30">
        <f>'Monthly Data'!AE16</f>
        <v>0</v>
      </c>
      <c r="J16" s="30">
        <f>'Monthly Data'!AF16</f>
        <v>0</v>
      </c>
      <c r="K16" s="30">
        <f>'Monthly Data'!AG16</f>
        <v>0</v>
      </c>
      <c r="L16" s="30">
        <f>'Monthly Data'!AH16</f>
        <v>0</v>
      </c>
      <c r="M16" s="30">
        <f>'Monthly Data'!AI16</f>
        <v>0</v>
      </c>
      <c r="N16" s="30"/>
      <c r="O16" s="23">
        <f>'GS &gt; 50 OLS Model'!$B$5</f>
        <v>-14985611.9194983</v>
      </c>
      <c r="P16" s="23">
        <f>'GS &gt; 50 OLS Model'!$B$6*D16</f>
        <v>3484336.7862068648</v>
      </c>
      <c r="Q16" s="23">
        <f>'GS &gt; 50 OLS Model'!$B$7*E16</f>
        <v>0</v>
      </c>
      <c r="R16" s="23">
        <f>'GS &gt; 50 OLS Model'!$B$8*F16</f>
        <v>35354954.017992474</v>
      </c>
      <c r="S16" s="23">
        <f>'GS &gt; 50 OLS Model'!$B$9*G16</f>
        <v>-467386.84975359455</v>
      </c>
      <c r="T16" s="23">
        <f>'GS &gt; 50 OLS Model'!$B$10*H16</f>
        <v>0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si="2"/>
        <v>23386292.034947444</v>
      </c>
      <c r="AA16" s="13">
        <f t="shared" si="3"/>
        <v>3.1725995077915097E-3</v>
      </c>
    </row>
    <row r="17" spans="1:27" x14ac:dyDescent="0.25">
      <c r="A17" s="11">
        <f>'Monthly Data'!A17</f>
        <v>40269</v>
      </c>
      <c r="B17" s="6">
        <f t="shared" si="1"/>
        <v>2010</v>
      </c>
      <c r="C17" s="30">
        <f>'Monthly Data'!H17</f>
        <v>20685922.196199998</v>
      </c>
      <c r="D17" s="30">
        <f>'Monthly Data'!M17</f>
        <v>243.49999999999989</v>
      </c>
      <c r="E17" s="30">
        <f>'Monthly Data'!N17</f>
        <v>1.3</v>
      </c>
      <c r="F17" s="30">
        <f>'Monthly Data'!Q17</f>
        <v>6401.7</v>
      </c>
      <c r="G17" s="30">
        <f>'Monthly Data'!S17</f>
        <v>16</v>
      </c>
      <c r="H17" s="30">
        <f>'Monthly Data'!Y17</f>
        <v>0</v>
      </c>
      <c r="I17" s="30">
        <f>'Monthly Data'!AE17</f>
        <v>0</v>
      </c>
      <c r="J17" s="30">
        <f>'Monthly Data'!AF17</f>
        <v>0</v>
      </c>
      <c r="K17" s="30">
        <f>'Monthly Data'!AG17</f>
        <v>1</v>
      </c>
      <c r="L17" s="30">
        <f>'Monthly Data'!AH17</f>
        <v>0</v>
      </c>
      <c r="M17" s="30">
        <f>'Monthly Data'!AI17</f>
        <v>0</v>
      </c>
      <c r="N17" s="30"/>
      <c r="O17" s="23">
        <f>'GS &gt; 50 OLS Model'!$B$5</f>
        <v>-14985611.9194983</v>
      </c>
      <c r="P17" s="23">
        <f>'GS &gt; 50 OLS Model'!$B$6*D17</f>
        <v>1877486.1859733821</v>
      </c>
      <c r="Q17" s="23">
        <f>'GS &gt; 50 OLS Model'!$B$7*E17</f>
        <v>42147.295565953893</v>
      </c>
      <c r="R17" s="23">
        <f>'GS &gt; 50 OLS Model'!$B$8*F17</f>
        <v>35490781.085269779</v>
      </c>
      <c r="S17" s="23">
        <f>'GS &gt; 50 OLS Model'!$B$9*G17</f>
        <v>-498545.97307050083</v>
      </c>
      <c r="T17" s="23">
        <f>'GS &gt; 50 OLS Model'!$B$10*H17</f>
        <v>0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-1602103.9965178701</v>
      </c>
      <c r="X17" s="23">
        <f>'GS &gt; 50 OLS Model'!$B$14*L17</f>
        <v>0</v>
      </c>
      <c r="Y17" s="23">
        <f>'GS &gt; 50 OLS Model'!$B$15*M17</f>
        <v>0</v>
      </c>
      <c r="Z17" s="23">
        <f t="shared" si="2"/>
        <v>20324152.677722443</v>
      </c>
      <c r="AA17" s="13">
        <f t="shared" si="3"/>
        <v>1.7488682160083362E-2</v>
      </c>
    </row>
    <row r="18" spans="1:27" x14ac:dyDescent="0.25">
      <c r="A18" s="11">
        <f>'Monthly Data'!A18</f>
        <v>40299</v>
      </c>
      <c r="B18" s="6">
        <f t="shared" si="1"/>
        <v>2010</v>
      </c>
      <c r="C18" s="30">
        <f>'Monthly Data'!H18</f>
        <v>21075021.926799998</v>
      </c>
      <c r="D18" s="30">
        <f>'Monthly Data'!M18</f>
        <v>110.2</v>
      </c>
      <c r="E18" s="30">
        <f>'Monthly Data'!N18</f>
        <v>26.100000000000005</v>
      </c>
      <c r="F18" s="30">
        <f>'Monthly Data'!Q18</f>
        <v>6468.9</v>
      </c>
      <c r="G18" s="30">
        <f>'Monthly Data'!S18</f>
        <v>17</v>
      </c>
      <c r="H18" s="30">
        <f>'Monthly Data'!Y18</f>
        <v>0</v>
      </c>
      <c r="I18" s="30">
        <f>'Monthly Data'!AE18</f>
        <v>0</v>
      </c>
      <c r="J18" s="30">
        <f>'Monthly Data'!AF18</f>
        <v>0</v>
      </c>
      <c r="K18" s="30">
        <f>'Monthly Data'!AG18</f>
        <v>0</v>
      </c>
      <c r="L18" s="30">
        <f>'Monthly Data'!AH18</f>
        <v>0</v>
      </c>
      <c r="M18" s="30">
        <f>'Monthly Data'!AI18</f>
        <v>1</v>
      </c>
      <c r="N18" s="30"/>
      <c r="O18" s="23">
        <f>'GS &gt; 50 OLS Model'!$B$5</f>
        <v>-14985611.9194983</v>
      </c>
      <c r="P18" s="23">
        <f>'GS &gt; 50 OLS Model'!$B$6*D18</f>
        <v>849687.79340561316</v>
      </c>
      <c r="Q18" s="23">
        <f>'GS &gt; 50 OLS Model'!$B$7*E18</f>
        <v>846188.01097799744</v>
      </c>
      <c r="R18" s="23">
        <f>'GS &gt; 50 OLS Model'!$B$8*F18</f>
        <v>35863335.326944664</v>
      </c>
      <c r="S18" s="23">
        <f>'GS &gt; 50 OLS Model'!$B$9*G18</f>
        <v>-529705.09638740716</v>
      </c>
      <c r="T18" s="23">
        <f>'GS &gt; 50 OLS Model'!$B$10*H18</f>
        <v>0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-1248171.7663678101</v>
      </c>
      <c r="Z18" s="23">
        <f t="shared" si="2"/>
        <v>20795722.349074755</v>
      </c>
      <c r="AA18" s="13">
        <f t="shared" si="3"/>
        <v>1.3252635214109658E-2</v>
      </c>
    </row>
    <row r="19" spans="1:27" x14ac:dyDescent="0.25">
      <c r="A19" s="11">
        <f>'Monthly Data'!A19</f>
        <v>40330</v>
      </c>
      <c r="B19" s="6">
        <f t="shared" si="1"/>
        <v>2010</v>
      </c>
      <c r="C19" s="30">
        <f>'Monthly Data'!H19</f>
        <v>21210428.387199998</v>
      </c>
      <c r="D19" s="30">
        <f>'Monthly Data'!M19</f>
        <v>38.300000000000004</v>
      </c>
      <c r="E19" s="30">
        <f>'Monthly Data'!N19</f>
        <v>33.700000000000003</v>
      </c>
      <c r="F19" s="30">
        <f>'Monthly Data'!Q19</f>
        <v>6578.9</v>
      </c>
      <c r="G19" s="30">
        <f>'Monthly Data'!S19</f>
        <v>18</v>
      </c>
      <c r="H19" s="30">
        <f>'Monthly Data'!Y19</f>
        <v>0</v>
      </c>
      <c r="I19" s="30">
        <f>'Monthly Data'!AE19</f>
        <v>0</v>
      </c>
      <c r="J19" s="30">
        <f>'Monthly Data'!AF19</f>
        <v>0</v>
      </c>
      <c r="K19" s="30">
        <f>'Monthly Data'!AG19</f>
        <v>0</v>
      </c>
      <c r="L19" s="30">
        <f>'Monthly Data'!AH19</f>
        <v>0</v>
      </c>
      <c r="M19" s="30">
        <f>'Monthly Data'!AI19</f>
        <v>1</v>
      </c>
      <c r="N19" s="30"/>
      <c r="O19" s="23">
        <f>'GS &gt; 50 OLS Model'!$B$5</f>
        <v>-14985611.9194983</v>
      </c>
      <c r="P19" s="23">
        <f>'GS &gt; 50 OLS Model'!$B$6*D19</f>
        <v>295308.91549396538</v>
      </c>
      <c r="Q19" s="23">
        <f>'GS &gt; 50 OLS Model'!$B$7*E19</f>
        <v>1092587.5850558816</v>
      </c>
      <c r="R19" s="23">
        <f>'GS &gt; 50 OLS Model'!$B$8*F19</f>
        <v>36473171.139210105</v>
      </c>
      <c r="S19" s="23">
        <f>'GS &gt; 50 OLS Model'!$B$9*G19</f>
        <v>-560864.21970431344</v>
      </c>
      <c r="T19" s="23">
        <f>'GS &gt; 50 OLS Model'!$B$10*H19</f>
        <v>0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-1248171.7663678101</v>
      </c>
      <c r="Z19" s="23">
        <f t="shared" si="2"/>
        <v>21066419.734189525</v>
      </c>
      <c r="AA19" s="13">
        <f t="shared" si="3"/>
        <v>6.7895211912541355E-3</v>
      </c>
    </row>
    <row r="20" spans="1:27" x14ac:dyDescent="0.25">
      <c r="A20" s="11">
        <f>'Monthly Data'!A20</f>
        <v>40360</v>
      </c>
      <c r="B20" s="6">
        <f t="shared" si="1"/>
        <v>2010</v>
      </c>
      <c r="C20" s="30">
        <f>'Monthly Data'!H20</f>
        <v>24170485.458300002</v>
      </c>
      <c r="D20" s="30">
        <f>'Monthly Data'!M20</f>
        <v>3.4000000000000004</v>
      </c>
      <c r="E20" s="30">
        <f>'Monthly Data'!N20</f>
        <v>139.79999999999995</v>
      </c>
      <c r="F20" s="30">
        <f>'Monthly Data'!Q20</f>
        <v>6640.9</v>
      </c>
      <c r="G20" s="30">
        <f>'Monthly Data'!S20</f>
        <v>19</v>
      </c>
      <c r="H20" s="30">
        <f>'Monthly Data'!Y20</f>
        <v>0</v>
      </c>
      <c r="I20" s="30">
        <f>'Monthly Data'!AE20</f>
        <v>0</v>
      </c>
      <c r="J20" s="30">
        <f>'Monthly Data'!AF20</f>
        <v>0</v>
      </c>
      <c r="K20" s="30">
        <f>'Monthly Data'!AG20</f>
        <v>0</v>
      </c>
      <c r="L20" s="30">
        <f>'Monthly Data'!AH20</f>
        <v>0</v>
      </c>
      <c r="M20" s="30">
        <f>'Monthly Data'!AI20</f>
        <v>1</v>
      </c>
      <c r="N20" s="30"/>
      <c r="O20" s="23">
        <f>'GS &gt; 50 OLS Model'!$B$5</f>
        <v>-14985611.9194983</v>
      </c>
      <c r="P20" s="23">
        <f>'GS &gt; 50 OLS Model'!$B$6*D20</f>
        <v>26215.412863694055</v>
      </c>
      <c r="Q20" s="23">
        <f>'GS &gt; 50 OLS Model'!$B$7*E20</f>
        <v>4532455.3231695015</v>
      </c>
      <c r="R20" s="23">
        <f>'GS &gt; 50 OLS Model'!$B$8*F20</f>
        <v>36816896.77885063</v>
      </c>
      <c r="S20" s="23">
        <f>'GS &gt; 50 OLS Model'!$B$9*G20</f>
        <v>-592023.34302121971</v>
      </c>
      <c r="T20" s="23">
        <f>'GS &gt; 50 OLS Model'!$B$10*H20</f>
        <v>0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-1248171.7663678101</v>
      </c>
      <c r="Z20" s="23">
        <f t="shared" si="2"/>
        <v>24549760.485996492</v>
      </c>
      <c r="AA20" s="13">
        <f t="shared" si="3"/>
        <v>1.5691659497316778E-2</v>
      </c>
    </row>
    <row r="21" spans="1:27" x14ac:dyDescent="0.25">
      <c r="A21" s="11">
        <f>'Monthly Data'!A21</f>
        <v>40391</v>
      </c>
      <c r="B21" s="6">
        <f t="shared" si="1"/>
        <v>2010</v>
      </c>
      <c r="C21" s="30">
        <f>'Monthly Data'!H21</f>
        <v>23341072.185600001</v>
      </c>
      <c r="D21" s="30">
        <f>'Monthly Data'!M21</f>
        <v>10.100000000000001</v>
      </c>
      <c r="E21" s="30">
        <f>'Monthly Data'!N21</f>
        <v>90.299999999999969</v>
      </c>
      <c r="F21" s="30">
        <f>'Monthly Data'!Q21</f>
        <v>6662.6</v>
      </c>
      <c r="G21" s="30">
        <f>'Monthly Data'!S21</f>
        <v>20</v>
      </c>
      <c r="H21" s="30">
        <f>'Monthly Data'!Y21</f>
        <v>0</v>
      </c>
      <c r="I21" s="30">
        <f>'Monthly Data'!AE21</f>
        <v>0</v>
      </c>
      <c r="J21" s="30">
        <f>'Monthly Data'!AF21</f>
        <v>0</v>
      </c>
      <c r="K21" s="30">
        <f>'Monthly Data'!AG21</f>
        <v>0</v>
      </c>
      <c r="L21" s="30">
        <f>'Monthly Data'!AH21</f>
        <v>0</v>
      </c>
      <c r="M21" s="30">
        <f>'Monthly Data'!AI21</f>
        <v>1</v>
      </c>
      <c r="N21" s="30"/>
      <c r="O21" s="23">
        <f>'GS &gt; 50 OLS Model'!$B$5</f>
        <v>-14985611.9194983</v>
      </c>
      <c r="P21" s="23">
        <f>'GS &gt; 50 OLS Model'!$B$6*D21</f>
        <v>77875.197036267637</v>
      </c>
      <c r="Q21" s="23">
        <f>'GS &gt; 50 OLS Model'!$B$7*E21</f>
        <v>2927615.9920043345</v>
      </c>
      <c r="R21" s="23">
        <f>'GS &gt; 50 OLS Model'!$B$8*F21</f>
        <v>36937200.752724811</v>
      </c>
      <c r="S21" s="23">
        <f>'GS &gt; 50 OLS Model'!$B$9*G21</f>
        <v>-623182.46633812599</v>
      </c>
      <c r="T21" s="23">
        <f>'GS &gt; 50 OLS Model'!$B$10*H21</f>
        <v>0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-1248171.7663678101</v>
      </c>
      <c r="Z21" s="23">
        <f t="shared" si="2"/>
        <v>23085725.789561179</v>
      </c>
      <c r="AA21" s="13">
        <f t="shared" si="3"/>
        <v>1.0939788627034699E-2</v>
      </c>
    </row>
    <row r="22" spans="1:27" x14ac:dyDescent="0.25">
      <c r="A22" s="11">
        <f>'Monthly Data'!A22</f>
        <v>40422</v>
      </c>
      <c r="B22" s="6">
        <f t="shared" si="1"/>
        <v>2010</v>
      </c>
      <c r="C22" s="30">
        <f>'Monthly Data'!H22</f>
        <v>20619864.412799999</v>
      </c>
      <c r="D22" s="30">
        <f>'Monthly Data'!M22</f>
        <v>99.40000000000002</v>
      </c>
      <c r="E22" s="30">
        <f>'Monthly Data'!N22</f>
        <v>29.400000000000002</v>
      </c>
      <c r="F22" s="30">
        <f>'Monthly Data'!Q22</f>
        <v>6611.2</v>
      </c>
      <c r="G22" s="30">
        <f>'Monthly Data'!S22</f>
        <v>21</v>
      </c>
      <c r="H22" s="30">
        <f>'Monthly Data'!Y22</f>
        <v>0</v>
      </c>
      <c r="I22" s="30">
        <f>'Monthly Data'!AE22</f>
        <v>1</v>
      </c>
      <c r="J22" s="30">
        <f>'Monthly Data'!AF22</f>
        <v>0</v>
      </c>
      <c r="K22" s="30">
        <f>'Monthly Data'!AG22</f>
        <v>0</v>
      </c>
      <c r="L22" s="30">
        <f>'Monthly Data'!AH22</f>
        <v>0</v>
      </c>
      <c r="M22" s="30">
        <f>'Monthly Data'!AI22</f>
        <v>0</v>
      </c>
      <c r="N22" s="30"/>
      <c r="O22" s="23">
        <f>'GS &gt; 50 OLS Model'!$B$5</f>
        <v>-14985611.9194983</v>
      </c>
      <c r="P22" s="23">
        <f>'GS &gt; 50 OLS Model'!$B$6*D22</f>
        <v>766415.30548564391</v>
      </c>
      <c r="Q22" s="23">
        <f>'GS &gt; 50 OLS Model'!$B$7*E22</f>
        <v>953177.29972234194</v>
      </c>
      <c r="R22" s="23">
        <f>'GS &gt; 50 OLS Model'!$B$8*F22</f>
        <v>36652241.109538957</v>
      </c>
      <c r="S22" s="23">
        <f>'GS &gt; 50 OLS Model'!$B$9*G22</f>
        <v>-654341.58965503238</v>
      </c>
      <c r="T22" s="23">
        <f>'GS &gt; 50 OLS Model'!$B$10*H22</f>
        <v>0</v>
      </c>
      <c r="U22" s="23">
        <f>'GS &gt; 50 OLS Model'!$B$11*I22</f>
        <v>-1629695.87956432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si="2"/>
        <v>21102184.32602929</v>
      </c>
      <c r="AA22" s="13">
        <f t="shared" si="3"/>
        <v>2.3391032238305371E-2</v>
      </c>
    </row>
    <row r="23" spans="1:27" x14ac:dyDescent="0.25">
      <c r="A23" s="11">
        <f>'Monthly Data'!A23</f>
        <v>40452</v>
      </c>
      <c r="B23" s="6">
        <f t="shared" si="1"/>
        <v>2010</v>
      </c>
      <c r="C23" s="30">
        <f>'Monthly Data'!H23</f>
        <v>21162272.6325</v>
      </c>
      <c r="D23" s="30">
        <f>'Monthly Data'!M23</f>
        <v>284.69999999999993</v>
      </c>
      <c r="E23" s="30">
        <f>'Monthly Data'!N23</f>
        <v>0</v>
      </c>
      <c r="F23" s="30">
        <f>'Monthly Data'!Q23</f>
        <v>6587.1</v>
      </c>
      <c r="G23" s="30">
        <f>'Monthly Data'!S23</f>
        <v>22</v>
      </c>
      <c r="H23" s="30">
        <f>'Monthly Data'!Y23</f>
        <v>0</v>
      </c>
      <c r="I23" s="30">
        <f>'Monthly Data'!AE23</f>
        <v>1</v>
      </c>
      <c r="J23" s="30">
        <f>'Monthly Data'!AF23</f>
        <v>0</v>
      </c>
      <c r="K23" s="30">
        <f>'Monthly Data'!AG23</f>
        <v>0</v>
      </c>
      <c r="L23" s="30">
        <f>'Monthly Data'!AH23</f>
        <v>0</v>
      </c>
      <c r="M23" s="30">
        <f>'Monthly Data'!AI23</f>
        <v>0</v>
      </c>
      <c r="N23" s="30"/>
      <c r="O23" s="23">
        <f>'GS &gt; 50 OLS Model'!$B$5</f>
        <v>-14985611.9194983</v>
      </c>
      <c r="P23" s="23">
        <f>'GS &gt; 50 OLS Model'!$B$6*D23</f>
        <v>2195155.3065569694</v>
      </c>
      <c r="Q23" s="23">
        <f>'GS &gt; 50 OLS Model'!$B$7*E23</f>
        <v>0</v>
      </c>
      <c r="R23" s="23">
        <f>'GS &gt; 50 OLS Model'!$B$8*F23</f>
        <v>36518631.627033532</v>
      </c>
      <c r="S23" s="23">
        <f>'GS &gt; 50 OLS Model'!$B$9*G23</f>
        <v>-685500.71297193866</v>
      </c>
      <c r="T23" s="23">
        <f>'GS &gt; 50 OLS Model'!$B$10*H23</f>
        <v>0</v>
      </c>
      <c r="U23" s="23">
        <f>'GS &gt; 50 OLS Model'!$B$11*I23</f>
        <v>-1629695.87956432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si="2"/>
        <v>21412978.421555944</v>
      </c>
      <c r="AA23" s="13">
        <f t="shared" si="3"/>
        <v>1.1846827295425804E-2</v>
      </c>
    </row>
    <row r="24" spans="1:27" x14ac:dyDescent="0.25">
      <c r="A24" s="11">
        <f>'Monthly Data'!A24</f>
        <v>40483</v>
      </c>
      <c r="B24" s="6">
        <f t="shared" si="1"/>
        <v>2010</v>
      </c>
      <c r="C24" s="30">
        <f>'Monthly Data'!H24</f>
        <v>22484948.883300003</v>
      </c>
      <c r="D24" s="30">
        <f>'Monthly Data'!M24</f>
        <v>451.4</v>
      </c>
      <c r="E24" s="30">
        <f>'Monthly Data'!N24</f>
        <v>0</v>
      </c>
      <c r="F24" s="30">
        <f>'Monthly Data'!Q24</f>
        <v>6566.6</v>
      </c>
      <c r="G24" s="30">
        <f>'Monthly Data'!S24</f>
        <v>23</v>
      </c>
      <c r="H24" s="30">
        <f>'Monthly Data'!Y24</f>
        <v>0</v>
      </c>
      <c r="I24" s="30">
        <f>'Monthly Data'!AE24</f>
        <v>1</v>
      </c>
      <c r="J24" s="30">
        <f>'Monthly Data'!AF24</f>
        <v>0</v>
      </c>
      <c r="K24" s="30">
        <f>'Monthly Data'!AG24</f>
        <v>0</v>
      </c>
      <c r="L24" s="30">
        <f>'Monthly Data'!AH24</f>
        <v>0</v>
      </c>
      <c r="M24" s="30">
        <f>'Monthly Data'!AI24</f>
        <v>0</v>
      </c>
      <c r="N24" s="30"/>
      <c r="O24" s="23">
        <f>'GS &gt; 50 OLS Model'!$B$5</f>
        <v>-14985611.9194983</v>
      </c>
      <c r="P24" s="23">
        <f>'GS &gt; 50 OLS Model'!$B$6*D24</f>
        <v>3480481.5784327928</v>
      </c>
      <c r="Q24" s="23">
        <f>'GS &gt; 50 OLS Model'!$B$7*E24</f>
        <v>0</v>
      </c>
      <c r="R24" s="23">
        <f>'GS &gt; 50 OLS Model'!$B$8*F24</f>
        <v>36404980.407474972</v>
      </c>
      <c r="S24" s="23">
        <f>'GS &gt; 50 OLS Model'!$B$9*G24</f>
        <v>-716659.83628884493</v>
      </c>
      <c r="T24" s="23">
        <f>'GS &gt; 50 OLS Model'!$B$10*H24</f>
        <v>0</v>
      </c>
      <c r="U24" s="23">
        <f>'GS &gt; 50 OLS Model'!$B$11*I24</f>
        <v>-1629695.87956432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si="2"/>
        <v>22553494.350556303</v>
      </c>
      <c r="AA24" s="13">
        <f t="shared" si="3"/>
        <v>3.0485044734618084E-3</v>
      </c>
    </row>
    <row r="25" spans="1:27" x14ac:dyDescent="0.25">
      <c r="A25" s="11">
        <f>'Monthly Data'!A25</f>
        <v>40513</v>
      </c>
      <c r="B25" s="6">
        <f t="shared" si="1"/>
        <v>2010</v>
      </c>
      <c r="C25" s="30">
        <f>'Monthly Data'!H25</f>
        <v>25202682.410200004</v>
      </c>
      <c r="D25" s="30">
        <f>'Monthly Data'!M25</f>
        <v>713.49999999999989</v>
      </c>
      <c r="E25" s="30">
        <f>'Monthly Data'!N25</f>
        <v>0</v>
      </c>
      <c r="F25" s="30">
        <f>'Monthly Data'!Q25</f>
        <v>6584.1</v>
      </c>
      <c r="G25" s="30">
        <f>'Monthly Data'!S25</f>
        <v>24</v>
      </c>
      <c r="H25" s="30">
        <f>'Monthly Data'!Y25</f>
        <v>0</v>
      </c>
      <c r="I25" s="30">
        <f>'Monthly Data'!AE25</f>
        <v>0</v>
      </c>
      <c r="J25" s="30">
        <f>'Monthly Data'!AF25</f>
        <v>0</v>
      </c>
      <c r="K25" s="30">
        <f>'Monthly Data'!AG25</f>
        <v>0</v>
      </c>
      <c r="L25" s="30">
        <f>'Monthly Data'!AH25</f>
        <v>1</v>
      </c>
      <c r="M25" s="30">
        <f>'Monthly Data'!AI25</f>
        <v>0</v>
      </c>
      <c r="N25" s="30"/>
      <c r="O25" s="23">
        <f>'GS &gt; 50 OLS Model'!$B$5</f>
        <v>-14985611.9194983</v>
      </c>
      <c r="P25" s="23">
        <f>'GS &gt; 50 OLS Model'!$B$6*D25</f>
        <v>5501381.4936016779</v>
      </c>
      <c r="Q25" s="23">
        <f>'GS &gt; 50 OLS Model'!$B$7*E25</f>
        <v>0</v>
      </c>
      <c r="R25" s="23">
        <f>'GS &gt; 50 OLS Model'!$B$8*F25</f>
        <v>36501999.741244473</v>
      </c>
      <c r="S25" s="23">
        <f>'GS &gt; 50 OLS Model'!$B$9*G25</f>
        <v>-747818.95960575121</v>
      </c>
      <c r="T25" s="23">
        <f>'GS &gt; 50 OLS Model'!$B$10*H25</f>
        <v>0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-1130663.3851056299</v>
      </c>
      <c r="Y25" s="23">
        <f>'GS &gt; 50 OLS Model'!$B$15*M25</f>
        <v>0</v>
      </c>
      <c r="Z25" s="23">
        <f t="shared" si="2"/>
        <v>25139286.970636472</v>
      </c>
      <c r="AA25" s="13">
        <f t="shared" si="3"/>
        <v>2.5154242922124071E-3</v>
      </c>
    </row>
    <row r="26" spans="1:27" x14ac:dyDescent="0.25">
      <c r="A26" s="11">
        <f>'Monthly Data'!A26</f>
        <v>40544</v>
      </c>
      <c r="B26" s="6">
        <f t="shared" si="1"/>
        <v>2011</v>
      </c>
      <c r="C26" s="30">
        <f>'Monthly Data'!H26</f>
        <v>26719422.829099998</v>
      </c>
      <c r="D26" s="30">
        <f>'Monthly Data'!M26</f>
        <v>853.19999999999982</v>
      </c>
      <c r="E26" s="30">
        <f>'Monthly Data'!N26</f>
        <v>0</v>
      </c>
      <c r="F26" s="30">
        <f>'Monthly Data'!Q26</f>
        <v>6571.2</v>
      </c>
      <c r="G26" s="30">
        <f>'Monthly Data'!S26</f>
        <v>25</v>
      </c>
      <c r="H26" s="30">
        <f>'Monthly Data'!Y26</f>
        <v>0</v>
      </c>
      <c r="I26" s="30">
        <f>'Monthly Data'!AE26</f>
        <v>0</v>
      </c>
      <c r="J26" s="30">
        <f>'Monthly Data'!AF26</f>
        <v>0</v>
      </c>
      <c r="K26" s="30">
        <f>'Monthly Data'!AG26</f>
        <v>0</v>
      </c>
      <c r="L26" s="30">
        <f>'Monthly Data'!AH26</f>
        <v>0</v>
      </c>
      <c r="M26" s="30">
        <f>'Monthly Data'!AI26</f>
        <v>0</v>
      </c>
      <c r="N26" s="30"/>
      <c r="O26" s="23">
        <f>'GS &gt; 50 OLS Model'!$B$5</f>
        <v>-14985611.9194983</v>
      </c>
      <c r="P26" s="23">
        <f>'GS &gt; 50 OLS Model'!$B$6*D26</f>
        <v>6578526.5456775771</v>
      </c>
      <c r="Q26" s="23">
        <f>'GS &gt; 50 OLS Model'!$B$7*E26</f>
        <v>0</v>
      </c>
      <c r="R26" s="23">
        <f>'GS &gt; 50 OLS Model'!$B$8*F26</f>
        <v>36430482.632351525</v>
      </c>
      <c r="S26" s="23">
        <f>'GS &gt; 50 OLS Model'!$B$9*G26</f>
        <v>-778978.08292265749</v>
      </c>
      <c r="T26" s="23">
        <f>'GS &gt; 50 OLS Model'!$B$10*H26</f>
        <v>0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si="2"/>
        <v>27244419.175608147</v>
      </c>
      <c r="AA26" s="13">
        <f t="shared" si="3"/>
        <v>1.9648491281644677E-2</v>
      </c>
    </row>
    <row r="27" spans="1:27" x14ac:dyDescent="0.25">
      <c r="A27" s="11">
        <f>'Monthly Data'!A27</f>
        <v>40575</v>
      </c>
      <c r="B27" s="6">
        <f t="shared" si="1"/>
        <v>2011</v>
      </c>
      <c r="C27" s="30">
        <f>'Monthly Data'!H27</f>
        <v>24134565.637199998</v>
      </c>
      <c r="D27" s="30">
        <f>'Monthly Data'!M27</f>
        <v>700.39999999999986</v>
      </c>
      <c r="E27" s="30">
        <f>'Monthly Data'!N27</f>
        <v>0</v>
      </c>
      <c r="F27" s="30">
        <f>'Monthly Data'!Q27</f>
        <v>6548.1</v>
      </c>
      <c r="G27" s="30">
        <f>'Monthly Data'!S27</f>
        <v>26</v>
      </c>
      <c r="H27" s="30">
        <f>'Monthly Data'!Y27</f>
        <v>0</v>
      </c>
      <c r="I27" s="30">
        <f>'Monthly Data'!AE27</f>
        <v>0</v>
      </c>
      <c r="J27" s="30">
        <f>'Monthly Data'!AF27</f>
        <v>1</v>
      </c>
      <c r="K27" s="30">
        <f>'Monthly Data'!AG27</f>
        <v>0</v>
      </c>
      <c r="L27" s="30">
        <f>'Monthly Data'!AH27</f>
        <v>0</v>
      </c>
      <c r="M27" s="30">
        <f>'Monthly Data'!AI27</f>
        <v>0</v>
      </c>
      <c r="N27" s="30"/>
      <c r="O27" s="23">
        <f>'GS &gt; 50 OLS Model'!$B$5</f>
        <v>-14985611.9194983</v>
      </c>
      <c r="P27" s="23">
        <f>'GS &gt; 50 OLS Model'!$B$6*D27</f>
        <v>5400375.0499209743</v>
      </c>
      <c r="Q27" s="23">
        <f>'GS &gt; 50 OLS Model'!$B$7*E27</f>
        <v>0</v>
      </c>
      <c r="R27" s="23">
        <f>'GS &gt; 50 OLS Model'!$B$8*F27</f>
        <v>36302417.111775786</v>
      </c>
      <c r="S27" s="23">
        <f>'GS &gt; 50 OLS Model'!$B$9*G27</f>
        <v>-810137.20623956388</v>
      </c>
      <c r="T27" s="23">
        <f>'GS &gt; 50 OLS Model'!$B$10*H27</f>
        <v>0</v>
      </c>
      <c r="U27" s="23">
        <f>'GS &gt; 50 OLS Model'!$B$11*I27</f>
        <v>0</v>
      </c>
      <c r="V27" s="23">
        <f>'GS &gt; 50 OLS Model'!$B$12*J27</f>
        <v>-1507735.557816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si="2"/>
        <v>24399307.478142899</v>
      </c>
      <c r="AA27" s="13">
        <f t="shared" si="3"/>
        <v>1.0969405661680472E-2</v>
      </c>
    </row>
    <row r="28" spans="1:27" x14ac:dyDescent="0.25">
      <c r="A28" s="11">
        <f>'Monthly Data'!A28</f>
        <v>40603</v>
      </c>
      <c r="B28" s="6">
        <f t="shared" si="1"/>
        <v>2011</v>
      </c>
      <c r="C28" s="30">
        <f>'Monthly Data'!H28</f>
        <v>24768007.689200003</v>
      </c>
      <c r="D28" s="30">
        <f>'Monthly Data'!M28</f>
        <v>595.70000000000016</v>
      </c>
      <c r="E28" s="30">
        <f>'Monthly Data'!N28</f>
        <v>0</v>
      </c>
      <c r="F28" s="30">
        <f>'Monthly Data'!Q28</f>
        <v>6523.7</v>
      </c>
      <c r="G28" s="30">
        <f>'Monthly Data'!S28</f>
        <v>27</v>
      </c>
      <c r="H28" s="30">
        <f>'Monthly Data'!Y28</f>
        <v>0</v>
      </c>
      <c r="I28" s="30">
        <f>'Monthly Data'!AE28</f>
        <v>0</v>
      </c>
      <c r="J28" s="30">
        <f>'Monthly Data'!AF28</f>
        <v>0</v>
      </c>
      <c r="K28" s="30">
        <f>'Monthly Data'!AG28</f>
        <v>0</v>
      </c>
      <c r="L28" s="30">
        <f>'Monthly Data'!AH28</f>
        <v>0</v>
      </c>
      <c r="M28" s="30">
        <f>'Monthly Data'!AI28</f>
        <v>0</v>
      </c>
      <c r="N28" s="30"/>
      <c r="O28" s="23">
        <f>'GS &gt; 50 OLS Model'!$B$5</f>
        <v>-14985611.9194983</v>
      </c>
      <c r="P28" s="23">
        <f>'GS &gt; 50 OLS Model'!$B$6*D28</f>
        <v>4593094.5420301622</v>
      </c>
      <c r="Q28" s="23">
        <f>'GS &gt; 50 OLS Model'!$B$7*E28</f>
        <v>0</v>
      </c>
      <c r="R28" s="23">
        <f>'GS &gt; 50 OLS Model'!$B$8*F28</f>
        <v>36167144.440691449</v>
      </c>
      <c r="S28" s="23">
        <f>'GS &gt; 50 OLS Model'!$B$9*G28</f>
        <v>-841296.32955647015</v>
      </c>
      <c r="T28" s="23">
        <f>'GS &gt; 50 OLS Model'!$B$10*H28</f>
        <v>0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si="2"/>
        <v>24933330.733666841</v>
      </c>
      <c r="AA28" s="13">
        <f t="shared" si="3"/>
        <v>6.6748624492282737E-3</v>
      </c>
    </row>
    <row r="29" spans="1:27" x14ac:dyDescent="0.25">
      <c r="A29" s="11">
        <f>'Monthly Data'!A29</f>
        <v>40634</v>
      </c>
      <c r="B29" s="6">
        <f t="shared" si="1"/>
        <v>2011</v>
      </c>
      <c r="C29" s="30">
        <f>'Monthly Data'!H29</f>
        <v>21428998.341600001</v>
      </c>
      <c r="D29" s="30">
        <f>'Monthly Data'!M29</f>
        <v>350.99999999999989</v>
      </c>
      <c r="E29" s="30">
        <f>'Monthly Data'!N29</f>
        <v>0</v>
      </c>
      <c r="F29" s="30">
        <f>'Monthly Data'!Q29</f>
        <v>6550</v>
      </c>
      <c r="G29" s="30">
        <f>'Monthly Data'!S29</f>
        <v>28</v>
      </c>
      <c r="H29" s="30">
        <f>'Monthly Data'!Y29</f>
        <v>0</v>
      </c>
      <c r="I29" s="30">
        <f>'Monthly Data'!AE29</f>
        <v>0</v>
      </c>
      <c r="J29" s="30">
        <f>'Monthly Data'!AF29</f>
        <v>0</v>
      </c>
      <c r="K29" s="30">
        <f>'Monthly Data'!AG29</f>
        <v>1</v>
      </c>
      <c r="L29" s="30">
        <f>'Monthly Data'!AH29</f>
        <v>0</v>
      </c>
      <c r="M29" s="30">
        <f>'Monthly Data'!AI29</f>
        <v>0</v>
      </c>
      <c r="N29" s="30"/>
      <c r="O29" s="23">
        <f>'GS &gt; 50 OLS Model'!$B$5</f>
        <v>-14985611.9194983</v>
      </c>
      <c r="P29" s="23">
        <f>'GS &gt; 50 OLS Model'!$B$6*D29</f>
        <v>2706355.8573990031</v>
      </c>
      <c r="Q29" s="23">
        <f>'GS &gt; 50 OLS Model'!$B$7*E29</f>
        <v>0</v>
      </c>
      <c r="R29" s="23">
        <f>'GS &gt; 50 OLS Model'!$B$8*F29</f>
        <v>36312950.639442183</v>
      </c>
      <c r="S29" s="23">
        <f>'GS &gt; 50 OLS Model'!$B$9*G29</f>
        <v>-872455.45287337643</v>
      </c>
      <c r="T29" s="23">
        <f>'GS &gt; 50 OLS Model'!$B$10*H29</f>
        <v>0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-1602103.9965178701</v>
      </c>
      <c r="X29" s="23">
        <f>'GS &gt; 50 OLS Model'!$B$14*L29</f>
        <v>0</v>
      </c>
      <c r="Y29" s="23">
        <f>'GS &gt; 50 OLS Model'!$B$15*M29</f>
        <v>0</v>
      </c>
      <c r="Z29" s="23">
        <f t="shared" si="2"/>
        <v>21559135.127951641</v>
      </c>
      <c r="AA29" s="13">
        <f t="shared" si="3"/>
        <v>6.0729290411584902E-3</v>
      </c>
    </row>
    <row r="30" spans="1:27" x14ac:dyDescent="0.25">
      <c r="A30" s="11">
        <f>'Monthly Data'!A30</f>
        <v>40664</v>
      </c>
      <c r="B30" s="6">
        <f t="shared" si="1"/>
        <v>2011</v>
      </c>
      <c r="C30" s="30">
        <f>'Monthly Data'!H30</f>
        <v>20975723.055199999</v>
      </c>
      <c r="D30" s="30">
        <f>'Monthly Data'!M30</f>
        <v>150</v>
      </c>
      <c r="E30" s="30">
        <f>'Monthly Data'!N30</f>
        <v>1.2999999999999998</v>
      </c>
      <c r="F30" s="30">
        <f>'Monthly Data'!Q30</f>
        <v>6612</v>
      </c>
      <c r="G30" s="30">
        <f>'Monthly Data'!S30</f>
        <v>29</v>
      </c>
      <c r="H30" s="30">
        <f>'Monthly Data'!Y30</f>
        <v>0</v>
      </c>
      <c r="I30" s="30">
        <f>'Monthly Data'!AE30</f>
        <v>0</v>
      </c>
      <c r="J30" s="30">
        <f>'Monthly Data'!AF30</f>
        <v>0</v>
      </c>
      <c r="K30" s="30">
        <f>'Monthly Data'!AG30</f>
        <v>0</v>
      </c>
      <c r="L30" s="30">
        <f>'Monthly Data'!AH30</f>
        <v>0</v>
      </c>
      <c r="M30" s="30">
        <f>'Monthly Data'!AI30</f>
        <v>1</v>
      </c>
      <c r="N30" s="30"/>
      <c r="O30" s="23">
        <f>'GS &gt; 50 OLS Model'!$B$5</f>
        <v>-14985611.9194983</v>
      </c>
      <c r="P30" s="23">
        <f>'GS &gt; 50 OLS Model'!$B$6*D30</f>
        <v>1156562.3322217965</v>
      </c>
      <c r="Q30" s="23">
        <f>'GS &gt; 50 OLS Model'!$B$7*E30</f>
        <v>42147.295565953886</v>
      </c>
      <c r="R30" s="23">
        <f>'GS &gt; 50 OLS Model'!$B$8*F30</f>
        <v>36656676.279082708</v>
      </c>
      <c r="S30" s="23">
        <f>'GS &gt; 50 OLS Model'!$B$9*G30</f>
        <v>-903614.57619028271</v>
      </c>
      <c r="T30" s="23">
        <f>'GS &gt; 50 OLS Model'!$B$10*H30</f>
        <v>0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-1248171.7663678101</v>
      </c>
      <c r="Z30" s="23">
        <f t="shared" si="2"/>
        <v>20717987.644814067</v>
      </c>
      <c r="AA30" s="13">
        <f t="shared" si="3"/>
        <v>1.2287319474407282E-2</v>
      </c>
    </row>
    <row r="31" spans="1:27" x14ac:dyDescent="0.25">
      <c r="A31" s="11">
        <f>'Monthly Data'!A31</f>
        <v>40695</v>
      </c>
      <c r="B31" s="6">
        <f t="shared" si="1"/>
        <v>2011</v>
      </c>
      <c r="C31" s="30">
        <f>'Monthly Data'!H31</f>
        <v>21081698.477299999</v>
      </c>
      <c r="D31" s="30">
        <f>'Monthly Data'!M31</f>
        <v>25.199999999999996</v>
      </c>
      <c r="E31" s="30">
        <f>'Monthly Data'!N31</f>
        <v>24.900000000000002</v>
      </c>
      <c r="F31" s="30">
        <f>'Monthly Data'!Q31</f>
        <v>6706.8</v>
      </c>
      <c r="G31" s="30">
        <f>'Monthly Data'!S31</f>
        <v>30</v>
      </c>
      <c r="H31" s="30">
        <f>'Monthly Data'!Y31</f>
        <v>0</v>
      </c>
      <c r="I31" s="30">
        <f>'Monthly Data'!AE31</f>
        <v>0</v>
      </c>
      <c r="J31" s="30">
        <f>'Monthly Data'!AF31</f>
        <v>0</v>
      </c>
      <c r="K31" s="30">
        <f>'Monthly Data'!AG31</f>
        <v>0</v>
      </c>
      <c r="L31" s="30">
        <f>'Monthly Data'!AH31</f>
        <v>0</v>
      </c>
      <c r="M31" s="30">
        <f>'Monthly Data'!AI31</f>
        <v>1</v>
      </c>
      <c r="N31" s="30"/>
      <c r="O31" s="23">
        <f>'GS &gt; 50 OLS Model'!$B$5</f>
        <v>-14985611.9194983</v>
      </c>
      <c r="P31" s="23">
        <f>'GS &gt; 50 OLS Model'!$B$6*D31</f>
        <v>194302.47181326177</v>
      </c>
      <c r="Q31" s="23">
        <f>'GS &gt; 50 OLS Model'!$B$7*E31</f>
        <v>807282.815070963</v>
      </c>
      <c r="R31" s="23">
        <f>'GS &gt; 50 OLS Model'!$B$8*F31</f>
        <v>37182243.870016925</v>
      </c>
      <c r="S31" s="23">
        <f>'GS &gt; 50 OLS Model'!$B$9*G31</f>
        <v>-934773.6995071891</v>
      </c>
      <c r="T31" s="23">
        <f>'GS &gt; 50 OLS Model'!$B$10*H31</f>
        <v>0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-1248171.7663678101</v>
      </c>
      <c r="Z31" s="23">
        <f t="shared" si="2"/>
        <v>21015271.771527849</v>
      </c>
      <c r="AA31" s="13">
        <f t="shared" si="3"/>
        <v>3.1509181218807463E-3</v>
      </c>
    </row>
    <row r="32" spans="1:27" x14ac:dyDescent="0.25">
      <c r="A32" s="11">
        <f>'Monthly Data'!A32</f>
        <v>40725</v>
      </c>
      <c r="B32" s="6">
        <f t="shared" si="1"/>
        <v>2011</v>
      </c>
      <c r="C32" s="30">
        <f>'Monthly Data'!H32</f>
        <v>23454116.069599997</v>
      </c>
      <c r="D32" s="30">
        <f>'Monthly Data'!M32</f>
        <v>0</v>
      </c>
      <c r="E32" s="30">
        <f>'Monthly Data'!N32</f>
        <v>118.30000000000003</v>
      </c>
      <c r="F32" s="30">
        <f>'Monthly Data'!Q32</f>
        <v>6755.3</v>
      </c>
      <c r="G32" s="30">
        <f>'Monthly Data'!S32</f>
        <v>31</v>
      </c>
      <c r="H32" s="30">
        <f>'Monthly Data'!Y32</f>
        <v>0</v>
      </c>
      <c r="I32" s="30">
        <f>'Monthly Data'!AE32</f>
        <v>0</v>
      </c>
      <c r="J32" s="30">
        <f>'Monthly Data'!AF32</f>
        <v>0</v>
      </c>
      <c r="K32" s="30">
        <f>'Monthly Data'!AG32</f>
        <v>0</v>
      </c>
      <c r="L32" s="30">
        <f>'Monthly Data'!AH32</f>
        <v>0</v>
      </c>
      <c r="M32" s="30">
        <f>'Monthly Data'!AI32</f>
        <v>1</v>
      </c>
      <c r="N32" s="30"/>
      <c r="O32" s="23">
        <f>'GS &gt; 50 OLS Model'!$B$5</f>
        <v>-14985611.9194983</v>
      </c>
      <c r="P32" s="23">
        <f>'GS &gt; 50 OLS Model'!$B$6*D32</f>
        <v>0</v>
      </c>
      <c r="Q32" s="23">
        <f>'GS &gt; 50 OLS Model'!$B$7*E32</f>
        <v>3835403.8965018047</v>
      </c>
      <c r="R32" s="23">
        <f>'GS &gt; 50 OLS Model'!$B$8*F32</f>
        <v>37451126.023606688</v>
      </c>
      <c r="S32" s="23">
        <f>'GS &gt; 50 OLS Model'!$B$9*G32</f>
        <v>-965932.82282409538</v>
      </c>
      <c r="T32" s="23">
        <f>'GS &gt; 50 OLS Model'!$B$10*H32</f>
        <v>0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-1248171.7663678101</v>
      </c>
      <c r="Z32" s="23">
        <f t="shared" si="2"/>
        <v>24086813.411418285</v>
      </c>
      <c r="AA32" s="13">
        <f t="shared" si="3"/>
        <v>2.6975961913924238E-2</v>
      </c>
    </row>
    <row r="33" spans="1:27" x14ac:dyDescent="0.25">
      <c r="A33" s="11">
        <f>'Monthly Data'!A33</f>
        <v>40756</v>
      </c>
      <c r="B33" s="6">
        <f t="shared" si="1"/>
        <v>2011</v>
      </c>
      <c r="C33" s="30">
        <f>'Monthly Data'!H33</f>
        <v>22777142.470799997</v>
      </c>
      <c r="D33" s="30">
        <f>'Monthly Data'!M33</f>
        <v>7</v>
      </c>
      <c r="E33" s="30">
        <f>'Monthly Data'!N33</f>
        <v>68.2</v>
      </c>
      <c r="F33" s="30">
        <f>'Monthly Data'!Q33</f>
        <v>6778</v>
      </c>
      <c r="G33" s="30">
        <f>'Monthly Data'!S33</f>
        <v>32</v>
      </c>
      <c r="H33" s="30">
        <f>'Monthly Data'!Y33</f>
        <v>0</v>
      </c>
      <c r="I33" s="30">
        <f>'Monthly Data'!AE33</f>
        <v>0</v>
      </c>
      <c r="J33" s="30">
        <f>'Monthly Data'!AF33</f>
        <v>0</v>
      </c>
      <c r="K33" s="30">
        <f>'Monthly Data'!AG33</f>
        <v>0</v>
      </c>
      <c r="L33" s="30">
        <f>'Monthly Data'!AH33</f>
        <v>0</v>
      </c>
      <c r="M33" s="30">
        <f>'Monthly Data'!AI33</f>
        <v>1</v>
      </c>
      <c r="N33" s="30"/>
      <c r="O33" s="23">
        <f>'GS &gt; 50 OLS Model'!$B$5</f>
        <v>-14985611.9194983</v>
      </c>
      <c r="P33" s="23">
        <f>'GS &gt; 50 OLS Model'!$B$6*D33</f>
        <v>53972.908837017167</v>
      </c>
      <c r="Q33" s="23">
        <f>'GS &gt; 50 OLS Model'!$B$7*E33</f>
        <v>2211111.9673831197</v>
      </c>
      <c r="R33" s="23">
        <f>'GS &gt; 50 OLS Model'!$B$8*F33</f>
        <v>37576973.959410556</v>
      </c>
      <c r="S33" s="23">
        <f>'GS &gt; 50 OLS Model'!$B$9*G33</f>
        <v>-997091.94614100165</v>
      </c>
      <c r="T33" s="23">
        <f>'GS &gt; 50 OLS Model'!$B$10*H33</f>
        <v>0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-1248171.7663678101</v>
      </c>
      <c r="Z33" s="23">
        <f t="shared" si="2"/>
        <v>22611183.203623578</v>
      </c>
      <c r="AA33" s="13">
        <f t="shared" si="3"/>
        <v>7.2862198315340534E-3</v>
      </c>
    </row>
    <row r="34" spans="1:27" x14ac:dyDescent="0.25">
      <c r="A34" s="11">
        <f>'Monthly Data'!A34</f>
        <v>40787</v>
      </c>
      <c r="B34" s="6">
        <f t="shared" si="1"/>
        <v>2011</v>
      </c>
      <c r="C34" s="30">
        <f>'Monthly Data'!H34</f>
        <v>21103919.222400002</v>
      </c>
      <c r="D34" s="30">
        <f>'Monthly Data'!M34</f>
        <v>72.5</v>
      </c>
      <c r="E34" s="30">
        <f>'Monthly Data'!N34</f>
        <v>24.500000000000004</v>
      </c>
      <c r="F34" s="30">
        <f>'Monthly Data'!Q34</f>
        <v>6734.6</v>
      </c>
      <c r="G34" s="30">
        <f>'Monthly Data'!S34</f>
        <v>33</v>
      </c>
      <c r="H34" s="30">
        <f>'Monthly Data'!Y34</f>
        <v>0</v>
      </c>
      <c r="I34" s="30">
        <f>'Monthly Data'!AE34</f>
        <v>1</v>
      </c>
      <c r="J34" s="30">
        <f>'Monthly Data'!AF34</f>
        <v>0</v>
      </c>
      <c r="K34" s="30">
        <f>'Monthly Data'!AG34</f>
        <v>0</v>
      </c>
      <c r="L34" s="30">
        <f>'Monthly Data'!AH34</f>
        <v>0</v>
      </c>
      <c r="M34" s="30">
        <f>'Monthly Data'!AI34</f>
        <v>0</v>
      </c>
      <c r="N34" s="30"/>
      <c r="O34" s="23">
        <f>'GS &gt; 50 OLS Model'!$B$5</f>
        <v>-14985611.9194983</v>
      </c>
      <c r="P34" s="23">
        <f>'GS &gt; 50 OLS Model'!$B$6*D34</f>
        <v>559005.12724053499</v>
      </c>
      <c r="Q34" s="23">
        <f>'GS &gt; 50 OLS Model'!$B$7*E34</f>
        <v>794314.41643528501</v>
      </c>
      <c r="R34" s="23">
        <f>'GS &gt; 50 OLS Model'!$B$8*F34</f>
        <v>37336366.011662193</v>
      </c>
      <c r="S34" s="23">
        <f>'GS &gt; 50 OLS Model'!$B$9*G34</f>
        <v>-1028251.0694579079</v>
      </c>
      <c r="T34" s="23">
        <f>'GS &gt; 50 OLS Model'!$B$10*H34</f>
        <v>0</v>
      </c>
      <c r="U34" s="23">
        <f>'GS &gt; 50 OLS Model'!$B$11*I34</f>
        <v>-1629695.87956432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si="2"/>
        <v>21046126.686817486</v>
      </c>
      <c r="AA34" s="13">
        <f t="shared" si="3"/>
        <v>2.738474070786554E-3</v>
      </c>
    </row>
    <row r="35" spans="1:27" x14ac:dyDescent="0.25">
      <c r="A35" s="11">
        <f>'Monthly Data'!A35</f>
        <v>40817</v>
      </c>
      <c r="B35" s="6">
        <f t="shared" si="1"/>
        <v>2011</v>
      </c>
      <c r="C35" s="30">
        <f>'Monthly Data'!H35</f>
        <v>21513172.633600004</v>
      </c>
      <c r="D35" s="30">
        <f>'Monthly Data'!M35</f>
        <v>266.49999999999994</v>
      </c>
      <c r="E35" s="30">
        <f>'Monthly Data'!N35</f>
        <v>0.5</v>
      </c>
      <c r="F35" s="30">
        <f>'Monthly Data'!Q35</f>
        <v>6702.2</v>
      </c>
      <c r="G35" s="30">
        <f>'Monthly Data'!S35</f>
        <v>34</v>
      </c>
      <c r="H35" s="30">
        <f>'Monthly Data'!Y35</f>
        <v>0</v>
      </c>
      <c r="I35" s="30">
        <f>'Monthly Data'!AE35</f>
        <v>1</v>
      </c>
      <c r="J35" s="30">
        <f>'Monthly Data'!AF35</f>
        <v>0</v>
      </c>
      <c r="K35" s="30">
        <f>'Monthly Data'!AG35</f>
        <v>0</v>
      </c>
      <c r="L35" s="30">
        <f>'Monthly Data'!AH35</f>
        <v>0</v>
      </c>
      <c r="M35" s="30">
        <f>'Monthly Data'!AI35</f>
        <v>0</v>
      </c>
      <c r="N35" s="30"/>
      <c r="O35" s="23">
        <f>'GS &gt; 50 OLS Model'!$B$5</f>
        <v>-14985611.9194983</v>
      </c>
      <c r="P35" s="23">
        <f>'GS &gt; 50 OLS Model'!$B$6*D35</f>
        <v>2054825.7435807246</v>
      </c>
      <c r="Q35" s="23">
        <f>'GS &gt; 50 OLS Model'!$B$7*E35</f>
        <v>16210.49829459765</v>
      </c>
      <c r="R35" s="23">
        <f>'GS &gt; 50 OLS Model'!$B$8*F35</f>
        <v>37156741.645140372</v>
      </c>
      <c r="S35" s="23">
        <f>'GS &gt; 50 OLS Model'!$B$9*G35</f>
        <v>-1059410.1927748143</v>
      </c>
      <c r="T35" s="23">
        <f>'GS &gt; 50 OLS Model'!$B$10*H35</f>
        <v>0</v>
      </c>
      <c r="U35" s="23">
        <f>'GS &gt; 50 OLS Model'!$B$11*I35</f>
        <v>-1629695.87956432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si="2"/>
        <v>21553059.895178262</v>
      </c>
      <c r="AA35" s="13">
        <f t="shared" si="3"/>
        <v>1.8540855064752674E-3</v>
      </c>
    </row>
    <row r="36" spans="1:27" x14ac:dyDescent="0.25">
      <c r="A36" s="11">
        <f>'Monthly Data'!A36</f>
        <v>40848</v>
      </c>
      <c r="B36" s="6">
        <f t="shared" si="1"/>
        <v>2011</v>
      </c>
      <c r="C36" s="30">
        <f>'Monthly Data'!H36</f>
        <v>21850936.435900003</v>
      </c>
      <c r="D36" s="30">
        <f>'Monthly Data'!M36</f>
        <v>394.7</v>
      </c>
      <c r="E36" s="30">
        <f>'Monthly Data'!N36</f>
        <v>0</v>
      </c>
      <c r="F36" s="30">
        <f>'Monthly Data'!Q36</f>
        <v>6669.4</v>
      </c>
      <c r="G36" s="30">
        <f>'Monthly Data'!S36</f>
        <v>35</v>
      </c>
      <c r="H36" s="30">
        <f>'Monthly Data'!Y36</f>
        <v>0</v>
      </c>
      <c r="I36" s="30">
        <f>'Monthly Data'!AE36</f>
        <v>1</v>
      </c>
      <c r="J36" s="30">
        <f>'Monthly Data'!AF36</f>
        <v>0</v>
      </c>
      <c r="K36" s="30">
        <f>'Monthly Data'!AG36</f>
        <v>0</v>
      </c>
      <c r="L36" s="30">
        <f>'Monthly Data'!AH36</f>
        <v>0</v>
      </c>
      <c r="M36" s="30">
        <f>'Monthly Data'!AI36</f>
        <v>0</v>
      </c>
      <c r="N36" s="30"/>
      <c r="O36" s="23">
        <f>'GS &gt; 50 OLS Model'!$B$5</f>
        <v>-14985611.9194983</v>
      </c>
      <c r="P36" s="23">
        <f>'GS &gt; 50 OLS Model'!$B$6*D36</f>
        <v>3043301.0168529539</v>
      </c>
      <c r="Q36" s="23">
        <f>'GS &gt; 50 OLS Model'!$B$7*E36</f>
        <v>0</v>
      </c>
      <c r="R36" s="23">
        <f>'GS &gt; 50 OLS Model'!$B$8*F36</f>
        <v>36974899.693846673</v>
      </c>
      <c r="S36" s="23">
        <f>'GS &gt; 50 OLS Model'!$B$9*G36</f>
        <v>-1090569.3160917205</v>
      </c>
      <c r="T36" s="23">
        <f>'GS &gt; 50 OLS Model'!$B$10*H36</f>
        <v>0</v>
      </c>
      <c r="U36" s="23">
        <f>'GS &gt; 50 OLS Model'!$B$11*I36</f>
        <v>-1629695.87956432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si="2"/>
        <v>22312323.595545288</v>
      </c>
      <c r="AA36" s="13">
        <f t="shared" si="3"/>
        <v>2.111521220148942E-2</v>
      </c>
    </row>
    <row r="37" spans="1:27" x14ac:dyDescent="0.25">
      <c r="A37" s="11">
        <f>'Monthly Data'!A37</f>
        <v>40878</v>
      </c>
      <c r="B37" s="6">
        <f t="shared" si="1"/>
        <v>2011</v>
      </c>
      <c r="C37" s="30">
        <f>'Monthly Data'!H37</f>
        <v>23904881.2892</v>
      </c>
      <c r="D37" s="30">
        <f>'Monthly Data'!M37</f>
        <v>623.09999999999991</v>
      </c>
      <c r="E37" s="30">
        <f>'Monthly Data'!N37</f>
        <v>0</v>
      </c>
      <c r="F37" s="30">
        <f>'Monthly Data'!Q37</f>
        <v>6668.3</v>
      </c>
      <c r="G37" s="30">
        <f>'Monthly Data'!S37</f>
        <v>36</v>
      </c>
      <c r="H37" s="30">
        <f>'Monthly Data'!Y37</f>
        <v>0</v>
      </c>
      <c r="I37" s="30">
        <f>'Monthly Data'!AE37</f>
        <v>0</v>
      </c>
      <c r="J37" s="30">
        <f>'Monthly Data'!AF37</f>
        <v>0</v>
      </c>
      <c r="K37" s="30">
        <f>'Monthly Data'!AG37</f>
        <v>0</v>
      </c>
      <c r="L37" s="30">
        <f>'Monthly Data'!AH37</f>
        <v>1</v>
      </c>
      <c r="M37" s="30">
        <f>'Monthly Data'!AI37</f>
        <v>0</v>
      </c>
      <c r="N37" s="30"/>
      <c r="O37" s="23">
        <f>'GS &gt; 50 OLS Model'!$B$5</f>
        <v>-14985611.9194983</v>
      </c>
      <c r="P37" s="23">
        <f>'GS &gt; 50 OLS Model'!$B$6*D37</f>
        <v>4804359.9280493418</v>
      </c>
      <c r="Q37" s="23">
        <f>'GS &gt; 50 OLS Model'!$B$7*E37</f>
        <v>0</v>
      </c>
      <c r="R37" s="23">
        <f>'GS &gt; 50 OLS Model'!$B$8*F37</f>
        <v>36968801.335724019</v>
      </c>
      <c r="S37" s="23">
        <f>'GS &gt; 50 OLS Model'!$B$9*G37</f>
        <v>-1121728.4394086269</v>
      </c>
      <c r="T37" s="23">
        <f>'GS &gt; 50 OLS Model'!$B$10*H37</f>
        <v>0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-1130663.3851056299</v>
      </c>
      <c r="Y37" s="23">
        <f>'GS &gt; 50 OLS Model'!$B$15*M37</f>
        <v>0</v>
      </c>
      <c r="Z37" s="23">
        <f t="shared" si="2"/>
        <v>24535157.519760806</v>
      </c>
      <c r="AA37" s="13">
        <f t="shared" si="3"/>
        <v>2.6366005458707653E-2</v>
      </c>
    </row>
    <row r="38" spans="1:27" x14ac:dyDescent="0.25">
      <c r="A38" s="11">
        <f>'Monthly Data'!A38</f>
        <v>40909</v>
      </c>
      <c r="B38" s="6">
        <f t="shared" si="1"/>
        <v>2012</v>
      </c>
      <c r="C38" s="30">
        <f>'Monthly Data'!H38</f>
        <v>25676776.359000001</v>
      </c>
      <c r="D38" s="30">
        <f>'Monthly Data'!M38</f>
        <v>712.69999999999993</v>
      </c>
      <c r="E38" s="30">
        <f>'Monthly Data'!N38</f>
        <v>0</v>
      </c>
      <c r="F38" s="30">
        <f>'Monthly Data'!Q38</f>
        <v>6635.9</v>
      </c>
      <c r="G38" s="30">
        <f>'Monthly Data'!S38</f>
        <v>37</v>
      </c>
      <c r="H38" s="30">
        <f>'Monthly Data'!Y38</f>
        <v>0</v>
      </c>
      <c r="I38" s="30">
        <f>'Monthly Data'!AE38</f>
        <v>0</v>
      </c>
      <c r="J38" s="30">
        <f>'Monthly Data'!AF38</f>
        <v>0</v>
      </c>
      <c r="K38" s="30">
        <f>'Monthly Data'!AG38</f>
        <v>0</v>
      </c>
      <c r="L38" s="30">
        <f>'Monthly Data'!AH38</f>
        <v>0</v>
      </c>
      <c r="M38" s="30">
        <f>'Monthly Data'!AI38</f>
        <v>0</v>
      </c>
      <c r="N38" s="30"/>
      <c r="O38" s="23">
        <f>'GS &gt; 50 OLS Model'!$B$5</f>
        <v>-14985611.9194983</v>
      </c>
      <c r="P38" s="23">
        <f>'GS &gt; 50 OLS Model'!$B$6*D38</f>
        <v>5495213.1611631615</v>
      </c>
      <c r="Q38" s="23">
        <f>'GS &gt; 50 OLS Model'!$B$7*E38</f>
        <v>0</v>
      </c>
      <c r="R38" s="23">
        <f>'GS &gt; 50 OLS Model'!$B$8*F38</f>
        <v>36789176.969202198</v>
      </c>
      <c r="S38" s="23">
        <f>'GS &gt; 50 OLS Model'!$B$9*G38</f>
        <v>-1152887.5627255333</v>
      </c>
      <c r="T38" s="23">
        <f>'GS &gt; 50 OLS Model'!$B$10*H38</f>
        <v>0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si="2"/>
        <v>26145890.648141526</v>
      </c>
      <c r="AA38" s="13">
        <f t="shared" si="3"/>
        <v>1.8269983839972758E-2</v>
      </c>
    </row>
    <row r="39" spans="1:27" x14ac:dyDescent="0.25">
      <c r="A39" s="11">
        <f>'Monthly Data'!A39</f>
        <v>40940</v>
      </c>
      <c r="B39" s="6">
        <f t="shared" si="1"/>
        <v>2012</v>
      </c>
      <c r="C39" s="30">
        <f>'Monthly Data'!H39</f>
        <v>23619151.4311</v>
      </c>
      <c r="D39" s="30">
        <f>'Monthly Data'!M39</f>
        <v>604.40000000000009</v>
      </c>
      <c r="E39" s="30">
        <f>'Monthly Data'!N39</f>
        <v>0</v>
      </c>
      <c r="F39" s="30">
        <f>'Monthly Data'!Q39</f>
        <v>6598</v>
      </c>
      <c r="G39" s="30">
        <f>'Monthly Data'!S39</f>
        <v>38</v>
      </c>
      <c r="H39" s="30">
        <f>'Monthly Data'!Y39</f>
        <v>0</v>
      </c>
      <c r="I39" s="30">
        <f>'Monthly Data'!AE39</f>
        <v>0</v>
      </c>
      <c r="J39" s="30">
        <f>'Monthly Data'!AF39</f>
        <v>1</v>
      </c>
      <c r="K39" s="30">
        <f>'Monthly Data'!AG39</f>
        <v>0</v>
      </c>
      <c r="L39" s="30">
        <f>'Monthly Data'!AH39</f>
        <v>0</v>
      </c>
      <c r="M39" s="30">
        <f>'Monthly Data'!AI39</f>
        <v>0</v>
      </c>
      <c r="N39" s="30"/>
      <c r="O39" s="23">
        <f>'GS &gt; 50 OLS Model'!$B$5</f>
        <v>-14985611.9194983</v>
      </c>
      <c r="P39" s="23">
        <f>'GS &gt; 50 OLS Model'!$B$6*D39</f>
        <v>4660175.1572990259</v>
      </c>
      <c r="Q39" s="23">
        <f>'GS &gt; 50 OLS Model'!$B$7*E39</f>
        <v>0</v>
      </c>
      <c r="R39" s="23">
        <f>'GS &gt; 50 OLS Model'!$B$8*F39</f>
        <v>36579060.812067106</v>
      </c>
      <c r="S39" s="23">
        <f>'GS &gt; 50 OLS Model'!$B$9*G39</f>
        <v>-1184046.6860424394</v>
      </c>
      <c r="T39" s="23">
        <f>'GS &gt; 50 OLS Model'!$B$10*H39</f>
        <v>0</v>
      </c>
      <c r="U39" s="23">
        <f>'GS &gt; 50 OLS Model'!$B$11*I39</f>
        <v>0</v>
      </c>
      <c r="V39" s="23">
        <f>'GS &gt; 50 OLS Model'!$B$12*J39</f>
        <v>-1507735.557816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si="2"/>
        <v>23561841.806009393</v>
      </c>
      <c r="AA39" s="13">
        <f t="shared" si="3"/>
        <v>2.4264049137322232E-3</v>
      </c>
    </row>
    <row r="40" spans="1:27" x14ac:dyDescent="0.25">
      <c r="A40" s="11">
        <f>'Monthly Data'!A40</f>
        <v>40969</v>
      </c>
      <c r="B40" s="6">
        <f t="shared" si="1"/>
        <v>2012</v>
      </c>
      <c r="C40" s="30">
        <f>'Monthly Data'!H40</f>
        <v>23091329.537699997</v>
      </c>
      <c r="D40" s="30">
        <f>'Monthly Data'!M40</f>
        <v>412.19999999999993</v>
      </c>
      <c r="E40" s="30">
        <f>'Monthly Data'!N40</f>
        <v>0</v>
      </c>
      <c r="F40" s="30">
        <f>'Monthly Data'!Q40</f>
        <v>6569.8</v>
      </c>
      <c r="G40" s="30">
        <f>'Monthly Data'!S40</f>
        <v>39</v>
      </c>
      <c r="H40" s="30">
        <f>'Monthly Data'!Y40</f>
        <v>0</v>
      </c>
      <c r="I40" s="30">
        <f>'Monthly Data'!AE40</f>
        <v>0</v>
      </c>
      <c r="J40" s="30">
        <f>'Monthly Data'!AF40</f>
        <v>0</v>
      </c>
      <c r="K40" s="30">
        <f>'Monthly Data'!AG40</f>
        <v>0</v>
      </c>
      <c r="L40" s="30">
        <f>'Monthly Data'!AH40</f>
        <v>0</v>
      </c>
      <c r="M40" s="30">
        <f>'Monthly Data'!AI40</f>
        <v>0</v>
      </c>
      <c r="N40" s="30"/>
      <c r="O40" s="23">
        <f>'GS &gt; 50 OLS Model'!$B$5</f>
        <v>-14985611.9194983</v>
      </c>
      <c r="P40" s="23">
        <f>'GS &gt; 50 OLS Model'!$B$6*D40</f>
        <v>3178233.2889454961</v>
      </c>
      <c r="Q40" s="23">
        <f>'GS &gt; 50 OLS Model'!$B$7*E40</f>
        <v>0</v>
      </c>
      <c r="R40" s="23">
        <f>'GS &gt; 50 OLS Model'!$B$8*F40</f>
        <v>36422721.085649967</v>
      </c>
      <c r="S40" s="23">
        <f>'GS &gt; 50 OLS Model'!$B$9*G40</f>
        <v>-1215205.8093593458</v>
      </c>
      <c r="T40" s="23">
        <f>'GS &gt; 50 OLS Model'!$B$10*H40</f>
        <v>0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si="2"/>
        <v>23400136.645737816</v>
      </c>
      <c r="AA40" s="13">
        <f t="shared" si="3"/>
        <v>1.3373292669599E-2</v>
      </c>
    </row>
    <row r="41" spans="1:27" x14ac:dyDescent="0.25">
      <c r="A41" s="11">
        <f>'Monthly Data'!A41</f>
        <v>41000</v>
      </c>
      <c r="B41" s="6">
        <f t="shared" si="1"/>
        <v>2012</v>
      </c>
      <c r="C41" s="30">
        <f>'Monthly Data'!H41</f>
        <v>20776077.264199998</v>
      </c>
      <c r="D41" s="30">
        <f>'Monthly Data'!M41</f>
        <v>358.9</v>
      </c>
      <c r="E41" s="30">
        <f>'Monthly Data'!N41</f>
        <v>0.8</v>
      </c>
      <c r="F41" s="30">
        <f>'Monthly Data'!Q41</f>
        <v>6603.3</v>
      </c>
      <c r="G41" s="30">
        <f>'Monthly Data'!S41</f>
        <v>40</v>
      </c>
      <c r="H41" s="30">
        <f>'Monthly Data'!Y41</f>
        <v>0</v>
      </c>
      <c r="I41" s="30">
        <f>'Monthly Data'!AE41</f>
        <v>0</v>
      </c>
      <c r="J41" s="30">
        <f>'Monthly Data'!AF41</f>
        <v>0</v>
      </c>
      <c r="K41" s="30">
        <f>'Monthly Data'!AG41</f>
        <v>1</v>
      </c>
      <c r="L41" s="30">
        <f>'Monthly Data'!AH41</f>
        <v>0</v>
      </c>
      <c r="M41" s="30">
        <f>'Monthly Data'!AI41</f>
        <v>0</v>
      </c>
      <c r="N41" s="30"/>
      <c r="O41" s="23">
        <f>'GS &gt; 50 OLS Model'!$B$5</f>
        <v>-14985611.9194983</v>
      </c>
      <c r="P41" s="23">
        <f>'GS &gt; 50 OLS Model'!$B$6*D41</f>
        <v>2767268.1402293514</v>
      </c>
      <c r="Q41" s="23">
        <f>'GS &gt; 50 OLS Model'!$B$7*E41</f>
        <v>25936.797271356241</v>
      </c>
      <c r="R41" s="23">
        <f>'GS &gt; 50 OLS Model'!$B$8*F41</f>
        <v>36608443.810294442</v>
      </c>
      <c r="S41" s="23">
        <f>'GS &gt; 50 OLS Model'!$B$9*G41</f>
        <v>-1246364.932676252</v>
      </c>
      <c r="T41" s="23">
        <f>'GS &gt; 50 OLS Model'!$B$10*H41</f>
        <v>0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-1602103.9965178701</v>
      </c>
      <c r="X41" s="23">
        <f>'GS &gt; 50 OLS Model'!$B$14*L41</f>
        <v>0</v>
      </c>
      <c r="Y41" s="23">
        <f>'GS &gt; 50 OLS Model'!$B$15*M41</f>
        <v>0</v>
      </c>
      <c r="Z41" s="23">
        <f t="shared" si="2"/>
        <v>21567567.899102725</v>
      </c>
      <c r="AA41" s="13">
        <f t="shared" si="3"/>
        <v>3.8096250068658181E-2</v>
      </c>
    </row>
    <row r="42" spans="1:27" x14ac:dyDescent="0.25">
      <c r="A42" s="11">
        <f>'Monthly Data'!A42</f>
        <v>41030</v>
      </c>
      <c r="B42" s="6">
        <f t="shared" si="1"/>
        <v>2012</v>
      </c>
      <c r="C42" s="30">
        <f>'Monthly Data'!H42</f>
        <v>20837523.118300002</v>
      </c>
      <c r="D42" s="30">
        <f>'Monthly Data'!M42</f>
        <v>94.000000000000014</v>
      </c>
      <c r="E42" s="30">
        <f>'Monthly Data'!N42</f>
        <v>20.100000000000001</v>
      </c>
      <c r="F42" s="30">
        <f>'Monthly Data'!Q42</f>
        <v>6658.1</v>
      </c>
      <c r="G42" s="30">
        <f>'Monthly Data'!S42</f>
        <v>41</v>
      </c>
      <c r="H42" s="30">
        <f>'Monthly Data'!Y42</f>
        <v>0</v>
      </c>
      <c r="I42" s="30">
        <f>'Monthly Data'!AE42</f>
        <v>0</v>
      </c>
      <c r="J42" s="30">
        <f>'Monthly Data'!AF42</f>
        <v>0</v>
      </c>
      <c r="K42" s="30">
        <f>'Monthly Data'!AG42</f>
        <v>0</v>
      </c>
      <c r="L42" s="30">
        <f>'Monthly Data'!AH42</f>
        <v>0</v>
      </c>
      <c r="M42" s="30">
        <f>'Monthly Data'!AI42</f>
        <v>1</v>
      </c>
      <c r="N42" s="30"/>
      <c r="O42" s="23">
        <f>'GS &gt; 50 OLS Model'!$B$5</f>
        <v>-14985611.9194983</v>
      </c>
      <c r="P42" s="23">
        <f>'GS &gt; 50 OLS Model'!$B$6*D42</f>
        <v>724779.06152565929</v>
      </c>
      <c r="Q42" s="23">
        <f>'GS &gt; 50 OLS Model'!$B$7*E42</f>
        <v>651662.03144282557</v>
      </c>
      <c r="R42" s="23">
        <f>'GS &gt; 50 OLS Model'!$B$8*F42</f>
        <v>36912252.924041227</v>
      </c>
      <c r="S42" s="23">
        <f>'GS &gt; 50 OLS Model'!$B$9*G42</f>
        <v>-1277524.0559931584</v>
      </c>
      <c r="T42" s="23">
        <f>'GS &gt; 50 OLS Model'!$B$10*H42</f>
        <v>0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-1248171.7663678101</v>
      </c>
      <c r="Z42" s="23">
        <f t="shared" si="2"/>
        <v>20777386.275150441</v>
      </c>
      <c r="AA42" s="13">
        <f t="shared" si="3"/>
        <v>2.8859880710461142E-3</v>
      </c>
    </row>
    <row r="43" spans="1:27" x14ac:dyDescent="0.25">
      <c r="A43" s="11">
        <f>'Monthly Data'!A43</f>
        <v>41061</v>
      </c>
      <c r="B43" s="6">
        <f t="shared" si="1"/>
        <v>2012</v>
      </c>
      <c r="C43" s="30">
        <f>'Monthly Data'!H43</f>
        <v>21707404.059699997</v>
      </c>
      <c r="D43" s="30">
        <f>'Monthly Data'!M43</f>
        <v>41.300000000000004</v>
      </c>
      <c r="E43" s="30">
        <f>'Monthly Data'!N43</f>
        <v>51.8</v>
      </c>
      <c r="F43" s="30">
        <f>'Monthly Data'!Q43</f>
        <v>6737.2</v>
      </c>
      <c r="G43" s="30">
        <f>'Monthly Data'!S43</f>
        <v>42</v>
      </c>
      <c r="H43" s="30">
        <f>'Monthly Data'!Y43</f>
        <v>0</v>
      </c>
      <c r="I43" s="30">
        <f>'Monthly Data'!AE43</f>
        <v>0</v>
      </c>
      <c r="J43" s="30">
        <f>'Monthly Data'!AF43</f>
        <v>0</v>
      </c>
      <c r="K43" s="30">
        <f>'Monthly Data'!AG43</f>
        <v>0</v>
      </c>
      <c r="L43" s="30">
        <f>'Monthly Data'!AH43</f>
        <v>0</v>
      </c>
      <c r="M43" s="30">
        <f>'Monthly Data'!AI43</f>
        <v>1</v>
      </c>
      <c r="N43" s="30"/>
      <c r="O43" s="23">
        <f>'GS &gt; 50 OLS Model'!$B$5</f>
        <v>-14985611.9194983</v>
      </c>
      <c r="P43" s="23">
        <f>'GS &gt; 50 OLS Model'!$B$6*D43</f>
        <v>318440.16213840136</v>
      </c>
      <c r="Q43" s="23">
        <f>'GS &gt; 50 OLS Model'!$B$7*E43</f>
        <v>1679407.6233203164</v>
      </c>
      <c r="R43" s="23">
        <f>'GS &gt; 50 OLS Model'!$B$8*F43</f>
        <v>37350780.312679373</v>
      </c>
      <c r="S43" s="23">
        <f>'GS &gt; 50 OLS Model'!$B$9*G43</f>
        <v>-1308683.1793100648</v>
      </c>
      <c r="T43" s="23">
        <f>'GS &gt; 50 OLS Model'!$B$10*H43</f>
        <v>0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-1248171.7663678101</v>
      </c>
      <c r="Z43" s="23">
        <f t="shared" si="2"/>
        <v>21806161.232961915</v>
      </c>
      <c r="AA43" s="13">
        <f t="shared" si="3"/>
        <v>4.5494695261724897E-3</v>
      </c>
    </row>
    <row r="44" spans="1:27" x14ac:dyDescent="0.25">
      <c r="A44" s="11">
        <f>'Monthly Data'!A44</f>
        <v>41091</v>
      </c>
      <c r="B44" s="6">
        <f t="shared" si="1"/>
        <v>2012</v>
      </c>
      <c r="C44" s="30">
        <f>'Monthly Data'!H44</f>
        <v>24001087.441299997</v>
      </c>
      <c r="D44" s="30">
        <f>'Monthly Data'!M44</f>
        <v>0.2</v>
      </c>
      <c r="E44" s="30">
        <f>'Monthly Data'!N44</f>
        <v>120.69999999999996</v>
      </c>
      <c r="F44" s="30">
        <f>'Monthly Data'!Q44</f>
        <v>6778.6</v>
      </c>
      <c r="G44" s="30">
        <f>'Monthly Data'!S44</f>
        <v>43</v>
      </c>
      <c r="H44" s="30">
        <f>'Monthly Data'!Y44</f>
        <v>0</v>
      </c>
      <c r="I44" s="30">
        <f>'Monthly Data'!AE44</f>
        <v>0</v>
      </c>
      <c r="J44" s="30">
        <f>'Monthly Data'!AF44</f>
        <v>0</v>
      </c>
      <c r="K44" s="30">
        <f>'Monthly Data'!AG44</f>
        <v>0</v>
      </c>
      <c r="L44" s="30">
        <f>'Monthly Data'!AH44</f>
        <v>0</v>
      </c>
      <c r="M44" s="30">
        <f>'Monthly Data'!AI44</f>
        <v>1</v>
      </c>
      <c r="N44" s="30"/>
      <c r="O44" s="23">
        <f>'GS &gt; 50 OLS Model'!$B$5</f>
        <v>-14985611.9194983</v>
      </c>
      <c r="P44" s="23">
        <f>'GS &gt; 50 OLS Model'!$B$6*D44</f>
        <v>1542.0831096290622</v>
      </c>
      <c r="Q44" s="23">
        <f>'GS &gt; 50 OLS Model'!$B$7*E44</f>
        <v>3913214.2883158713</v>
      </c>
      <c r="R44" s="23">
        <f>'GS &gt; 50 OLS Model'!$B$8*F44</f>
        <v>37580300.33656837</v>
      </c>
      <c r="S44" s="23">
        <f>'GS &gt; 50 OLS Model'!$B$9*G44</f>
        <v>-1339842.3026269709</v>
      </c>
      <c r="T44" s="23">
        <f>'GS &gt; 50 OLS Model'!$B$10*H44</f>
        <v>0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-1248171.7663678101</v>
      </c>
      <c r="Z44" s="23">
        <f t="shared" si="2"/>
        <v>23921430.719500788</v>
      </c>
      <c r="AA44" s="13">
        <f t="shared" si="3"/>
        <v>3.3188796963482575E-3</v>
      </c>
    </row>
    <row r="45" spans="1:27" x14ac:dyDescent="0.25">
      <c r="A45" s="11">
        <f>'Monthly Data'!A45</f>
        <v>41122</v>
      </c>
      <c r="B45" s="6">
        <f t="shared" si="1"/>
        <v>2012</v>
      </c>
      <c r="C45" s="30">
        <f>'Monthly Data'!H45</f>
        <v>23568098.964500003</v>
      </c>
      <c r="D45" s="30">
        <f>'Monthly Data'!M45</f>
        <v>7.3000000000000007</v>
      </c>
      <c r="E45" s="30">
        <f>'Monthly Data'!N45</f>
        <v>87.199999999999974</v>
      </c>
      <c r="F45" s="30">
        <f>'Monthly Data'!Q45</f>
        <v>6797.9</v>
      </c>
      <c r="G45" s="30">
        <f>'Monthly Data'!S45</f>
        <v>44</v>
      </c>
      <c r="H45" s="30">
        <f>'Monthly Data'!Y45</f>
        <v>0</v>
      </c>
      <c r="I45" s="30">
        <f>'Monthly Data'!AE45</f>
        <v>0</v>
      </c>
      <c r="J45" s="30">
        <f>'Monthly Data'!AF45</f>
        <v>0</v>
      </c>
      <c r="K45" s="30">
        <f>'Monthly Data'!AG45</f>
        <v>0</v>
      </c>
      <c r="L45" s="30">
        <f>'Monthly Data'!AH45</f>
        <v>0</v>
      </c>
      <c r="M45" s="30">
        <f>'Monthly Data'!AI45</f>
        <v>1</v>
      </c>
      <c r="N45" s="30"/>
      <c r="O45" s="23">
        <f>'GS &gt; 50 OLS Model'!$B$5</f>
        <v>-14985611.9194983</v>
      </c>
      <c r="P45" s="23">
        <f>'GS &gt; 50 OLS Model'!$B$6*D45</f>
        <v>56286.03350146077</v>
      </c>
      <c r="Q45" s="23">
        <f>'GS &gt; 50 OLS Model'!$B$7*E45</f>
        <v>2827110.9025778291</v>
      </c>
      <c r="R45" s="23">
        <f>'GS &gt; 50 OLS Model'!$B$8*F45</f>
        <v>37687298.8018113</v>
      </c>
      <c r="S45" s="23">
        <f>'GS &gt; 50 OLS Model'!$B$9*G45</f>
        <v>-1371001.4259438773</v>
      </c>
      <c r="T45" s="23">
        <f>'GS &gt; 50 OLS Model'!$B$10*H45</f>
        <v>0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-1248171.7663678101</v>
      </c>
      <c r="Z45" s="23">
        <f t="shared" si="2"/>
        <v>22965910.626080602</v>
      </c>
      <c r="AA45" s="13">
        <f t="shared" si="3"/>
        <v>2.555099328658032E-2</v>
      </c>
    </row>
    <row r="46" spans="1:27" x14ac:dyDescent="0.25">
      <c r="A46" s="11">
        <f>'Monthly Data'!A46</f>
        <v>41153</v>
      </c>
      <c r="B46" s="6">
        <f t="shared" si="1"/>
        <v>2012</v>
      </c>
      <c r="C46" s="30">
        <f>'Monthly Data'!H46</f>
        <v>21326862.559</v>
      </c>
      <c r="D46" s="30">
        <f>'Monthly Data'!M46</f>
        <v>106.30000000000003</v>
      </c>
      <c r="E46" s="30">
        <f>'Monthly Data'!N46</f>
        <v>20.200000000000003</v>
      </c>
      <c r="F46" s="30">
        <f>'Monthly Data'!Q46</f>
        <v>6763.1</v>
      </c>
      <c r="G46" s="30">
        <f>'Monthly Data'!S46</f>
        <v>45</v>
      </c>
      <c r="H46" s="30">
        <f>'Monthly Data'!Y46</f>
        <v>0</v>
      </c>
      <c r="I46" s="30">
        <f>'Monthly Data'!AE46</f>
        <v>1</v>
      </c>
      <c r="J46" s="30">
        <f>'Monthly Data'!AF46</f>
        <v>0</v>
      </c>
      <c r="K46" s="30">
        <f>'Monthly Data'!AG46</f>
        <v>0</v>
      </c>
      <c r="L46" s="30">
        <f>'Monthly Data'!AH46</f>
        <v>0</v>
      </c>
      <c r="M46" s="30">
        <f>'Monthly Data'!AI46</f>
        <v>0</v>
      </c>
      <c r="N46" s="30"/>
      <c r="O46" s="23">
        <f>'GS &gt; 50 OLS Model'!$B$5</f>
        <v>-14985611.9194983</v>
      </c>
      <c r="P46" s="23">
        <f>'GS &gt; 50 OLS Model'!$B$6*D46</f>
        <v>819617.17276784661</v>
      </c>
      <c r="Q46" s="23">
        <f>'GS &gt; 50 OLS Model'!$B$7*E46</f>
        <v>654904.13110174518</v>
      </c>
      <c r="R46" s="23">
        <f>'GS &gt; 50 OLS Model'!$B$8*F46</f>
        <v>37494368.926658235</v>
      </c>
      <c r="S46" s="23">
        <f>'GS &gt; 50 OLS Model'!$B$9*G46</f>
        <v>-1402160.5492607835</v>
      </c>
      <c r="T46" s="23">
        <f>'GS &gt; 50 OLS Model'!$B$10*H46</f>
        <v>0</v>
      </c>
      <c r="U46" s="23">
        <f>'GS &gt; 50 OLS Model'!$B$11*I46</f>
        <v>-1629695.87956432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si="2"/>
        <v>20951421.882204425</v>
      </c>
      <c r="AA46" s="13">
        <f t="shared" si="3"/>
        <v>1.760412136369954E-2</v>
      </c>
    </row>
    <row r="47" spans="1:27" x14ac:dyDescent="0.25">
      <c r="A47" s="11">
        <f>'Monthly Data'!A47</f>
        <v>41183</v>
      </c>
      <c r="B47" s="6">
        <f t="shared" si="1"/>
        <v>2012</v>
      </c>
      <c r="C47" s="30">
        <f>'Monthly Data'!H47</f>
        <v>21490324.533200003</v>
      </c>
      <c r="D47" s="30">
        <f>'Monthly Data'!M47</f>
        <v>259.09999999999991</v>
      </c>
      <c r="E47" s="30">
        <f>'Monthly Data'!N47</f>
        <v>0</v>
      </c>
      <c r="F47" s="30">
        <f>'Monthly Data'!Q47</f>
        <v>6740.9</v>
      </c>
      <c r="G47" s="30">
        <f>'Monthly Data'!S47</f>
        <v>46</v>
      </c>
      <c r="H47" s="30">
        <f>'Monthly Data'!Y47</f>
        <v>0</v>
      </c>
      <c r="I47" s="30">
        <f>'Monthly Data'!AE47</f>
        <v>1</v>
      </c>
      <c r="J47" s="30">
        <f>'Monthly Data'!AF47</f>
        <v>0</v>
      </c>
      <c r="K47" s="30">
        <f>'Monthly Data'!AG47</f>
        <v>0</v>
      </c>
      <c r="L47" s="30">
        <f>'Monthly Data'!AH47</f>
        <v>0</v>
      </c>
      <c r="M47" s="30">
        <f>'Monthly Data'!AI47</f>
        <v>0</v>
      </c>
      <c r="N47" s="30"/>
      <c r="O47" s="23">
        <f>'GS &gt; 50 OLS Model'!$B$5</f>
        <v>-14985611.9194983</v>
      </c>
      <c r="P47" s="23">
        <f>'GS &gt; 50 OLS Model'!$B$6*D47</f>
        <v>1997768.668524449</v>
      </c>
      <c r="Q47" s="23">
        <f>'GS &gt; 50 OLS Model'!$B$7*E47</f>
        <v>0</v>
      </c>
      <c r="R47" s="23">
        <f>'GS &gt; 50 OLS Model'!$B$8*F47</f>
        <v>37371292.971819207</v>
      </c>
      <c r="S47" s="23">
        <f>'GS &gt; 50 OLS Model'!$B$9*G47</f>
        <v>-1433319.6725776899</v>
      </c>
      <c r="T47" s="23">
        <f>'GS &gt; 50 OLS Model'!$B$10*H47</f>
        <v>0</v>
      </c>
      <c r="U47" s="23">
        <f>'GS &gt; 50 OLS Model'!$B$11*I47</f>
        <v>-1629695.87956432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si="2"/>
        <v>21320434.168703347</v>
      </c>
      <c r="AA47" s="13">
        <f t="shared" si="3"/>
        <v>7.9054350358551025E-3</v>
      </c>
    </row>
    <row r="48" spans="1:27" x14ac:dyDescent="0.25">
      <c r="A48" s="11">
        <f>'Monthly Data'!A48</f>
        <v>41214</v>
      </c>
      <c r="B48" s="6">
        <f t="shared" si="1"/>
        <v>2012</v>
      </c>
      <c r="C48" s="30">
        <f>'Monthly Data'!H48</f>
        <v>23484747.608399998</v>
      </c>
      <c r="D48" s="30">
        <f>'Monthly Data'!M48</f>
        <v>498.9</v>
      </c>
      <c r="E48" s="30">
        <f>'Monthly Data'!N48</f>
        <v>0</v>
      </c>
      <c r="F48" s="30">
        <f>'Monthly Data'!Q48</f>
        <v>6727.4</v>
      </c>
      <c r="G48" s="30">
        <f>'Monthly Data'!S48</f>
        <v>47</v>
      </c>
      <c r="H48" s="30">
        <f>'Monthly Data'!Y48</f>
        <v>0</v>
      </c>
      <c r="I48" s="30">
        <f>'Monthly Data'!AE48</f>
        <v>1</v>
      </c>
      <c r="J48" s="30">
        <f>'Monthly Data'!AF48</f>
        <v>0</v>
      </c>
      <c r="K48" s="30">
        <f>'Monthly Data'!AG48</f>
        <v>0</v>
      </c>
      <c r="L48" s="30">
        <f>'Monthly Data'!AH48</f>
        <v>0</v>
      </c>
      <c r="M48" s="30">
        <f>'Monthly Data'!AI48</f>
        <v>0</v>
      </c>
      <c r="N48" s="30"/>
      <c r="O48" s="23">
        <f>'GS &gt; 50 OLS Model'!$B$5</f>
        <v>-14985611.9194983</v>
      </c>
      <c r="P48" s="23">
        <f>'GS &gt; 50 OLS Model'!$B$6*D48</f>
        <v>3846726.316969695</v>
      </c>
      <c r="Q48" s="23">
        <f>'GS &gt; 50 OLS Model'!$B$7*E48</f>
        <v>0</v>
      </c>
      <c r="R48" s="23">
        <f>'GS &gt; 50 OLS Model'!$B$8*F48</f>
        <v>37296449.485768452</v>
      </c>
      <c r="S48" s="23">
        <f>'GS &gt; 50 OLS Model'!$B$9*G48</f>
        <v>-1464478.7958945963</v>
      </c>
      <c r="T48" s="23">
        <f>'GS &gt; 50 OLS Model'!$B$10*H48</f>
        <v>0</v>
      </c>
      <c r="U48" s="23">
        <f>'GS &gt; 50 OLS Model'!$B$11*I48</f>
        <v>-1629695.87956432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si="2"/>
        <v>23063389.207780931</v>
      </c>
      <c r="AA48" s="13">
        <f t="shared" si="3"/>
        <v>1.7941789609369967E-2</v>
      </c>
    </row>
    <row r="49" spans="1:27" x14ac:dyDescent="0.25">
      <c r="A49" s="11">
        <f>'Monthly Data'!A49</f>
        <v>41244</v>
      </c>
      <c r="B49" s="6">
        <f t="shared" si="1"/>
        <v>2012</v>
      </c>
      <c r="C49" s="30">
        <f>'Monthly Data'!H49</f>
        <v>24894285.0704</v>
      </c>
      <c r="D49" s="30">
        <f>'Monthly Data'!M49</f>
        <v>648.19999999999993</v>
      </c>
      <c r="E49" s="30">
        <f>'Monthly Data'!N49</f>
        <v>0</v>
      </c>
      <c r="F49" s="30">
        <f>'Monthly Data'!Q49</f>
        <v>6740.2</v>
      </c>
      <c r="G49" s="30">
        <f>'Monthly Data'!S49</f>
        <v>48</v>
      </c>
      <c r="H49" s="30">
        <f>'Monthly Data'!Y49</f>
        <v>0</v>
      </c>
      <c r="I49" s="30">
        <f>'Monthly Data'!AE49</f>
        <v>0</v>
      </c>
      <c r="J49" s="30">
        <f>'Monthly Data'!AF49</f>
        <v>0</v>
      </c>
      <c r="K49" s="30">
        <f>'Monthly Data'!AG49</f>
        <v>0</v>
      </c>
      <c r="L49" s="30">
        <f>'Monthly Data'!AH49</f>
        <v>1</v>
      </c>
      <c r="M49" s="30">
        <f>'Monthly Data'!AI49</f>
        <v>0</v>
      </c>
      <c r="N49" s="30"/>
      <c r="O49" s="23">
        <f>'GS &gt; 50 OLS Model'!$B$5</f>
        <v>-14985611.9194983</v>
      </c>
      <c r="P49" s="23">
        <f>'GS &gt; 50 OLS Model'!$B$6*D49</f>
        <v>4997891.3583077891</v>
      </c>
      <c r="Q49" s="23">
        <f>'GS &gt; 50 OLS Model'!$B$7*E49</f>
        <v>0</v>
      </c>
      <c r="R49" s="23">
        <f>'GS &gt; 50 OLS Model'!$B$8*F49</f>
        <v>37367412.198468432</v>
      </c>
      <c r="S49" s="23">
        <f>'GS &gt; 50 OLS Model'!$B$9*G49</f>
        <v>-1495637.9192115024</v>
      </c>
      <c r="T49" s="23">
        <f>'GS &gt; 50 OLS Model'!$B$10*H49</f>
        <v>0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-1130663.3851056299</v>
      </c>
      <c r="Y49" s="23">
        <f>'GS &gt; 50 OLS Model'!$B$15*M49</f>
        <v>0</v>
      </c>
      <c r="Z49" s="23">
        <f t="shared" si="2"/>
        <v>24753390.332960788</v>
      </c>
      <c r="AA49" s="13">
        <f t="shared" si="3"/>
        <v>5.6597221828530936E-3</v>
      </c>
    </row>
    <row r="50" spans="1:27" x14ac:dyDescent="0.25">
      <c r="A50" s="11">
        <f>'Monthly Data'!A50</f>
        <v>41275</v>
      </c>
      <c r="B50" s="6">
        <f t="shared" si="1"/>
        <v>2013</v>
      </c>
      <c r="C50" s="30">
        <f>'Monthly Data'!H50</f>
        <v>26810651.434600003</v>
      </c>
      <c r="D50" s="30">
        <f>'Monthly Data'!M50</f>
        <v>743.9</v>
      </c>
      <c r="E50" s="30">
        <f>'Monthly Data'!N50</f>
        <v>0</v>
      </c>
      <c r="F50" s="30">
        <f>'Monthly Data'!Q50</f>
        <v>6721.7</v>
      </c>
      <c r="G50" s="30">
        <f>'Monthly Data'!S50</f>
        <v>49</v>
      </c>
      <c r="H50" s="30">
        <f>'Monthly Data'!Y50</f>
        <v>0</v>
      </c>
      <c r="I50" s="30">
        <f>'Monthly Data'!AE50</f>
        <v>0</v>
      </c>
      <c r="J50" s="30">
        <f>'Monthly Data'!AF50</f>
        <v>0</v>
      </c>
      <c r="K50" s="30">
        <f>'Monthly Data'!AG50</f>
        <v>0</v>
      </c>
      <c r="L50" s="30">
        <f>'Monthly Data'!AH50</f>
        <v>0</v>
      </c>
      <c r="M50" s="30">
        <f>'Monthly Data'!AI50</f>
        <v>0</v>
      </c>
      <c r="N50" s="30"/>
      <c r="O50" s="23">
        <f>'GS &gt; 50 OLS Model'!$B$5</f>
        <v>-14985611.9194983</v>
      </c>
      <c r="P50" s="23">
        <f>'GS &gt; 50 OLS Model'!$B$6*D50</f>
        <v>5735778.1262652958</v>
      </c>
      <c r="Q50" s="23">
        <f>'GS &gt; 50 OLS Model'!$B$7*E50</f>
        <v>0</v>
      </c>
      <c r="R50" s="23">
        <f>'GS &gt; 50 OLS Model'!$B$8*F50</f>
        <v>37264848.902769245</v>
      </c>
      <c r="S50" s="23">
        <f>'GS &gt; 50 OLS Model'!$B$9*G50</f>
        <v>-1526797.0425284088</v>
      </c>
      <c r="T50" s="23">
        <f>'GS &gt; 50 OLS Model'!$B$10*H50</f>
        <v>0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si="2"/>
        <v>26488218.067007832</v>
      </c>
      <c r="AA50" s="13">
        <f t="shared" si="3"/>
        <v>1.2026316047511634E-2</v>
      </c>
    </row>
    <row r="51" spans="1:27" x14ac:dyDescent="0.25">
      <c r="A51" s="11">
        <f>'Monthly Data'!A51</f>
        <v>41306</v>
      </c>
      <c r="B51" s="6">
        <f t="shared" si="1"/>
        <v>2013</v>
      </c>
      <c r="C51" s="30">
        <f>'Monthly Data'!H51</f>
        <v>24213515.8378</v>
      </c>
      <c r="D51" s="30">
        <f>'Monthly Data'!M51</f>
        <v>693.5</v>
      </c>
      <c r="E51" s="30">
        <f>'Monthly Data'!N51</f>
        <v>0</v>
      </c>
      <c r="F51" s="30">
        <f>'Monthly Data'!Q51</f>
        <v>6702</v>
      </c>
      <c r="G51" s="30">
        <f>'Monthly Data'!S51</f>
        <v>50</v>
      </c>
      <c r="H51" s="30">
        <f>'Monthly Data'!Y51</f>
        <v>0</v>
      </c>
      <c r="I51" s="30">
        <f>'Monthly Data'!AE51</f>
        <v>0</v>
      </c>
      <c r="J51" s="30">
        <f>'Monthly Data'!AF51</f>
        <v>1</v>
      </c>
      <c r="K51" s="30">
        <f>'Monthly Data'!AG51</f>
        <v>0</v>
      </c>
      <c r="L51" s="30">
        <f>'Monthly Data'!AH51</f>
        <v>0</v>
      </c>
      <c r="M51" s="30">
        <f>'Monthly Data'!AI51</f>
        <v>0</v>
      </c>
      <c r="N51" s="30"/>
      <c r="O51" s="23">
        <f>'GS &gt; 50 OLS Model'!$B$5</f>
        <v>-14985611.9194983</v>
      </c>
      <c r="P51" s="23">
        <f>'GS &gt; 50 OLS Model'!$B$6*D51</f>
        <v>5347173.1826387728</v>
      </c>
      <c r="Q51" s="23">
        <f>'GS &gt; 50 OLS Model'!$B$7*E51</f>
        <v>0</v>
      </c>
      <c r="R51" s="23">
        <f>'GS &gt; 50 OLS Model'!$B$8*F51</f>
        <v>37155632.852754429</v>
      </c>
      <c r="S51" s="23">
        <f>'GS &gt; 50 OLS Model'!$B$9*G51</f>
        <v>-1557956.165845315</v>
      </c>
      <c r="T51" s="23">
        <f>'GS &gt; 50 OLS Model'!$B$10*H51</f>
        <v>0</v>
      </c>
      <c r="U51" s="23">
        <f>'GS &gt; 50 OLS Model'!$B$11*I51</f>
        <v>0</v>
      </c>
      <c r="V51" s="23">
        <f>'GS &gt; 50 OLS Model'!$B$12*J51</f>
        <v>-1507735.557816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si="2"/>
        <v>24451502.392233588</v>
      </c>
      <c r="AA51" s="13">
        <f t="shared" si="3"/>
        <v>9.8286657760813228E-3</v>
      </c>
    </row>
    <row r="52" spans="1:27" x14ac:dyDescent="0.25">
      <c r="A52" s="11">
        <f>'Monthly Data'!A52</f>
        <v>41334</v>
      </c>
      <c r="B52" s="6">
        <f t="shared" si="1"/>
        <v>2013</v>
      </c>
      <c r="C52" s="30">
        <f>'Monthly Data'!H52</f>
        <v>24696912.8497</v>
      </c>
      <c r="D52" s="30">
        <f>'Monthly Data'!M52</f>
        <v>588.30000000000018</v>
      </c>
      <c r="E52" s="30">
        <f>'Monthly Data'!N52</f>
        <v>0</v>
      </c>
      <c r="F52" s="30">
        <f>'Monthly Data'!Q52</f>
        <v>6675.8</v>
      </c>
      <c r="G52" s="30">
        <f>'Monthly Data'!S52</f>
        <v>51</v>
      </c>
      <c r="H52" s="30">
        <f>'Monthly Data'!Y52</f>
        <v>0</v>
      </c>
      <c r="I52" s="30">
        <f>'Monthly Data'!AE52</f>
        <v>0</v>
      </c>
      <c r="J52" s="30">
        <f>'Monthly Data'!AF52</f>
        <v>0</v>
      </c>
      <c r="K52" s="30">
        <f>'Monthly Data'!AG52</f>
        <v>0</v>
      </c>
      <c r="L52" s="30">
        <f>'Monthly Data'!AH52</f>
        <v>0</v>
      </c>
      <c r="M52" s="30">
        <f>'Monthly Data'!AI52</f>
        <v>0</v>
      </c>
      <c r="N52" s="30"/>
      <c r="O52" s="23">
        <f>'GS &gt; 50 OLS Model'!$B$5</f>
        <v>-14985611.9194983</v>
      </c>
      <c r="P52" s="23">
        <f>'GS &gt; 50 OLS Model'!$B$6*D52</f>
        <v>4536037.4669738868</v>
      </c>
      <c r="Q52" s="23">
        <f>'GS &gt; 50 OLS Model'!$B$7*E52</f>
        <v>0</v>
      </c>
      <c r="R52" s="23">
        <f>'GS &gt; 50 OLS Model'!$B$8*F52</f>
        <v>37010381.050196663</v>
      </c>
      <c r="S52" s="23">
        <f>'GS &gt; 50 OLS Model'!$B$9*G52</f>
        <v>-1589115.2891622214</v>
      </c>
      <c r="T52" s="23">
        <f>'GS &gt; 50 OLS Model'!$B$10*H52</f>
        <v>0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si="2"/>
        <v>24971691.308510028</v>
      </c>
      <c r="AA52" s="13">
        <f t="shared" si="3"/>
        <v>1.1126024555468498E-2</v>
      </c>
    </row>
    <row r="53" spans="1:27" x14ac:dyDescent="0.25">
      <c r="A53" s="11">
        <f>'Monthly Data'!A53</f>
        <v>41365</v>
      </c>
      <c r="B53" s="6">
        <f t="shared" si="1"/>
        <v>2013</v>
      </c>
      <c r="C53" s="30">
        <f>'Monthly Data'!H53</f>
        <v>22008310.044</v>
      </c>
      <c r="D53" s="30">
        <f>'Monthly Data'!M53</f>
        <v>386.99999999999989</v>
      </c>
      <c r="E53" s="30">
        <f>'Monthly Data'!N53</f>
        <v>0</v>
      </c>
      <c r="F53" s="30">
        <f>'Monthly Data'!Q53</f>
        <v>6703.7</v>
      </c>
      <c r="G53" s="30">
        <f>'Monthly Data'!S53</f>
        <v>52</v>
      </c>
      <c r="H53" s="30">
        <f>'Monthly Data'!Y53</f>
        <v>0</v>
      </c>
      <c r="I53" s="30">
        <f>'Monthly Data'!AE53</f>
        <v>0</v>
      </c>
      <c r="J53" s="30">
        <f>'Monthly Data'!AF53</f>
        <v>0</v>
      </c>
      <c r="K53" s="30">
        <f>'Monthly Data'!AG53</f>
        <v>1</v>
      </c>
      <c r="L53" s="30">
        <f>'Monthly Data'!AH53</f>
        <v>0</v>
      </c>
      <c r="M53" s="30">
        <f>'Monthly Data'!AI53</f>
        <v>0</v>
      </c>
      <c r="N53" s="30"/>
      <c r="O53" s="23">
        <f>'GS &gt; 50 OLS Model'!$B$5</f>
        <v>-14985611.9194983</v>
      </c>
      <c r="P53" s="23">
        <f>'GS &gt; 50 OLS Model'!$B$6*D53</f>
        <v>2983930.8171322341</v>
      </c>
      <c r="Q53" s="23">
        <f>'GS &gt; 50 OLS Model'!$B$7*E53</f>
        <v>0</v>
      </c>
      <c r="R53" s="23">
        <f>'GS &gt; 50 OLS Model'!$B$8*F53</f>
        <v>37165057.588034898</v>
      </c>
      <c r="S53" s="23">
        <f>'GS &gt; 50 OLS Model'!$B$9*G53</f>
        <v>-1620274.4124791278</v>
      </c>
      <c r="T53" s="23">
        <f>'GS &gt; 50 OLS Model'!$B$10*H53</f>
        <v>0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-1602103.9965178701</v>
      </c>
      <c r="X53" s="23">
        <f>'GS &gt; 50 OLS Model'!$B$14*L53</f>
        <v>0</v>
      </c>
      <c r="Y53" s="23">
        <f>'GS &gt; 50 OLS Model'!$B$15*M53</f>
        <v>0</v>
      </c>
      <c r="Z53" s="23">
        <f t="shared" si="2"/>
        <v>21940998.076671831</v>
      </c>
      <c r="AA53" s="13">
        <f t="shared" si="3"/>
        <v>3.0584796012776698E-3</v>
      </c>
    </row>
    <row r="54" spans="1:27" x14ac:dyDescent="0.25">
      <c r="A54" s="11">
        <f>'Monthly Data'!A54</f>
        <v>41395</v>
      </c>
      <c r="B54" s="6">
        <f t="shared" si="1"/>
        <v>2013</v>
      </c>
      <c r="C54" s="30">
        <f>'Monthly Data'!H54</f>
        <v>20617959.457099997</v>
      </c>
      <c r="D54" s="30">
        <f>'Monthly Data'!M54</f>
        <v>139.70000000000002</v>
      </c>
      <c r="E54" s="30">
        <f>'Monthly Data'!N54</f>
        <v>6.3</v>
      </c>
      <c r="F54" s="30">
        <f>'Monthly Data'!Q54</f>
        <v>6770.3</v>
      </c>
      <c r="G54" s="30">
        <f>'Monthly Data'!S54</f>
        <v>53</v>
      </c>
      <c r="H54" s="30">
        <f>'Monthly Data'!Y54</f>
        <v>0</v>
      </c>
      <c r="I54" s="30">
        <f>'Monthly Data'!AE54</f>
        <v>0</v>
      </c>
      <c r="J54" s="30">
        <f>'Monthly Data'!AF54</f>
        <v>0</v>
      </c>
      <c r="K54" s="30">
        <f>'Monthly Data'!AG54</f>
        <v>0</v>
      </c>
      <c r="L54" s="30">
        <f>'Monthly Data'!AH54</f>
        <v>0</v>
      </c>
      <c r="M54" s="30">
        <f>'Monthly Data'!AI54</f>
        <v>1</v>
      </c>
      <c r="N54" s="30"/>
      <c r="O54" s="23">
        <f>'GS &gt; 50 OLS Model'!$B$5</f>
        <v>-14985611.9194983</v>
      </c>
      <c r="P54" s="23">
        <f>'GS &gt; 50 OLS Model'!$B$6*D54</f>
        <v>1077145.0520758999</v>
      </c>
      <c r="Q54" s="23">
        <f>'GS &gt; 50 OLS Model'!$B$7*E54</f>
        <v>204252.27851193037</v>
      </c>
      <c r="R54" s="23">
        <f>'GS &gt; 50 OLS Model'!$B$8*F54</f>
        <v>37534285.452551976</v>
      </c>
      <c r="S54" s="23">
        <f>'GS &gt; 50 OLS Model'!$B$9*G54</f>
        <v>-1651433.5357960339</v>
      </c>
      <c r="T54" s="23">
        <f>'GS &gt; 50 OLS Model'!$B$10*H54</f>
        <v>0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-1248171.7663678101</v>
      </c>
      <c r="Z54" s="23">
        <f t="shared" si="2"/>
        <v>20930465.561477661</v>
      </c>
      <c r="AA54" s="13">
        <f t="shared" si="3"/>
        <v>1.5156985104558932E-2</v>
      </c>
    </row>
    <row r="55" spans="1:27" x14ac:dyDescent="0.25">
      <c r="A55" s="11">
        <f>'Monthly Data'!A55</f>
        <v>41426</v>
      </c>
      <c r="B55" s="6">
        <f t="shared" si="1"/>
        <v>2013</v>
      </c>
      <c r="C55" s="30">
        <f>'Monthly Data'!H55</f>
        <v>21092145.934599999</v>
      </c>
      <c r="D55" s="30">
        <f>'Monthly Data'!M55</f>
        <v>72.200000000000017</v>
      </c>
      <c r="E55" s="30">
        <f>'Monthly Data'!N55</f>
        <v>30.800000000000004</v>
      </c>
      <c r="F55" s="30">
        <f>'Monthly Data'!Q55</f>
        <v>6861.8</v>
      </c>
      <c r="G55" s="30">
        <f>'Monthly Data'!S55</f>
        <v>54</v>
      </c>
      <c r="H55" s="30">
        <f>'Monthly Data'!Y55</f>
        <v>0</v>
      </c>
      <c r="I55" s="30">
        <f>'Monthly Data'!AE55</f>
        <v>0</v>
      </c>
      <c r="J55" s="30">
        <f>'Monthly Data'!AF55</f>
        <v>0</v>
      </c>
      <c r="K55" s="30">
        <f>'Monthly Data'!AG55</f>
        <v>0</v>
      </c>
      <c r="L55" s="30">
        <f>'Monthly Data'!AH55</f>
        <v>0</v>
      </c>
      <c r="M55" s="30">
        <f>'Monthly Data'!AI55</f>
        <v>1</v>
      </c>
      <c r="N55" s="30"/>
      <c r="O55" s="23">
        <f>'GS &gt; 50 OLS Model'!$B$5</f>
        <v>-14985611.9194983</v>
      </c>
      <c r="P55" s="23">
        <f>'GS &gt; 50 OLS Model'!$B$6*D55</f>
        <v>556692.00257609156</v>
      </c>
      <c r="Q55" s="23">
        <f>'GS &gt; 50 OLS Model'!$B$7*E55</f>
        <v>998566.69494721538</v>
      </c>
      <c r="R55" s="23">
        <f>'GS &gt; 50 OLS Model'!$B$8*F55</f>
        <v>38041557.96911823</v>
      </c>
      <c r="S55" s="23">
        <f>'GS &gt; 50 OLS Model'!$B$9*G55</f>
        <v>-1682592.6591129403</v>
      </c>
      <c r="T55" s="23">
        <f>'GS &gt; 50 OLS Model'!$B$10*H55</f>
        <v>0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-1248171.7663678101</v>
      </c>
      <c r="Z55" s="23">
        <f t="shared" si="2"/>
        <v>21680440.321662486</v>
      </c>
      <c r="AA55" s="13">
        <f t="shared" si="3"/>
        <v>2.7891632690509493E-2</v>
      </c>
    </row>
    <row r="56" spans="1:27" x14ac:dyDescent="0.25">
      <c r="A56" s="11">
        <f>'Monthly Data'!A56</f>
        <v>41456</v>
      </c>
      <c r="B56" s="6">
        <f t="shared" si="1"/>
        <v>2013</v>
      </c>
      <c r="C56" s="30">
        <f>'Monthly Data'!H56</f>
        <v>23877312.323899999</v>
      </c>
      <c r="D56" s="30">
        <f>'Monthly Data'!M56</f>
        <v>4.8</v>
      </c>
      <c r="E56" s="30">
        <f>'Monthly Data'!N56</f>
        <v>97.09999999999998</v>
      </c>
      <c r="F56" s="30">
        <f>'Monthly Data'!Q56</f>
        <v>6917.1</v>
      </c>
      <c r="G56" s="30">
        <f>'Monthly Data'!S56</f>
        <v>55</v>
      </c>
      <c r="H56" s="30">
        <f>'Monthly Data'!Y56</f>
        <v>0</v>
      </c>
      <c r="I56" s="30">
        <f>'Monthly Data'!AE56</f>
        <v>0</v>
      </c>
      <c r="J56" s="30">
        <f>'Monthly Data'!AF56</f>
        <v>0</v>
      </c>
      <c r="K56" s="30">
        <f>'Monthly Data'!AG56</f>
        <v>0</v>
      </c>
      <c r="L56" s="30">
        <f>'Monthly Data'!AH56</f>
        <v>0</v>
      </c>
      <c r="M56" s="30">
        <f>'Monthly Data'!AI56</f>
        <v>1</v>
      </c>
      <c r="N56" s="30"/>
      <c r="O56" s="23">
        <f>'GS &gt; 50 OLS Model'!$B$5</f>
        <v>-14985611.9194983</v>
      </c>
      <c r="P56" s="23">
        <f>'GS &gt; 50 OLS Model'!$B$6*D56</f>
        <v>37009.994631097485</v>
      </c>
      <c r="Q56" s="23">
        <f>'GS &gt; 50 OLS Model'!$B$7*E56</f>
        <v>3148078.7688108631</v>
      </c>
      <c r="R56" s="23">
        <f>'GS &gt; 50 OLS Model'!$B$8*F56</f>
        <v>38348139.063829854</v>
      </c>
      <c r="S56" s="23">
        <f>'GS &gt; 50 OLS Model'!$B$9*G56</f>
        <v>-1713751.7824298467</v>
      </c>
      <c r="T56" s="23">
        <f>'GS &gt; 50 OLS Model'!$B$10*H56</f>
        <v>0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-1248171.7663678101</v>
      </c>
      <c r="Z56" s="23">
        <f t="shared" si="2"/>
        <v>23585692.358975854</v>
      </c>
      <c r="AA56" s="13">
        <f t="shared" si="3"/>
        <v>1.2213265922406537E-2</v>
      </c>
    </row>
    <row r="57" spans="1:27" x14ac:dyDescent="0.25">
      <c r="A57" s="11">
        <f>'Monthly Data'!A57</f>
        <v>41487</v>
      </c>
      <c r="B57" s="6">
        <f t="shared" si="1"/>
        <v>2013</v>
      </c>
      <c r="C57" s="30">
        <f>'Monthly Data'!H57</f>
        <v>23179917.367399998</v>
      </c>
      <c r="D57" s="30">
        <f>'Monthly Data'!M57</f>
        <v>7.7</v>
      </c>
      <c r="E57" s="30">
        <f>'Monthly Data'!N57</f>
        <v>59.999999999999993</v>
      </c>
      <c r="F57" s="30">
        <f>'Monthly Data'!Q57</f>
        <v>6934.7</v>
      </c>
      <c r="G57" s="30">
        <f>'Monthly Data'!S57</f>
        <v>56</v>
      </c>
      <c r="H57" s="30">
        <f>'Monthly Data'!Y57</f>
        <v>0</v>
      </c>
      <c r="I57" s="30">
        <f>'Monthly Data'!AE57</f>
        <v>0</v>
      </c>
      <c r="J57" s="30">
        <f>'Monthly Data'!AF57</f>
        <v>0</v>
      </c>
      <c r="K57" s="30">
        <f>'Monthly Data'!AG57</f>
        <v>0</v>
      </c>
      <c r="L57" s="30">
        <f>'Monthly Data'!AH57</f>
        <v>0</v>
      </c>
      <c r="M57" s="30">
        <f>'Monthly Data'!AI57</f>
        <v>1</v>
      </c>
      <c r="N57" s="30"/>
      <c r="O57" s="23">
        <f>'GS &gt; 50 OLS Model'!$B$5</f>
        <v>-14985611.9194983</v>
      </c>
      <c r="P57" s="23">
        <f>'GS &gt; 50 OLS Model'!$B$6*D57</f>
        <v>59370.199720718891</v>
      </c>
      <c r="Q57" s="23">
        <f>'GS &gt; 50 OLS Model'!$B$7*E57</f>
        <v>1945259.7953517179</v>
      </c>
      <c r="R57" s="23">
        <f>'GS &gt; 50 OLS Model'!$B$8*F57</f>
        <v>38445712.793792322</v>
      </c>
      <c r="S57" s="23">
        <f>'GS &gt; 50 OLS Model'!$B$9*G57</f>
        <v>-1744910.9057467529</v>
      </c>
      <c r="T57" s="23">
        <f>'GS &gt; 50 OLS Model'!$B$10*H57</f>
        <v>0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-1248171.7663678101</v>
      </c>
      <c r="Z57" s="23">
        <f t="shared" si="2"/>
        <v>22471648.197251894</v>
      </c>
      <c r="AA57" s="13">
        <f t="shared" si="3"/>
        <v>3.055529314113117E-2</v>
      </c>
    </row>
    <row r="58" spans="1:27" x14ac:dyDescent="0.25">
      <c r="A58" s="11">
        <f>'Monthly Data'!A58</f>
        <v>41518</v>
      </c>
      <c r="B58" s="6">
        <f t="shared" si="1"/>
        <v>2013</v>
      </c>
      <c r="C58" s="30">
        <f>'Monthly Data'!H58</f>
        <v>21295501.819000002</v>
      </c>
      <c r="D58" s="30">
        <f>'Monthly Data'!M58</f>
        <v>118.4</v>
      </c>
      <c r="E58" s="30">
        <f>'Monthly Data'!N58</f>
        <v>16.5</v>
      </c>
      <c r="F58" s="30">
        <f>'Monthly Data'!Q58</f>
        <v>6906.9</v>
      </c>
      <c r="G58" s="30">
        <f>'Monthly Data'!S58</f>
        <v>57</v>
      </c>
      <c r="H58" s="30">
        <f>'Monthly Data'!Y58</f>
        <v>0</v>
      </c>
      <c r="I58" s="30">
        <f>'Monthly Data'!AE58</f>
        <v>1</v>
      </c>
      <c r="J58" s="30">
        <f>'Monthly Data'!AF58</f>
        <v>0</v>
      </c>
      <c r="K58" s="30">
        <f>'Monthly Data'!AG58</f>
        <v>0</v>
      </c>
      <c r="L58" s="30">
        <f>'Monthly Data'!AH58</f>
        <v>0</v>
      </c>
      <c r="M58" s="30">
        <f>'Monthly Data'!AI58</f>
        <v>0</v>
      </c>
      <c r="N58" s="30"/>
      <c r="O58" s="23">
        <f>'GS &gt; 50 OLS Model'!$B$5</f>
        <v>-14985611.9194983</v>
      </c>
      <c r="P58" s="23">
        <f>'GS &gt; 50 OLS Model'!$B$6*D58</f>
        <v>912913.20090040471</v>
      </c>
      <c r="Q58" s="23">
        <f>'GS &gt; 50 OLS Model'!$B$7*E58</f>
        <v>534946.44372172246</v>
      </c>
      <c r="R58" s="23">
        <f>'GS &gt; 50 OLS Model'!$B$8*F58</f>
        <v>38291590.652147055</v>
      </c>
      <c r="S58" s="23">
        <f>'GS &gt; 50 OLS Model'!$B$9*G58</f>
        <v>-1776070.0290636593</v>
      </c>
      <c r="T58" s="23">
        <f>'GS &gt; 50 OLS Model'!$B$10*H58</f>
        <v>0</v>
      </c>
      <c r="U58" s="23">
        <f>'GS &gt; 50 OLS Model'!$B$11*I58</f>
        <v>-1629695.87956432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si="2"/>
        <v>21348072.468642902</v>
      </c>
      <c r="AA58" s="13">
        <f t="shared" si="3"/>
        <v>2.4686269471234398E-3</v>
      </c>
    </row>
    <row r="59" spans="1:27" x14ac:dyDescent="0.25">
      <c r="A59" s="11">
        <f>'Monthly Data'!A59</f>
        <v>41548</v>
      </c>
      <c r="B59" s="6">
        <f t="shared" si="1"/>
        <v>2013</v>
      </c>
      <c r="C59" s="30">
        <f>'Monthly Data'!H59</f>
        <v>21567999.4855</v>
      </c>
      <c r="D59" s="30">
        <f>'Monthly Data'!M59</f>
        <v>235.69999999999996</v>
      </c>
      <c r="E59" s="30">
        <f>'Monthly Data'!N59</f>
        <v>1.5</v>
      </c>
      <c r="F59" s="30">
        <f>'Monthly Data'!Q59</f>
        <v>6889</v>
      </c>
      <c r="G59" s="30">
        <f>'Monthly Data'!S59</f>
        <v>58</v>
      </c>
      <c r="H59" s="30">
        <f>'Monthly Data'!Y59</f>
        <v>0</v>
      </c>
      <c r="I59" s="30">
        <f>'Monthly Data'!AE59</f>
        <v>1</v>
      </c>
      <c r="J59" s="30">
        <f>'Monthly Data'!AF59</f>
        <v>0</v>
      </c>
      <c r="K59" s="30">
        <f>'Monthly Data'!AG59</f>
        <v>0</v>
      </c>
      <c r="L59" s="30">
        <f>'Monthly Data'!AH59</f>
        <v>0</v>
      </c>
      <c r="M59" s="30">
        <f>'Monthly Data'!AI59</f>
        <v>0</v>
      </c>
      <c r="N59" s="30"/>
      <c r="O59" s="23">
        <f>'GS &gt; 50 OLS Model'!$B$5</f>
        <v>-14985611.9194983</v>
      </c>
      <c r="P59" s="23">
        <f>'GS &gt; 50 OLS Model'!$B$6*D59</f>
        <v>1817344.9446978492</v>
      </c>
      <c r="Q59" s="23">
        <f>'GS &gt; 50 OLS Model'!$B$7*E59</f>
        <v>48631.494883792948</v>
      </c>
      <c r="R59" s="23">
        <f>'GS &gt; 50 OLS Model'!$B$8*F59</f>
        <v>38192353.733605683</v>
      </c>
      <c r="S59" s="23">
        <f>'GS &gt; 50 OLS Model'!$B$9*G59</f>
        <v>-1807229.1523805654</v>
      </c>
      <c r="T59" s="23">
        <f>'GS &gt; 50 OLS Model'!$B$10*H59</f>
        <v>0</v>
      </c>
      <c r="U59" s="23">
        <f>'GS &gt; 50 OLS Model'!$B$11*I59</f>
        <v>-1629695.87956432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si="2"/>
        <v>21635793.221744139</v>
      </c>
      <c r="AA59" s="13">
        <f t="shared" si="3"/>
        <v>3.1432556500993769E-3</v>
      </c>
    </row>
    <row r="60" spans="1:27" x14ac:dyDescent="0.25">
      <c r="A60" s="11">
        <f>'Monthly Data'!A60</f>
        <v>41579</v>
      </c>
      <c r="B60" s="6">
        <f t="shared" si="1"/>
        <v>2013</v>
      </c>
      <c r="C60" s="30">
        <f>'Monthly Data'!H60</f>
        <v>23530421.391399998</v>
      </c>
      <c r="D60" s="30">
        <f>'Monthly Data'!M60</f>
        <v>501.50000000000006</v>
      </c>
      <c r="E60" s="30">
        <f>'Monthly Data'!N60</f>
        <v>0</v>
      </c>
      <c r="F60" s="30">
        <f>'Monthly Data'!Q60</f>
        <v>6863.8</v>
      </c>
      <c r="G60" s="30">
        <f>'Monthly Data'!S60</f>
        <v>59</v>
      </c>
      <c r="H60" s="30">
        <f>'Monthly Data'!Y60</f>
        <v>0</v>
      </c>
      <c r="I60" s="30">
        <f>'Monthly Data'!AE60</f>
        <v>1</v>
      </c>
      <c r="J60" s="30">
        <f>'Monthly Data'!AF60</f>
        <v>0</v>
      </c>
      <c r="K60" s="30">
        <f>'Monthly Data'!AG60</f>
        <v>0</v>
      </c>
      <c r="L60" s="30">
        <f>'Monthly Data'!AH60</f>
        <v>0</v>
      </c>
      <c r="M60" s="30">
        <f>'Monthly Data'!AI60</f>
        <v>0</v>
      </c>
      <c r="N60" s="30"/>
      <c r="O60" s="23">
        <f>'GS &gt; 50 OLS Model'!$B$5</f>
        <v>-14985611.9194983</v>
      </c>
      <c r="P60" s="23">
        <f>'GS &gt; 50 OLS Model'!$B$6*D60</f>
        <v>3866773.3973948732</v>
      </c>
      <c r="Q60" s="23">
        <f>'GS &gt; 50 OLS Model'!$B$7*E60</f>
        <v>0</v>
      </c>
      <c r="R60" s="23">
        <f>'GS &gt; 50 OLS Model'!$B$8*F60</f>
        <v>38052645.892977603</v>
      </c>
      <c r="S60" s="23">
        <f>'GS &gt; 50 OLS Model'!$B$9*G60</f>
        <v>-1838388.2756974718</v>
      </c>
      <c r="T60" s="23">
        <f>'GS &gt; 50 OLS Model'!$B$10*H60</f>
        <v>0</v>
      </c>
      <c r="U60" s="23">
        <f>'GS &gt; 50 OLS Model'!$B$11*I60</f>
        <v>-1629695.87956432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si="2"/>
        <v>23465723.215612382</v>
      </c>
      <c r="AA60" s="13">
        <f t="shared" si="3"/>
        <v>2.749554489970277E-3</v>
      </c>
    </row>
    <row r="61" spans="1:27" x14ac:dyDescent="0.25">
      <c r="A61" s="11">
        <f>'Monthly Data'!A61</f>
        <v>41609</v>
      </c>
      <c r="B61" s="6">
        <f t="shared" si="1"/>
        <v>2013</v>
      </c>
      <c r="C61" s="30">
        <f>'Monthly Data'!H61</f>
        <v>26567352.533199999</v>
      </c>
      <c r="D61" s="30">
        <f>'Monthly Data'!M61</f>
        <v>756.99999999999977</v>
      </c>
      <c r="E61" s="30">
        <f>'Monthly Data'!N61</f>
        <v>0</v>
      </c>
      <c r="F61" s="30">
        <f>'Monthly Data'!Q61</f>
        <v>6849.3</v>
      </c>
      <c r="G61" s="30">
        <f>'Monthly Data'!S61</f>
        <v>60</v>
      </c>
      <c r="H61" s="30">
        <f>'Monthly Data'!Y61</f>
        <v>0</v>
      </c>
      <c r="I61" s="30">
        <f>'Monthly Data'!AE61</f>
        <v>0</v>
      </c>
      <c r="J61" s="30">
        <f>'Monthly Data'!AF61</f>
        <v>0</v>
      </c>
      <c r="K61" s="30">
        <f>'Monthly Data'!AG61</f>
        <v>0</v>
      </c>
      <c r="L61" s="30">
        <f>'Monthly Data'!AH61</f>
        <v>1</v>
      </c>
      <c r="M61" s="30">
        <f>'Monthly Data'!AI61</f>
        <v>0</v>
      </c>
      <c r="N61" s="30"/>
      <c r="O61" s="23">
        <f>'GS &gt; 50 OLS Model'!$B$5</f>
        <v>-14985611.9194983</v>
      </c>
      <c r="P61" s="23">
        <f>'GS &gt; 50 OLS Model'!$B$6*D61</f>
        <v>5836784.5699459976</v>
      </c>
      <c r="Q61" s="23">
        <f>'GS &gt; 50 OLS Model'!$B$7*E61</f>
        <v>0</v>
      </c>
      <c r="R61" s="23">
        <f>'GS &gt; 50 OLS Model'!$B$8*F61</f>
        <v>37972258.444997154</v>
      </c>
      <c r="S61" s="23">
        <f>'GS &gt; 50 OLS Model'!$B$9*G61</f>
        <v>-1869547.3990143782</v>
      </c>
      <c r="T61" s="23">
        <f>'GS &gt; 50 OLS Model'!$B$10*H61</f>
        <v>0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-1130663.3851056299</v>
      </c>
      <c r="Y61" s="23">
        <f>'GS &gt; 50 OLS Model'!$B$15*M61</f>
        <v>0</v>
      </c>
      <c r="Z61" s="23">
        <f t="shared" si="2"/>
        <v>25823220.311324842</v>
      </c>
      <c r="AA61" s="13">
        <f t="shared" si="3"/>
        <v>2.8009272694569372E-2</v>
      </c>
    </row>
    <row r="62" spans="1:27" s="30" customFormat="1" x14ac:dyDescent="0.25">
      <c r="A62" s="11">
        <f>'Monthly Data'!A62</f>
        <v>41640</v>
      </c>
      <c r="B62" s="6">
        <f t="shared" si="1"/>
        <v>2014</v>
      </c>
      <c r="C62" s="30">
        <f>'Monthly Data'!H62</f>
        <v>27388268.627300002</v>
      </c>
      <c r="D62" s="30">
        <f>'Monthly Data'!M62</f>
        <v>844.5</v>
      </c>
      <c r="E62" s="30">
        <f>'Monthly Data'!N62</f>
        <v>0</v>
      </c>
      <c r="F62" s="30">
        <f>'Monthly Data'!Q62</f>
        <v>6806.1</v>
      </c>
      <c r="G62" s="30">
        <f>'Monthly Data'!S62</f>
        <v>61</v>
      </c>
      <c r="H62" s="30">
        <f>'Monthly Data'!Y62</f>
        <v>1</v>
      </c>
      <c r="I62" s="30">
        <f>'Monthly Data'!AE62</f>
        <v>0</v>
      </c>
      <c r="J62" s="30">
        <f>'Monthly Data'!AF62</f>
        <v>0</v>
      </c>
      <c r="K62" s="30">
        <f>'Monthly Data'!AG62</f>
        <v>0</v>
      </c>
      <c r="L62" s="30">
        <f>'Monthly Data'!AH62</f>
        <v>0</v>
      </c>
      <c r="M62" s="30">
        <f>'Monthly Data'!AI62</f>
        <v>0</v>
      </c>
      <c r="O62" s="23">
        <f>'GS &gt; 50 OLS Model'!$B$5</f>
        <v>-14985611.9194983</v>
      </c>
      <c r="P62" s="23">
        <f>'GS &gt; 50 OLS Model'!$B$6*D62</f>
        <v>6511445.9304087143</v>
      </c>
      <c r="Q62" s="23">
        <f>'GS &gt; 50 OLS Model'!$B$7*E62</f>
        <v>0</v>
      </c>
      <c r="R62" s="23">
        <f>'GS &gt; 50 OLS Model'!$B$8*F62</f>
        <v>37732759.289634727</v>
      </c>
      <c r="S62" s="23">
        <f>'GS &gt; 50 OLS Model'!$B$9*G62</f>
        <v>-1900706.5223312844</v>
      </c>
      <c r="T62" s="23">
        <f>'GS &gt; 50 OLS Model'!$B$10*H62</f>
        <v>-439218.30194811599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si="2"/>
        <v>26918668.476265743</v>
      </c>
      <c r="AA62" s="13">
        <f t="shared" si="3"/>
        <v>1.7146032756746501E-2</v>
      </c>
    </row>
    <row r="63" spans="1:27" s="30" customFormat="1" x14ac:dyDescent="0.25">
      <c r="A63" s="11">
        <f>'Monthly Data'!A63</f>
        <v>41671</v>
      </c>
      <c r="B63" s="6">
        <f t="shared" si="1"/>
        <v>2014</v>
      </c>
      <c r="C63" s="30">
        <f>'Monthly Data'!H63</f>
        <v>24609829.1688</v>
      </c>
      <c r="D63" s="30">
        <f>'Monthly Data'!M63</f>
        <v>740.90000000000009</v>
      </c>
      <c r="E63" s="30">
        <f>'Monthly Data'!N63</f>
        <v>0</v>
      </c>
      <c r="F63" s="30">
        <f>'Monthly Data'!Q63</f>
        <v>6772.3</v>
      </c>
      <c r="G63" s="30">
        <f>'Monthly Data'!S63</f>
        <v>62</v>
      </c>
      <c r="H63" s="30">
        <f>'Monthly Data'!Y63</f>
        <v>1</v>
      </c>
      <c r="I63" s="30">
        <f>'Monthly Data'!AE63</f>
        <v>0</v>
      </c>
      <c r="J63" s="30">
        <f>'Monthly Data'!AF63</f>
        <v>1</v>
      </c>
      <c r="K63" s="30">
        <f>'Monthly Data'!AG63</f>
        <v>0</v>
      </c>
      <c r="L63" s="30">
        <f>'Monthly Data'!AH63</f>
        <v>0</v>
      </c>
      <c r="M63" s="30">
        <f>'Monthly Data'!AI63</f>
        <v>0</v>
      </c>
      <c r="O63" s="23">
        <f>'GS &gt; 50 OLS Model'!$B$5</f>
        <v>-14985611.9194983</v>
      </c>
      <c r="P63" s="23">
        <f>'GS &gt; 50 OLS Model'!$B$6*D63</f>
        <v>5712646.8796208613</v>
      </c>
      <c r="Q63" s="23">
        <f>'GS &gt; 50 OLS Model'!$B$7*E63</f>
        <v>0</v>
      </c>
      <c r="R63" s="23">
        <f>'GS &gt; 50 OLS Model'!$B$8*F63</f>
        <v>37545373.376411349</v>
      </c>
      <c r="S63" s="23">
        <f>'GS &gt; 50 OLS Model'!$B$9*G63</f>
        <v>-1931865.6456481908</v>
      </c>
      <c r="T63" s="23">
        <f>'GS &gt; 50 OLS Model'!$B$10*H63</f>
        <v>-439218.30194811599</v>
      </c>
      <c r="U63" s="23">
        <f>'GS &gt; 50 OLS Model'!$B$11*I63</f>
        <v>0</v>
      </c>
      <c r="V63" s="23">
        <f>'GS &gt; 50 OLS Model'!$B$12*J63</f>
        <v>-1507735.557816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si="2"/>
        <v>24393588.831121609</v>
      </c>
      <c r="AA63" s="13">
        <f t="shared" si="3"/>
        <v>8.7867467992235396E-3</v>
      </c>
    </row>
    <row r="64" spans="1:27" s="30" customFormat="1" x14ac:dyDescent="0.25">
      <c r="A64" s="11">
        <f>'Monthly Data'!A64</f>
        <v>41699</v>
      </c>
      <c r="B64" s="6">
        <f t="shared" si="1"/>
        <v>2014</v>
      </c>
      <c r="C64" s="30">
        <f>'Monthly Data'!H64</f>
        <v>25870494.024299998</v>
      </c>
      <c r="D64" s="30">
        <f>'Monthly Data'!M64</f>
        <v>720.19999999999993</v>
      </c>
      <c r="E64" s="30">
        <f>'Monthly Data'!N64</f>
        <v>0</v>
      </c>
      <c r="F64" s="30">
        <f>'Monthly Data'!Q64</f>
        <v>6751.3</v>
      </c>
      <c r="G64" s="30">
        <f>'Monthly Data'!S64</f>
        <v>63</v>
      </c>
      <c r="H64" s="30">
        <f>'Monthly Data'!Y64</f>
        <v>1</v>
      </c>
      <c r="I64" s="30">
        <f>'Monthly Data'!AE64</f>
        <v>0</v>
      </c>
      <c r="J64" s="30">
        <f>'Monthly Data'!AF64</f>
        <v>0</v>
      </c>
      <c r="K64" s="30">
        <f>'Monthly Data'!AG64</f>
        <v>0</v>
      </c>
      <c r="L64" s="30">
        <f>'Monthly Data'!AH64</f>
        <v>0</v>
      </c>
      <c r="M64" s="30">
        <f>'Monthly Data'!AI64</f>
        <v>0</v>
      </c>
      <c r="O64" s="23">
        <f>'GS &gt; 50 OLS Model'!$B$5</f>
        <v>-14985611.9194983</v>
      </c>
      <c r="P64" s="23">
        <f>'GS &gt; 50 OLS Model'!$B$6*D64</f>
        <v>5553041.277774252</v>
      </c>
      <c r="Q64" s="23">
        <f>'GS &gt; 50 OLS Model'!$B$7*E64</f>
        <v>0</v>
      </c>
      <c r="R64" s="23">
        <f>'GS &gt; 50 OLS Model'!$B$8*F64</f>
        <v>37428950.175887942</v>
      </c>
      <c r="S64" s="23">
        <f>'GS &gt; 50 OLS Model'!$B$9*G64</f>
        <v>-1963024.7689650969</v>
      </c>
      <c r="T64" s="23">
        <f>'GS &gt; 50 OLS Model'!$B$10*H64</f>
        <v>-439218.30194811599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si="2"/>
        <v>25594136.463250682</v>
      </c>
      <c r="AA64" s="13">
        <f t="shared" si="3"/>
        <v>1.0682345717470069E-2</v>
      </c>
    </row>
    <row r="65" spans="1:27" s="30" customFormat="1" x14ac:dyDescent="0.25">
      <c r="A65" s="11">
        <f>'Monthly Data'!A65</f>
        <v>41730</v>
      </c>
      <c r="B65" s="6">
        <f t="shared" si="1"/>
        <v>2014</v>
      </c>
      <c r="C65" s="30">
        <f>'Monthly Data'!H65</f>
        <v>21799596.722000003</v>
      </c>
      <c r="D65" s="30">
        <f>'Monthly Data'!M65</f>
        <v>352.09999999999991</v>
      </c>
      <c r="E65" s="30">
        <f>'Monthly Data'!N65</f>
        <v>0</v>
      </c>
      <c r="F65" s="30">
        <f>'Monthly Data'!Q65</f>
        <v>6785</v>
      </c>
      <c r="G65" s="30">
        <f>'Monthly Data'!S65</f>
        <v>64</v>
      </c>
      <c r="H65" s="30">
        <f>'Monthly Data'!Y65</f>
        <v>1</v>
      </c>
      <c r="I65" s="30">
        <f>'Monthly Data'!AE65</f>
        <v>0</v>
      </c>
      <c r="J65" s="30">
        <f>'Monthly Data'!AF65</f>
        <v>0</v>
      </c>
      <c r="K65" s="30">
        <f>'Monthly Data'!AG65</f>
        <v>1</v>
      </c>
      <c r="L65" s="30">
        <f>'Monthly Data'!AH65</f>
        <v>0</v>
      </c>
      <c r="M65" s="30">
        <f>'Monthly Data'!AI65</f>
        <v>0</v>
      </c>
      <c r="O65" s="23">
        <f>'GS &gt; 50 OLS Model'!$B$5</f>
        <v>-14985611.9194983</v>
      </c>
      <c r="P65" s="23">
        <f>'GS &gt; 50 OLS Model'!$B$6*D65</f>
        <v>2714837.3145019631</v>
      </c>
      <c r="Q65" s="23">
        <f>'GS &gt; 50 OLS Model'!$B$7*E65</f>
        <v>0</v>
      </c>
      <c r="R65" s="23">
        <f>'GS &gt; 50 OLS Model'!$B$8*F65</f>
        <v>37615781.69291836</v>
      </c>
      <c r="S65" s="23">
        <f>'GS &gt; 50 OLS Model'!$B$9*G65</f>
        <v>-1994183.8922820033</v>
      </c>
      <c r="T65" s="23">
        <f>'GS &gt; 50 OLS Model'!$B$10*H65</f>
        <v>-439218.30194811599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-1602103.9965178701</v>
      </c>
      <c r="X65" s="23">
        <f>'GS &gt; 50 OLS Model'!$B$14*L65</f>
        <v>0</v>
      </c>
      <c r="Y65" s="23">
        <f>'GS &gt; 50 OLS Model'!$B$15*M65</f>
        <v>0</v>
      </c>
      <c r="Z65" s="23">
        <f t="shared" si="2"/>
        <v>21309500.897174034</v>
      </c>
      <c r="AA65" s="13">
        <f t="shared" si="3"/>
        <v>2.2481875746415404E-2</v>
      </c>
    </row>
    <row r="66" spans="1:27" s="30" customFormat="1" x14ac:dyDescent="0.25">
      <c r="A66" s="11">
        <f>'Monthly Data'!A66</f>
        <v>41760</v>
      </c>
      <c r="B66" s="6">
        <f t="shared" si="1"/>
        <v>2014</v>
      </c>
      <c r="C66" s="30">
        <f>'Monthly Data'!H66</f>
        <v>20212222.446800001</v>
      </c>
      <c r="D66" s="30">
        <f>'Monthly Data'!M66</f>
        <v>127.70000000000003</v>
      </c>
      <c r="E66" s="30">
        <f>'Monthly Data'!N66</f>
        <v>12.399999999999999</v>
      </c>
      <c r="F66" s="30">
        <f>'Monthly Data'!Q66</f>
        <v>6842.6</v>
      </c>
      <c r="G66" s="30">
        <f>'Monthly Data'!S66</f>
        <v>65</v>
      </c>
      <c r="H66" s="30">
        <f>'Monthly Data'!Y66</f>
        <v>1</v>
      </c>
      <c r="I66" s="30">
        <f>'Monthly Data'!AE66</f>
        <v>0</v>
      </c>
      <c r="J66" s="30">
        <f>'Monthly Data'!AF66</f>
        <v>0</v>
      </c>
      <c r="K66" s="30">
        <f>'Monthly Data'!AG66</f>
        <v>0</v>
      </c>
      <c r="L66" s="30">
        <f>'Monthly Data'!AH66</f>
        <v>0</v>
      </c>
      <c r="M66" s="30">
        <f>'Monthly Data'!AI66</f>
        <v>1</v>
      </c>
      <c r="O66" s="23">
        <f>'GS &gt; 50 OLS Model'!$B$5</f>
        <v>-14985611.9194983</v>
      </c>
      <c r="P66" s="23">
        <f>'GS &gt; 50 OLS Model'!$B$6*D66</f>
        <v>984620.06549815636</v>
      </c>
      <c r="Q66" s="23">
        <f>'GS &gt; 50 OLS Model'!$B$7*E66</f>
        <v>402020.35770602169</v>
      </c>
      <c r="R66" s="23">
        <f>'GS &gt; 50 OLS Model'!$B$8*F66</f>
        <v>37935113.900068261</v>
      </c>
      <c r="S66" s="23">
        <f>'GS &gt; 50 OLS Model'!$B$9*G66</f>
        <v>-2025343.0155989097</v>
      </c>
      <c r="T66" s="23">
        <f>'GS &gt; 50 OLS Model'!$B$10*H66</f>
        <v>-439218.30194811599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-1248171.7663678101</v>
      </c>
      <c r="Z66" s="23">
        <f t="shared" si="2"/>
        <v>20623409.319859304</v>
      </c>
      <c r="AA66" s="13">
        <f t="shared" si="3"/>
        <v>2.0343476534635193E-2</v>
      </c>
    </row>
    <row r="67" spans="1:27" s="30" customFormat="1" x14ac:dyDescent="0.25">
      <c r="A67" s="11">
        <f>'Monthly Data'!A67</f>
        <v>41791</v>
      </c>
      <c r="B67" s="6">
        <f t="shared" ref="B67:B73" si="4">YEAR(A67)</f>
        <v>2014</v>
      </c>
      <c r="C67" s="30">
        <f>'Monthly Data'!H67</f>
        <v>20688536.661700003</v>
      </c>
      <c r="D67" s="30">
        <f>'Monthly Data'!M67</f>
        <v>25.699999999999996</v>
      </c>
      <c r="E67" s="30">
        <f>'Monthly Data'!N67</f>
        <v>47.4</v>
      </c>
      <c r="F67" s="30">
        <f>'Monthly Data'!Q67</f>
        <v>6912.9</v>
      </c>
      <c r="G67" s="30">
        <f>'Monthly Data'!S67</f>
        <v>66</v>
      </c>
      <c r="H67" s="30">
        <f>'Monthly Data'!Y67</f>
        <v>1</v>
      </c>
      <c r="I67" s="30">
        <f>'Monthly Data'!AE67</f>
        <v>0</v>
      </c>
      <c r="J67" s="30">
        <f>'Monthly Data'!AF67</f>
        <v>0</v>
      </c>
      <c r="K67" s="30">
        <f>'Monthly Data'!AG67</f>
        <v>0</v>
      </c>
      <c r="L67" s="30">
        <f>'Monthly Data'!AH67</f>
        <v>0</v>
      </c>
      <c r="M67" s="30">
        <f>'Monthly Data'!AI67</f>
        <v>1</v>
      </c>
      <c r="O67" s="23">
        <f>'GS &gt; 50 OLS Model'!$B$5</f>
        <v>-14985611.9194983</v>
      </c>
      <c r="P67" s="23">
        <f>'GS &gt; 50 OLS Model'!$B$6*D67</f>
        <v>198157.67958733442</v>
      </c>
      <c r="Q67" s="23">
        <f>'GS &gt; 50 OLS Model'!$B$7*E67</f>
        <v>1536755.2383278571</v>
      </c>
      <c r="R67" s="23">
        <f>'GS &gt; 50 OLS Model'!$B$8*F67</f>
        <v>38324854.423725173</v>
      </c>
      <c r="S67" s="23">
        <f>'GS &gt; 50 OLS Model'!$B$9*G67</f>
        <v>-2056502.1389158159</v>
      </c>
      <c r="T67" s="23">
        <f>'GS &gt; 50 OLS Model'!$B$10*H67</f>
        <v>-439218.30194811599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-1248171.7663678101</v>
      </c>
      <c r="Z67" s="23">
        <f t="shared" ref="Z67:Z73" si="5">SUM(O67:Y67)</f>
        <v>21330263.214910325</v>
      </c>
      <c r="AA67" s="13">
        <f t="shared" ref="AA67:AA73" si="6">ABS(Z67-C67)/C67</f>
        <v>3.1018460305040751E-2</v>
      </c>
    </row>
    <row r="68" spans="1:27" s="30" customFormat="1" x14ac:dyDescent="0.25">
      <c r="A68" s="11">
        <f>'Monthly Data'!A68</f>
        <v>41821</v>
      </c>
      <c r="B68" s="6">
        <f t="shared" si="4"/>
        <v>2014</v>
      </c>
      <c r="C68" s="30">
        <f>'Monthly Data'!H68</f>
        <v>21993476.2918</v>
      </c>
      <c r="D68" s="30">
        <f>'Monthly Data'!M68</f>
        <v>10.600000000000001</v>
      </c>
      <c r="E68" s="30">
        <f>'Monthly Data'!N68</f>
        <v>55.899999999999984</v>
      </c>
      <c r="F68" s="30">
        <f>'Monthly Data'!Q68</f>
        <v>6957.8</v>
      </c>
      <c r="G68" s="30">
        <f>'Monthly Data'!S68</f>
        <v>67</v>
      </c>
      <c r="H68" s="30">
        <f>'Monthly Data'!Y68</f>
        <v>1</v>
      </c>
      <c r="I68" s="30">
        <f>'Monthly Data'!AE68</f>
        <v>0</v>
      </c>
      <c r="J68" s="30">
        <f>'Monthly Data'!AF68</f>
        <v>0</v>
      </c>
      <c r="K68" s="30">
        <f>'Monthly Data'!AG68</f>
        <v>0</v>
      </c>
      <c r="L68" s="30">
        <f>'Monthly Data'!AH68</f>
        <v>0</v>
      </c>
      <c r="M68" s="30">
        <f>'Monthly Data'!AI68</f>
        <v>1</v>
      </c>
      <c r="O68" s="23">
        <f>'GS &gt; 50 OLS Model'!$B$5</f>
        <v>-14985611.9194983</v>
      </c>
      <c r="P68" s="23">
        <f>'GS &gt; 50 OLS Model'!$B$6*D68</f>
        <v>81730.404810340289</v>
      </c>
      <c r="Q68" s="23">
        <f>'GS &gt; 50 OLS Model'!$B$7*E68</f>
        <v>1812333.7093360168</v>
      </c>
      <c r="R68" s="23">
        <f>'GS &gt; 50 OLS Model'!$B$8*F68</f>
        <v>38573778.314368069</v>
      </c>
      <c r="S68" s="23">
        <f>'GS &gt; 50 OLS Model'!$B$9*G68</f>
        <v>-2087661.2622327222</v>
      </c>
      <c r="T68" s="23">
        <f>'GS &gt; 50 OLS Model'!$B$10*H68</f>
        <v>-439218.30194811599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-1248171.7663678101</v>
      </c>
      <c r="Z68" s="23">
        <f t="shared" si="5"/>
        <v>21707179.178467479</v>
      </c>
      <c r="AA68" s="13">
        <f t="shared" si="6"/>
        <v>1.3017365219306579E-2</v>
      </c>
    </row>
    <row r="69" spans="1:27" s="30" customFormat="1" x14ac:dyDescent="0.25">
      <c r="A69" s="11">
        <f>'Monthly Data'!A69</f>
        <v>41852</v>
      </c>
      <c r="B69" s="6">
        <f t="shared" si="4"/>
        <v>2014</v>
      </c>
      <c r="C69" s="30">
        <f>'Monthly Data'!H69</f>
        <v>21804865.032099999</v>
      </c>
      <c r="D69" s="30">
        <f>'Monthly Data'!M69</f>
        <v>18.999999999999996</v>
      </c>
      <c r="E69" s="30">
        <f>'Monthly Data'!N69</f>
        <v>51.999999999999993</v>
      </c>
      <c r="F69" s="30">
        <f>'Monthly Data'!Q69</f>
        <v>6969.7</v>
      </c>
      <c r="G69" s="30">
        <f>'Monthly Data'!S69</f>
        <v>68</v>
      </c>
      <c r="H69" s="30">
        <f>'Monthly Data'!Y69</f>
        <v>1</v>
      </c>
      <c r="I69" s="30">
        <f>'Monthly Data'!AE69</f>
        <v>0</v>
      </c>
      <c r="J69" s="30">
        <f>'Monthly Data'!AF69</f>
        <v>0</v>
      </c>
      <c r="K69" s="30">
        <f>'Monthly Data'!AG69</f>
        <v>0</v>
      </c>
      <c r="L69" s="30">
        <f>'Monthly Data'!AH69</f>
        <v>0</v>
      </c>
      <c r="M69" s="30">
        <f>'Monthly Data'!AI69</f>
        <v>1</v>
      </c>
      <c r="O69" s="23">
        <f>'GS &gt; 50 OLS Model'!$B$5</f>
        <v>-14985611.9194983</v>
      </c>
      <c r="P69" s="23">
        <f>'GS &gt; 50 OLS Model'!$B$6*D69</f>
        <v>146497.89541476086</v>
      </c>
      <c r="Q69" s="23">
        <f>'GS &gt; 50 OLS Model'!$B$7*E69</f>
        <v>1685891.8226381554</v>
      </c>
      <c r="R69" s="23">
        <f>'GS &gt; 50 OLS Model'!$B$8*F69</f>
        <v>38639751.46133133</v>
      </c>
      <c r="S69" s="23">
        <f>'GS &gt; 50 OLS Model'!$B$9*G69</f>
        <v>-2118820.3855496286</v>
      </c>
      <c r="T69" s="23">
        <f>'GS &gt; 50 OLS Model'!$B$10*H69</f>
        <v>-439218.30194811599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-1248171.7663678101</v>
      </c>
      <c r="Z69" s="23">
        <f t="shared" si="5"/>
        <v>21680318.80602039</v>
      </c>
      <c r="AA69" s="13">
        <f t="shared" si="6"/>
        <v>5.7118549413747209E-3</v>
      </c>
    </row>
    <row r="70" spans="1:27" s="30" customFormat="1" x14ac:dyDescent="0.25">
      <c r="A70" s="11">
        <f>'Monthly Data'!A70</f>
        <v>41883</v>
      </c>
      <c r="B70" s="6">
        <f t="shared" si="4"/>
        <v>2014</v>
      </c>
      <c r="C70" s="30">
        <f>'Monthly Data'!H70</f>
        <v>20432736.001000002</v>
      </c>
      <c r="D70" s="30">
        <f>'Monthly Data'!M70</f>
        <v>90.500000000000014</v>
      </c>
      <c r="E70" s="30">
        <f>'Monthly Data'!N70</f>
        <v>25.400000000000006</v>
      </c>
      <c r="F70" s="30">
        <f>'Monthly Data'!Q70</f>
        <v>6944.1</v>
      </c>
      <c r="G70" s="30">
        <f>'Monthly Data'!S70</f>
        <v>69</v>
      </c>
      <c r="H70" s="30">
        <f>'Monthly Data'!Y70</f>
        <v>1</v>
      </c>
      <c r="I70" s="30">
        <f>'Monthly Data'!AE70</f>
        <v>1</v>
      </c>
      <c r="J70" s="30">
        <f>'Monthly Data'!AF70</f>
        <v>0</v>
      </c>
      <c r="K70" s="30">
        <f>'Monthly Data'!AG70</f>
        <v>0</v>
      </c>
      <c r="L70" s="30">
        <f>'Monthly Data'!AH70</f>
        <v>0</v>
      </c>
      <c r="M70" s="30">
        <f>'Monthly Data'!AI70</f>
        <v>0</v>
      </c>
      <c r="O70" s="23">
        <f>'GS &gt; 50 OLS Model'!$B$5</f>
        <v>-14985611.9194983</v>
      </c>
      <c r="P70" s="23">
        <f>'GS &gt; 50 OLS Model'!$B$6*D70</f>
        <v>697792.6071071506</v>
      </c>
      <c r="Q70" s="23">
        <f>'GS &gt; 50 OLS Model'!$B$7*E70</f>
        <v>823493.31336556084</v>
      </c>
      <c r="R70" s="23">
        <f>'GS &gt; 50 OLS Model'!$B$8*F70</f>
        <v>38497826.035931371</v>
      </c>
      <c r="S70" s="23">
        <f>'GS &gt; 50 OLS Model'!$B$9*G70</f>
        <v>-2149979.508866535</v>
      </c>
      <c r="T70" s="23">
        <f>'GS &gt; 50 OLS Model'!$B$10*H70</f>
        <v>-439218.30194811599</v>
      </c>
      <c r="U70" s="23">
        <f>'GS &gt; 50 OLS Model'!$B$11*I70</f>
        <v>-1629695.87956432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si="5"/>
        <v>20814606.346526813</v>
      </c>
      <c r="AA70" s="13">
        <f t="shared" si="6"/>
        <v>1.8689144004411427E-2</v>
      </c>
    </row>
    <row r="71" spans="1:27" s="30" customFormat="1" x14ac:dyDescent="0.25">
      <c r="A71" s="11">
        <f>'Monthly Data'!A71</f>
        <v>41913</v>
      </c>
      <c r="B71" s="6">
        <f t="shared" si="4"/>
        <v>2014</v>
      </c>
      <c r="C71" s="30">
        <f>'Monthly Data'!H71</f>
        <v>20689847.513800003</v>
      </c>
      <c r="D71" s="30">
        <f>'Monthly Data'!M71</f>
        <v>225.59999999999994</v>
      </c>
      <c r="E71" s="30">
        <f>'Monthly Data'!N71</f>
        <v>1.8</v>
      </c>
      <c r="F71" s="30">
        <f>'Monthly Data'!Q71</f>
        <v>6936.6</v>
      </c>
      <c r="G71" s="30">
        <f>'Monthly Data'!S71</f>
        <v>70</v>
      </c>
      <c r="H71" s="30">
        <f>'Monthly Data'!Y71</f>
        <v>1</v>
      </c>
      <c r="I71" s="30">
        <f>'Monthly Data'!AE71</f>
        <v>1</v>
      </c>
      <c r="J71" s="30">
        <f>'Monthly Data'!AF71</f>
        <v>0</v>
      </c>
      <c r="K71" s="30">
        <f>'Monthly Data'!AG71</f>
        <v>0</v>
      </c>
      <c r="L71" s="30">
        <f>'Monthly Data'!AH71</f>
        <v>0</v>
      </c>
      <c r="M71" s="30">
        <f>'Monthly Data'!AI71</f>
        <v>0</v>
      </c>
      <c r="O71" s="23">
        <f>'GS &gt; 50 OLS Model'!$B$5</f>
        <v>-14985611.9194983</v>
      </c>
      <c r="P71" s="23">
        <f>'GS &gt; 50 OLS Model'!$B$6*D71</f>
        <v>1739469.7476615815</v>
      </c>
      <c r="Q71" s="23">
        <f>'GS &gt; 50 OLS Model'!$B$7*E71</f>
        <v>58357.793860551537</v>
      </c>
      <c r="R71" s="23">
        <f>'GS &gt; 50 OLS Model'!$B$8*F71</f>
        <v>38456246.321458727</v>
      </c>
      <c r="S71" s="23">
        <f>'GS &gt; 50 OLS Model'!$B$9*G71</f>
        <v>-2181138.632183441</v>
      </c>
      <c r="T71" s="23">
        <f>'GS &gt; 50 OLS Model'!$B$10*H71</f>
        <v>-439218.30194811599</v>
      </c>
      <c r="U71" s="23">
        <f>'GS &gt; 50 OLS Model'!$B$11*I71</f>
        <v>-1629695.87956432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si="5"/>
        <v>21018409.129786685</v>
      </c>
      <c r="AA71" s="13">
        <f t="shared" si="6"/>
        <v>1.5880330474525434E-2</v>
      </c>
    </row>
    <row r="72" spans="1:27" s="30" customFormat="1" x14ac:dyDescent="0.25">
      <c r="A72" s="11">
        <f>'Monthly Data'!A72</f>
        <v>41944</v>
      </c>
      <c r="B72" s="6">
        <f t="shared" si="4"/>
        <v>2014</v>
      </c>
      <c r="C72" s="30">
        <f>'Monthly Data'!H72</f>
        <v>22488576.116</v>
      </c>
      <c r="D72" s="30">
        <f>'Monthly Data'!M72</f>
        <v>491.6</v>
      </c>
      <c r="E72" s="30">
        <f>'Monthly Data'!N72</f>
        <v>0</v>
      </c>
      <c r="F72" s="30">
        <f>'Monthly Data'!Q72</f>
        <v>6914.3</v>
      </c>
      <c r="G72" s="30">
        <f>'Monthly Data'!S72</f>
        <v>71</v>
      </c>
      <c r="H72" s="30">
        <f>'Monthly Data'!Y72</f>
        <v>1</v>
      </c>
      <c r="I72" s="30">
        <f>'Monthly Data'!AE72</f>
        <v>1</v>
      </c>
      <c r="J72" s="30">
        <f>'Monthly Data'!AF72</f>
        <v>0</v>
      </c>
      <c r="K72" s="30">
        <f>'Monthly Data'!AG72</f>
        <v>0</v>
      </c>
      <c r="L72" s="30">
        <f>'Monthly Data'!AH72</f>
        <v>0</v>
      </c>
      <c r="M72" s="30">
        <f>'Monthly Data'!AI72</f>
        <v>0</v>
      </c>
      <c r="O72" s="23">
        <f>'GS &gt; 50 OLS Model'!$B$5</f>
        <v>-14985611.9194983</v>
      </c>
      <c r="P72" s="23">
        <f>'GS &gt; 50 OLS Model'!$B$6*D72</f>
        <v>3790440.2834682344</v>
      </c>
      <c r="Q72" s="23">
        <f>'GS &gt; 50 OLS Model'!$B$7*E72</f>
        <v>0</v>
      </c>
      <c r="R72" s="23">
        <f>'GS &gt; 50 OLS Model'!$B$8*F72</f>
        <v>38332615.970426738</v>
      </c>
      <c r="S72" s="23">
        <f>'GS &gt; 50 OLS Model'!$B$9*G72</f>
        <v>-2212297.7555003474</v>
      </c>
      <c r="T72" s="23">
        <f>'GS &gt; 50 OLS Model'!$B$10*H72</f>
        <v>-439218.30194811599</v>
      </c>
      <c r="U72" s="23">
        <f>'GS &gt; 50 OLS Model'!$B$11*I72</f>
        <v>-1629695.87956432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si="5"/>
        <v>22856232.397383891</v>
      </c>
      <c r="AA72" s="13">
        <f t="shared" si="6"/>
        <v>1.6348579807252153E-2</v>
      </c>
    </row>
    <row r="73" spans="1:27" s="30" customFormat="1" x14ac:dyDescent="0.25">
      <c r="A73" s="11">
        <f>'Monthly Data'!A73</f>
        <v>41974</v>
      </c>
      <c r="B73" s="6">
        <f t="shared" si="4"/>
        <v>2014</v>
      </c>
      <c r="C73" s="30">
        <f>'Monthly Data'!H73</f>
        <v>24519678.561099999</v>
      </c>
      <c r="D73" s="30">
        <f>'Monthly Data'!M73</f>
        <v>619.89999999999986</v>
      </c>
      <c r="E73" s="30">
        <f>'Monthly Data'!N73</f>
        <v>0</v>
      </c>
      <c r="F73" s="30">
        <f>'Monthly Data'!Q73</f>
        <v>6903.2</v>
      </c>
      <c r="G73" s="30">
        <f>'Monthly Data'!S73</f>
        <v>72</v>
      </c>
      <c r="H73" s="30">
        <f>'Monthly Data'!Y73</f>
        <v>1</v>
      </c>
      <c r="I73" s="30">
        <f>'Monthly Data'!AE73</f>
        <v>0</v>
      </c>
      <c r="J73" s="30">
        <f>'Monthly Data'!AF73</f>
        <v>0</v>
      </c>
      <c r="K73" s="30">
        <f>'Monthly Data'!AG73</f>
        <v>0</v>
      </c>
      <c r="L73" s="30">
        <f>'Monthly Data'!AH73</f>
        <v>1</v>
      </c>
      <c r="M73" s="30">
        <f>'Monthly Data'!AI73</f>
        <v>0</v>
      </c>
      <c r="O73" s="23">
        <f>'GS &gt; 50 OLS Model'!$B$5</f>
        <v>-14985611.9194983</v>
      </c>
      <c r="P73" s="23">
        <f>'GS &gt; 50 OLS Model'!$B$6*D73</f>
        <v>4779686.598295277</v>
      </c>
      <c r="Q73" s="23">
        <f>'GS &gt; 50 OLS Model'!$B$7*E73</f>
        <v>0</v>
      </c>
      <c r="R73" s="23">
        <f>'GS &gt; 50 OLS Model'!$B$8*F73</f>
        <v>38271077.99300722</v>
      </c>
      <c r="S73" s="23">
        <f>'GS &gt; 50 OLS Model'!$B$9*G73</f>
        <v>-2243456.8788172537</v>
      </c>
      <c r="T73" s="23">
        <f>'GS &gt; 50 OLS Model'!$B$10*H73</f>
        <v>-439218.30194811599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-1130663.3851056299</v>
      </c>
      <c r="Y73" s="23">
        <f>'GS &gt; 50 OLS Model'!$B$15*M73</f>
        <v>0</v>
      </c>
      <c r="Z73" s="23">
        <f t="shared" si="5"/>
        <v>24251814.105933201</v>
      </c>
      <c r="AA73" s="13">
        <f t="shared" si="6"/>
        <v>1.0924468463129037E-2</v>
      </c>
    </row>
    <row r="74" spans="1:27" x14ac:dyDescent="0.25">
      <c r="AA74" s="14">
        <f>AVERAGE(AA2:AA73)</f>
        <v>1.4018954786938027E-2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Data</vt:lpstr>
      <vt:lpstr>Weather Data</vt:lpstr>
      <vt:lpstr>Ontario Employment Growth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LU OLS Model</vt:lpstr>
      <vt:lpstr>LU Predicted Monthly</vt:lpstr>
      <vt:lpstr>Model Annual Summary</vt:lpstr>
      <vt:lpstr>Res Normalized Monthly</vt:lpstr>
      <vt:lpstr>GS &lt; 50 Normalized Monthly</vt:lpstr>
      <vt:lpstr>GS &gt; 50 Normalized Monthly</vt:lpstr>
      <vt:lpstr>LU Normalized Monthly</vt:lpstr>
      <vt:lpstr>Connection count GS Adjusted </vt:lpstr>
      <vt:lpstr>Connection countGSNot Adjusted</vt:lpstr>
      <vt:lpstr>Normalized Annual Summary</vt:lpstr>
      <vt:lpstr>kW Forecast</vt:lpstr>
      <vt:lpstr>Annual CDM</vt:lpstr>
      <vt:lpstr>CDM Adjustments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tbrackenbury</cp:lastModifiedBy>
  <cp:lastPrinted>2015-05-25T15:40:15Z</cp:lastPrinted>
  <dcterms:created xsi:type="dcterms:W3CDTF">2010-02-17T15:09:16Z</dcterms:created>
  <dcterms:modified xsi:type="dcterms:W3CDTF">2015-05-25T16:23:14Z</dcterms:modified>
</cp:coreProperties>
</file>