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84" windowWidth="13380" windowHeight="86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C27" i="1" l="1"/>
  <c r="AD7" i="1"/>
  <c r="AC25" i="1"/>
  <c r="AC24" i="1"/>
  <c r="S24" i="1"/>
  <c r="Q6" i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T18" i="1"/>
  <c r="S18" i="1"/>
  <c r="R18" i="1"/>
  <c r="Q18" i="1"/>
  <c r="P7" i="1"/>
  <c r="Q5" i="1" s="1"/>
  <c r="R4" i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Q4" i="1"/>
  <c r="P9" i="1" l="1"/>
  <c r="Q7" i="1"/>
  <c r="Q9" i="1"/>
  <c r="R5" i="1"/>
  <c r="R7" i="1" s="1"/>
  <c r="U18" i="1"/>
  <c r="E6" i="1"/>
  <c r="F6" i="1" s="1"/>
  <c r="G6" i="1" s="1"/>
  <c r="H6" i="1" s="1"/>
  <c r="I6" i="1" s="1"/>
  <c r="J6" i="1" s="1"/>
  <c r="K6" i="1" s="1"/>
  <c r="L6" i="1" s="1"/>
  <c r="C6" i="1"/>
  <c r="D6" i="1" s="1"/>
  <c r="L5" i="1"/>
  <c r="K5" i="1"/>
  <c r="J5" i="1"/>
  <c r="I5" i="1"/>
  <c r="H5" i="1"/>
  <c r="G5" i="1"/>
  <c r="F5" i="1"/>
  <c r="E5" i="1"/>
  <c r="D5" i="1"/>
  <c r="C5" i="1"/>
  <c r="P13" i="1" l="1"/>
  <c r="P14" i="1" s="1"/>
  <c r="P16" i="1" s="1"/>
  <c r="P20" i="1" s="1"/>
  <c r="P21" i="1" s="1"/>
  <c r="P11" i="1"/>
  <c r="P12" i="1"/>
  <c r="S5" i="1"/>
  <c r="S7" i="1" s="1"/>
  <c r="R9" i="1"/>
  <c r="Q12" i="1"/>
  <c r="Q11" i="1"/>
  <c r="Q13" i="1"/>
  <c r="Q14" i="1" s="1"/>
  <c r="V18" i="1"/>
  <c r="D11" i="1"/>
  <c r="C11" i="1"/>
  <c r="C8" i="1"/>
  <c r="E9" i="1"/>
  <c r="F9" i="1" s="1"/>
  <c r="G9" i="1" s="1"/>
  <c r="H9" i="1" s="1"/>
  <c r="I9" i="1" s="1"/>
  <c r="J9" i="1" s="1"/>
  <c r="K9" i="1" s="1"/>
  <c r="L9" i="1" s="1"/>
  <c r="D9" i="1"/>
  <c r="Q16" i="1" l="1"/>
  <c r="Q20" i="1" s="1"/>
  <c r="Q21" i="1" s="1"/>
  <c r="R12" i="1"/>
  <c r="R13" i="1"/>
  <c r="R14" i="1" s="1"/>
  <c r="R11" i="1"/>
  <c r="T5" i="1"/>
  <c r="T7" i="1" s="1"/>
  <c r="S9" i="1"/>
  <c r="W18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5" i="1"/>
  <c r="K15" i="1"/>
  <c r="J15" i="1"/>
  <c r="I15" i="1"/>
  <c r="H15" i="1"/>
  <c r="G15" i="1"/>
  <c r="F15" i="1"/>
  <c r="E15" i="1"/>
  <c r="D15" i="1"/>
  <c r="C15" i="1"/>
  <c r="C16" i="1" s="1"/>
  <c r="C17" i="1" s="1"/>
  <c r="S11" i="1" l="1"/>
  <c r="S12" i="1"/>
  <c r="S13" i="1"/>
  <c r="S14" i="1" s="1"/>
  <c r="U5" i="1"/>
  <c r="U7" i="1" s="1"/>
  <c r="T9" i="1"/>
  <c r="R16" i="1"/>
  <c r="R20" i="1" s="1"/>
  <c r="R21" i="1" s="1"/>
  <c r="X18" i="1"/>
  <c r="E11" i="1"/>
  <c r="D10" i="1"/>
  <c r="D14" i="1"/>
  <c r="C30" i="1"/>
  <c r="S21" i="1" l="1"/>
  <c r="T13" i="1"/>
  <c r="T14" i="1" s="1"/>
  <c r="T12" i="1"/>
  <c r="T11" i="1"/>
  <c r="V5" i="1"/>
  <c r="V7" i="1" s="1"/>
  <c r="U9" i="1"/>
  <c r="S16" i="1"/>
  <c r="S20" i="1" s="1"/>
  <c r="Y18" i="1"/>
  <c r="F11" i="1"/>
  <c r="D16" i="1"/>
  <c r="D17" i="1" s="1"/>
  <c r="E10" i="1"/>
  <c r="C21" i="1"/>
  <c r="T16" i="1" l="1"/>
  <c r="T20" i="1" s="1"/>
  <c r="T21" i="1" s="1"/>
  <c r="U11" i="1"/>
  <c r="U13" i="1"/>
  <c r="U14" i="1" s="1"/>
  <c r="U12" i="1"/>
  <c r="W5" i="1"/>
  <c r="W7" i="1" s="1"/>
  <c r="V9" i="1"/>
  <c r="Z18" i="1"/>
  <c r="G11" i="1"/>
  <c r="E14" i="1"/>
  <c r="E16" i="1"/>
  <c r="D30" i="1"/>
  <c r="V13" i="1" l="1"/>
  <c r="V12" i="1"/>
  <c r="V11" i="1"/>
  <c r="X5" i="1"/>
  <c r="X7" i="1" s="1"/>
  <c r="W9" i="1"/>
  <c r="U16" i="1"/>
  <c r="U20" i="1" s="1"/>
  <c r="U21" i="1" s="1"/>
  <c r="AA18" i="1"/>
  <c r="H11" i="1"/>
  <c r="D21" i="1"/>
  <c r="F10" i="1"/>
  <c r="F14" i="1"/>
  <c r="E17" i="1"/>
  <c r="W12" i="1" l="1"/>
  <c r="W13" i="1"/>
  <c r="W14" i="1" s="1"/>
  <c r="W11" i="1"/>
  <c r="Y5" i="1"/>
  <c r="Y7" i="1" s="1"/>
  <c r="X9" i="1"/>
  <c r="V14" i="1"/>
  <c r="V16" i="1" s="1"/>
  <c r="V20" i="1" s="1"/>
  <c r="V21" i="1" s="1"/>
  <c r="AB18" i="1"/>
  <c r="I11" i="1"/>
  <c r="E30" i="1"/>
  <c r="F16" i="1"/>
  <c r="X13" i="1" l="1"/>
  <c r="X14" i="1" s="1"/>
  <c r="X12" i="1"/>
  <c r="X11" i="1"/>
  <c r="Z5" i="1"/>
  <c r="Z7" i="1" s="1"/>
  <c r="Y9" i="1"/>
  <c r="W16" i="1"/>
  <c r="W20" i="1" s="1"/>
  <c r="W21" i="1" s="1"/>
  <c r="AC18" i="1"/>
  <c r="J11" i="1"/>
  <c r="E21" i="1"/>
  <c r="G10" i="1"/>
  <c r="F17" i="1"/>
  <c r="G14" i="1"/>
  <c r="X16" i="1" l="1"/>
  <c r="X20" i="1" s="1"/>
  <c r="X21" i="1" s="1"/>
  <c r="Y11" i="1"/>
  <c r="Y13" i="1"/>
  <c r="Y14" i="1" s="1"/>
  <c r="Y12" i="1"/>
  <c r="AA5" i="1"/>
  <c r="AA7" i="1" s="1"/>
  <c r="Z9" i="1"/>
  <c r="L11" i="1"/>
  <c r="K11" i="1"/>
  <c r="F30" i="1"/>
  <c r="F21" i="1"/>
  <c r="G16" i="1"/>
  <c r="Z13" i="1" l="1"/>
  <c r="Z14" i="1" s="1"/>
  <c r="Z11" i="1"/>
  <c r="Z12" i="1"/>
  <c r="AB5" i="1"/>
  <c r="AB7" i="1" s="1"/>
  <c r="AA9" i="1"/>
  <c r="Y16" i="1"/>
  <c r="Y20" i="1" s="1"/>
  <c r="Y21" i="1" s="1"/>
  <c r="H10" i="1"/>
  <c r="G17" i="1"/>
  <c r="H14" i="1"/>
  <c r="AA13" i="1" l="1"/>
  <c r="AA14" i="1" s="1"/>
  <c r="AA12" i="1"/>
  <c r="AA11" i="1"/>
  <c r="AA16" i="1" s="1"/>
  <c r="AA20" i="1" s="1"/>
  <c r="AC5" i="1"/>
  <c r="AC7" i="1" s="1"/>
  <c r="AC9" i="1" s="1"/>
  <c r="AB9" i="1"/>
  <c r="Z16" i="1"/>
  <c r="Z20" i="1" s="1"/>
  <c r="Z21" i="1" s="1"/>
  <c r="G30" i="1"/>
  <c r="G21" i="1"/>
  <c r="H16" i="1"/>
  <c r="AB12" i="1" l="1"/>
  <c r="AB11" i="1"/>
  <c r="AB13" i="1"/>
  <c r="AB14" i="1" s="1"/>
  <c r="AC11" i="1"/>
  <c r="AC13" i="1"/>
  <c r="AC14" i="1" s="1"/>
  <c r="AC12" i="1"/>
  <c r="AA21" i="1"/>
  <c r="I10" i="1"/>
  <c r="I14" i="1"/>
  <c r="H17" i="1"/>
  <c r="AC16" i="1" l="1"/>
  <c r="AC20" i="1" s="1"/>
  <c r="AB16" i="1"/>
  <c r="AB20" i="1" s="1"/>
  <c r="AB21" i="1" s="1"/>
  <c r="H30" i="1"/>
  <c r="I16" i="1"/>
  <c r="AC21" i="1" l="1"/>
  <c r="J10" i="1"/>
  <c r="I17" i="1"/>
  <c r="J14" i="1"/>
  <c r="H21" i="1"/>
  <c r="J16" i="1" l="1"/>
  <c r="I30" i="1"/>
  <c r="I21" i="1" l="1"/>
  <c r="K14" i="1"/>
  <c r="K10" i="1"/>
  <c r="J17" i="1"/>
  <c r="J30" i="1" l="1"/>
  <c r="J21" i="1"/>
  <c r="K16" i="1"/>
  <c r="L10" i="1" l="1"/>
  <c r="L14" i="1"/>
  <c r="K17" i="1"/>
  <c r="K30" i="1" l="1"/>
  <c r="L16" i="1"/>
  <c r="L17" i="1" s="1"/>
  <c r="L21" i="1" l="1"/>
  <c r="L30" i="1"/>
  <c r="K21" i="1"/>
  <c r="D7" i="1" l="1"/>
  <c r="D12" i="1" s="1"/>
  <c r="D23" i="1" s="1"/>
  <c r="C7" i="1"/>
  <c r="C12" i="1" s="1"/>
  <c r="C23" i="1" s="1"/>
  <c r="D4" i="1"/>
  <c r="E4" i="1" s="1"/>
  <c r="F4" i="1" s="1"/>
  <c r="G4" i="1" s="1"/>
  <c r="H4" i="1" s="1"/>
  <c r="I4" i="1" s="1"/>
  <c r="J4" i="1" s="1"/>
  <c r="K4" i="1" s="1"/>
  <c r="L4" i="1" s="1"/>
  <c r="C25" i="1" l="1"/>
  <c r="C27" i="1"/>
  <c r="D25" i="1"/>
  <c r="D27" i="1" s="1"/>
  <c r="E7" i="1"/>
  <c r="E12" i="1" s="1"/>
  <c r="E23" i="1" s="1"/>
  <c r="D28" i="1" l="1"/>
  <c r="D32" i="1"/>
  <c r="C32" i="1"/>
  <c r="C34" i="1" s="1"/>
  <c r="C28" i="1"/>
  <c r="E25" i="1"/>
  <c r="E27" i="1" s="1"/>
  <c r="F7" i="1"/>
  <c r="F12" i="1" s="1"/>
  <c r="F23" i="1" s="1"/>
  <c r="D34" i="1" l="1"/>
  <c r="F25" i="1"/>
  <c r="F27" i="1" s="1"/>
  <c r="G7" i="1"/>
  <c r="G12" i="1" s="1"/>
  <c r="G23" i="1" s="1"/>
  <c r="E32" i="1"/>
  <c r="E28" i="1"/>
  <c r="F28" i="1" l="1"/>
  <c r="F32" i="1"/>
  <c r="E34" i="1"/>
  <c r="H7" i="1"/>
  <c r="H12" i="1" s="1"/>
  <c r="H23" i="1" s="1"/>
  <c r="G25" i="1"/>
  <c r="G27" i="1" s="1"/>
  <c r="F34" i="1" l="1"/>
  <c r="G28" i="1"/>
  <c r="G32" i="1"/>
  <c r="I7" i="1"/>
  <c r="I12" i="1" s="1"/>
  <c r="I23" i="1" s="1"/>
  <c r="H25" i="1"/>
  <c r="H27" i="1" s="1"/>
  <c r="G34" i="1" l="1"/>
  <c r="H28" i="1"/>
  <c r="H32" i="1"/>
  <c r="J7" i="1"/>
  <c r="J12" i="1" s="1"/>
  <c r="J23" i="1" s="1"/>
  <c r="I25" i="1"/>
  <c r="I27" i="1" s="1"/>
  <c r="H34" i="1" l="1"/>
  <c r="I28" i="1"/>
  <c r="I32" i="1"/>
  <c r="J25" i="1"/>
  <c r="J27" i="1" s="1"/>
  <c r="L7" i="1"/>
  <c r="L12" i="1" s="1"/>
  <c r="L23" i="1" s="1"/>
  <c r="K7" i="1"/>
  <c r="K12" i="1" s="1"/>
  <c r="K23" i="1" s="1"/>
  <c r="I34" i="1" l="1"/>
  <c r="J28" i="1"/>
  <c r="J32" i="1"/>
  <c r="K25" i="1"/>
  <c r="K27" i="1" s="1"/>
  <c r="L25" i="1"/>
  <c r="L27" i="1" s="1"/>
  <c r="J34" i="1" l="1"/>
  <c r="L28" i="1"/>
  <c r="L32" i="1"/>
  <c r="K28" i="1"/>
  <c r="K32" i="1"/>
  <c r="K34" i="1" l="1"/>
  <c r="L34" i="1" s="1"/>
</calcChain>
</file>

<file path=xl/sharedStrings.xml><?xml version="1.0" encoding="utf-8"?>
<sst xmlns="http://schemas.openxmlformats.org/spreadsheetml/2006/main" count="52" uniqueCount="51">
  <si>
    <t>Category</t>
  </si>
  <si>
    <t>N</t>
  </si>
  <si>
    <t>Distribution Revenues</t>
  </si>
  <si>
    <t>Other Revenues</t>
  </si>
  <si>
    <t>Total Revenues</t>
  </si>
  <si>
    <t>Depreciation and Amortization</t>
  </si>
  <si>
    <t>Total Expenses</t>
  </si>
  <si>
    <t>Gross Profit</t>
  </si>
  <si>
    <t>Total Interest</t>
  </si>
  <si>
    <t>Net Profit Before Taxes</t>
  </si>
  <si>
    <t>PILs at 26%</t>
  </si>
  <si>
    <t>ROE</t>
  </si>
  <si>
    <t>Benchmark ROE @9%</t>
  </si>
  <si>
    <t>Over-earnings</t>
  </si>
  <si>
    <t>Cumulative Over-earnings</t>
  </si>
  <si>
    <t>Rate Base - Opening</t>
  </si>
  <si>
    <t>Capital Additions-Depreciation</t>
  </si>
  <si>
    <t>Rate Base - Closing</t>
  </si>
  <si>
    <t>Average Rate Base</t>
  </si>
  <si>
    <t>Percent</t>
  </si>
  <si>
    <t>Notes</t>
  </si>
  <si>
    <t>2013 actuals of $1748 increased to $1900 for 2016, then pro rata to annual change in rate base.</t>
  </si>
  <si>
    <t>Estimated 2016 Actual plus capital additions less depreciation each year.</t>
  </si>
  <si>
    <t>Capital additions from A/2/1, p. 8 less depreciation from line 9.  Retirements assumed to be zero.</t>
  </si>
  <si>
    <t>Interest 56% @4.88% LTD</t>
  </si>
  <si>
    <t>Interest 4%@1.96% STD</t>
  </si>
  <si>
    <t>LTD interest on 56% of rate base at 4.88% (Hydro One 2016 Board approved)</t>
  </si>
  <si>
    <t>LTD interest on 4% of rate base at 1.96% (Hydro One 2016 Board approved)</t>
  </si>
  <si>
    <t>After tax profit divided by 40% of rate base</t>
  </si>
  <si>
    <t>Assumes average ROE during 10 years of 9%</t>
  </si>
  <si>
    <t>Status Quo Operating Costs</t>
  </si>
  <si>
    <t>Less: Savings</t>
  </si>
  <si>
    <t xml:space="preserve">2013 actuals of $1568, cut in half to reflect one-time items (not quantified in the Application), </t>
  </si>
  <si>
    <t>Status quo line from A/2/1, p. 8, less savings of $1313 from A/2/1, p. 6, increased by (I-X) 1.3% per year.</t>
  </si>
  <si>
    <t>Forecast of Over-Earnings for Woodstock Hydro 2016 to 2025</t>
  </si>
  <si>
    <t>Excess of forecast after-tax earnings over benchmark after-tax earnings</t>
  </si>
  <si>
    <t>2013 actuals of $8994 plus growth of 1.15% per year.  1% reduction 2016-2020.  IRM after 2020 @1.3%</t>
  </si>
  <si>
    <t xml:space="preserve"> plus growth of 1.15% per year.</t>
  </si>
  <si>
    <t>Incremental Capital Calculation</t>
  </si>
  <si>
    <t>Year</t>
  </si>
  <si>
    <t>Opening Rate Base</t>
  </si>
  <si>
    <t>Depreciation</t>
  </si>
  <si>
    <t>Closing Rate Base</t>
  </si>
  <si>
    <t>Cost of Long Term Debt</t>
  </si>
  <si>
    <t>Cost of Short Term Debt</t>
  </si>
  <si>
    <t>Return on Equity</t>
  </si>
  <si>
    <t>PILs Gross-Up</t>
  </si>
  <si>
    <t>Total Revenue Requirement</t>
  </si>
  <si>
    <t>Actual Rate Rider</t>
  </si>
  <si>
    <t>Excess/Shortfall</t>
  </si>
  <si>
    <t>Cumulative Excess/Shortfall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</si>
</sst>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2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3" fillId="0" borderId="0" xfId="0" quotePrefix="1" applyFont="1"/>
    <xf numFmtId="164" fontId="0" fillId="0" borderId="2" xfId="0" applyNumberForma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47"/>
  <sheetViews>
    <sheetView tabSelected="1" topLeftCell="O1" workbookViewId="0">
      <selection activeCell="AC27" sqref="AC27"/>
    </sheetView>
  </sheetViews>
  <sheetFormatPr defaultRowHeight="14.4" x14ac:dyDescent="0.3"/>
  <cols>
    <col min="1" max="1" width="27.77734375" customWidth="1"/>
    <col min="2" max="2" width="3.21875" customWidth="1"/>
    <col min="15" max="15" width="26.6640625" customWidth="1"/>
    <col min="16" max="28" width="9.88671875" bestFit="1" customWidth="1"/>
    <col min="29" max="29" width="13.21875" bestFit="1" customWidth="1"/>
  </cols>
  <sheetData>
    <row r="2" spans="1:30" ht="18" x14ac:dyDescent="0.35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O2" s="12" t="s">
        <v>38</v>
      </c>
    </row>
    <row r="4" spans="1:30" x14ac:dyDescent="0.3">
      <c r="A4" s="5" t="s">
        <v>0</v>
      </c>
      <c r="B4" s="5" t="s">
        <v>1</v>
      </c>
      <c r="C4" s="5">
        <v>2016</v>
      </c>
      <c r="D4" s="5">
        <f>+C4+1</f>
        <v>2017</v>
      </c>
      <c r="E4" s="5">
        <f t="shared" ref="E4:L4" si="0">+D4+1</f>
        <v>2018</v>
      </c>
      <c r="F4" s="5">
        <f t="shared" si="0"/>
        <v>2019</v>
      </c>
      <c r="G4" s="5">
        <f t="shared" si="0"/>
        <v>2020</v>
      </c>
      <c r="H4" s="5">
        <f t="shared" si="0"/>
        <v>2021</v>
      </c>
      <c r="I4" s="5">
        <f t="shared" si="0"/>
        <v>2022</v>
      </c>
      <c r="J4" s="5">
        <f t="shared" si="0"/>
        <v>2023</v>
      </c>
      <c r="K4" s="5">
        <f t="shared" si="0"/>
        <v>2024</v>
      </c>
      <c r="L4" s="5">
        <f t="shared" si="0"/>
        <v>2025</v>
      </c>
      <c r="O4" t="s">
        <v>39</v>
      </c>
      <c r="P4">
        <v>2012</v>
      </c>
      <c r="Q4">
        <f>+P4+1</f>
        <v>2013</v>
      </c>
      <c r="R4">
        <f t="shared" ref="R4:AC4" si="1">+Q4+1</f>
        <v>2014</v>
      </c>
      <c r="S4">
        <f t="shared" si="1"/>
        <v>2015</v>
      </c>
      <c r="T4">
        <f t="shared" si="1"/>
        <v>2016</v>
      </c>
      <c r="U4">
        <f t="shared" si="1"/>
        <v>2017</v>
      </c>
      <c r="V4">
        <f t="shared" si="1"/>
        <v>2018</v>
      </c>
      <c r="W4">
        <f t="shared" si="1"/>
        <v>2019</v>
      </c>
      <c r="X4">
        <f t="shared" si="1"/>
        <v>2020</v>
      </c>
      <c r="Y4">
        <f t="shared" si="1"/>
        <v>2021</v>
      </c>
      <c r="Z4">
        <f t="shared" si="1"/>
        <v>2022</v>
      </c>
      <c r="AA4">
        <f t="shared" si="1"/>
        <v>2023</v>
      </c>
      <c r="AB4">
        <f t="shared" si="1"/>
        <v>2024</v>
      </c>
      <c r="AC4">
        <f t="shared" si="1"/>
        <v>2025</v>
      </c>
    </row>
    <row r="5" spans="1:30" x14ac:dyDescent="0.3">
      <c r="A5" s="5" t="s">
        <v>2</v>
      </c>
      <c r="B5" s="2">
        <v>1</v>
      </c>
      <c r="C5" s="3">
        <f>8994*((1+0.0115)^3)*(1-0.01)</f>
        <v>9214.7962977672541</v>
      </c>
      <c r="D5" s="3">
        <f>+C5*(1.0115)</f>
        <v>9320.7664551915786</v>
      </c>
      <c r="E5" s="3">
        <f>+D5*(1.0115)</f>
        <v>9427.955269426282</v>
      </c>
      <c r="F5" s="3">
        <f>+E5*(1.0115)</f>
        <v>9536.3767550246848</v>
      </c>
      <c r="G5" s="3">
        <f>+F5*(1.0115)</f>
        <v>9646.0450877074691</v>
      </c>
      <c r="H5" s="3">
        <f>+G5*(1.0115)*(1.01)*(1.013)</f>
        <v>9982.6534288578823</v>
      </c>
      <c r="I5" s="3">
        <f>+H5*(1.0115)*(1.013)</f>
        <v>10228.720844552516</v>
      </c>
      <c r="J5" s="3">
        <f>+I5*(1.0115)*(1.013)</f>
        <v>10480.853699010313</v>
      </c>
      <c r="K5" s="3">
        <f>+J5*(1.0115)*(1.013)</f>
        <v>10739.201502264068</v>
      </c>
      <c r="L5" s="3">
        <f>+K5*(1.0115)*(1.013)</f>
        <v>11003.917449694125</v>
      </c>
      <c r="O5" t="s">
        <v>40</v>
      </c>
      <c r="P5" s="1">
        <v>3015564</v>
      </c>
      <c r="Q5" s="1">
        <f>+P7</f>
        <v>2893752</v>
      </c>
      <c r="R5" s="1">
        <f t="shared" ref="R5:AC5" si="2">+Q7</f>
        <v>2771940</v>
      </c>
      <c r="S5" s="1">
        <f t="shared" si="2"/>
        <v>2650128</v>
      </c>
      <c r="T5" s="1">
        <f t="shared" si="2"/>
        <v>2528316</v>
      </c>
      <c r="U5" s="1">
        <f t="shared" si="2"/>
        <v>2406504</v>
      </c>
      <c r="V5" s="1">
        <f t="shared" si="2"/>
        <v>2284692</v>
      </c>
      <c r="W5" s="1">
        <f t="shared" si="2"/>
        <v>2162880</v>
      </c>
      <c r="X5" s="1">
        <f t="shared" si="2"/>
        <v>2041068</v>
      </c>
      <c r="Y5" s="1">
        <f t="shared" si="2"/>
        <v>1919256</v>
      </c>
      <c r="Z5" s="1">
        <f t="shared" si="2"/>
        <v>1797444</v>
      </c>
      <c r="AA5" s="1">
        <f t="shared" si="2"/>
        <v>1675632</v>
      </c>
      <c r="AB5" s="1">
        <f t="shared" si="2"/>
        <v>1553820</v>
      </c>
      <c r="AC5" s="1">
        <f t="shared" si="2"/>
        <v>1432008</v>
      </c>
    </row>
    <row r="6" spans="1:30" x14ac:dyDescent="0.3">
      <c r="A6" s="5" t="s">
        <v>3</v>
      </c>
      <c r="B6" s="2">
        <v>2</v>
      </c>
      <c r="C6" s="3">
        <f>(1568/2)*((1+0.0115)^3)</f>
        <v>811.36024436600019</v>
      </c>
      <c r="D6" s="3">
        <f>+C6*(1.0115)</f>
        <v>820.69088717620923</v>
      </c>
      <c r="E6" s="3">
        <f t="shared" ref="E6:L6" si="3">+D6*(1.0115)</f>
        <v>830.12883237873564</v>
      </c>
      <c r="F6" s="3">
        <f t="shared" si="3"/>
        <v>839.6753139510912</v>
      </c>
      <c r="G6" s="3">
        <f t="shared" si="3"/>
        <v>849.33158006152883</v>
      </c>
      <c r="H6" s="3">
        <f t="shared" si="3"/>
        <v>859.09889323223649</v>
      </c>
      <c r="I6" s="3">
        <f t="shared" si="3"/>
        <v>868.97853050440722</v>
      </c>
      <c r="J6" s="3">
        <f t="shared" si="3"/>
        <v>878.97178360520797</v>
      </c>
      <c r="K6" s="3">
        <f t="shared" si="3"/>
        <v>889.07995911666796</v>
      </c>
      <c r="L6" s="3">
        <f t="shared" si="3"/>
        <v>899.30437864650969</v>
      </c>
      <c r="O6" t="s">
        <v>41</v>
      </c>
      <c r="P6" s="1">
        <v>121812</v>
      </c>
      <c r="Q6" s="1">
        <f>+P6</f>
        <v>121812</v>
      </c>
      <c r="R6" s="1">
        <f t="shared" ref="R6:AC6" si="4">+Q6</f>
        <v>121812</v>
      </c>
      <c r="S6" s="1">
        <f t="shared" si="4"/>
        <v>121812</v>
      </c>
      <c r="T6" s="1">
        <f t="shared" si="4"/>
        <v>121812</v>
      </c>
      <c r="U6" s="1">
        <f t="shared" si="4"/>
        <v>121812</v>
      </c>
      <c r="V6" s="1">
        <f t="shared" si="4"/>
        <v>121812</v>
      </c>
      <c r="W6" s="1">
        <f t="shared" si="4"/>
        <v>121812</v>
      </c>
      <c r="X6" s="1">
        <f t="shared" si="4"/>
        <v>121812</v>
      </c>
      <c r="Y6" s="1">
        <f t="shared" si="4"/>
        <v>121812</v>
      </c>
      <c r="Z6" s="1">
        <f t="shared" si="4"/>
        <v>121812</v>
      </c>
      <c r="AA6" s="1">
        <f t="shared" si="4"/>
        <v>121812</v>
      </c>
      <c r="AB6" s="1">
        <f t="shared" si="4"/>
        <v>121812</v>
      </c>
      <c r="AC6" s="1">
        <f t="shared" si="4"/>
        <v>121812</v>
      </c>
    </row>
    <row r="7" spans="1:30" x14ac:dyDescent="0.3">
      <c r="A7" s="5" t="s">
        <v>4</v>
      </c>
      <c r="B7" s="2"/>
      <c r="C7" s="3">
        <f>+C5+C6</f>
        <v>10026.156542133254</v>
      </c>
      <c r="D7" s="3">
        <f t="shared" ref="D7:L7" si="5">+D5+D6</f>
        <v>10141.457342367788</v>
      </c>
      <c r="E7" s="3">
        <f t="shared" si="5"/>
        <v>10258.084101805018</v>
      </c>
      <c r="F7" s="3">
        <f t="shared" si="5"/>
        <v>10376.052068975776</v>
      </c>
      <c r="G7" s="3">
        <f t="shared" si="5"/>
        <v>10495.376667768998</v>
      </c>
      <c r="H7" s="3">
        <f t="shared" si="5"/>
        <v>10841.752322090118</v>
      </c>
      <c r="I7" s="3">
        <f t="shared" si="5"/>
        <v>11097.699375056924</v>
      </c>
      <c r="J7" s="3">
        <f t="shared" si="5"/>
        <v>11359.825482615521</v>
      </c>
      <c r="K7" s="3">
        <f t="shared" si="5"/>
        <v>11628.281461380737</v>
      </c>
      <c r="L7" s="3">
        <f t="shared" si="5"/>
        <v>11903.221828340635</v>
      </c>
      <c r="O7" t="s">
        <v>42</v>
      </c>
      <c r="P7" s="1">
        <f>+P5-P6</f>
        <v>2893752</v>
      </c>
      <c r="Q7" s="1">
        <f>+Q5-Q6</f>
        <v>2771940</v>
      </c>
      <c r="R7" s="1">
        <f t="shared" ref="R7:AC7" si="6">+R5-R6</f>
        <v>2650128</v>
      </c>
      <c r="S7" s="1">
        <f t="shared" si="6"/>
        <v>2528316</v>
      </c>
      <c r="T7" s="1">
        <f t="shared" si="6"/>
        <v>2406504</v>
      </c>
      <c r="U7" s="1">
        <f t="shared" si="6"/>
        <v>2284692</v>
      </c>
      <c r="V7" s="1">
        <f t="shared" si="6"/>
        <v>2162880</v>
      </c>
      <c r="W7" s="1">
        <f t="shared" si="6"/>
        <v>2041068</v>
      </c>
      <c r="X7" s="1">
        <f t="shared" si="6"/>
        <v>1919256</v>
      </c>
      <c r="Y7" s="1">
        <f t="shared" si="6"/>
        <v>1797444</v>
      </c>
      <c r="Z7" s="1">
        <f t="shared" si="6"/>
        <v>1675632</v>
      </c>
      <c r="AA7" s="1">
        <f t="shared" si="6"/>
        <v>1553820</v>
      </c>
      <c r="AB7" s="1">
        <f t="shared" si="6"/>
        <v>1432008</v>
      </c>
      <c r="AC7" s="1">
        <f t="shared" si="6"/>
        <v>1310196</v>
      </c>
      <c r="AD7" s="13">
        <f>+AC7/P5</f>
        <v>0.4344779285069062</v>
      </c>
    </row>
    <row r="8" spans="1:30" x14ac:dyDescent="0.3">
      <c r="A8" s="5" t="s">
        <v>30</v>
      </c>
      <c r="B8" s="2">
        <v>3</v>
      </c>
      <c r="C8" s="3">
        <f>3900</f>
        <v>3900</v>
      </c>
      <c r="D8" s="3">
        <v>4600</v>
      </c>
      <c r="E8" s="3">
        <v>4000</v>
      </c>
      <c r="F8" s="3">
        <v>4100</v>
      </c>
      <c r="G8" s="3">
        <v>4200</v>
      </c>
      <c r="H8" s="3">
        <v>4300</v>
      </c>
      <c r="I8" s="3">
        <v>4400</v>
      </c>
      <c r="J8" s="3">
        <v>4800</v>
      </c>
      <c r="K8" s="3">
        <v>4700</v>
      </c>
      <c r="L8" s="3">
        <v>4700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30" x14ac:dyDescent="0.3">
      <c r="A9" s="5" t="s">
        <v>31</v>
      </c>
      <c r="B9" s="2">
        <v>3</v>
      </c>
      <c r="C9" s="3">
        <v>1313</v>
      </c>
      <c r="D9" s="3">
        <f>+C9*(1.013)</f>
        <v>1330.069</v>
      </c>
      <c r="E9" s="3">
        <f t="shared" ref="E9:L9" si="7">+D9*(1.013)</f>
        <v>1347.3598969999998</v>
      </c>
      <c r="F9" s="3">
        <f t="shared" si="7"/>
        <v>1364.8755756609996</v>
      </c>
      <c r="G9" s="3">
        <f t="shared" si="7"/>
        <v>1382.6189581445924</v>
      </c>
      <c r="H9" s="3">
        <f t="shared" si="7"/>
        <v>1400.5930046004719</v>
      </c>
      <c r="I9" s="3">
        <f t="shared" si="7"/>
        <v>1418.8007136602778</v>
      </c>
      <c r="J9" s="3">
        <f t="shared" si="7"/>
        <v>1437.2451229378612</v>
      </c>
      <c r="K9" s="3">
        <f t="shared" si="7"/>
        <v>1455.9293095360533</v>
      </c>
      <c r="L9" s="3">
        <f t="shared" si="7"/>
        <v>1474.856390560022</v>
      </c>
      <c r="M9" s="1"/>
      <c r="O9" t="s">
        <v>18</v>
      </c>
      <c r="P9" s="1">
        <f>+(P7+P5)/2</f>
        <v>2954658</v>
      </c>
      <c r="Q9" s="1">
        <f t="shared" ref="Q9:AC9" si="8">+(Q7+Q5)/2</f>
        <v>2832846</v>
      </c>
      <c r="R9" s="1">
        <f t="shared" si="8"/>
        <v>2711034</v>
      </c>
      <c r="S9" s="1">
        <f t="shared" si="8"/>
        <v>2589222</v>
      </c>
      <c r="T9" s="1">
        <f t="shared" si="8"/>
        <v>2467410</v>
      </c>
      <c r="U9" s="1">
        <f t="shared" si="8"/>
        <v>2345598</v>
      </c>
      <c r="V9" s="1">
        <f t="shared" si="8"/>
        <v>2223786</v>
      </c>
      <c r="W9" s="1">
        <f t="shared" si="8"/>
        <v>2101974</v>
      </c>
      <c r="X9" s="1">
        <f t="shared" si="8"/>
        <v>1980162</v>
      </c>
      <c r="Y9" s="1">
        <f t="shared" si="8"/>
        <v>1858350</v>
      </c>
      <c r="Z9" s="1">
        <f t="shared" si="8"/>
        <v>1736538</v>
      </c>
      <c r="AA9" s="1">
        <f t="shared" si="8"/>
        <v>1614726</v>
      </c>
      <c r="AB9" s="1">
        <f t="shared" si="8"/>
        <v>1492914</v>
      </c>
      <c r="AC9" s="1">
        <f t="shared" si="8"/>
        <v>1371102</v>
      </c>
    </row>
    <row r="10" spans="1:30" x14ac:dyDescent="0.3">
      <c r="A10" s="5" t="s">
        <v>5</v>
      </c>
      <c r="B10" s="2">
        <v>4</v>
      </c>
      <c r="C10" s="3">
        <v>1900</v>
      </c>
      <c r="D10" s="3">
        <f t="shared" ref="D10:L10" si="9">+(C16/C14)*C10</f>
        <v>1921.9230769230769</v>
      </c>
      <c r="E10" s="3">
        <f t="shared" si="9"/>
        <v>1993.3979289940828</v>
      </c>
      <c r="F10" s="3">
        <f t="shared" si="9"/>
        <v>2081.5726957214383</v>
      </c>
      <c r="G10" s="3">
        <f t="shared" si="9"/>
        <v>2060.9962294956408</v>
      </c>
      <c r="H10" s="3">
        <f t="shared" si="9"/>
        <v>2063.846505032498</v>
      </c>
      <c r="I10" s="3">
        <f t="shared" si="9"/>
        <v>2044.5654142801232</v>
      </c>
      <c r="J10" s="3">
        <f t="shared" si="9"/>
        <v>2048.6164032365759</v>
      </c>
      <c r="K10" s="3">
        <f t="shared" si="9"/>
        <v>2023.140589153903</v>
      </c>
      <c r="L10" s="3">
        <f t="shared" si="9"/>
        <v>2014.1418537926563</v>
      </c>
    </row>
    <row r="11" spans="1:30" x14ac:dyDescent="0.3">
      <c r="A11" s="5" t="s">
        <v>6</v>
      </c>
      <c r="B11" s="2"/>
      <c r="C11" s="3">
        <f>+C8-C9+C10</f>
        <v>4487</v>
      </c>
      <c r="D11" s="3">
        <f t="shared" ref="D11:L11" si="10">+D8-D9+D10</f>
        <v>5191.8540769230767</v>
      </c>
      <c r="E11" s="3">
        <f t="shared" si="10"/>
        <v>4646.0380319940832</v>
      </c>
      <c r="F11" s="3">
        <f t="shared" si="10"/>
        <v>4816.6971200604385</v>
      </c>
      <c r="G11" s="3">
        <f t="shared" si="10"/>
        <v>4878.377271351048</v>
      </c>
      <c r="H11" s="3">
        <f t="shared" si="10"/>
        <v>4963.2535004320262</v>
      </c>
      <c r="I11" s="3">
        <f t="shared" si="10"/>
        <v>5025.7647006198458</v>
      </c>
      <c r="J11" s="3">
        <f t="shared" si="10"/>
        <v>5411.3712802987147</v>
      </c>
      <c r="K11" s="3">
        <f t="shared" si="10"/>
        <v>5267.2112796178499</v>
      </c>
      <c r="L11" s="3">
        <f t="shared" si="10"/>
        <v>5239.2854632326344</v>
      </c>
      <c r="O11" t="s">
        <v>43</v>
      </c>
      <c r="P11" s="1">
        <f>+(P9*0.56)*0.0502</f>
        <v>83061.345696000019</v>
      </c>
      <c r="Q11" s="1">
        <f>+(Q9*0.56)*0.0502</f>
        <v>79636.966752000008</v>
      </c>
      <c r="R11" s="1">
        <f t="shared" ref="R11:AC11" si="11">+(R9*0.56)*0.0502</f>
        <v>76212.587808000011</v>
      </c>
      <c r="S11" s="1">
        <f t="shared" si="11"/>
        <v>72788.208864</v>
      </c>
      <c r="T11" s="1">
        <f>+(T9*0.56)*0.0488</f>
        <v>67429.380480000007</v>
      </c>
      <c r="U11" s="1">
        <f t="shared" ref="U11:AC11" si="12">+(U9*0.56)*0.0488</f>
        <v>64100.502144000013</v>
      </c>
      <c r="V11" s="1">
        <f t="shared" si="12"/>
        <v>60771.623808000011</v>
      </c>
      <c r="W11" s="1">
        <f t="shared" si="12"/>
        <v>57442.74547200001</v>
      </c>
      <c r="X11" s="1">
        <f t="shared" si="12"/>
        <v>54113.867136000015</v>
      </c>
      <c r="Y11" s="1">
        <f t="shared" si="12"/>
        <v>50784.988800000006</v>
      </c>
      <c r="Z11" s="1">
        <f t="shared" si="12"/>
        <v>47456.110464000012</v>
      </c>
      <c r="AA11" s="1">
        <f t="shared" si="12"/>
        <v>44127.232128000003</v>
      </c>
      <c r="AB11" s="1">
        <f t="shared" si="12"/>
        <v>40798.353792000009</v>
      </c>
      <c r="AC11" s="1">
        <f t="shared" si="12"/>
        <v>37469.475456000007</v>
      </c>
    </row>
    <row r="12" spans="1:30" x14ac:dyDescent="0.3">
      <c r="A12" s="5" t="s">
        <v>7</v>
      </c>
      <c r="B12" s="2"/>
      <c r="C12" s="3">
        <f t="shared" ref="C12:L12" si="13">+C7-C11</f>
        <v>5539.1565421332543</v>
      </c>
      <c r="D12" s="3">
        <f t="shared" si="13"/>
        <v>4949.6032654447117</v>
      </c>
      <c r="E12" s="3">
        <f t="shared" si="13"/>
        <v>5612.0460698109346</v>
      </c>
      <c r="F12" s="3">
        <f t="shared" si="13"/>
        <v>5559.3549489153374</v>
      </c>
      <c r="G12" s="3">
        <f t="shared" si="13"/>
        <v>5616.9993964179503</v>
      </c>
      <c r="H12" s="3">
        <f t="shared" si="13"/>
        <v>5878.4988216580923</v>
      </c>
      <c r="I12" s="3">
        <f t="shared" si="13"/>
        <v>6071.9346744370778</v>
      </c>
      <c r="J12" s="3">
        <f t="shared" si="13"/>
        <v>5948.454202316806</v>
      </c>
      <c r="K12" s="3">
        <f t="shared" si="13"/>
        <v>6361.0701817628869</v>
      </c>
      <c r="L12" s="3">
        <f t="shared" si="13"/>
        <v>6663.9363651080002</v>
      </c>
      <c r="O12" t="s">
        <v>44</v>
      </c>
      <c r="P12" s="1">
        <f>+(P9*0.04)*0.0246</f>
        <v>2907.3834720000004</v>
      </c>
      <c r="Q12" s="1">
        <f>+(Q9*0.04)*0.0246</f>
        <v>2787.5204640000002</v>
      </c>
      <c r="R12" s="1">
        <f t="shared" ref="R12:AC12" si="14">+(R9*0.04)*0.0246</f>
        <v>2667.6574559999999</v>
      </c>
      <c r="S12" s="1">
        <f t="shared" si="14"/>
        <v>2547.7944480000001</v>
      </c>
      <c r="T12" s="1">
        <f>+(T9*0.04)*0.0196</f>
        <v>1934.4494400000001</v>
      </c>
      <c r="U12" s="1">
        <f t="shared" ref="U12:AC12" si="15">+(U9*0.04)*0.0196</f>
        <v>1838.9488319999998</v>
      </c>
      <c r="V12" s="1">
        <f t="shared" si="15"/>
        <v>1743.448224</v>
      </c>
      <c r="W12" s="1">
        <f t="shared" si="15"/>
        <v>1647.9476160000002</v>
      </c>
      <c r="X12" s="1">
        <f t="shared" si="15"/>
        <v>1552.4470079999999</v>
      </c>
      <c r="Y12" s="1">
        <f t="shared" si="15"/>
        <v>1456.9464</v>
      </c>
      <c r="Z12" s="1">
        <f t="shared" si="15"/>
        <v>1361.445792</v>
      </c>
      <c r="AA12" s="1">
        <f t="shared" si="15"/>
        <v>1265.9451839999999</v>
      </c>
      <c r="AB12" s="1">
        <f t="shared" si="15"/>
        <v>1170.4445759999999</v>
      </c>
      <c r="AC12" s="1">
        <f t="shared" si="15"/>
        <v>1074.943968</v>
      </c>
    </row>
    <row r="13" spans="1:30" x14ac:dyDescent="0.3">
      <c r="A13" s="5"/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O13" t="s">
        <v>45</v>
      </c>
      <c r="P13" s="1">
        <f>+(P9*0.4)*0.0958</f>
        <v>113222.49455999999</v>
      </c>
      <c r="Q13" s="1">
        <f>+(Q9*0.4)*0.0958</f>
        <v>108554.65872000001</v>
      </c>
      <c r="R13" s="1">
        <f t="shared" ref="R13:AC13" si="16">+(R9*0.4)*0.0958</f>
        <v>103886.82288000001</v>
      </c>
      <c r="S13" s="1">
        <f t="shared" si="16"/>
        <v>99218.987040000007</v>
      </c>
      <c r="T13" s="1">
        <f>+(T9*0.4)*0.093</f>
        <v>91787.652000000002</v>
      </c>
      <c r="U13" s="1">
        <f t="shared" ref="U13:AC13" si="17">+(U9*0.4)*0.093</f>
        <v>87256.245600000009</v>
      </c>
      <c r="V13" s="1">
        <f t="shared" si="17"/>
        <v>82724.839200000002</v>
      </c>
      <c r="W13" s="1">
        <f t="shared" si="17"/>
        <v>78193.43280000001</v>
      </c>
      <c r="X13" s="1">
        <f t="shared" si="17"/>
        <v>73662.026400000002</v>
      </c>
      <c r="Y13" s="1">
        <f t="shared" si="17"/>
        <v>69130.62</v>
      </c>
      <c r="Z13" s="1">
        <f t="shared" si="17"/>
        <v>64599.213600000003</v>
      </c>
      <c r="AA13" s="1">
        <f t="shared" si="17"/>
        <v>60067.807200000003</v>
      </c>
      <c r="AB13" s="1">
        <f t="shared" si="17"/>
        <v>55536.400799999996</v>
      </c>
      <c r="AC13" s="1">
        <f t="shared" si="17"/>
        <v>51004.994400000003</v>
      </c>
    </row>
    <row r="14" spans="1:30" x14ac:dyDescent="0.3">
      <c r="A14" s="5" t="s">
        <v>15</v>
      </c>
      <c r="B14" s="2">
        <v>5</v>
      </c>
      <c r="C14" s="3">
        <v>26000</v>
      </c>
      <c r="D14" s="3">
        <f>+C16</f>
        <v>26300</v>
      </c>
      <c r="E14" s="3">
        <f t="shared" ref="E14:L14" si="18">+D16</f>
        <v>27278.076923076922</v>
      </c>
      <c r="F14" s="3">
        <f t="shared" si="18"/>
        <v>28484.678994082838</v>
      </c>
      <c r="G14" s="3">
        <f t="shared" si="18"/>
        <v>28203.106298361399</v>
      </c>
      <c r="H14" s="3">
        <f t="shared" si="18"/>
        <v>28242.110068865757</v>
      </c>
      <c r="I14" s="3">
        <f t="shared" si="18"/>
        <v>27978.263563833258</v>
      </c>
      <c r="J14" s="3">
        <f t="shared" si="18"/>
        <v>28033.698149553136</v>
      </c>
      <c r="K14" s="3">
        <f t="shared" si="18"/>
        <v>27685.081746316559</v>
      </c>
      <c r="L14" s="3">
        <f t="shared" si="18"/>
        <v>27561.941157162655</v>
      </c>
      <c r="O14" t="s">
        <v>46</v>
      </c>
      <c r="P14" s="1">
        <f>+P13/(1-0.232)-P13</f>
        <v>34202.628564999992</v>
      </c>
      <c r="Q14" s="1">
        <f>+Q13/(1-0.232)-Q13</f>
        <v>32792.553155000001</v>
      </c>
      <c r="R14" s="1">
        <f t="shared" ref="R14:AC14" si="19">+R13/(1-0.232)-R13</f>
        <v>31382.477744999997</v>
      </c>
      <c r="S14" s="1">
        <f t="shared" si="19"/>
        <v>29972.402335000006</v>
      </c>
      <c r="T14" s="1">
        <f t="shared" si="19"/>
        <v>27727.519874999998</v>
      </c>
      <c r="U14" s="1">
        <f t="shared" ref="U14" si="20">+U13/(1-0.232)-U13</f>
        <v>26358.657525000002</v>
      </c>
      <c r="V14" s="1">
        <f t="shared" ref="V14" si="21">+V13/(1-0.232)-V13</f>
        <v>24989.795174999992</v>
      </c>
      <c r="W14" s="1">
        <f t="shared" ref="W14" si="22">+W13/(1-0.232)-W13</f>
        <v>23620.932824999996</v>
      </c>
      <c r="X14" s="1">
        <f t="shared" ref="X14" si="23">+X13/(1-0.232)-X13</f>
        <v>22252.070475</v>
      </c>
      <c r="Y14" s="1">
        <f t="shared" ref="Y14" si="24">+Y13/(1-0.232)-Y13</f>
        <v>20883.20812499999</v>
      </c>
      <c r="Z14" s="1">
        <f t="shared" ref="Z14" si="25">+Z13/(1-0.232)-Z13</f>
        <v>19514.345774999994</v>
      </c>
      <c r="AA14" s="1">
        <f t="shared" ref="AA14" si="26">+AA13/(1-0.232)-AA13</f>
        <v>18145.483425000006</v>
      </c>
      <c r="AB14" s="1">
        <f t="shared" ref="AB14" si="27">+AB13/(1-0.232)-AB13</f>
        <v>16776.621074999995</v>
      </c>
      <c r="AC14" s="1">
        <f t="shared" ref="AC14" si="28">+AC13/(1-0.232)-AC13</f>
        <v>15407.758725</v>
      </c>
    </row>
    <row r="15" spans="1:30" x14ac:dyDescent="0.3">
      <c r="A15" s="5" t="s">
        <v>16</v>
      </c>
      <c r="B15" s="2">
        <v>6</v>
      </c>
      <c r="C15" s="3">
        <f>2200-C10</f>
        <v>300</v>
      </c>
      <c r="D15" s="3">
        <f>2900-D10</f>
        <v>978.07692307692309</v>
      </c>
      <c r="E15" s="3">
        <f>3200-E10</f>
        <v>1206.6020710059172</v>
      </c>
      <c r="F15" s="3">
        <f>1800-F10</f>
        <v>-281.57269572143832</v>
      </c>
      <c r="G15" s="3">
        <f>2100-G10</f>
        <v>39.003770504359181</v>
      </c>
      <c r="H15" s="3">
        <f>1800-H10</f>
        <v>-263.84650503249804</v>
      </c>
      <c r="I15" s="3">
        <f>2100-I10</f>
        <v>55.43458571987685</v>
      </c>
      <c r="J15" s="3">
        <f>1700-J10</f>
        <v>-348.61640323657593</v>
      </c>
      <c r="K15" s="3">
        <f>1900-K10</f>
        <v>-123.14058915390297</v>
      </c>
      <c r="L15" s="3">
        <f>2000-L10</f>
        <v>-14.14185379265632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30" x14ac:dyDescent="0.3">
      <c r="A16" s="5" t="s">
        <v>17</v>
      </c>
      <c r="B16" s="2"/>
      <c r="C16" s="3">
        <f>+C14+C15</f>
        <v>26300</v>
      </c>
      <c r="D16" s="3">
        <f t="shared" ref="D16:L16" si="29">+D14+D15</f>
        <v>27278.076923076922</v>
      </c>
      <c r="E16" s="3">
        <f t="shared" si="29"/>
        <v>28484.678994082838</v>
      </c>
      <c r="F16" s="3">
        <f t="shared" si="29"/>
        <v>28203.106298361399</v>
      </c>
      <c r="G16" s="3">
        <f t="shared" si="29"/>
        <v>28242.110068865757</v>
      </c>
      <c r="H16" s="3">
        <f t="shared" si="29"/>
        <v>27978.263563833258</v>
      </c>
      <c r="I16" s="3">
        <f t="shared" si="29"/>
        <v>28033.698149553136</v>
      </c>
      <c r="J16" s="3">
        <f t="shared" si="29"/>
        <v>27685.081746316559</v>
      </c>
      <c r="K16" s="3">
        <f t="shared" si="29"/>
        <v>27561.941157162655</v>
      </c>
      <c r="L16" s="3">
        <f t="shared" si="29"/>
        <v>27547.79930337</v>
      </c>
      <c r="O16" t="s">
        <v>47</v>
      </c>
      <c r="P16" s="1">
        <f>SUM(P11:P14)+(121812)</f>
        <v>355205.85229299997</v>
      </c>
      <c r="Q16" s="1">
        <f>SUM(Q11:Q14)+(121812)</f>
        <v>345583.69909100002</v>
      </c>
      <c r="R16" s="1">
        <f t="shared" ref="R16:AC16" si="30">SUM(R11:R14)+(121812)</f>
        <v>335961.545889</v>
      </c>
      <c r="S16" s="1">
        <f t="shared" si="30"/>
        <v>326339.39268699999</v>
      </c>
      <c r="T16" s="1">
        <f t="shared" si="30"/>
        <v>310691.00179499999</v>
      </c>
      <c r="U16" s="1">
        <f t="shared" si="30"/>
        <v>301366.354101</v>
      </c>
      <c r="V16" s="1">
        <f t="shared" si="30"/>
        <v>292041.70640700002</v>
      </c>
      <c r="W16" s="1">
        <f t="shared" si="30"/>
        <v>282717.05871300003</v>
      </c>
      <c r="X16" s="1">
        <f t="shared" si="30"/>
        <v>273392.41101899999</v>
      </c>
      <c r="Y16" s="1">
        <f t="shared" si="30"/>
        <v>264067.76332500001</v>
      </c>
      <c r="Z16" s="1">
        <f t="shared" si="30"/>
        <v>254743.11563100002</v>
      </c>
      <c r="AA16" s="1">
        <f t="shared" si="30"/>
        <v>245418.46793700001</v>
      </c>
      <c r="AB16" s="1">
        <f t="shared" si="30"/>
        <v>236093.82024299999</v>
      </c>
      <c r="AC16" s="1">
        <f t="shared" si="30"/>
        <v>226769.17254900001</v>
      </c>
    </row>
    <row r="17" spans="1:30" x14ac:dyDescent="0.3">
      <c r="A17" s="5" t="s">
        <v>18</v>
      </c>
      <c r="B17" s="2"/>
      <c r="C17" s="3">
        <f>+(C16+C14)/2</f>
        <v>26150</v>
      </c>
      <c r="D17" s="3">
        <f t="shared" ref="D17:L17" si="31">+(D16+D14)/2</f>
        <v>26789.038461538461</v>
      </c>
      <c r="E17" s="3">
        <f t="shared" si="31"/>
        <v>27881.37795857988</v>
      </c>
      <c r="F17" s="3">
        <f t="shared" si="31"/>
        <v>28343.892646222121</v>
      </c>
      <c r="G17" s="3">
        <f t="shared" si="31"/>
        <v>28222.608183613578</v>
      </c>
      <c r="H17" s="3">
        <f t="shared" si="31"/>
        <v>28110.186816349509</v>
      </c>
      <c r="I17" s="3">
        <f t="shared" si="31"/>
        <v>28005.980856693197</v>
      </c>
      <c r="J17" s="3">
        <f t="shared" si="31"/>
        <v>27859.389947934847</v>
      </c>
      <c r="K17" s="3">
        <f t="shared" si="31"/>
        <v>27623.511451739607</v>
      </c>
      <c r="L17" s="3">
        <f t="shared" si="31"/>
        <v>27554.87023026633</v>
      </c>
    </row>
    <row r="18" spans="1:30" x14ac:dyDescent="0.3">
      <c r="A18" s="5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O18" t="s">
        <v>48</v>
      </c>
      <c r="P18" s="1">
        <v>337412</v>
      </c>
      <c r="Q18" s="1">
        <f>+P18*1.0115</f>
        <v>341292.23800000001</v>
      </c>
      <c r="R18" s="1">
        <f t="shared" ref="R18:S18" si="32">+Q18*1.0115</f>
        <v>345217.09873700002</v>
      </c>
      <c r="S18" s="1">
        <f t="shared" si="32"/>
        <v>349187.09537247557</v>
      </c>
      <c r="T18" s="1">
        <f t="shared" ref="T18:AC18" si="33">+S18*1.0115</f>
        <v>353202.74696925905</v>
      </c>
      <c r="U18" s="1">
        <f t="shared" si="33"/>
        <v>357264.57855940558</v>
      </c>
      <c r="V18" s="1">
        <f t="shared" si="33"/>
        <v>361373.12121283874</v>
      </c>
      <c r="W18" s="1">
        <f t="shared" si="33"/>
        <v>365528.91210678639</v>
      </c>
      <c r="X18" s="1">
        <f t="shared" si="33"/>
        <v>369732.49459601444</v>
      </c>
      <c r="Y18" s="1">
        <f t="shared" si="33"/>
        <v>373984.41828386864</v>
      </c>
      <c r="Z18" s="1">
        <f t="shared" si="33"/>
        <v>378285.23909413314</v>
      </c>
      <c r="AA18" s="1">
        <f t="shared" si="33"/>
        <v>382635.51934371568</v>
      </c>
      <c r="AB18" s="1">
        <f t="shared" si="33"/>
        <v>387035.82781616843</v>
      </c>
      <c r="AC18" s="1">
        <f t="shared" si="33"/>
        <v>391486.73983605439</v>
      </c>
      <c r="AD18" s="1"/>
    </row>
    <row r="19" spans="1:30" x14ac:dyDescent="0.3">
      <c r="A19" s="5" t="s">
        <v>24</v>
      </c>
      <c r="B19" s="2">
        <v>7</v>
      </c>
      <c r="C19" s="3">
        <f>+C17*0.56*0.0488</f>
        <v>714.62720000000013</v>
      </c>
      <c r="D19" s="3">
        <f t="shared" ref="D19:L19" si="34">+D17*0.56*0.0488</f>
        <v>732.09084307692319</v>
      </c>
      <c r="E19" s="3">
        <f t="shared" si="34"/>
        <v>761.94229685207108</v>
      </c>
      <c r="F19" s="3">
        <f t="shared" si="34"/>
        <v>774.58189823595819</v>
      </c>
      <c r="G19" s="3">
        <f t="shared" si="34"/>
        <v>771.26743644179203</v>
      </c>
      <c r="H19" s="3">
        <f t="shared" si="34"/>
        <v>768.1951853171995</v>
      </c>
      <c r="I19" s="3">
        <f t="shared" si="34"/>
        <v>765.34744485171188</v>
      </c>
      <c r="J19" s="3">
        <f t="shared" si="34"/>
        <v>761.34140849716357</v>
      </c>
      <c r="K19" s="3">
        <f t="shared" si="34"/>
        <v>754.89532095314019</v>
      </c>
      <c r="L19" s="3">
        <f t="shared" si="34"/>
        <v>753.01949365271832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x14ac:dyDescent="0.3">
      <c r="A20" s="5" t="s">
        <v>25</v>
      </c>
      <c r="B20" s="2">
        <v>8</v>
      </c>
      <c r="C20" s="3">
        <f>+C17*0.04*0.0196</f>
        <v>20.5016</v>
      </c>
      <c r="D20" s="3">
        <f t="shared" ref="D20:L20" si="35">+D17*0.04*0.0196</f>
        <v>21.002606153846152</v>
      </c>
      <c r="E20" s="3">
        <f t="shared" si="35"/>
        <v>21.859000319526626</v>
      </c>
      <c r="F20" s="3">
        <f t="shared" si="35"/>
        <v>22.221611834638143</v>
      </c>
      <c r="G20" s="3">
        <f t="shared" si="35"/>
        <v>22.126524815953044</v>
      </c>
      <c r="H20" s="3">
        <f t="shared" si="35"/>
        <v>22.038386464018018</v>
      </c>
      <c r="I20" s="3">
        <f t="shared" si="35"/>
        <v>21.956688991647464</v>
      </c>
      <c r="J20" s="3">
        <f t="shared" si="35"/>
        <v>21.841761719180919</v>
      </c>
      <c r="K20" s="3">
        <f t="shared" si="35"/>
        <v>21.656832978163852</v>
      </c>
      <c r="L20" s="3">
        <f t="shared" si="35"/>
        <v>21.603018260528803</v>
      </c>
      <c r="O20" t="s">
        <v>49</v>
      </c>
      <c r="P20" s="1">
        <f>+P18-P16</f>
        <v>-17793.852292999974</v>
      </c>
      <c r="Q20" s="1">
        <f t="shared" ref="Q20:S20" si="36">+Q18-Q16</f>
        <v>-4291.4610910000047</v>
      </c>
      <c r="R20" s="1">
        <f t="shared" si="36"/>
        <v>9255.5528480000212</v>
      </c>
      <c r="S20" s="1">
        <f t="shared" si="36"/>
        <v>22847.702685475582</v>
      </c>
      <c r="T20" s="1">
        <f t="shared" ref="T20:AC20" si="37">+T18-T16</f>
        <v>42511.745174259064</v>
      </c>
      <c r="U20" s="1">
        <f t="shared" si="37"/>
        <v>55898.224458405573</v>
      </c>
      <c r="V20" s="1">
        <f t="shared" si="37"/>
        <v>69331.414805838722</v>
      </c>
      <c r="W20" s="1">
        <f t="shared" si="37"/>
        <v>82811.853393786354</v>
      </c>
      <c r="X20" s="1">
        <f t="shared" si="37"/>
        <v>96340.083577014448</v>
      </c>
      <c r="Y20" s="1">
        <f t="shared" si="37"/>
        <v>109916.65495886863</v>
      </c>
      <c r="Z20" s="1">
        <f t="shared" si="37"/>
        <v>123542.12346313312</v>
      </c>
      <c r="AA20" s="1">
        <f t="shared" si="37"/>
        <v>137217.05140671568</v>
      </c>
      <c r="AB20" s="1">
        <f t="shared" si="37"/>
        <v>150942.00757316843</v>
      </c>
      <c r="AC20" s="1">
        <f t="shared" si="37"/>
        <v>164717.56728705438</v>
      </c>
      <c r="AD20" s="1"/>
    </row>
    <row r="21" spans="1:30" x14ac:dyDescent="0.3">
      <c r="A21" s="5" t="s">
        <v>8</v>
      </c>
      <c r="B21" s="2"/>
      <c r="C21" s="3">
        <f>+C19+C20</f>
        <v>735.12880000000018</v>
      </c>
      <c r="D21" s="3">
        <f t="shared" ref="D21:L21" si="38">+D19+D20</f>
        <v>753.09344923076935</v>
      </c>
      <c r="E21" s="3">
        <f t="shared" si="38"/>
        <v>783.80129717159775</v>
      </c>
      <c r="F21" s="3">
        <f t="shared" si="38"/>
        <v>796.8035100705963</v>
      </c>
      <c r="G21" s="3">
        <f t="shared" si="38"/>
        <v>793.3939612577451</v>
      </c>
      <c r="H21" s="3">
        <f t="shared" si="38"/>
        <v>790.23357178121751</v>
      </c>
      <c r="I21" s="3">
        <f t="shared" si="38"/>
        <v>787.3041338433593</v>
      </c>
      <c r="J21" s="3">
        <f t="shared" si="38"/>
        <v>783.18317021634448</v>
      </c>
      <c r="K21" s="3">
        <f t="shared" si="38"/>
        <v>776.55215393130402</v>
      </c>
      <c r="L21" s="3">
        <f t="shared" si="38"/>
        <v>774.62251191324708</v>
      </c>
      <c r="O21" t="s">
        <v>50</v>
      </c>
      <c r="P21" s="1">
        <f>+P20</f>
        <v>-17793.852292999974</v>
      </c>
      <c r="Q21" s="1">
        <f>+Q20+P21</f>
        <v>-22085.313383999979</v>
      </c>
      <c r="R21" s="1">
        <f t="shared" ref="R21:S21" si="39">+R20+Q21</f>
        <v>-12829.760535999958</v>
      </c>
      <c r="S21" s="1">
        <f t="shared" si="39"/>
        <v>10017.942149475624</v>
      </c>
      <c r="T21" s="1">
        <f t="shared" ref="T21" si="40">+T20+S21</f>
        <v>52529.687323734688</v>
      </c>
      <c r="U21" s="1">
        <f t="shared" ref="U21" si="41">+U20+T21</f>
        <v>108427.91178214026</v>
      </c>
      <c r="V21" s="1">
        <f t="shared" ref="V21" si="42">+V20+U21</f>
        <v>177759.32658797898</v>
      </c>
      <c r="W21" s="1">
        <f t="shared" ref="W21" si="43">+W20+V21</f>
        <v>260571.17998176534</v>
      </c>
      <c r="X21" s="1">
        <f t="shared" ref="X21" si="44">+X20+W21</f>
        <v>356911.26355877978</v>
      </c>
      <c r="Y21" s="1">
        <f t="shared" ref="Y21" si="45">+Y20+X21</f>
        <v>466827.91851764842</v>
      </c>
      <c r="Z21" s="1">
        <f t="shared" ref="Z21" si="46">+Z20+Y21</f>
        <v>590370.04198078159</v>
      </c>
      <c r="AA21" s="1">
        <f t="shared" ref="AA21" si="47">+AA20+Z21</f>
        <v>727587.09338749724</v>
      </c>
      <c r="AB21" s="1">
        <f t="shared" ref="AB21" si="48">+AB20+AA21</f>
        <v>878529.10096066562</v>
      </c>
      <c r="AC21" s="1">
        <f t="shared" ref="AC21" si="49">+AC20+AB21</f>
        <v>1043246.66824772</v>
      </c>
      <c r="AD21" s="1"/>
    </row>
    <row r="22" spans="1:30" x14ac:dyDescent="0.3">
      <c r="A22" s="5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3">
      <c r="A23" s="5" t="s">
        <v>9</v>
      </c>
      <c r="B23" s="2"/>
      <c r="C23" s="3">
        <f>+C12-C21</f>
        <v>4804.0277421332539</v>
      </c>
      <c r="D23" s="3">
        <f t="shared" ref="D23:L23" si="50">+D12-D21</f>
        <v>4196.509816213942</v>
      </c>
      <c r="E23" s="3">
        <f t="shared" si="50"/>
        <v>4828.2447726393366</v>
      </c>
      <c r="F23" s="3">
        <f t="shared" si="50"/>
        <v>4762.5514388447409</v>
      </c>
      <c r="G23" s="3">
        <f t="shared" si="50"/>
        <v>4823.6054351602052</v>
      </c>
      <c r="H23" s="3">
        <f t="shared" si="50"/>
        <v>5088.2652498768748</v>
      </c>
      <c r="I23" s="3">
        <f t="shared" si="50"/>
        <v>5284.6305405937183</v>
      </c>
      <c r="J23" s="3">
        <f t="shared" si="50"/>
        <v>5165.2710321004615</v>
      </c>
      <c r="K23" s="3">
        <f t="shared" si="50"/>
        <v>5584.5180278315829</v>
      </c>
      <c r="L23" s="3">
        <f t="shared" si="50"/>
        <v>5889.3138531947534</v>
      </c>
    </row>
    <row r="24" spans="1:30" x14ac:dyDescent="0.3">
      <c r="A24" s="5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S24" s="1">
        <f>SUM(P18:S18)</f>
        <v>1373108.4321094756</v>
      </c>
      <c r="AC24" s="1">
        <f>SUM(T18:AC18)</f>
        <v>3720529.5978182442</v>
      </c>
    </row>
    <row r="25" spans="1:30" x14ac:dyDescent="0.3">
      <c r="A25" s="5" t="s">
        <v>10</v>
      </c>
      <c r="B25" s="2"/>
      <c r="C25" s="3">
        <f>+C23*0.26</f>
        <v>1249.0472129546461</v>
      </c>
      <c r="D25" s="3">
        <f t="shared" ref="D25:L25" si="51">+D23*0.26</f>
        <v>1091.0925522156249</v>
      </c>
      <c r="E25" s="3">
        <f t="shared" si="51"/>
        <v>1255.3436408862276</v>
      </c>
      <c r="F25" s="3">
        <f t="shared" si="51"/>
        <v>1238.2633740996328</v>
      </c>
      <c r="G25" s="3">
        <f t="shared" si="51"/>
        <v>1254.1374131416535</v>
      </c>
      <c r="H25" s="3">
        <f t="shared" si="51"/>
        <v>1322.9489649679874</v>
      </c>
      <c r="I25" s="3">
        <f t="shared" si="51"/>
        <v>1374.0039405543669</v>
      </c>
      <c r="J25" s="3">
        <f t="shared" si="51"/>
        <v>1342.97046834612</v>
      </c>
      <c r="K25" s="3">
        <f t="shared" si="51"/>
        <v>1451.9746872362116</v>
      </c>
      <c r="L25" s="3">
        <f t="shared" si="51"/>
        <v>1531.221601830636</v>
      </c>
      <c r="AC25" s="13">
        <f>+AC21/((AC24+S24)-AC21)</f>
        <v>0.25756688060262106</v>
      </c>
    </row>
    <row r="26" spans="1:30" x14ac:dyDescent="0.3">
      <c r="A26" s="5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30" x14ac:dyDescent="0.3">
      <c r="A27" s="5" t="s">
        <v>11</v>
      </c>
      <c r="B27" s="2"/>
      <c r="C27" s="3">
        <f>+C23-C25</f>
        <v>3554.9805291786079</v>
      </c>
      <c r="D27" s="3">
        <f t="shared" ref="D27:L27" si="52">+D23-D25</f>
        <v>3105.4172639983171</v>
      </c>
      <c r="E27" s="3">
        <f t="shared" si="52"/>
        <v>3572.901131753109</v>
      </c>
      <c r="F27" s="3">
        <f t="shared" si="52"/>
        <v>3524.2880647451084</v>
      </c>
      <c r="G27" s="3">
        <f t="shared" si="52"/>
        <v>3569.4680220185519</v>
      </c>
      <c r="H27" s="3">
        <f t="shared" si="52"/>
        <v>3765.3162849088876</v>
      </c>
      <c r="I27" s="3">
        <f t="shared" si="52"/>
        <v>3910.6266000393516</v>
      </c>
      <c r="J27" s="3">
        <f t="shared" si="52"/>
        <v>3822.3005637543415</v>
      </c>
      <c r="K27" s="3">
        <f t="shared" si="52"/>
        <v>4132.5433405953718</v>
      </c>
      <c r="L27" s="3">
        <f t="shared" si="52"/>
        <v>4358.0922513641171</v>
      </c>
      <c r="M27" s="1"/>
      <c r="AC27" s="13">
        <f>+(AC18/AC16)</f>
        <v>1.7263666636674895</v>
      </c>
    </row>
    <row r="28" spans="1:30" x14ac:dyDescent="0.3">
      <c r="A28" s="5" t="s">
        <v>19</v>
      </c>
      <c r="B28" s="2">
        <v>9</v>
      </c>
      <c r="C28" s="4">
        <f>+C27/(C17*0.4)</f>
        <v>0.3398642953325629</v>
      </c>
      <c r="D28" s="4">
        <f t="shared" ref="D28:L28" si="53">+D27/(D17*0.4)</f>
        <v>0.28980297934702143</v>
      </c>
      <c r="E28" s="4">
        <f t="shared" si="53"/>
        <v>0.32036626176268551</v>
      </c>
      <c r="F28" s="4">
        <f t="shared" si="53"/>
        <v>0.31085074558512088</v>
      </c>
      <c r="G28" s="4">
        <f t="shared" si="53"/>
        <v>0.31618870931381815</v>
      </c>
      <c r="H28" s="4">
        <f t="shared" si="53"/>
        <v>0.33487115449539595</v>
      </c>
      <c r="I28" s="4">
        <f t="shared" si="53"/>
        <v>0.34908852327383705</v>
      </c>
      <c r="J28" s="4">
        <f t="shared" si="53"/>
        <v>0.34299930570066911</v>
      </c>
      <c r="K28" s="4">
        <f t="shared" si="53"/>
        <v>0.37400597565367832</v>
      </c>
      <c r="L28" s="4">
        <f t="shared" si="53"/>
        <v>0.39540126799228931</v>
      </c>
    </row>
    <row r="29" spans="1:30" x14ac:dyDescent="0.3">
      <c r="A29" s="5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30" x14ac:dyDescent="0.3">
      <c r="A30" s="5" t="s">
        <v>12</v>
      </c>
      <c r="B30" s="2">
        <v>10</v>
      </c>
      <c r="C30" s="3">
        <f>+C17*0.4*0.09</f>
        <v>941.4</v>
      </c>
      <c r="D30" s="3">
        <f t="shared" ref="D30:L30" si="54">+D17*0.4*0.09</f>
        <v>964.40538461538461</v>
      </c>
      <c r="E30" s="3">
        <f t="shared" si="54"/>
        <v>1003.7296065088758</v>
      </c>
      <c r="F30" s="3">
        <f t="shared" si="54"/>
        <v>1020.3801352639963</v>
      </c>
      <c r="G30" s="3">
        <f t="shared" si="54"/>
        <v>1016.0138946100888</v>
      </c>
      <c r="H30" s="3">
        <f t="shared" si="54"/>
        <v>1011.9667253885823</v>
      </c>
      <c r="I30" s="3">
        <f t="shared" si="54"/>
        <v>1008.2153108409551</v>
      </c>
      <c r="J30" s="3">
        <f t="shared" si="54"/>
        <v>1002.9380381256547</v>
      </c>
      <c r="K30" s="3">
        <f t="shared" si="54"/>
        <v>994.44641226262593</v>
      </c>
      <c r="L30" s="3">
        <f t="shared" si="54"/>
        <v>991.97532828958799</v>
      </c>
      <c r="M30" s="10"/>
    </row>
    <row r="31" spans="1:30" x14ac:dyDescent="0.3">
      <c r="A31" s="5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30" x14ac:dyDescent="0.3">
      <c r="A32" s="5" t="s">
        <v>13</v>
      </c>
      <c r="B32" s="2">
        <v>11</v>
      </c>
      <c r="C32" s="3">
        <f>+C27-C30</f>
        <v>2613.5805291786078</v>
      </c>
      <c r="D32" s="3">
        <f t="shared" ref="D32:L32" si="55">+D27-D30</f>
        <v>2141.0118793829324</v>
      </c>
      <c r="E32" s="3">
        <f t="shared" si="55"/>
        <v>2569.1715252442332</v>
      </c>
      <c r="F32" s="3">
        <f t="shared" si="55"/>
        <v>2503.9079294811122</v>
      </c>
      <c r="G32" s="3">
        <f t="shared" si="55"/>
        <v>2553.4541274084631</v>
      </c>
      <c r="H32" s="3">
        <f t="shared" si="55"/>
        <v>2753.3495595203053</v>
      </c>
      <c r="I32" s="3">
        <f t="shared" si="55"/>
        <v>2902.4112891983964</v>
      </c>
      <c r="J32" s="3">
        <f t="shared" si="55"/>
        <v>2819.3625256286869</v>
      </c>
      <c r="K32" s="3">
        <f t="shared" si="55"/>
        <v>3138.0969283327458</v>
      </c>
      <c r="L32" s="3">
        <f t="shared" si="55"/>
        <v>3366.116923074529</v>
      </c>
      <c r="M32" s="1"/>
    </row>
    <row r="33" spans="1:13" x14ac:dyDescent="0.3">
      <c r="A33" s="5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3" x14ac:dyDescent="0.3">
      <c r="A34" s="5" t="s">
        <v>14</v>
      </c>
      <c r="B34" s="2"/>
      <c r="C34" s="3">
        <f>+C32</f>
        <v>2613.5805291786078</v>
      </c>
      <c r="D34" s="3">
        <f>+D32+C34</f>
        <v>4754.5924085615407</v>
      </c>
      <c r="E34" s="3">
        <f t="shared" ref="E34:L34" si="56">+E32+D34</f>
        <v>7323.7639338057743</v>
      </c>
      <c r="F34" s="3">
        <f t="shared" si="56"/>
        <v>9827.6718632868869</v>
      </c>
      <c r="G34" s="3">
        <f t="shared" si="56"/>
        <v>12381.125990695349</v>
      </c>
      <c r="H34" s="3">
        <f t="shared" si="56"/>
        <v>15134.475550215655</v>
      </c>
      <c r="I34" s="3">
        <f t="shared" si="56"/>
        <v>18036.886839414052</v>
      </c>
      <c r="J34" s="3">
        <f t="shared" si="56"/>
        <v>20856.249365042739</v>
      </c>
      <c r="K34" s="3">
        <f t="shared" si="56"/>
        <v>23994.346293375485</v>
      </c>
      <c r="L34" s="3">
        <f t="shared" si="56"/>
        <v>27360.463216450014</v>
      </c>
      <c r="M34" s="1"/>
    </row>
    <row r="35" spans="1:13" x14ac:dyDescent="0.3"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 x14ac:dyDescent="0.3">
      <c r="A36" s="6" t="s">
        <v>20</v>
      </c>
      <c r="B36" s="7">
        <v>1</v>
      </c>
      <c r="C36" s="8" t="s">
        <v>36</v>
      </c>
      <c r="D36" s="8"/>
      <c r="E36" s="8"/>
      <c r="F36" s="8"/>
      <c r="G36" s="8"/>
      <c r="H36" s="8"/>
      <c r="I36" s="8"/>
      <c r="J36" s="8"/>
      <c r="K36" s="8"/>
      <c r="L36" s="8"/>
    </row>
    <row r="37" spans="1:13" x14ac:dyDescent="0.3">
      <c r="A37" s="9"/>
      <c r="B37" s="7">
        <v>2</v>
      </c>
      <c r="C37" s="7" t="s">
        <v>32</v>
      </c>
      <c r="D37" s="7"/>
      <c r="E37" s="7"/>
      <c r="F37" s="7"/>
      <c r="G37" s="7"/>
      <c r="H37" s="7"/>
      <c r="I37" s="7"/>
      <c r="J37" s="7"/>
      <c r="K37" s="7"/>
      <c r="L37" s="7"/>
    </row>
    <row r="38" spans="1:13" x14ac:dyDescent="0.3">
      <c r="A38" s="9"/>
      <c r="B38" s="7"/>
      <c r="C38" s="7" t="s">
        <v>37</v>
      </c>
      <c r="D38" s="7"/>
      <c r="E38" s="7"/>
      <c r="F38" s="7"/>
      <c r="G38" s="7"/>
      <c r="H38" s="7"/>
      <c r="I38" s="7"/>
      <c r="J38" s="7"/>
      <c r="K38" s="7"/>
      <c r="L38" s="7"/>
    </row>
    <row r="39" spans="1:13" x14ac:dyDescent="0.3">
      <c r="A39" s="7"/>
      <c r="B39" s="7">
        <v>3</v>
      </c>
      <c r="C39" s="7" t="s">
        <v>33</v>
      </c>
      <c r="D39" s="7"/>
      <c r="E39" s="7"/>
      <c r="F39" s="7"/>
      <c r="G39" s="7"/>
      <c r="H39" s="7"/>
      <c r="I39" s="7"/>
      <c r="J39" s="7"/>
      <c r="K39" s="7"/>
      <c r="L39" s="7"/>
    </row>
    <row r="40" spans="1:13" x14ac:dyDescent="0.3">
      <c r="A40" s="7"/>
      <c r="B40" s="7">
        <v>4</v>
      </c>
      <c r="C40" s="7" t="s">
        <v>21</v>
      </c>
      <c r="D40" s="7"/>
      <c r="E40" s="7"/>
      <c r="F40" s="7"/>
      <c r="G40" s="7"/>
      <c r="H40" s="7"/>
      <c r="I40" s="7"/>
      <c r="J40" s="7"/>
      <c r="K40" s="7"/>
      <c r="L40" s="7"/>
    </row>
    <row r="41" spans="1:13" x14ac:dyDescent="0.3">
      <c r="A41" s="7"/>
      <c r="B41" s="7">
        <v>5</v>
      </c>
      <c r="C41" s="7" t="s">
        <v>22</v>
      </c>
      <c r="D41" s="7"/>
      <c r="E41" s="7"/>
      <c r="F41" s="7"/>
      <c r="G41" s="7"/>
      <c r="H41" s="7"/>
      <c r="I41" s="7"/>
      <c r="J41" s="7"/>
      <c r="K41" s="7"/>
      <c r="L41" s="7"/>
    </row>
    <row r="42" spans="1:13" x14ac:dyDescent="0.3">
      <c r="A42" s="7"/>
      <c r="B42" s="7">
        <v>6</v>
      </c>
      <c r="C42" s="7" t="s">
        <v>23</v>
      </c>
      <c r="D42" s="7"/>
      <c r="E42" s="7"/>
      <c r="F42" s="7"/>
      <c r="G42" s="7"/>
      <c r="H42" s="7"/>
      <c r="I42" s="7"/>
      <c r="J42" s="7"/>
      <c r="K42" s="7"/>
      <c r="L42" s="7"/>
    </row>
    <row r="43" spans="1:13" x14ac:dyDescent="0.3">
      <c r="A43" s="7"/>
      <c r="B43" s="7">
        <v>7</v>
      </c>
      <c r="C43" s="7" t="s">
        <v>26</v>
      </c>
      <c r="D43" s="7"/>
      <c r="E43" s="7"/>
      <c r="F43" s="7"/>
      <c r="G43" s="7"/>
      <c r="H43" s="7"/>
      <c r="I43" s="7"/>
      <c r="J43" s="7"/>
      <c r="K43" s="7"/>
      <c r="L43" s="7"/>
    </row>
    <row r="44" spans="1:13" x14ac:dyDescent="0.3">
      <c r="A44" s="7"/>
      <c r="B44" s="7">
        <v>8</v>
      </c>
      <c r="C44" s="7" t="s">
        <v>27</v>
      </c>
      <c r="D44" s="7"/>
      <c r="E44" s="7"/>
      <c r="F44" s="7"/>
      <c r="G44" s="7"/>
      <c r="H44" s="7"/>
      <c r="I44" s="7"/>
      <c r="J44" s="7"/>
      <c r="K44" s="7"/>
      <c r="L44" s="7"/>
    </row>
    <row r="45" spans="1:13" x14ac:dyDescent="0.3">
      <c r="A45" s="7"/>
      <c r="B45" s="7">
        <v>9</v>
      </c>
      <c r="C45" s="7" t="s">
        <v>28</v>
      </c>
      <c r="D45" s="7"/>
      <c r="E45" s="7"/>
      <c r="F45" s="7"/>
      <c r="G45" s="7"/>
      <c r="H45" s="7"/>
      <c r="I45" s="7"/>
      <c r="J45" s="7"/>
      <c r="K45" s="7"/>
      <c r="L45" s="7"/>
    </row>
    <row r="46" spans="1:13" x14ac:dyDescent="0.3">
      <c r="A46" s="7"/>
      <c r="B46" s="7">
        <v>10</v>
      </c>
      <c r="C46" s="7" t="s">
        <v>29</v>
      </c>
      <c r="D46" s="7"/>
      <c r="E46" s="7"/>
      <c r="F46" s="7"/>
      <c r="G46" s="7"/>
      <c r="H46" s="7"/>
      <c r="I46" s="7"/>
      <c r="J46" s="7"/>
      <c r="K46" s="7"/>
      <c r="L46" s="7"/>
    </row>
    <row r="47" spans="1:13" x14ac:dyDescent="0.3">
      <c r="A47" s="7"/>
      <c r="B47" s="7">
        <v>11</v>
      </c>
      <c r="C47" s="7" t="s">
        <v>35</v>
      </c>
      <c r="D47" s="7"/>
      <c r="E47" s="7"/>
      <c r="F47" s="7"/>
      <c r="G47" s="7"/>
      <c r="H47" s="7"/>
      <c r="I47" s="7"/>
      <c r="J47" s="7"/>
      <c r="K47" s="7"/>
      <c r="L47" s="7"/>
    </row>
  </sheetData>
  <mergeCells count="1">
    <mergeCell ref="A2:L2"/>
  </mergeCells>
  <pageMargins left="0.7" right="0.7" top="0.75" bottom="0.75" header="0.3" footer="0.3"/>
  <pageSetup scale="2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2015-06-11T16:00:19Z</cp:lastPrinted>
  <dcterms:created xsi:type="dcterms:W3CDTF">2015-06-11T00:11:08Z</dcterms:created>
  <dcterms:modified xsi:type="dcterms:W3CDTF">2015-06-11T19:00:28Z</dcterms:modified>
</cp:coreProperties>
</file>