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40" windowWidth="19020" windowHeight="9735"/>
  </bookViews>
  <sheets>
    <sheet name="Res (100kWh)" sheetId="1" r:id="rId1"/>
    <sheet name="Res (250kWh)" sheetId="26" r:id="rId2"/>
    <sheet name="Res (800kWh)" sheetId="28" r:id="rId3"/>
    <sheet name="Res (500kWh)" sheetId="27" r:id="rId4"/>
    <sheet name="Res (1000kWh)" sheetId="29" r:id="rId5"/>
    <sheet name="Res (1500kWh)" sheetId="30" r:id="rId6"/>
    <sheet name="Res (2000kWh)" sheetId="31" r:id="rId7"/>
    <sheet name="GS&lt;50 (1,000kWh)" sheetId="8" r:id="rId8"/>
    <sheet name="GS&lt;50 (2,000kWh)" sheetId="32" r:id="rId9"/>
    <sheet name="GS&lt;50 (5,000kWh)" sheetId="33" r:id="rId10"/>
    <sheet name="GS&lt;50 (10,000kWh)" sheetId="34" r:id="rId11"/>
    <sheet name="GS&lt;50 (15,000kWh)" sheetId="35" r:id="rId12"/>
    <sheet name="GS 50-2999 (60kW)" sheetId="13" r:id="rId13"/>
    <sheet name="GS 50-2999 (100kW)" sheetId="36" r:id="rId14"/>
    <sheet name="GS 50-2999 (455 kW)" sheetId="38" r:id="rId15"/>
    <sheet name="GS 3000-4999 (3,000kW)" sheetId="14" r:id="rId16"/>
    <sheet name="GS 3000-4999 (3,290kW)" sheetId="39" r:id="rId17"/>
    <sheet name="GS 3000-4999 (5,000kW)" sheetId="37" r:id="rId18"/>
    <sheet name="ST (1kW)" sheetId="16" r:id="rId19"/>
    <sheet name="ST (470kW)" sheetId="40" r:id="rId20"/>
    <sheet name="SL (1kW)" sheetId="25" r:id="rId21"/>
    <sheet name="USL (150kWh)" sheetId="17" r:id="rId22"/>
    <sheet name="Summary" sheetId="24" r:id="rId23"/>
  </sheets>
  <externalReferences>
    <externalReference r:id="rId24"/>
    <externalReference r:id="rId25"/>
    <externalReference r:id="rId26"/>
    <externalReference r:id="rId27"/>
    <externalReference r:id="rId28"/>
  </externalReferences>
  <definedNames>
    <definedName name="EBNUMBER">'[1]LDC Info'!$E$16</definedName>
    <definedName name="_xlnm.Print_Area" localSheetId="15">'GS 3000-4999 (3,000kW)'!$A$1:$O$88</definedName>
    <definedName name="_xlnm.Print_Area" localSheetId="16">'GS 3000-4999 (3,290kW)'!$A$1:$O$88</definedName>
    <definedName name="_xlnm.Print_Area" localSheetId="17">'GS 3000-4999 (5,000kW)'!$A$1:$O$88</definedName>
    <definedName name="_xlnm.Print_Area" localSheetId="13">'GS 50-2999 (100kW)'!$A$1:$O$89</definedName>
    <definedName name="_xlnm.Print_Area" localSheetId="14">'GS 50-2999 (455 kW)'!$A$1:$O$89</definedName>
    <definedName name="_xlnm.Print_Area" localSheetId="12">'GS 50-2999 (60kW)'!$A$1:$O$89</definedName>
    <definedName name="_xlnm.Print_Area" localSheetId="7">'GS&lt;50 (1,000kWh)'!$A$1:$O$90</definedName>
    <definedName name="_xlnm.Print_Area" localSheetId="10">'GS&lt;50 (10,000kWh)'!$A$1:$O$90</definedName>
    <definedName name="_xlnm.Print_Area" localSheetId="11">'GS&lt;50 (15,000kWh)'!$A$1:$O$90</definedName>
    <definedName name="_xlnm.Print_Area" localSheetId="8">'GS&lt;50 (2,000kWh)'!$A$1:$O$90</definedName>
    <definedName name="_xlnm.Print_Area" localSheetId="9">'GS&lt;50 (5,000kWh)'!$A$1:$O$90</definedName>
    <definedName name="_xlnm.Print_Area" localSheetId="4">'Res (1000kWh)'!$A$1:$O$90</definedName>
    <definedName name="_xlnm.Print_Area" localSheetId="0">'Res (100kWh)'!$A$1:$O$90</definedName>
    <definedName name="_xlnm.Print_Area" localSheetId="5">'Res (1500kWh)'!$A$1:$O$90</definedName>
    <definedName name="_xlnm.Print_Area" localSheetId="6">'Res (2000kWh)'!$A$1:$O$90</definedName>
    <definedName name="_xlnm.Print_Area" localSheetId="1">'Res (250kWh)'!$A$1:$O$90</definedName>
    <definedName name="_xlnm.Print_Area" localSheetId="3">'Res (500kWh)'!$A$1:$O$90</definedName>
    <definedName name="_xlnm.Print_Area" localSheetId="2">'Res (800kWh)'!$A$1:$O$90</definedName>
    <definedName name="_xlnm.Print_Area" localSheetId="20">'SL (1kW)'!$A$1:$O$88</definedName>
    <definedName name="_xlnm.Print_Area" localSheetId="18">'ST (1kW)'!$A$1:$O$89</definedName>
    <definedName name="_xlnm.Print_Area" localSheetId="19">'ST (470kW)'!$A$1:$O$89</definedName>
    <definedName name="_xlnm.Print_Area" localSheetId="21">'USL (150kWh)'!$A$1:$O$88</definedName>
  </definedNames>
  <calcPr calcId="145621" iterate="1" iterateCount="1000"/>
</workbook>
</file>

<file path=xl/calcChain.xml><?xml version="1.0" encoding="utf-8"?>
<calcChain xmlns="http://schemas.openxmlformats.org/spreadsheetml/2006/main">
  <c r="N5" i="26" l="1"/>
  <c r="J41" i="17" l="1"/>
  <c r="J38" i="17"/>
  <c r="J26" i="17"/>
  <c r="J41" i="25"/>
  <c r="J38" i="25"/>
  <c r="J26" i="25"/>
  <c r="J42" i="40"/>
  <c r="J39" i="40"/>
  <c r="J27" i="40"/>
  <c r="J25" i="40"/>
  <c r="J42" i="16"/>
  <c r="J39" i="16"/>
  <c r="J27" i="16"/>
  <c r="J25" i="16"/>
  <c r="J41" i="37"/>
  <c r="J38" i="37"/>
  <c r="J26" i="37"/>
  <c r="J41" i="39"/>
  <c r="J38" i="39"/>
  <c r="J26" i="39"/>
  <c r="J41" i="14"/>
  <c r="J38" i="14"/>
  <c r="J26" i="14"/>
  <c r="J42" i="38"/>
  <c r="J39" i="38"/>
  <c r="J27" i="38"/>
  <c r="J25" i="38"/>
  <c r="J42" i="36"/>
  <c r="J39" i="36"/>
  <c r="J27" i="36"/>
  <c r="J25" i="36"/>
  <c r="J42" i="13"/>
  <c r="J39" i="13"/>
  <c r="J27" i="13"/>
  <c r="J25" i="13"/>
  <c r="J40" i="35"/>
  <c r="J27" i="35"/>
  <c r="J25" i="35"/>
  <c r="J40" i="34"/>
  <c r="J27" i="34"/>
  <c r="J25" i="34"/>
  <c r="J40" i="33"/>
  <c r="J27" i="33"/>
  <c r="J25" i="33"/>
  <c r="J40" i="32"/>
  <c r="J27" i="32"/>
  <c r="J25" i="32"/>
  <c r="J40" i="8"/>
  <c r="J27" i="8"/>
  <c r="J25" i="8"/>
  <c r="J40" i="31"/>
  <c r="J27" i="31"/>
  <c r="J25" i="31"/>
  <c r="J40" i="30"/>
  <c r="J27" i="30"/>
  <c r="J25" i="30"/>
  <c r="J40" i="29"/>
  <c r="J27" i="29"/>
  <c r="J25" i="29"/>
  <c r="J40" i="27"/>
  <c r="J27" i="27"/>
  <c r="J40" i="28"/>
  <c r="J27" i="28"/>
  <c r="J25" i="28"/>
  <c r="J40" i="26"/>
  <c r="J27" i="26"/>
  <c r="J40" i="1"/>
  <c r="J27" i="1"/>
  <c r="J25" i="1"/>
  <c r="J47" i="17" l="1"/>
  <c r="J46" i="17"/>
  <c r="J47" i="25"/>
  <c r="J46" i="25"/>
  <c r="J48" i="40"/>
  <c r="J47" i="40"/>
  <c r="J48" i="16"/>
  <c r="J47" i="16"/>
  <c r="J47" i="37"/>
  <c r="J46" i="37"/>
  <c r="J47" i="39"/>
  <c r="J46" i="39"/>
  <c r="J47" i="14"/>
  <c r="J46" i="14"/>
  <c r="J48" i="38"/>
  <c r="J47" i="38"/>
  <c r="J48" i="36"/>
  <c r="J47" i="36"/>
  <c r="J48" i="13"/>
  <c r="J47" i="13"/>
  <c r="J49" i="35"/>
  <c r="J48" i="35"/>
  <c r="J49" i="34"/>
  <c r="J48" i="34"/>
  <c r="J49" i="33"/>
  <c r="J48" i="33"/>
  <c r="J49" i="32"/>
  <c r="J48" i="32"/>
  <c r="J49" i="8"/>
  <c r="J48" i="8"/>
  <c r="J49" i="31"/>
  <c r="J48" i="31"/>
  <c r="J49" i="30"/>
  <c r="J48" i="30"/>
  <c r="J49" i="29"/>
  <c r="J48" i="29"/>
  <c r="J49" i="28"/>
  <c r="J48" i="28"/>
  <c r="J49" i="27"/>
  <c r="J48" i="27"/>
  <c r="J49" i="26"/>
  <c r="J48" i="26"/>
  <c r="J49" i="1"/>
  <c r="J48" i="1"/>
  <c r="J24" i="35"/>
  <c r="J24" i="34"/>
  <c r="J24" i="33"/>
  <c r="J24" i="32"/>
  <c r="J24" i="8"/>
  <c r="J24" i="31"/>
  <c r="J24" i="30"/>
  <c r="J24" i="29"/>
  <c r="J24" i="28"/>
  <c r="J24" i="27"/>
  <c r="J24" i="26"/>
  <c r="J24" i="1"/>
  <c r="F27" i="17"/>
  <c r="F21" i="17"/>
  <c r="F27" i="25"/>
  <c r="F21" i="25"/>
  <c r="F28" i="40"/>
  <c r="F21" i="40"/>
  <c r="F28" i="16"/>
  <c r="F21" i="16"/>
  <c r="F27" i="37"/>
  <c r="F21" i="37"/>
  <c r="F27" i="39"/>
  <c r="F21" i="39"/>
  <c r="F27" i="14"/>
  <c r="F21" i="14"/>
  <c r="F28" i="38"/>
  <c r="F21" i="38"/>
  <c r="F28" i="36"/>
  <c r="F21" i="36"/>
  <c r="F28" i="13"/>
  <c r="F21" i="13"/>
  <c r="F28" i="35"/>
  <c r="F21" i="35"/>
  <c r="F28" i="34"/>
  <c r="F21" i="34"/>
  <c r="F28" i="33"/>
  <c r="F21" i="33"/>
  <c r="F28" i="32"/>
  <c r="F21" i="32"/>
  <c r="F28" i="8"/>
  <c r="F21" i="8"/>
  <c r="F28" i="31"/>
  <c r="F21" i="31"/>
  <c r="F28" i="30"/>
  <c r="F21" i="30"/>
  <c r="F28" i="29"/>
  <c r="F21" i="29"/>
  <c r="F28" i="28"/>
  <c r="F21" i="28"/>
  <c r="F28" i="27"/>
  <c r="F21" i="27"/>
  <c r="F28" i="26"/>
  <c r="F21" i="26"/>
  <c r="F28" i="1"/>
  <c r="F21" i="1"/>
  <c r="N5" i="24" l="1"/>
  <c r="N3" i="24"/>
  <c r="N2" i="24"/>
  <c r="N1" i="24"/>
  <c r="N5" i="17" l="1"/>
  <c r="N3" i="17"/>
  <c r="N2" i="17"/>
  <c r="N1" i="17"/>
  <c r="N5" i="25"/>
  <c r="N3" i="25"/>
  <c r="N2" i="25"/>
  <c r="N1" i="25"/>
  <c r="N5" i="40"/>
  <c r="N3" i="40"/>
  <c r="N2" i="40"/>
  <c r="N1" i="40"/>
  <c r="N5" i="16"/>
  <c r="N3" i="16"/>
  <c r="N2" i="16"/>
  <c r="N1" i="16"/>
  <c r="N5" i="37"/>
  <c r="N3" i="37"/>
  <c r="N2" i="37"/>
  <c r="N1" i="37"/>
  <c r="N5" i="39"/>
  <c r="N3" i="39"/>
  <c r="N2" i="39"/>
  <c r="N1" i="39"/>
  <c r="N5" i="14"/>
  <c r="N3" i="14"/>
  <c r="N2" i="14"/>
  <c r="N1" i="14"/>
  <c r="N5" i="38"/>
  <c r="N3" i="38"/>
  <c r="N2" i="38"/>
  <c r="N1" i="38"/>
  <c r="N5" i="36"/>
  <c r="N3" i="36"/>
  <c r="N2" i="36"/>
  <c r="N1" i="36"/>
  <c r="N5" i="13"/>
  <c r="N3" i="13"/>
  <c r="N2" i="13"/>
  <c r="N1" i="13"/>
  <c r="N5" i="35"/>
  <c r="N3" i="35"/>
  <c r="N2" i="35"/>
  <c r="N1" i="35"/>
  <c r="N5" i="34"/>
  <c r="N3" i="34"/>
  <c r="N2" i="34"/>
  <c r="N1" i="34"/>
  <c r="N5" i="33"/>
  <c r="N3" i="33"/>
  <c r="N2" i="33"/>
  <c r="N1" i="33"/>
  <c r="N5" i="32"/>
  <c r="N3" i="32"/>
  <c r="N2" i="32"/>
  <c r="N1" i="32"/>
  <c r="N5" i="8"/>
  <c r="N3" i="8"/>
  <c r="N2" i="8"/>
  <c r="N1" i="8"/>
  <c r="N5" i="31"/>
  <c r="N3" i="31"/>
  <c r="N2" i="31"/>
  <c r="N1" i="31"/>
  <c r="N5" i="30"/>
  <c r="N3" i="30"/>
  <c r="N2" i="30"/>
  <c r="N1" i="30"/>
  <c r="N5" i="29"/>
  <c r="N3" i="29"/>
  <c r="N2" i="29"/>
  <c r="N1" i="29"/>
  <c r="N5" i="28"/>
  <c r="N3" i="28"/>
  <c r="N2" i="28"/>
  <c r="N1" i="28"/>
  <c r="N5" i="27"/>
  <c r="N3" i="27"/>
  <c r="N2" i="27"/>
  <c r="N1" i="27"/>
  <c r="N3" i="26"/>
  <c r="N2" i="26"/>
  <c r="N1" i="26"/>
  <c r="K25" i="16" l="1"/>
  <c r="G25" i="16"/>
  <c r="H25" i="16" s="1"/>
  <c r="O25" i="16" s="1"/>
  <c r="K25" i="36"/>
  <c r="L25" i="36"/>
  <c r="G25" i="36"/>
  <c r="H25" i="36" s="1"/>
  <c r="O25" i="36" s="1"/>
  <c r="K25" i="13"/>
  <c r="L25" i="13"/>
  <c r="G25" i="13"/>
  <c r="H25" i="13" s="1"/>
  <c r="O25" i="13" s="1"/>
  <c r="K25" i="35"/>
  <c r="L25" i="35" s="1"/>
  <c r="N25" i="35" s="1"/>
  <c r="G25" i="35"/>
  <c r="H25" i="35" s="1"/>
  <c r="O25" i="35" s="1"/>
  <c r="K25" i="34"/>
  <c r="G25" i="34"/>
  <c r="H25" i="34" s="1"/>
  <c r="O25" i="34" s="1"/>
  <c r="K25" i="33"/>
  <c r="L25" i="33"/>
  <c r="G25" i="33"/>
  <c r="H25" i="33" s="1"/>
  <c r="O25" i="33" s="1"/>
  <c r="K25" i="8"/>
  <c r="G25" i="8"/>
  <c r="H25" i="8" s="1"/>
  <c r="O25" i="8" s="1"/>
  <c r="L25" i="34" l="1"/>
  <c r="N25" i="34" s="1"/>
  <c r="L25" i="16"/>
  <c r="N25" i="16" s="1"/>
  <c r="N25" i="36"/>
  <c r="N25" i="13"/>
  <c r="N25" i="33"/>
  <c r="L25" i="8"/>
  <c r="N25" i="8" s="1"/>
  <c r="K25" i="31" l="1"/>
  <c r="L25" i="31" s="1"/>
  <c r="G25" i="31"/>
  <c r="H25" i="31" s="1"/>
  <c r="O25" i="31" s="1"/>
  <c r="K25" i="30"/>
  <c r="L25" i="30" s="1"/>
  <c r="G25" i="30"/>
  <c r="H25" i="30" s="1"/>
  <c r="O25" i="30" s="1"/>
  <c r="K25" i="29"/>
  <c r="L25" i="29" s="1"/>
  <c r="N25" i="29" s="1"/>
  <c r="G25" i="29"/>
  <c r="H25" i="29" s="1"/>
  <c r="O25" i="29" s="1"/>
  <c r="K25" i="1"/>
  <c r="L25" i="1"/>
  <c r="G25" i="1"/>
  <c r="H25" i="1" s="1"/>
  <c r="O25" i="1" s="1"/>
  <c r="N25" i="31" l="1"/>
  <c r="N25" i="30"/>
  <c r="N25" i="1"/>
  <c r="J72" i="17"/>
  <c r="J72" i="25"/>
  <c r="J73" i="40"/>
  <c r="J73" i="38"/>
  <c r="J74" i="32"/>
  <c r="J74" i="28"/>
  <c r="J73" i="16"/>
  <c r="J72" i="37"/>
  <c r="J72" i="14"/>
  <c r="J73" i="36"/>
  <c r="J73" i="13"/>
  <c r="J74" i="35"/>
  <c r="J74" i="34"/>
  <c r="J74" i="33"/>
  <c r="J74" i="8"/>
  <c r="J74" i="31"/>
  <c r="J74" i="30"/>
  <c r="J74" i="29"/>
  <c r="J74" i="27"/>
  <c r="J74" i="26"/>
  <c r="K52" i="40" l="1"/>
  <c r="G52" i="40"/>
  <c r="K25" i="40" l="1"/>
  <c r="H25" i="40"/>
  <c r="O25" i="40" s="1"/>
  <c r="G25" i="40"/>
  <c r="O25" i="38"/>
  <c r="K25" i="38"/>
  <c r="H25" i="38"/>
  <c r="G25" i="38"/>
  <c r="O25" i="32"/>
  <c r="K25" i="32"/>
  <c r="H25" i="32"/>
  <c r="G25" i="32"/>
  <c r="O25" i="28"/>
  <c r="K25" i="28"/>
  <c r="H25" i="28"/>
  <c r="G25" i="28"/>
  <c r="K46" i="25" l="1"/>
  <c r="G46" i="25"/>
  <c r="K47" i="40"/>
  <c r="G47" i="40"/>
  <c r="G58" i="40"/>
  <c r="H58" i="40" s="1"/>
  <c r="G57" i="40"/>
  <c r="H57" i="40" s="1"/>
  <c r="N56" i="40"/>
  <c r="L56" i="40"/>
  <c r="H56" i="40"/>
  <c r="O56" i="40" s="1"/>
  <c r="N55" i="40"/>
  <c r="L55" i="40"/>
  <c r="H55" i="40"/>
  <c r="O55" i="40" s="1"/>
  <c r="K54" i="40"/>
  <c r="L54" i="40" s="1"/>
  <c r="G54" i="40"/>
  <c r="H54" i="40" s="1"/>
  <c r="K53" i="40"/>
  <c r="L53" i="40" s="1"/>
  <c r="G53" i="40"/>
  <c r="H53" i="40" s="1"/>
  <c r="L52" i="40"/>
  <c r="H52" i="40"/>
  <c r="K50" i="40"/>
  <c r="L50" i="40" s="1"/>
  <c r="G50" i="40"/>
  <c r="H50" i="40" s="1"/>
  <c r="K48" i="40"/>
  <c r="H47" i="40"/>
  <c r="L45" i="40"/>
  <c r="N45" i="40" s="1"/>
  <c r="H45" i="40"/>
  <c r="K44" i="40"/>
  <c r="G44" i="40"/>
  <c r="K43" i="40"/>
  <c r="G43" i="40"/>
  <c r="H43" i="40" s="1"/>
  <c r="K42" i="40"/>
  <c r="H42" i="40"/>
  <c r="G42" i="40"/>
  <c r="L41" i="40"/>
  <c r="K41" i="40"/>
  <c r="H41" i="40"/>
  <c r="O41" i="40" s="1"/>
  <c r="G41" i="40"/>
  <c r="L40" i="40"/>
  <c r="K40" i="40"/>
  <c r="H40" i="40"/>
  <c r="O40" i="40" s="1"/>
  <c r="G40" i="40"/>
  <c r="K39" i="40"/>
  <c r="G39" i="40"/>
  <c r="H39" i="40" s="1"/>
  <c r="K37" i="40"/>
  <c r="L37" i="40" s="1"/>
  <c r="G37" i="40"/>
  <c r="H37" i="40" s="1"/>
  <c r="O37" i="40" s="1"/>
  <c r="K36" i="40"/>
  <c r="L36" i="40" s="1"/>
  <c r="G36" i="40"/>
  <c r="H36" i="40" s="1"/>
  <c r="O36" i="40" s="1"/>
  <c r="K35" i="40"/>
  <c r="L35" i="40" s="1"/>
  <c r="G35" i="40"/>
  <c r="H35" i="40" s="1"/>
  <c r="O35" i="40" s="1"/>
  <c r="K34" i="40"/>
  <c r="L34" i="40" s="1"/>
  <c r="G34" i="40"/>
  <c r="H34" i="40" s="1"/>
  <c r="O34" i="40" s="1"/>
  <c r="K33" i="40"/>
  <c r="L33" i="40" s="1"/>
  <c r="G33" i="40"/>
  <c r="H33" i="40" s="1"/>
  <c r="O33" i="40" s="1"/>
  <c r="K32" i="40"/>
  <c r="L32" i="40" s="1"/>
  <c r="G32" i="40"/>
  <c r="H32" i="40" s="1"/>
  <c r="O32" i="40" s="1"/>
  <c r="K31" i="40"/>
  <c r="L31" i="40" s="1"/>
  <c r="G31" i="40"/>
  <c r="H31" i="40" s="1"/>
  <c r="O31" i="40" s="1"/>
  <c r="K30" i="40"/>
  <c r="L30" i="40" s="1"/>
  <c r="G30" i="40"/>
  <c r="H30" i="40" s="1"/>
  <c r="O30" i="40" s="1"/>
  <c r="K29" i="40"/>
  <c r="L29" i="40" s="1"/>
  <c r="G29" i="40"/>
  <c r="H29" i="40" s="1"/>
  <c r="O29" i="40" s="1"/>
  <c r="K28" i="40"/>
  <c r="G28" i="40"/>
  <c r="H28" i="40"/>
  <c r="K27" i="40"/>
  <c r="G27" i="40"/>
  <c r="H27" i="40" s="1"/>
  <c r="O27" i="40" s="1"/>
  <c r="K26" i="40"/>
  <c r="L26" i="40" s="1"/>
  <c r="G26" i="40"/>
  <c r="H26" i="40" s="1"/>
  <c r="O24" i="40"/>
  <c r="L24" i="40"/>
  <c r="N24" i="40" s="1"/>
  <c r="H24" i="40"/>
  <c r="O23" i="40"/>
  <c r="L23" i="40"/>
  <c r="N23" i="40" s="1"/>
  <c r="H23" i="40"/>
  <c r="O22" i="40"/>
  <c r="L22" i="40"/>
  <c r="N22" i="40" s="1"/>
  <c r="H22" i="40"/>
  <c r="H21" i="40"/>
  <c r="G43" i="39"/>
  <c r="K46" i="39"/>
  <c r="G46" i="39"/>
  <c r="H46" i="39" s="1"/>
  <c r="G57" i="39"/>
  <c r="H57" i="39" s="1"/>
  <c r="G56" i="39"/>
  <c r="H56" i="39" s="1"/>
  <c r="N55" i="39"/>
  <c r="L55" i="39"/>
  <c r="H55" i="39"/>
  <c r="O55" i="39" s="1"/>
  <c r="N54" i="39"/>
  <c r="L54" i="39"/>
  <c r="H54" i="39"/>
  <c r="O54" i="39" s="1"/>
  <c r="G53" i="39"/>
  <c r="H53" i="39" s="1"/>
  <c r="K52" i="39"/>
  <c r="L52" i="39" s="1"/>
  <c r="G52" i="39"/>
  <c r="H52" i="39" s="1"/>
  <c r="N51" i="39"/>
  <c r="L51" i="39"/>
  <c r="H51" i="39"/>
  <c r="O51" i="39" s="1"/>
  <c r="K49" i="39"/>
  <c r="L49" i="39" s="1"/>
  <c r="G49" i="39"/>
  <c r="H49" i="39" s="1"/>
  <c r="K47" i="39"/>
  <c r="L46" i="39"/>
  <c r="L44" i="39"/>
  <c r="N44" i="39" s="1"/>
  <c r="H44" i="39"/>
  <c r="K43" i="39"/>
  <c r="K42" i="39"/>
  <c r="G42" i="39"/>
  <c r="H42" i="39" s="1"/>
  <c r="K41" i="39"/>
  <c r="H41" i="39"/>
  <c r="G41" i="39"/>
  <c r="K40" i="39"/>
  <c r="L40" i="39" s="1"/>
  <c r="N40" i="39" s="1"/>
  <c r="H40" i="39"/>
  <c r="O40" i="39" s="1"/>
  <c r="G40" i="39"/>
  <c r="K39" i="39"/>
  <c r="L39" i="39" s="1"/>
  <c r="N39" i="39" s="1"/>
  <c r="H39" i="39"/>
  <c r="O39" i="39" s="1"/>
  <c r="G39" i="39"/>
  <c r="K38" i="39"/>
  <c r="K36" i="39"/>
  <c r="L36" i="39" s="1"/>
  <c r="N36" i="39" s="1"/>
  <c r="G36" i="39"/>
  <c r="H36" i="39" s="1"/>
  <c r="O36" i="39" s="1"/>
  <c r="K35" i="39"/>
  <c r="L35" i="39" s="1"/>
  <c r="G35" i="39"/>
  <c r="H35" i="39" s="1"/>
  <c r="O35" i="39" s="1"/>
  <c r="K34" i="39"/>
  <c r="L34" i="39" s="1"/>
  <c r="N34" i="39" s="1"/>
  <c r="G34" i="39"/>
  <c r="H34" i="39" s="1"/>
  <c r="O34" i="39" s="1"/>
  <c r="K33" i="39"/>
  <c r="L33" i="39" s="1"/>
  <c r="G33" i="39"/>
  <c r="H33" i="39" s="1"/>
  <c r="O33" i="39" s="1"/>
  <c r="K32" i="39"/>
  <c r="L32" i="39" s="1"/>
  <c r="N32" i="39" s="1"/>
  <c r="G32" i="39"/>
  <c r="H32" i="39" s="1"/>
  <c r="O32" i="39" s="1"/>
  <c r="K31" i="39"/>
  <c r="L31" i="39" s="1"/>
  <c r="G31" i="39"/>
  <c r="H31" i="39" s="1"/>
  <c r="O31" i="39" s="1"/>
  <c r="K30" i="39"/>
  <c r="L30" i="39" s="1"/>
  <c r="N30" i="39" s="1"/>
  <c r="G30" i="39"/>
  <c r="H30" i="39" s="1"/>
  <c r="O30" i="39" s="1"/>
  <c r="K29" i="39"/>
  <c r="L29" i="39" s="1"/>
  <c r="G29" i="39"/>
  <c r="H29" i="39" s="1"/>
  <c r="O29" i="39" s="1"/>
  <c r="K28" i="39"/>
  <c r="L28" i="39" s="1"/>
  <c r="N28" i="39" s="1"/>
  <c r="G28" i="39"/>
  <c r="H28" i="39" s="1"/>
  <c r="O28" i="39" s="1"/>
  <c r="K27" i="39"/>
  <c r="G27" i="39"/>
  <c r="K26" i="39"/>
  <c r="H26" i="39"/>
  <c r="O26" i="39" s="1"/>
  <c r="G26" i="39"/>
  <c r="K25" i="39"/>
  <c r="L25" i="39" s="1"/>
  <c r="N25" i="39" s="1"/>
  <c r="H25" i="39"/>
  <c r="G25" i="39"/>
  <c r="O24" i="39"/>
  <c r="L24" i="39"/>
  <c r="N24" i="39" s="1"/>
  <c r="H24" i="39"/>
  <c r="O23" i="39"/>
  <c r="L23" i="39"/>
  <c r="N23" i="39" s="1"/>
  <c r="H23" i="39"/>
  <c r="O22" i="39"/>
  <c r="L22" i="39"/>
  <c r="N22" i="39" s="1"/>
  <c r="H22" i="39"/>
  <c r="H21" i="39"/>
  <c r="K47" i="38"/>
  <c r="K48" i="38" s="1"/>
  <c r="G47" i="38"/>
  <c r="G48" i="38" s="1"/>
  <c r="H48" i="38" s="1"/>
  <c r="K47" i="36"/>
  <c r="G47" i="36"/>
  <c r="K47" i="13"/>
  <c r="G47" i="13"/>
  <c r="K58" i="38"/>
  <c r="L58" i="38" s="1"/>
  <c r="N58" i="38" s="1"/>
  <c r="H58" i="38"/>
  <c r="O58" i="38" s="1"/>
  <c r="L57" i="38"/>
  <c r="N57" i="38" s="1"/>
  <c r="K57" i="38"/>
  <c r="H57" i="38"/>
  <c r="O57" i="38" s="1"/>
  <c r="O56" i="38"/>
  <c r="N56" i="38"/>
  <c r="L56" i="38"/>
  <c r="H56" i="38"/>
  <c r="O55" i="38"/>
  <c r="N55" i="38"/>
  <c r="L55" i="38"/>
  <c r="H55" i="38"/>
  <c r="G54" i="38"/>
  <c r="K54" i="38" s="1"/>
  <c r="L54" i="38" s="1"/>
  <c r="K53" i="38"/>
  <c r="L53" i="38" s="1"/>
  <c r="G53" i="38"/>
  <c r="H53" i="38" s="1"/>
  <c r="N52" i="38"/>
  <c r="O52" i="38" s="1"/>
  <c r="L52" i="38"/>
  <c r="H52" i="38"/>
  <c r="K50" i="38"/>
  <c r="L50" i="38" s="1"/>
  <c r="G50" i="38"/>
  <c r="H50" i="38" s="1"/>
  <c r="L45" i="38"/>
  <c r="N45" i="38" s="1"/>
  <c r="H45" i="38"/>
  <c r="K44" i="38"/>
  <c r="L44" i="38" s="1"/>
  <c r="J44" i="38"/>
  <c r="G44" i="38"/>
  <c r="H44" i="38" s="1"/>
  <c r="F44" i="38"/>
  <c r="K43" i="38"/>
  <c r="G43" i="38"/>
  <c r="H43" i="38" s="1"/>
  <c r="K42" i="38"/>
  <c r="G42" i="38"/>
  <c r="H42" i="38" s="1"/>
  <c r="L41" i="38"/>
  <c r="K41" i="38"/>
  <c r="G41" i="38"/>
  <c r="H41" i="38" s="1"/>
  <c r="O41" i="38" s="1"/>
  <c r="K40" i="38"/>
  <c r="L40" i="38" s="1"/>
  <c r="H40" i="38"/>
  <c r="O40" i="38" s="1"/>
  <c r="G40" i="38"/>
  <c r="K39" i="38"/>
  <c r="K37" i="38"/>
  <c r="L37" i="38" s="1"/>
  <c r="N37" i="38" s="1"/>
  <c r="G37" i="38"/>
  <c r="H37" i="38" s="1"/>
  <c r="O37" i="38" s="1"/>
  <c r="K36" i="38"/>
  <c r="L36" i="38" s="1"/>
  <c r="G36" i="38"/>
  <c r="H36" i="38" s="1"/>
  <c r="O36" i="38" s="1"/>
  <c r="K35" i="38"/>
  <c r="L35" i="38" s="1"/>
  <c r="G35" i="38"/>
  <c r="H35" i="38" s="1"/>
  <c r="O35" i="38" s="1"/>
  <c r="K34" i="38"/>
  <c r="L34" i="38" s="1"/>
  <c r="G34" i="38"/>
  <c r="H34" i="38" s="1"/>
  <c r="O34" i="38" s="1"/>
  <c r="K33" i="38"/>
  <c r="L33" i="38" s="1"/>
  <c r="G33" i="38"/>
  <c r="H33" i="38" s="1"/>
  <c r="O33" i="38" s="1"/>
  <c r="K32" i="38"/>
  <c r="L32" i="38" s="1"/>
  <c r="G32" i="38"/>
  <c r="H32" i="38" s="1"/>
  <c r="O32" i="38" s="1"/>
  <c r="K31" i="38"/>
  <c r="L31" i="38" s="1"/>
  <c r="G31" i="38"/>
  <c r="H31" i="38" s="1"/>
  <c r="O31" i="38" s="1"/>
  <c r="K30" i="38"/>
  <c r="L30" i="38" s="1"/>
  <c r="G30" i="38"/>
  <c r="H30" i="38" s="1"/>
  <c r="O30" i="38" s="1"/>
  <c r="K29" i="38"/>
  <c r="L29" i="38" s="1"/>
  <c r="G29" i="38"/>
  <c r="H29" i="38" s="1"/>
  <c r="O29" i="38" s="1"/>
  <c r="K28" i="38"/>
  <c r="G28" i="38"/>
  <c r="G39" i="38" s="1"/>
  <c r="H39" i="38" s="1"/>
  <c r="H28" i="38"/>
  <c r="K27" i="38"/>
  <c r="G27" i="38"/>
  <c r="H27" i="38" s="1"/>
  <c r="O27" i="38" s="1"/>
  <c r="K26" i="38"/>
  <c r="L26" i="38" s="1"/>
  <c r="G26" i="38"/>
  <c r="H26" i="38" s="1"/>
  <c r="O24" i="38"/>
  <c r="L24" i="38"/>
  <c r="N24" i="38" s="1"/>
  <c r="H24" i="38"/>
  <c r="O23" i="38"/>
  <c r="L23" i="38"/>
  <c r="N23" i="38" s="1"/>
  <c r="H23" i="38"/>
  <c r="O22" i="38"/>
  <c r="L22" i="38"/>
  <c r="N22" i="38" s="1"/>
  <c r="H22" i="38"/>
  <c r="H21" i="38"/>
  <c r="O27" i="28"/>
  <c r="L47" i="39" l="1"/>
  <c r="L48" i="38"/>
  <c r="N48" i="38" s="1"/>
  <c r="O48" i="38" s="1"/>
  <c r="O52" i="40"/>
  <c r="N52" i="40"/>
  <c r="N30" i="38"/>
  <c r="N34" i="38"/>
  <c r="N29" i="38"/>
  <c r="N31" i="38"/>
  <c r="N33" i="38"/>
  <c r="N35" i="38"/>
  <c r="N32" i="38"/>
  <c r="N36" i="38"/>
  <c r="G51" i="38"/>
  <c r="H51" i="38" s="1"/>
  <c r="L48" i="40"/>
  <c r="H27" i="39"/>
  <c r="N26" i="40"/>
  <c r="N40" i="40"/>
  <c r="N41" i="40"/>
  <c r="L47" i="40"/>
  <c r="N47" i="40" s="1"/>
  <c r="O47" i="40" s="1"/>
  <c r="N53" i="40"/>
  <c r="N29" i="40"/>
  <c r="N31" i="40"/>
  <c r="N33" i="40"/>
  <c r="N35" i="40"/>
  <c r="N37" i="40"/>
  <c r="K57" i="40"/>
  <c r="L57" i="40" s="1"/>
  <c r="N57" i="40" s="1"/>
  <c r="O57" i="40" s="1"/>
  <c r="G51" i="40"/>
  <c r="H51" i="40" s="1"/>
  <c r="H38" i="40"/>
  <c r="N30" i="40"/>
  <c r="N32" i="40"/>
  <c r="N34" i="40"/>
  <c r="N36" i="40"/>
  <c r="N50" i="40"/>
  <c r="O50" i="40" s="1"/>
  <c r="N54" i="40"/>
  <c r="O54" i="40" s="1"/>
  <c r="O26" i="40"/>
  <c r="O53" i="40"/>
  <c r="K51" i="40"/>
  <c r="L51" i="40" s="1"/>
  <c r="K58" i="40"/>
  <c r="G48" i="40"/>
  <c r="H48" i="40" s="1"/>
  <c r="F44" i="40"/>
  <c r="H44" i="40" s="1"/>
  <c r="G50" i="39"/>
  <c r="H50" i="39" s="1"/>
  <c r="G38" i="39"/>
  <c r="H38" i="39" s="1"/>
  <c r="K56" i="39"/>
  <c r="L56" i="39" s="1"/>
  <c r="N56" i="39" s="1"/>
  <c r="O56" i="39" s="1"/>
  <c r="N52" i="39"/>
  <c r="O52" i="39" s="1"/>
  <c r="N29" i="39"/>
  <c r="N31" i="39"/>
  <c r="N33" i="39"/>
  <c r="N35" i="39"/>
  <c r="O25" i="39"/>
  <c r="N46" i="39"/>
  <c r="O46" i="39" s="1"/>
  <c r="N49" i="39"/>
  <c r="O49" i="39" s="1"/>
  <c r="K50" i="39"/>
  <c r="L50" i="39" s="1"/>
  <c r="K53" i="39"/>
  <c r="L53" i="39" s="1"/>
  <c r="K57" i="39"/>
  <c r="G47" i="39"/>
  <c r="H47" i="39" s="1"/>
  <c r="F43" i="39"/>
  <c r="H43" i="39" s="1"/>
  <c r="H38" i="38"/>
  <c r="H46" i="38" s="1"/>
  <c r="N41" i="38"/>
  <c r="N40" i="38"/>
  <c r="L47" i="38"/>
  <c r="N53" i="38"/>
  <c r="O53" i="38" s="1"/>
  <c r="N26" i="38"/>
  <c r="O26" i="38" s="1"/>
  <c r="N44" i="38"/>
  <c r="O44" i="38" s="1"/>
  <c r="N50" i="38"/>
  <c r="O50" i="38" s="1"/>
  <c r="H47" i="38"/>
  <c r="H54" i="38"/>
  <c r="N54" i="38" s="1"/>
  <c r="K51" i="38"/>
  <c r="L51" i="38" s="1"/>
  <c r="N51" i="38" s="1"/>
  <c r="O51" i="38" s="1"/>
  <c r="H21" i="37"/>
  <c r="H27" i="37"/>
  <c r="H21" i="14"/>
  <c r="H21" i="35"/>
  <c r="H28" i="35"/>
  <c r="H21" i="34"/>
  <c r="H28" i="34"/>
  <c r="H21" i="33"/>
  <c r="H28" i="33"/>
  <c r="H21" i="32"/>
  <c r="H28" i="32"/>
  <c r="H21" i="8"/>
  <c r="H28" i="8"/>
  <c r="H21" i="31"/>
  <c r="H28" i="31"/>
  <c r="H21" i="30"/>
  <c r="H28" i="30"/>
  <c r="H21" i="29"/>
  <c r="H28" i="29"/>
  <c r="H21" i="28"/>
  <c r="H28" i="28"/>
  <c r="H21" i="27"/>
  <c r="H28" i="27"/>
  <c r="H21" i="26"/>
  <c r="H28" i="26"/>
  <c r="H21" i="1"/>
  <c r="H28" i="1"/>
  <c r="H21" i="17"/>
  <c r="H27" i="17"/>
  <c r="L41" i="17"/>
  <c r="N41" i="17" s="1"/>
  <c r="H21" i="25"/>
  <c r="H27" i="25"/>
  <c r="H21" i="16"/>
  <c r="H28" i="16"/>
  <c r="G53" i="37"/>
  <c r="H53" i="37" s="1"/>
  <c r="G27" i="37"/>
  <c r="G38" i="37"/>
  <c r="H38" i="37"/>
  <c r="G39" i="37"/>
  <c r="H39" i="37" s="1"/>
  <c r="O39" i="37" s="1"/>
  <c r="G40" i="37"/>
  <c r="H40" i="37"/>
  <c r="O40" i="37" s="1"/>
  <c r="G41" i="37"/>
  <c r="H41" i="37" s="1"/>
  <c r="G42" i="37"/>
  <c r="H42" i="37"/>
  <c r="G43" i="37"/>
  <c r="G57" i="37"/>
  <c r="F43" i="37"/>
  <c r="H43" i="37"/>
  <c r="H44" i="37"/>
  <c r="H22" i="37"/>
  <c r="H23" i="37"/>
  <c r="H24" i="37"/>
  <c r="N24" i="37" s="1"/>
  <c r="G25" i="37"/>
  <c r="H25" i="37"/>
  <c r="G26" i="37"/>
  <c r="H26" i="37"/>
  <c r="O26" i="37" s="1"/>
  <c r="G28" i="37"/>
  <c r="H28" i="37"/>
  <c r="G29" i="37"/>
  <c r="H29" i="37"/>
  <c r="O29" i="37" s="1"/>
  <c r="G30" i="37"/>
  <c r="H30" i="37"/>
  <c r="G31" i="37"/>
  <c r="H31" i="37"/>
  <c r="O31" i="37" s="1"/>
  <c r="G32" i="37"/>
  <c r="H32" i="37"/>
  <c r="G33" i="37"/>
  <c r="H33" i="37"/>
  <c r="O33" i="37" s="1"/>
  <c r="G34" i="37"/>
  <c r="H34" i="37"/>
  <c r="G35" i="37"/>
  <c r="H35" i="37"/>
  <c r="O35" i="37" s="1"/>
  <c r="G36" i="37"/>
  <c r="H36" i="37"/>
  <c r="G46" i="37"/>
  <c r="G47" i="37" s="1"/>
  <c r="H47" i="37" s="1"/>
  <c r="H46" i="37"/>
  <c r="G49" i="37"/>
  <c r="G50" i="37" s="1"/>
  <c r="H50" i="37" s="1"/>
  <c r="H49" i="37"/>
  <c r="H51" i="37"/>
  <c r="G52" i="37"/>
  <c r="H52" i="37" s="1"/>
  <c r="K38" i="37"/>
  <c r="K39" i="37"/>
  <c r="L39" i="37"/>
  <c r="K40" i="37"/>
  <c r="L40" i="37"/>
  <c r="N40" i="37" s="1"/>
  <c r="K41" i="37"/>
  <c r="K42" i="37"/>
  <c r="K43" i="37"/>
  <c r="K57" i="37"/>
  <c r="J43" i="37" s="1"/>
  <c r="L44" i="37"/>
  <c r="L22" i="37"/>
  <c r="L23" i="37"/>
  <c r="N23" i="37" s="1"/>
  <c r="L24" i="37"/>
  <c r="K25" i="37"/>
  <c r="L25" i="37"/>
  <c r="K26" i="37"/>
  <c r="K27" i="37"/>
  <c r="K28" i="37"/>
  <c r="L28" i="37"/>
  <c r="N28" i="37" s="1"/>
  <c r="K29" i="37"/>
  <c r="L29" i="37" s="1"/>
  <c r="N29" i="37" s="1"/>
  <c r="K30" i="37"/>
  <c r="L30" i="37"/>
  <c r="N30" i="37" s="1"/>
  <c r="K31" i="37"/>
  <c r="L31" i="37" s="1"/>
  <c r="N31" i="37" s="1"/>
  <c r="K32" i="37"/>
  <c r="L32" i="37"/>
  <c r="N32" i="37" s="1"/>
  <c r="K33" i="37"/>
  <c r="L33" i="37" s="1"/>
  <c r="N33" i="37" s="1"/>
  <c r="K34" i="37"/>
  <c r="L34" i="37"/>
  <c r="N34" i="37" s="1"/>
  <c r="K35" i="37"/>
  <c r="L35" i="37" s="1"/>
  <c r="N35" i="37" s="1"/>
  <c r="K36" i="37"/>
  <c r="L36" i="37"/>
  <c r="N36" i="37" s="1"/>
  <c r="K46" i="37"/>
  <c r="L46" i="37" s="1"/>
  <c r="N46" i="37" s="1"/>
  <c r="O46" i="37" s="1"/>
  <c r="K49" i="37"/>
  <c r="L49" i="37" s="1"/>
  <c r="L51" i="37"/>
  <c r="K52" i="37"/>
  <c r="L52" i="37"/>
  <c r="N52" i="37" s="1"/>
  <c r="H54" i="37"/>
  <c r="H55" i="37"/>
  <c r="L54" i="37"/>
  <c r="N54" i="37" s="1"/>
  <c r="L55" i="37"/>
  <c r="H57" i="37"/>
  <c r="G56" i="37"/>
  <c r="H56" i="37" s="1"/>
  <c r="K56" i="37"/>
  <c r="L56" i="37"/>
  <c r="N56" i="37" s="1"/>
  <c r="O55" i="37"/>
  <c r="N55" i="37"/>
  <c r="O54" i="37"/>
  <c r="N51" i="37"/>
  <c r="O51" i="37"/>
  <c r="N44" i="37"/>
  <c r="O36" i="37"/>
  <c r="O34" i="37"/>
  <c r="O32" i="37"/>
  <c r="O30" i="37"/>
  <c r="O28" i="37"/>
  <c r="N25" i="37"/>
  <c r="O25" i="37" s="1"/>
  <c r="O23" i="37"/>
  <c r="O22" i="37"/>
  <c r="N22" i="37"/>
  <c r="H21" i="36"/>
  <c r="H28" i="36"/>
  <c r="H21" i="13"/>
  <c r="H28" i="13"/>
  <c r="G54" i="36"/>
  <c r="H54" i="36"/>
  <c r="G28" i="36"/>
  <c r="G39" i="36"/>
  <c r="H39" i="36"/>
  <c r="G40" i="36"/>
  <c r="H40" i="36"/>
  <c r="G41" i="36"/>
  <c r="H41" i="36"/>
  <c r="G42" i="36"/>
  <c r="H42" i="36"/>
  <c r="G43" i="36"/>
  <c r="H43" i="36"/>
  <c r="G44" i="36"/>
  <c r="F44" i="36"/>
  <c r="H44" i="36"/>
  <c r="H45" i="36"/>
  <c r="H22" i="36"/>
  <c r="H23" i="36"/>
  <c r="H24" i="36"/>
  <c r="G26" i="36"/>
  <c r="H26" i="36"/>
  <c r="G27" i="36"/>
  <c r="H27" i="36"/>
  <c r="G29" i="36"/>
  <c r="H29" i="36"/>
  <c r="G30" i="36"/>
  <c r="H30" i="36"/>
  <c r="G31" i="36"/>
  <c r="H31" i="36"/>
  <c r="G32" i="36"/>
  <c r="H32" i="36"/>
  <c r="G33" i="36"/>
  <c r="H33" i="36"/>
  <c r="G34" i="36"/>
  <c r="H34" i="36"/>
  <c r="G35" i="36"/>
  <c r="H35" i="36"/>
  <c r="G36" i="36"/>
  <c r="H36" i="36"/>
  <c r="G37" i="36"/>
  <c r="H37" i="36"/>
  <c r="H47" i="36"/>
  <c r="G48" i="36"/>
  <c r="H48" i="36" s="1"/>
  <c r="G50" i="36"/>
  <c r="H50" i="36"/>
  <c r="G51" i="36"/>
  <c r="H51" i="36"/>
  <c r="H52" i="36"/>
  <c r="G53" i="36"/>
  <c r="H53" i="36"/>
  <c r="K54" i="36"/>
  <c r="L54" i="36"/>
  <c r="K39" i="36"/>
  <c r="K40" i="36"/>
  <c r="L40" i="36"/>
  <c r="K41" i="36"/>
  <c r="L41" i="36"/>
  <c r="N41" i="36" s="1"/>
  <c r="K42" i="36"/>
  <c r="K43" i="36"/>
  <c r="K44" i="36"/>
  <c r="L44" i="36" s="1"/>
  <c r="N44" i="36" s="1"/>
  <c r="O44" i="36" s="1"/>
  <c r="K58" i="36"/>
  <c r="J44" i="36"/>
  <c r="L45" i="36"/>
  <c r="L22" i="36"/>
  <c r="L23" i="36"/>
  <c r="L24" i="36"/>
  <c r="K26" i="36"/>
  <c r="L26" i="36"/>
  <c r="K27" i="36"/>
  <c r="K28" i="36"/>
  <c r="K29" i="36"/>
  <c r="L29" i="36"/>
  <c r="K30" i="36"/>
  <c r="L30" i="36"/>
  <c r="K31" i="36"/>
  <c r="L31" i="36"/>
  <c r="K32" i="36"/>
  <c r="L32" i="36"/>
  <c r="K33" i="36"/>
  <c r="L33" i="36"/>
  <c r="K34" i="36"/>
  <c r="L34" i="36"/>
  <c r="K35" i="36"/>
  <c r="L35" i="36"/>
  <c r="K36" i="36"/>
  <c r="L36" i="36"/>
  <c r="K37" i="36"/>
  <c r="L37" i="36"/>
  <c r="L47" i="36"/>
  <c r="K48" i="36"/>
  <c r="K50" i="36"/>
  <c r="K51" i="36" s="1"/>
  <c r="L51" i="36" s="1"/>
  <c r="N51" i="36" s="1"/>
  <c r="O51" i="36" s="1"/>
  <c r="L52" i="36"/>
  <c r="K53" i="36"/>
  <c r="L53" i="36"/>
  <c r="H55" i="36"/>
  <c r="H56" i="36"/>
  <c r="L55" i="36"/>
  <c r="L56" i="36"/>
  <c r="H58" i="36"/>
  <c r="O58" i="36"/>
  <c r="L58" i="36"/>
  <c r="N58" i="36"/>
  <c r="H57" i="36"/>
  <c r="O57" i="36"/>
  <c r="K57" i="36"/>
  <c r="L57" i="36"/>
  <c r="N57" i="36"/>
  <c r="O56" i="36"/>
  <c r="N56" i="36"/>
  <c r="O55" i="36"/>
  <c r="N55" i="36"/>
  <c r="N54" i="36"/>
  <c r="O54" i="36"/>
  <c r="N53" i="36"/>
  <c r="O53" i="36"/>
  <c r="N52" i="36"/>
  <c r="O52" i="36"/>
  <c r="N45" i="36"/>
  <c r="O41" i="36"/>
  <c r="O40" i="36"/>
  <c r="N40" i="36"/>
  <c r="O37" i="36"/>
  <c r="N37" i="36"/>
  <c r="O36" i="36"/>
  <c r="N36" i="36"/>
  <c r="O35" i="36"/>
  <c r="N35" i="36"/>
  <c r="O34" i="36"/>
  <c r="N34" i="36"/>
  <c r="O33" i="36"/>
  <c r="N33" i="36"/>
  <c r="O32" i="36"/>
  <c r="N32" i="36"/>
  <c r="O31" i="36"/>
  <c r="N31" i="36"/>
  <c r="O30" i="36"/>
  <c r="N30" i="36"/>
  <c r="O29" i="36"/>
  <c r="N29" i="36"/>
  <c r="O27" i="36"/>
  <c r="N26" i="36"/>
  <c r="O26" i="36"/>
  <c r="O24" i="36"/>
  <c r="N24" i="36"/>
  <c r="O23" i="36"/>
  <c r="N23" i="36"/>
  <c r="O22" i="36"/>
  <c r="N22" i="36"/>
  <c r="G58" i="35"/>
  <c r="H58" i="35"/>
  <c r="G59" i="35"/>
  <c r="H59" i="35"/>
  <c r="H39" i="35"/>
  <c r="G40" i="35"/>
  <c r="H40" i="35"/>
  <c r="G41" i="35"/>
  <c r="H41" i="35"/>
  <c r="G42" i="35"/>
  <c r="H42" i="35"/>
  <c r="G43" i="35"/>
  <c r="H43" i="35"/>
  <c r="G44" i="35"/>
  <c r="H44" i="35"/>
  <c r="G45" i="35"/>
  <c r="F45" i="35"/>
  <c r="H45" i="35"/>
  <c r="H46" i="35"/>
  <c r="H22" i="35"/>
  <c r="H23" i="35"/>
  <c r="H24" i="35"/>
  <c r="G26" i="35"/>
  <c r="H26" i="35"/>
  <c r="G27" i="35"/>
  <c r="H27" i="35"/>
  <c r="G28" i="35"/>
  <c r="G29" i="35"/>
  <c r="H29" i="35"/>
  <c r="G30" i="35"/>
  <c r="H30" i="35"/>
  <c r="G31" i="35"/>
  <c r="H31" i="35"/>
  <c r="G32" i="35"/>
  <c r="H32" i="35"/>
  <c r="G33" i="35"/>
  <c r="H33" i="35"/>
  <c r="G34" i="35"/>
  <c r="H34" i="35"/>
  <c r="G35" i="35"/>
  <c r="H35" i="35"/>
  <c r="G36" i="35"/>
  <c r="H36" i="35"/>
  <c r="G37" i="35"/>
  <c r="H37" i="35"/>
  <c r="G48" i="35"/>
  <c r="H48" i="35"/>
  <c r="G49" i="35"/>
  <c r="H49" i="35"/>
  <c r="G51" i="35"/>
  <c r="H51" i="35"/>
  <c r="G52" i="35"/>
  <c r="H52" i="35"/>
  <c r="H53" i="35"/>
  <c r="G54" i="35"/>
  <c r="H54" i="35"/>
  <c r="K58" i="35"/>
  <c r="L58" i="35"/>
  <c r="K59" i="35"/>
  <c r="L59" i="35"/>
  <c r="L39" i="35"/>
  <c r="K40" i="35"/>
  <c r="K41" i="35"/>
  <c r="L41" i="35"/>
  <c r="K42" i="35"/>
  <c r="L42" i="35"/>
  <c r="K43" i="35"/>
  <c r="L43" i="35"/>
  <c r="K44" i="35"/>
  <c r="K45" i="35"/>
  <c r="L45" i="35" s="1"/>
  <c r="N45" i="35" s="1"/>
  <c r="O45" i="35" s="1"/>
  <c r="J45" i="35"/>
  <c r="L46" i="35"/>
  <c r="L22" i="35"/>
  <c r="L23" i="35"/>
  <c r="L24" i="35"/>
  <c r="N24" i="35" s="1"/>
  <c r="K26" i="35"/>
  <c r="L26" i="35"/>
  <c r="K27" i="35"/>
  <c r="K28" i="35"/>
  <c r="K29" i="35"/>
  <c r="L29" i="35"/>
  <c r="N29" i="35" s="1"/>
  <c r="K30" i="35"/>
  <c r="L30" i="35"/>
  <c r="K31" i="35"/>
  <c r="L31" i="35"/>
  <c r="N31" i="35" s="1"/>
  <c r="K32" i="35"/>
  <c r="L32" i="35"/>
  <c r="K33" i="35"/>
  <c r="L33" i="35"/>
  <c r="N33" i="35" s="1"/>
  <c r="K34" i="35"/>
  <c r="L34" i="35"/>
  <c r="K35" i="35"/>
  <c r="L35" i="35"/>
  <c r="N35" i="35" s="1"/>
  <c r="K36" i="35"/>
  <c r="L36" i="35"/>
  <c r="K37" i="35"/>
  <c r="L37" i="35"/>
  <c r="N37" i="35" s="1"/>
  <c r="K48" i="35"/>
  <c r="K49" i="35" s="1"/>
  <c r="L53" i="35"/>
  <c r="K54" i="35"/>
  <c r="L54" i="35"/>
  <c r="G55" i="35"/>
  <c r="H55" i="35"/>
  <c r="G56" i="35"/>
  <c r="H56" i="35"/>
  <c r="G57" i="35"/>
  <c r="H57" i="35"/>
  <c r="K55" i="35"/>
  <c r="L55" i="35"/>
  <c r="K56" i="35"/>
  <c r="L56" i="35"/>
  <c r="K57" i="35"/>
  <c r="L57" i="35"/>
  <c r="N59" i="35"/>
  <c r="O59" i="35"/>
  <c r="N58" i="35"/>
  <c r="O58" i="35"/>
  <c r="N57" i="35"/>
  <c r="O57" i="35"/>
  <c r="N56" i="35"/>
  <c r="O56" i="35"/>
  <c r="N55" i="35"/>
  <c r="O55" i="35"/>
  <c r="N54" i="35"/>
  <c r="O54" i="35"/>
  <c r="N53" i="35"/>
  <c r="O53" i="35"/>
  <c r="N46" i="35"/>
  <c r="O43" i="35"/>
  <c r="N43" i="35"/>
  <c r="O42" i="35"/>
  <c r="N42" i="35"/>
  <c r="O41" i="35"/>
  <c r="N41" i="35"/>
  <c r="O39" i="35"/>
  <c r="N39" i="35"/>
  <c r="O37" i="35"/>
  <c r="O36" i="35"/>
  <c r="N36" i="35"/>
  <c r="O35" i="35"/>
  <c r="O34" i="35"/>
  <c r="N34" i="35"/>
  <c r="O33" i="35"/>
  <c r="O32" i="35"/>
  <c r="N32" i="35"/>
  <c r="O31" i="35"/>
  <c r="O30" i="35"/>
  <c r="N30" i="35"/>
  <c r="O29" i="35"/>
  <c r="O27" i="35"/>
  <c r="N26" i="35"/>
  <c r="O26" i="35"/>
  <c r="O24" i="35"/>
  <c r="N23" i="35"/>
  <c r="O23" i="35"/>
  <c r="N22" i="35"/>
  <c r="O22" i="35"/>
  <c r="G58" i="34"/>
  <c r="H58" i="34"/>
  <c r="G59" i="34"/>
  <c r="H59" i="34"/>
  <c r="H39" i="34"/>
  <c r="G40" i="34"/>
  <c r="H40" i="34"/>
  <c r="G41" i="34"/>
  <c r="H41" i="34"/>
  <c r="G42" i="34"/>
  <c r="H42" i="34"/>
  <c r="G43" i="34"/>
  <c r="H43" i="34"/>
  <c r="G44" i="34"/>
  <c r="H44" i="34"/>
  <c r="G45" i="34"/>
  <c r="F45" i="34"/>
  <c r="H45" i="34"/>
  <c r="H46" i="34"/>
  <c r="H22" i="34"/>
  <c r="H23" i="34"/>
  <c r="H24" i="34"/>
  <c r="G26" i="34"/>
  <c r="H26" i="34"/>
  <c r="G27" i="34"/>
  <c r="H27" i="34"/>
  <c r="G28" i="34"/>
  <c r="G29" i="34"/>
  <c r="H29" i="34"/>
  <c r="G30" i="34"/>
  <c r="H30" i="34"/>
  <c r="G31" i="34"/>
  <c r="H31" i="34"/>
  <c r="G32" i="34"/>
  <c r="H32" i="34"/>
  <c r="G33" i="34"/>
  <c r="H33" i="34"/>
  <c r="G34" i="34"/>
  <c r="H34" i="34"/>
  <c r="G35" i="34"/>
  <c r="H35" i="34"/>
  <c r="G36" i="34"/>
  <c r="H36" i="34"/>
  <c r="G37" i="34"/>
  <c r="H37" i="34"/>
  <c r="G48" i="34"/>
  <c r="H48" i="34"/>
  <c r="G49" i="34"/>
  <c r="H49" i="34"/>
  <c r="G51" i="34"/>
  <c r="H51" i="34"/>
  <c r="G52" i="34"/>
  <c r="H52" i="34"/>
  <c r="H53" i="34"/>
  <c r="G54" i="34"/>
  <c r="H54" i="34"/>
  <c r="K58" i="34"/>
  <c r="L58" i="34"/>
  <c r="K59" i="34"/>
  <c r="L59" i="34"/>
  <c r="L39" i="34"/>
  <c r="N39" i="34" s="1"/>
  <c r="K40" i="34"/>
  <c r="K41" i="34"/>
  <c r="L41" i="34"/>
  <c r="K42" i="34"/>
  <c r="L42" i="34"/>
  <c r="K43" i="34"/>
  <c r="L43" i="34"/>
  <c r="K44" i="34"/>
  <c r="K45" i="34"/>
  <c r="L45" i="34" s="1"/>
  <c r="N45" i="34" s="1"/>
  <c r="O45" i="34" s="1"/>
  <c r="J45" i="34"/>
  <c r="L46" i="34"/>
  <c r="L22" i="34"/>
  <c r="L23" i="34"/>
  <c r="L24" i="34"/>
  <c r="N24" i="34" s="1"/>
  <c r="K26" i="34"/>
  <c r="L26" i="34"/>
  <c r="K27" i="34"/>
  <c r="K28" i="34"/>
  <c r="K29" i="34"/>
  <c r="L29" i="34"/>
  <c r="K30" i="34"/>
  <c r="L30" i="34"/>
  <c r="N30" i="34" s="1"/>
  <c r="K31" i="34"/>
  <c r="L31" i="34"/>
  <c r="K32" i="34"/>
  <c r="L32" i="34"/>
  <c r="N32" i="34" s="1"/>
  <c r="K33" i="34"/>
  <c r="L33" i="34"/>
  <c r="K34" i="34"/>
  <c r="L34" i="34"/>
  <c r="N34" i="34" s="1"/>
  <c r="K35" i="34"/>
  <c r="L35" i="34"/>
  <c r="K36" i="34"/>
  <c r="L36" i="34"/>
  <c r="N36" i="34" s="1"/>
  <c r="K37" i="34"/>
  <c r="L37" i="34"/>
  <c r="K48" i="34"/>
  <c r="K49" i="34" s="1"/>
  <c r="L53" i="34"/>
  <c r="K54" i="34"/>
  <c r="L54" i="34"/>
  <c r="G55" i="34"/>
  <c r="H55" i="34"/>
  <c r="G56" i="34"/>
  <c r="H56" i="34"/>
  <c r="G57" i="34"/>
  <c r="H57" i="34"/>
  <c r="K55" i="34"/>
  <c r="L55" i="34"/>
  <c r="K56" i="34"/>
  <c r="L56" i="34"/>
  <c r="K57" i="34"/>
  <c r="L57" i="34"/>
  <c r="N59" i="34"/>
  <c r="O59" i="34"/>
  <c r="N58" i="34"/>
  <c r="O58" i="34"/>
  <c r="N57" i="34"/>
  <c r="O57" i="34"/>
  <c r="N56" i="34"/>
  <c r="O56" i="34"/>
  <c r="N55" i="34"/>
  <c r="O55" i="34"/>
  <c r="N54" i="34"/>
  <c r="O54" i="34"/>
  <c r="N53" i="34"/>
  <c r="O53" i="34"/>
  <c r="N46" i="34"/>
  <c r="O43" i="34"/>
  <c r="N43" i="34"/>
  <c r="O42" i="34"/>
  <c r="N42" i="34"/>
  <c r="O41" i="34"/>
  <c r="N41" i="34"/>
  <c r="O39" i="34"/>
  <c r="O37" i="34"/>
  <c r="N37" i="34"/>
  <c r="O36" i="34"/>
  <c r="O35" i="34"/>
  <c r="N35" i="34"/>
  <c r="O34" i="34"/>
  <c r="O33" i="34"/>
  <c r="N33" i="34"/>
  <c r="O32" i="34"/>
  <c r="O31" i="34"/>
  <c r="N31" i="34"/>
  <c r="O30" i="34"/>
  <c r="O29" i="34"/>
  <c r="N29" i="34"/>
  <c r="O27" i="34"/>
  <c r="N26" i="34"/>
  <c r="O26" i="34"/>
  <c r="O24" i="34"/>
  <c r="N23" i="34"/>
  <c r="O23" i="34"/>
  <c r="N22" i="34"/>
  <c r="O22" i="34"/>
  <c r="G58" i="33"/>
  <c r="H58" i="33"/>
  <c r="G59" i="33"/>
  <c r="H59" i="33"/>
  <c r="H39" i="33"/>
  <c r="G40" i="33"/>
  <c r="H40" i="33"/>
  <c r="G41" i="33"/>
  <c r="H41" i="33"/>
  <c r="G42" i="33"/>
  <c r="H42" i="33"/>
  <c r="G43" i="33"/>
  <c r="H43" i="33"/>
  <c r="G44" i="33"/>
  <c r="H44" i="33"/>
  <c r="G45" i="33"/>
  <c r="F45" i="33"/>
  <c r="H45" i="33"/>
  <c r="H46" i="33"/>
  <c r="H22" i="33"/>
  <c r="H23" i="33"/>
  <c r="H24" i="33"/>
  <c r="G26" i="33"/>
  <c r="H26" i="33"/>
  <c r="G27" i="33"/>
  <c r="H27" i="33"/>
  <c r="G28" i="33"/>
  <c r="G29" i="33"/>
  <c r="H29" i="33"/>
  <c r="G30" i="33"/>
  <c r="H30" i="33"/>
  <c r="G31" i="33"/>
  <c r="H31" i="33"/>
  <c r="G32" i="33"/>
  <c r="H32" i="33"/>
  <c r="G33" i="33"/>
  <c r="H33" i="33"/>
  <c r="G34" i="33"/>
  <c r="H34" i="33"/>
  <c r="G35" i="33"/>
  <c r="H35" i="33"/>
  <c r="G36" i="33"/>
  <c r="H36" i="33"/>
  <c r="G37" i="33"/>
  <c r="H37" i="33"/>
  <c r="G48" i="33"/>
  <c r="H48" i="33"/>
  <c r="G49" i="33"/>
  <c r="H49" i="33"/>
  <c r="G51" i="33"/>
  <c r="H51" i="33"/>
  <c r="G52" i="33"/>
  <c r="H52" i="33"/>
  <c r="H53" i="33"/>
  <c r="G54" i="33"/>
  <c r="H54" i="33"/>
  <c r="K58" i="33"/>
  <c r="L58" i="33"/>
  <c r="K59" i="33"/>
  <c r="L59" i="33"/>
  <c r="L39" i="33"/>
  <c r="K40" i="33"/>
  <c r="K41" i="33"/>
  <c r="L41" i="33"/>
  <c r="K42" i="33"/>
  <c r="L42" i="33"/>
  <c r="K43" i="33"/>
  <c r="L43" i="33"/>
  <c r="K44" i="33"/>
  <c r="K45" i="33"/>
  <c r="L45" i="33" s="1"/>
  <c r="N45" i="33" s="1"/>
  <c r="O45" i="33" s="1"/>
  <c r="J45" i="33"/>
  <c r="L46" i="33"/>
  <c r="L22" i="33"/>
  <c r="L23" i="33"/>
  <c r="L24" i="33"/>
  <c r="N24" i="33" s="1"/>
  <c r="K26" i="33"/>
  <c r="L26" i="33"/>
  <c r="K27" i="33"/>
  <c r="K28" i="33"/>
  <c r="K29" i="33"/>
  <c r="L29" i="33"/>
  <c r="K30" i="33"/>
  <c r="L30" i="33"/>
  <c r="N30" i="33" s="1"/>
  <c r="K31" i="33"/>
  <c r="L31" i="33"/>
  <c r="K32" i="33"/>
  <c r="L32" i="33"/>
  <c r="N32" i="33" s="1"/>
  <c r="K33" i="33"/>
  <c r="L33" i="33"/>
  <c r="K34" i="33"/>
  <c r="L34" i="33"/>
  <c r="N34" i="33" s="1"/>
  <c r="K35" i="33"/>
  <c r="L35" i="33"/>
  <c r="K36" i="33"/>
  <c r="L36" i="33"/>
  <c r="N36" i="33" s="1"/>
  <c r="K37" i="33"/>
  <c r="L37" i="33"/>
  <c r="K48" i="33"/>
  <c r="K49" i="33" s="1"/>
  <c r="L48" i="33"/>
  <c r="N48" i="33" s="1"/>
  <c r="O48" i="33" s="1"/>
  <c r="L53" i="33"/>
  <c r="K54" i="33"/>
  <c r="L54" i="33"/>
  <c r="G55" i="33"/>
  <c r="H55" i="33"/>
  <c r="G56" i="33"/>
  <c r="H56" i="33"/>
  <c r="G57" i="33"/>
  <c r="H57" i="33"/>
  <c r="K55" i="33"/>
  <c r="L55" i="33"/>
  <c r="K56" i="33"/>
  <c r="L56" i="33"/>
  <c r="K57" i="33"/>
  <c r="L57" i="33"/>
  <c r="N59" i="33"/>
  <c r="O59" i="33"/>
  <c r="N58" i="33"/>
  <c r="O58" i="33"/>
  <c r="N57" i="33"/>
  <c r="O57" i="33"/>
  <c r="N56" i="33"/>
  <c r="O56" i="33"/>
  <c r="N55" i="33"/>
  <c r="O55" i="33"/>
  <c r="N54" i="33"/>
  <c r="O54" i="33"/>
  <c r="N53" i="33"/>
  <c r="O53" i="33"/>
  <c r="N46" i="33"/>
  <c r="O43" i="33"/>
  <c r="N43" i="33"/>
  <c r="O42" i="33"/>
  <c r="N42" i="33"/>
  <c r="O41" i="33"/>
  <c r="N41" i="33"/>
  <c r="O39" i="33"/>
  <c r="N39" i="33"/>
  <c r="O37" i="33"/>
  <c r="N37" i="33"/>
  <c r="O36" i="33"/>
  <c r="O35" i="33"/>
  <c r="N35" i="33"/>
  <c r="O34" i="33"/>
  <c r="O33" i="33"/>
  <c r="N33" i="33"/>
  <c r="O32" i="33"/>
  <c r="O31" i="33"/>
  <c r="N31" i="33"/>
  <c r="O30" i="33"/>
  <c r="O29" i="33"/>
  <c r="N29" i="33"/>
  <c r="O27" i="33"/>
  <c r="N26" i="33"/>
  <c r="O26" i="33"/>
  <c r="O24" i="33"/>
  <c r="N23" i="33"/>
  <c r="O23" i="33"/>
  <c r="N22" i="33"/>
  <c r="O22" i="33"/>
  <c r="G58" i="32"/>
  <c r="H58" i="32"/>
  <c r="G59" i="32"/>
  <c r="H59" i="32"/>
  <c r="H39" i="32"/>
  <c r="G40" i="32"/>
  <c r="H40" i="32"/>
  <c r="G41" i="32"/>
  <c r="H41" i="32"/>
  <c r="G42" i="32"/>
  <c r="H42" i="32"/>
  <c r="G43" i="32"/>
  <c r="H43" i="32"/>
  <c r="G44" i="32"/>
  <c r="H44" i="32"/>
  <c r="G45" i="32"/>
  <c r="F45" i="32"/>
  <c r="H45" i="32"/>
  <c r="H46" i="32"/>
  <c r="H22" i="32"/>
  <c r="H23" i="32"/>
  <c r="H24" i="32"/>
  <c r="G26" i="32"/>
  <c r="H26" i="32"/>
  <c r="G27" i="32"/>
  <c r="H27" i="32"/>
  <c r="G28" i="32"/>
  <c r="G29" i="32"/>
  <c r="H29" i="32"/>
  <c r="G30" i="32"/>
  <c r="H30" i="32"/>
  <c r="G31" i="32"/>
  <c r="H31" i="32"/>
  <c r="G32" i="32"/>
  <c r="H32" i="32"/>
  <c r="G33" i="32"/>
  <c r="H33" i="32"/>
  <c r="G34" i="32"/>
  <c r="H34" i="32"/>
  <c r="G35" i="32"/>
  <c r="H35" i="32"/>
  <c r="G36" i="32"/>
  <c r="H36" i="32"/>
  <c r="G37" i="32"/>
  <c r="H37" i="32"/>
  <c r="G48" i="32"/>
  <c r="H48" i="32"/>
  <c r="G49" i="32"/>
  <c r="H49" i="32"/>
  <c r="G51" i="32"/>
  <c r="H51" i="32"/>
  <c r="G52" i="32"/>
  <c r="H52" i="32"/>
  <c r="H53" i="32"/>
  <c r="G54" i="32"/>
  <c r="H54" i="32"/>
  <c r="K58" i="32"/>
  <c r="L58" i="32"/>
  <c r="K59" i="32"/>
  <c r="L59" i="32"/>
  <c r="L39" i="32"/>
  <c r="K40" i="32"/>
  <c r="K41" i="32"/>
  <c r="L41" i="32"/>
  <c r="K42" i="32"/>
  <c r="L42" i="32"/>
  <c r="K43" i="32"/>
  <c r="L43" i="32"/>
  <c r="K44" i="32"/>
  <c r="K45" i="32"/>
  <c r="L45" i="32" s="1"/>
  <c r="N45" i="32" s="1"/>
  <c r="O45" i="32" s="1"/>
  <c r="J45" i="32"/>
  <c r="L46" i="32"/>
  <c r="L22" i="32"/>
  <c r="L23" i="32"/>
  <c r="L24" i="32"/>
  <c r="N24" i="32" s="1"/>
  <c r="K26" i="32"/>
  <c r="L26" i="32"/>
  <c r="K27" i="32"/>
  <c r="K28" i="32"/>
  <c r="K29" i="32"/>
  <c r="L29" i="32"/>
  <c r="N29" i="32" s="1"/>
  <c r="K30" i="32"/>
  <c r="L30" i="32"/>
  <c r="N30" i="32" s="1"/>
  <c r="K31" i="32"/>
  <c r="L31" i="32"/>
  <c r="N31" i="32" s="1"/>
  <c r="K32" i="32"/>
  <c r="L32" i="32"/>
  <c r="N32" i="32" s="1"/>
  <c r="K33" i="32"/>
  <c r="L33" i="32"/>
  <c r="N33" i="32" s="1"/>
  <c r="K34" i="32"/>
  <c r="L34" i="32"/>
  <c r="N34" i="32" s="1"/>
  <c r="K35" i="32"/>
  <c r="L35" i="32"/>
  <c r="N35" i="32" s="1"/>
  <c r="K36" i="32"/>
  <c r="L36" i="32"/>
  <c r="N36" i="32" s="1"/>
  <c r="K37" i="32"/>
  <c r="L37" i="32"/>
  <c r="N37" i="32" s="1"/>
  <c r="K48" i="32"/>
  <c r="L48" i="32" s="1"/>
  <c r="N48" i="32" s="1"/>
  <c r="O48" i="32" s="1"/>
  <c r="K49" i="32"/>
  <c r="L49" i="32" s="1"/>
  <c r="N49" i="32" s="1"/>
  <c r="O49" i="32" s="1"/>
  <c r="K52" i="32"/>
  <c r="L52" i="32" s="1"/>
  <c r="N52" i="32" s="1"/>
  <c r="O52" i="32" s="1"/>
  <c r="L53" i="32"/>
  <c r="K54" i="32"/>
  <c r="L54" i="32"/>
  <c r="G55" i="32"/>
  <c r="H55" i="32"/>
  <c r="G56" i="32"/>
  <c r="H56" i="32"/>
  <c r="G57" i="32"/>
  <c r="H57" i="32"/>
  <c r="K55" i="32"/>
  <c r="L55" i="32"/>
  <c r="K56" i="32"/>
  <c r="L56" i="32"/>
  <c r="K57" i="32"/>
  <c r="L57" i="32"/>
  <c r="N59" i="32"/>
  <c r="O59" i="32"/>
  <c r="N58" i="32"/>
  <c r="O58" i="32"/>
  <c r="N57" i="32"/>
  <c r="O57" i="32"/>
  <c r="N56" i="32"/>
  <c r="O56" i="32"/>
  <c r="N55" i="32"/>
  <c r="O55" i="32"/>
  <c r="N54" i="32"/>
  <c r="O54" i="32"/>
  <c r="N53" i="32"/>
  <c r="O53" i="32"/>
  <c r="N46" i="32"/>
  <c r="O43" i="32"/>
  <c r="N43" i="32"/>
  <c r="O42" i="32"/>
  <c r="N42" i="32"/>
  <c r="O41" i="32"/>
  <c r="N41" i="32"/>
  <c r="O39" i="32"/>
  <c r="N39" i="32"/>
  <c r="O37" i="32"/>
  <c r="O36" i="32"/>
  <c r="O35" i="32"/>
  <c r="O34" i="32"/>
  <c r="O33" i="32"/>
  <c r="O32" i="32"/>
  <c r="O31" i="32"/>
  <c r="O30" i="32"/>
  <c r="O29" i="32"/>
  <c r="O27" i="32"/>
  <c r="N26" i="32"/>
  <c r="O26" i="32"/>
  <c r="O24" i="32"/>
  <c r="N23" i="32"/>
  <c r="O23" i="32"/>
  <c r="N22" i="32"/>
  <c r="O22" i="32"/>
  <c r="L24" i="8"/>
  <c r="N24" i="8" s="1"/>
  <c r="G58" i="31"/>
  <c r="H58" i="31"/>
  <c r="G59" i="31"/>
  <c r="H59" i="31"/>
  <c r="H39" i="31"/>
  <c r="G40" i="31"/>
  <c r="H40" i="31"/>
  <c r="G41" i="31"/>
  <c r="H41" i="31"/>
  <c r="G42" i="31"/>
  <c r="H42" i="31"/>
  <c r="G43" i="31"/>
  <c r="H43" i="31"/>
  <c r="G44" i="31"/>
  <c r="H44" i="31"/>
  <c r="G45" i="31"/>
  <c r="F45" i="31"/>
  <c r="H45" i="31"/>
  <c r="H46" i="31"/>
  <c r="H22" i="31"/>
  <c r="H23" i="31"/>
  <c r="H24" i="31"/>
  <c r="G26" i="31"/>
  <c r="H26" i="31"/>
  <c r="G27" i="31"/>
  <c r="H27" i="31"/>
  <c r="G28" i="31"/>
  <c r="G29" i="31"/>
  <c r="H29" i="31"/>
  <c r="G30" i="31"/>
  <c r="H30" i="31"/>
  <c r="G31" i="31"/>
  <c r="H31" i="31"/>
  <c r="G32" i="31"/>
  <c r="H32" i="31"/>
  <c r="G33" i="31"/>
  <c r="H33" i="31"/>
  <c r="G34" i="31"/>
  <c r="H34" i="31"/>
  <c r="G35" i="31"/>
  <c r="H35" i="31"/>
  <c r="G36" i="31"/>
  <c r="H36" i="31"/>
  <c r="G37" i="31"/>
  <c r="H37" i="31"/>
  <c r="G48" i="31"/>
  <c r="H48" i="31"/>
  <c r="G49" i="31"/>
  <c r="H49" i="31"/>
  <c r="G51" i="31"/>
  <c r="H51" i="31"/>
  <c r="G52" i="31"/>
  <c r="H52" i="31"/>
  <c r="H53" i="31"/>
  <c r="G54" i="31"/>
  <c r="H54" i="31"/>
  <c r="K58" i="31"/>
  <c r="L58" i="31"/>
  <c r="K59" i="31"/>
  <c r="L59" i="31"/>
  <c r="L39" i="31"/>
  <c r="K40" i="31"/>
  <c r="K41" i="31"/>
  <c r="L41" i="31"/>
  <c r="K42" i="31"/>
  <c r="L42" i="31"/>
  <c r="K43" i="31"/>
  <c r="L43" i="31"/>
  <c r="K44" i="31"/>
  <c r="K45" i="31"/>
  <c r="L45" i="31" s="1"/>
  <c r="N45" i="31" s="1"/>
  <c r="O45" i="31" s="1"/>
  <c r="J45" i="31"/>
  <c r="L46" i="31"/>
  <c r="L22" i="31"/>
  <c r="L23" i="31"/>
  <c r="K26" i="31"/>
  <c r="L26" i="31"/>
  <c r="K27" i="31"/>
  <c r="K28" i="31"/>
  <c r="K29" i="31"/>
  <c r="L29" i="31"/>
  <c r="N29" i="31" s="1"/>
  <c r="K30" i="31"/>
  <c r="L30" i="31"/>
  <c r="K31" i="31"/>
  <c r="L31" i="31"/>
  <c r="N31" i="31" s="1"/>
  <c r="K32" i="31"/>
  <c r="L32" i="31"/>
  <c r="K33" i="31"/>
  <c r="L33" i="31"/>
  <c r="N33" i="31" s="1"/>
  <c r="K34" i="31"/>
  <c r="L34" i="31"/>
  <c r="K35" i="31"/>
  <c r="L35" i="31"/>
  <c r="N35" i="31" s="1"/>
  <c r="K36" i="31"/>
  <c r="L36" i="31"/>
  <c r="K37" i="31"/>
  <c r="L37" i="31"/>
  <c r="N37" i="31" s="1"/>
  <c r="K48" i="31"/>
  <c r="L48" i="31" s="1"/>
  <c r="N48" i="31" s="1"/>
  <c r="O48" i="31" s="1"/>
  <c r="L53" i="31"/>
  <c r="K54" i="31"/>
  <c r="L54" i="31"/>
  <c r="G55" i="31"/>
  <c r="H55" i="31"/>
  <c r="G56" i="31"/>
  <c r="H56" i="31"/>
  <c r="G57" i="31"/>
  <c r="H57" i="31"/>
  <c r="K55" i="31"/>
  <c r="L55" i="31"/>
  <c r="K56" i="31"/>
  <c r="L56" i="31"/>
  <c r="K57" i="31"/>
  <c r="L57" i="31"/>
  <c r="N59" i="31"/>
  <c r="O59" i="31"/>
  <c r="N58" i="31"/>
  <c r="O58" i="31"/>
  <c r="N57" i="31"/>
  <c r="O57" i="31"/>
  <c r="N56" i="31"/>
  <c r="O56" i="31"/>
  <c r="N55" i="31"/>
  <c r="O55" i="31"/>
  <c r="N54" i="31"/>
  <c r="O54" i="31"/>
  <c r="N53" i="31"/>
  <c r="O53" i="31"/>
  <c r="N46" i="31"/>
  <c r="O43" i="31"/>
  <c r="N43" i="31"/>
  <c r="O42" i="31"/>
  <c r="N42" i="31"/>
  <c r="O41" i="31"/>
  <c r="N41" i="31"/>
  <c r="O39" i="31"/>
  <c r="N39" i="31"/>
  <c r="O37" i="31"/>
  <c r="O36" i="31"/>
  <c r="N36" i="31"/>
  <c r="O35" i="31"/>
  <c r="O34" i="31"/>
  <c r="N34" i="31"/>
  <c r="O33" i="31"/>
  <c r="O32" i="31"/>
  <c r="N32" i="31"/>
  <c r="O31" i="31"/>
  <c r="O30" i="31"/>
  <c r="N30" i="31"/>
  <c r="O29" i="31"/>
  <c r="O27" i="31"/>
  <c r="N26" i="31"/>
  <c r="O26" i="31"/>
  <c r="O24" i="31"/>
  <c r="N23" i="31"/>
  <c r="O23" i="31"/>
  <c r="N22" i="31"/>
  <c r="O22" i="31"/>
  <c r="G58" i="30"/>
  <c r="H58" i="30"/>
  <c r="G59" i="30"/>
  <c r="H59" i="30"/>
  <c r="H39" i="30"/>
  <c r="G40" i="30"/>
  <c r="H40" i="30"/>
  <c r="G41" i="30"/>
  <c r="H41" i="30"/>
  <c r="G42" i="30"/>
  <c r="H42" i="30"/>
  <c r="G43" i="30"/>
  <c r="H43" i="30"/>
  <c r="G44" i="30"/>
  <c r="H44" i="30"/>
  <c r="G45" i="30"/>
  <c r="F45" i="30"/>
  <c r="H45" i="30"/>
  <c r="H46" i="30"/>
  <c r="H22" i="30"/>
  <c r="H23" i="30"/>
  <c r="H24" i="30"/>
  <c r="G26" i="30"/>
  <c r="H26" i="30"/>
  <c r="G27" i="30"/>
  <c r="H27" i="30"/>
  <c r="G28" i="30"/>
  <c r="G29" i="30"/>
  <c r="H29" i="30"/>
  <c r="G30" i="30"/>
  <c r="H30" i="30"/>
  <c r="G31" i="30"/>
  <c r="H31" i="30"/>
  <c r="G32" i="30"/>
  <c r="H32" i="30"/>
  <c r="G33" i="30"/>
  <c r="H33" i="30"/>
  <c r="G34" i="30"/>
  <c r="H34" i="30"/>
  <c r="G35" i="30"/>
  <c r="H35" i="30"/>
  <c r="G36" i="30"/>
  <c r="H36" i="30"/>
  <c r="G37" i="30"/>
  <c r="H37" i="30"/>
  <c r="G48" i="30"/>
  <c r="H48" i="30"/>
  <c r="G49" i="30"/>
  <c r="H49" i="30"/>
  <c r="G51" i="30"/>
  <c r="H51" i="30"/>
  <c r="G52" i="30"/>
  <c r="H52" i="30"/>
  <c r="H53" i="30"/>
  <c r="G54" i="30"/>
  <c r="H54" i="30"/>
  <c r="K58" i="30"/>
  <c r="L58" i="30"/>
  <c r="K59" i="30"/>
  <c r="L59" i="30"/>
  <c r="L39" i="30"/>
  <c r="N39" i="30" s="1"/>
  <c r="K40" i="30"/>
  <c r="K41" i="30"/>
  <c r="L41" i="30"/>
  <c r="K42" i="30"/>
  <c r="L42" i="30"/>
  <c r="K43" i="30"/>
  <c r="L43" i="30"/>
  <c r="K44" i="30"/>
  <c r="K45" i="30"/>
  <c r="L45" i="30" s="1"/>
  <c r="N45" i="30" s="1"/>
  <c r="O45" i="30" s="1"/>
  <c r="J45" i="30"/>
  <c r="L46" i="30"/>
  <c r="L22" i="30"/>
  <c r="L23" i="30"/>
  <c r="K26" i="30"/>
  <c r="L26" i="30"/>
  <c r="K27" i="30"/>
  <c r="K28" i="30"/>
  <c r="K29" i="30"/>
  <c r="L29" i="30"/>
  <c r="K30" i="30"/>
  <c r="L30" i="30"/>
  <c r="N30" i="30" s="1"/>
  <c r="K31" i="30"/>
  <c r="L31" i="30"/>
  <c r="K32" i="30"/>
  <c r="L32" i="30"/>
  <c r="N32" i="30" s="1"/>
  <c r="K33" i="30"/>
  <c r="L33" i="30"/>
  <c r="K34" i="30"/>
  <c r="L34" i="30"/>
  <c r="N34" i="30" s="1"/>
  <c r="K35" i="30"/>
  <c r="L35" i="30"/>
  <c r="K36" i="30"/>
  <c r="L36" i="30"/>
  <c r="N36" i="30" s="1"/>
  <c r="K37" i="30"/>
  <c r="L37" i="30"/>
  <c r="K48" i="30"/>
  <c r="L48" i="30" s="1"/>
  <c r="N48" i="30" s="1"/>
  <c r="O48" i="30" s="1"/>
  <c r="L53" i="30"/>
  <c r="K54" i="30"/>
  <c r="L54" i="30"/>
  <c r="G55" i="30"/>
  <c r="H55" i="30"/>
  <c r="G56" i="30"/>
  <c r="H56" i="30"/>
  <c r="G57" i="30"/>
  <c r="H57" i="30"/>
  <c r="K55" i="30"/>
  <c r="L55" i="30"/>
  <c r="K56" i="30"/>
  <c r="L56" i="30"/>
  <c r="K57" i="30"/>
  <c r="L57" i="30"/>
  <c r="N59" i="30"/>
  <c r="O59" i="30"/>
  <c r="N58" i="30"/>
  <c r="O58" i="30"/>
  <c r="N57" i="30"/>
  <c r="O57" i="30"/>
  <c r="N56" i="30"/>
  <c r="O56" i="30"/>
  <c r="N55" i="30"/>
  <c r="O55" i="30"/>
  <c r="N54" i="30"/>
  <c r="O54" i="30"/>
  <c r="N53" i="30"/>
  <c r="O53" i="30"/>
  <c r="N46" i="30"/>
  <c r="O43" i="30"/>
  <c r="N43" i="30"/>
  <c r="O42" i="30"/>
  <c r="N42" i="30"/>
  <c r="O41" i="30"/>
  <c r="N41" i="30"/>
  <c r="O39" i="30"/>
  <c r="O37" i="30"/>
  <c r="N37" i="30"/>
  <c r="O36" i="30"/>
  <c r="O35" i="30"/>
  <c r="N35" i="30"/>
  <c r="O34" i="30"/>
  <c r="O33" i="30"/>
  <c r="N33" i="30"/>
  <c r="O32" i="30"/>
  <c r="O31" i="30"/>
  <c r="N31" i="30"/>
  <c r="O30" i="30"/>
  <c r="O29" i="30"/>
  <c r="N29" i="30"/>
  <c r="O27" i="30"/>
  <c r="N26" i="30"/>
  <c r="O26" i="30"/>
  <c r="O24" i="30"/>
  <c r="N23" i="30"/>
  <c r="O23" i="30"/>
  <c r="N22" i="30"/>
  <c r="O22" i="30"/>
  <c r="G58" i="29"/>
  <c r="H58" i="29"/>
  <c r="G59" i="29"/>
  <c r="H59" i="29"/>
  <c r="H39" i="29"/>
  <c r="G40" i="29"/>
  <c r="H40" i="29"/>
  <c r="G41" i="29"/>
  <c r="H41" i="29"/>
  <c r="G42" i="29"/>
  <c r="H42" i="29"/>
  <c r="G43" i="29"/>
  <c r="H43" i="29"/>
  <c r="G44" i="29"/>
  <c r="H44" i="29"/>
  <c r="G45" i="29"/>
  <c r="F45" i="29"/>
  <c r="H45" i="29"/>
  <c r="H46" i="29"/>
  <c r="H22" i="29"/>
  <c r="H23" i="29"/>
  <c r="H24" i="29"/>
  <c r="G26" i="29"/>
  <c r="H26" i="29"/>
  <c r="G27" i="29"/>
  <c r="H27" i="29"/>
  <c r="G28" i="29"/>
  <c r="G29" i="29"/>
  <c r="H29" i="29"/>
  <c r="G30" i="29"/>
  <c r="H30" i="29"/>
  <c r="G31" i="29"/>
  <c r="H31" i="29"/>
  <c r="G32" i="29"/>
  <c r="H32" i="29"/>
  <c r="G33" i="29"/>
  <c r="H33" i="29"/>
  <c r="G34" i="29"/>
  <c r="H34" i="29"/>
  <c r="G35" i="29"/>
  <c r="H35" i="29"/>
  <c r="G36" i="29"/>
  <c r="H36" i="29"/>
  <c r="G37" i="29"/>
  <c r="H37" i="29"/>
  <c r="G48" i="29"/>
  <c r="H48" i="29"/>
  <c r="G49" i="29"/>
  <c r="H49" i="29"/>
  <c r="G51" i="29"/>
  <c r="H51" i="29"/>
  <c r="G52" i="29"/>
  <c r="H52" i="29"/>
  <c r="H53" i="29"/>
  <c r="G54" i="29"/>
  <c r="H54" i="29"/>
  <c r="K58" i="29"/>
  <c r="L58" i="29"/>
  <c r="K59" i="29"/>
  <c r="L59" i="29"/>
  <c r="L39" i="29"/>
  <c r="K40" i="29"/>
  <c r="K41" i="29"/>
  <c r="L41" i="29"/>
  <c r="K42" i="29"/>
  <c r="L42" i="29"/>
  <c r="K43" i="29"/>
  <c r="L43" i="29"/>
  <c r="K44" i="29"/>
  <c r="K45" i="29"/>
  <c r="L45" i="29" s="1"/>
  <c r="N45" i="29" s="1"/>
  <c r="O45" i="29" s="1"/>
  <c r="J45" i="29"/>
  <c r="L46" i="29"/>
  <c r="L22" i="29"/>
  <c r="L23" i="29"/>
  <c r="K26" i="29"/>
  <c r="L26" i="29"/>
  <c r="K27" i="29"/>
  <c r="K28" i="29"/>
  <c r="K29" i="29"/>
  <c r="L29" i="29"/>
  <c r="N29" i="29" s="1"/>
  <c r="K30" i="29"/>
  <c r="L30" i="29"/>
  <c r="K31" i="29"/>
  <c r="L31" i="29"/>
  <c r="N31" i="29" s="1"/>
  <c r="K32" i="29"/>
  <c r="L32" i="29"/>
  <c r="K33" i="29"/>
  <c r="L33" i="29"/>
  <c r="N33" i="29" s="1"/>
  <c r="K34" i="29"/>
  <c r="L34" i="29"/>
  <c r="K35" i="29"/>
  <c r="L35" i="29"/>
  <c r="N35" i="29" s="1"/>
  <c r="K36" i="29"/>
  <c r="L36" i="29"/>
  <c r="K37" i="29"/>
  <c r="L37" i="29"/>
  <c r="N37" i="29" s="1"/>
  <c r="K48" i="29"/>
  <c r="L48" i="29" s="1"/>
  <c r="N48" i="29" s="1"/>
  <c r="O48" i="29" s="1"/>
  <c r="L53" i="29"/>
  <c r="K54" i="29"/>
  <c r="L54" i="29"/>
  <c r="G55" i="29"/>
  <c r="H55" i="29"/>
  <c r="G56" i="29"/>
  <c r="H56" i="29"/>
  <c r="G57" i="29"/>
  <c r="H57" i="29"/>
  <c r="K55" i="29"/>
  <c r="L55" i="29"/>
  <c r="K56" i="29"/>
  <c r="L56" i="29"/>
  <c r="K57" i="29"/>
  <c r="L57" i="29"/>
  <c r="N59" i="29"/>
  <c r="O59" i="29"/>
  <c r="N58" i="29"/>
  <c r="O58" i="29"/>
  <c r="N57" i="29"/>
  <c r="O57" i="29"/>
  <c r="N56" i="29"/>
  <c r="O56" i="29"/>
  <c r="N55" i="29"/>
  <c r="O55" i="29"/>
  <c r="N54" i="29"/>
  <c r="O54" i="29"/>
  <c r="N53" i="29"/>
  <c r="O53" i="29"/>
  <c r="N46" i="29"/>
  <c r="O43" i="29"/>
  <c r="N43" i="29"/>
  <c r="O42" i="29"/>
  <c r="N42" i="29"/>
  <c r="O41" i="29"/>
  <c r="N41" i="29"/>
  <c r="O39" i="29"/>
  <c r="N39" i="29"/>
  <c r="O37" i="29"/>
  <c r="O36" i="29"/>
  <c r="N36" i="29"/>
  <c r="O35" i="29"/>
  <c r="O34" i="29"/>
  <c r="N34" i="29"/>
  <c r="O33" i="29"/>
  <c r="O32" i="29"/>
  <c r="N32" i="29"/>
  <c r="O31" i="29"/>
  <c r="O30" i="29"/>
  <c r="N30" i="29"/>
  <c r="O29" i="29"/>
  <c r="O27" i="29"/>
  <c r="N26" i="29"/>
  <c r="O26" i="29"/>
  <c r="O24" i="29"/>
  <c r="N23" i="29"/>
  <c r="O23" i="29"/>
  <c r="N22" i="29"/>
  <c r="O22" i="29"/>
  <c r="G58" i="28"/>
  <c r="H58" i="28"/>
  <c r="G59" i="28"/>
  <c r="H59" i="28"/>
  <c r="H39" i="28"/>
  <c r="G40" i="28"/>
  <c r="H40" i="28"/>
  <c r="G41" i="28"/>
  <c r="H41" i="28"/>
  <c r="G42" i="28"/>
  <c r="H42" i="28"/>
  <c r="G43" i="28"/>
  <c r="H43" i="28"/>
  <c r="G44" i="28"/>
  <c r="H44" i="28"/>
  <c r="G45" i="28"/>
  <c r="F45" i="28"/>
  <c r="H45" i="28"/>
  <c r="H46" i="28"/>
  <c r="H22" i="28"/>
  <c r="H23" i="28"/>
  <c r="H24" i="28"/>
  <c r="G26" i="28"/>
  <c r="H26" i="28"/>
  <c r="G27" i="28"/>
  <c r="H27" i="28"/>
  <c r="G28" i="28"/>
  <c r="G29" i="28"/>
  <c r="H29" i="28"/>
  <c r="G30" i="28"/>
  <c r="H30" i="28"/>
  <c r="G31" i="28"/>
  <c r="H31" i="28"/>
  <c r="G32" i="28"/>
  <c r="H32" i="28"/>
  <c r="G33" i="28"/>
  <c r="H33" i="28"/>
  <c r="G34" i="28"/>
  <c r="H34" i="28"/>
  <c r="G35" i="28"/>
  <c r="H35" i="28"/>
  <c r="G36" i="28"/>
  <c r="H36" i="28"/>
  <c r="G37" i="28"/>
  <c r="H37" i="28"/>
  <c r="G48" i="28"/>
  <c r="H48" i="28"/>
  <c r="G49" i="28"/>
  <c r="H49" i="28"/>
  <c r="G51" i="28"/>
  <c r="H51" i="28"/>
  <c r="G52" i="28"/>
  <c r="H52" i="28"/>
  <c r="H53" i="28"/>
  <c r="G54" i="28"/>
  <c r="H54" i="28"/>
  <c r="K58" i="28"/>
  <c r="L58" i="28"/>
  <c r="K59" i="28"/>
  <c r="L59" i="28"/>
  <c r="L39" i="28"/>
  <c r="K40" i="28"/>
  <c r="K41" i="28"/>
  <c r="L41" i="28"/>
  <c r="K42" i="28"/>
  <c r="L42" i="28"/>
  <c r="K43" i="28"/>
  <c r="L43" i="28"/>
  <c r="K44" i="28"/>
  <c r="K45" i="28"/>
  <c r="L45" i="28" s="1"/>
  <c r="N45" i="28" s="1"/>
  <c r="O45" i="28" s="1"/>
  <c r="J45" i="28"/>
  <c r="L46" i="28"/>
  <c r="L22" i="28"/>
  <c r="L23" i="28"/>
  <c r="K26" i="28"/>
  <c r="L26" i="28"/>
  <c r="K27" i="28"/>
  <c r="K28" i="28"/>
  <c r="K29" i="28"/>
  <c r="L29" i="28"/>
  <c r="K30" i="28"/>
  <c r="L30" i="28"/>
  <c r="K31" i="28"/>
  <c r="L31" i="28"/>
  <c r="K32" i="28"/>
  <c r="L32" i="28"/>
  <c r="K33" i="28"/>
  <c r="L33" i="28"/>
  <c r="K34" i="28"/>
  <c r="L34" i="28"/>
  <c r="K35" i="28"/>
  <c r="L35" i="28"/>
  <c r="K36" i="28"/>
  <c r="L36" i="28"/>
  <c r="K37" i="28"/>
  <c r="L37" i="28"/>
  <c r="K48" i="28"/>
  <c r="K49" i="28" s="1"/>
  <c r="L53" i="28"/>
  <c r="K54" i="28"/>
  <c r="L54" i="28"/>
  <c r="G55" i="28"/>
  <c r="H55" i="28"/>
  <c r="G56" i="28"/>
  <c r="H56" i="28"/>
  <c r="G57" i="28"/>
  <c r="H57" i="28"/>
  <c r="K55" i="28"/>
  <c r="L55" i="28"/>
  <c r="K56" i="28"/>
  <c r="L56" i="28"/>
  <c r="K57" i="28"/>
  <c r="L57" i="28"/>
  <c r="N59" i="28"/>
  <c r="O59" i="28"/>
  <c r="N58" i="28"/>
  <c r="O58" i="28"/>
  <c r="N57" i="28"/>
  <c r="O57" i="28"/>
  <c r="N56" i="28"/>
  <c r="O56" i="28"/>
  <c r="N55" i="28"/>
  <c r="O55" i="28"/>
  <c r="N54" i="28"/>
  <c r="O54" i="28"/>
  <c r="N53" i="28"/>
  <c r="O53" i="28"/>
  <c r="N46" i="28"/>
  <c r="O43" i="28"/>
  <c r="N43" i="28"/>
  <c r="O42" i="28"/>
  <c r="N42" i="28"/>
  <c r="O41" i="28"/>
  <c r="N41" i="28"/>
  <c r="O39" i="28"/>
  <c r="N39" i="28"/>
  <c r="O37" i="28"/>
  <c r="N37" i="28"/>
  <c r="O36" i="28"/>
  <c r="N36" i="28"/>
  <c r="O35" i="28"/>
  <c r="N35" i="28"/>
  <c r="O34" i="28"/>
  <c r="N34" i="28"/>
  <c r="O33" i="28"/>
  <c r="N33" i="28"/>
  <c r="O32" i="28"/>
  <c r="N32" i="28"/>
  <c r="O31" i="28"/>
  <c r="N31" i="28"/>
  <c r="O30" i="28"/>
  <c r="N30" i="28"/>
  <c r="O29" i="28"/>
  <c r="N29" i="28"/>
  <c r="N26" i="28"/>
  <c r="O26" i="28"/>
  <c r="O24" i="28"/>
  <c r="N23" i="28"/>
  <c r="O23" i="28"/>
  <c r="N22" i="28"/>
  <c r="O22" i="28"/>
  <c r="G58" i="27"/>
  <c r="H58" i="27"/>
  <c r="G59" i="27"/>
  <c r="H59" i="27"/>
  <c r="H39" i="27"/>
  <c r="G40" i="27"/>
  <c r="H40" i="27"/>
  <c r="G41" i="27"/>
  <c r="H41" i="27"/>
  <c r="G42" i="27"/>
  <c r="H42" i="27"/>
  <c r="G43" i="27"/>
  <c r="H43" i="27"/>
  <c r="G44" i="27"/>
  <c r="H44" i="27"/>
  <c r="G45" i="27"/>
  <c r="F45" i="27"/>
  <c r="H45" i="27"/>
  <c r="H46" i="27"/>
  <c r="H22" i="27"/>
  <c r="H23" i="27"/>
  <c r="H24" i="27"/>
  <c r="G26" i="27"/>
  <c r="H26" i="27"/>
  <c r="G27" i="27"/>
  <c r="H27" i="27"/>
  <c r="G28" i="27"/>
  <c r="G29" i="27"/>
  <c r="H29" i="27"/>
  <c r="G30" i="27"/>
  <c r="H30" i="27"/>
  <c r="G31" i="27"/>
  <c r="H31" i="27"/>
  <c r="G32" i="27"/>
  <c r="H32" i="27"/>
  <c r="G33" i="27"/>
  <c r="H33" i="27"/>
  <c r="G34" i="27"/>
  <c r="H34" i="27"/>
  <c r="G35" i="27"/>
  <c r="H35" i="27"/>
  <c r="G36" i="27"/>
  <c r="H36" i="27"/>
  <c r="G37" i="27"/>
  <c r="H37" i="27"/>
  <c r="G48" i="27"/>
  <c r="H48" i="27"/>
  <c r="G49" i="27"/>
  <c r="H49" i="27"/>
  <c r="G51" i="27"/>
  <c r="H51" i="27"/>
  <c r="G52" i="27"/>
  <c r="H52" i="27"/>
  <c r="H53" i="27"/>
  <c r="G54" i="27"/>
  <c r="H54" i="27"/>
  <c r="K58" i="27"/>
  <c r="L58" i="27"/>
  <c r="K59" i="27"/>
  <c r="L59" i="27"/>
  <c r="L39" i="27"/>
  <c r="K40" i="27"/>
  <c r="K41" i="27"/>
  <c r="L41" i="27"/>
  <c r="K42" i="27"/>
  <c r="L42" i="27"/>
  <c r="K43" i="27"/>
  <c r="L43" i="27"/>
  <c r="K44" i="27"/>
  <c r="K45" i="27"/>
  <c r="L45" i="27" s="1"/>
  <c r="N45" i="27" s="1"/>
  <c r="O45" i="27" s="1"/>
  <c r="J45" i="27"/>
  <c r="L46" i="27"/>
  <c r="L22" i="27"/>
  <c r="L23" i="27"/>
  <c r="K26" i="27"/>
  <c r="L26" i="27"/>
  <c r="K27" i="27"/>
  <c r="K28" i="27"/>
  <c r="K29" i="27"/>
  <c r="L29" i="27"/>
  <c r="N29" i="27" s="1"/>
  <c r="K30" i="27"/>
  <c r="L30" i="27"/>
  <c r="K31" i="27"/>
  <c r="L31" i="27"/>
  <c r="N31" i="27" s="1"/>
  <c r="K32" i="27"/>
  <c r="L32" i="27"/>
  <c r="K33" i="27"/>
  <c r="L33" i="27"/>
  <c r="N33" i="27" s="1"/>
  <c r="K34" i="27"/>
  <c r="L34" i="27"/>
  <c r="K35" i="27"/>
  <c r="L35" i="27"/>
  <c r="N35" i="27" s="1"/>
  <c r="K36" i="27"/>
  <c r="L36" i="27"/>
  <c r="K37" i="27"/>
  <c r="L37" i="27"/>
  <c r="N37" i="27" s="1"/>
  <c r="K48" i="27"/>
  <c r="K49" i="27" s="1"/>
  <c r="L53" i="27"/>
  <c r="K54" i="27"/>
  <c r="L54" i="27"/>
  <c r="G55" i="27"/>
  <c r="H55" i="27"/>
  <c r="G56" i="27"/>
  <c r="H56" i="27"/>
  <c r="G57" i="27"/>
  <c r="H57" i="27"/>
  <c r="K55" i="27"/>
  <c r="L55" i="27"/>
  <c r="K56" i="27"/>
  <c r="L56" i="27"/>
  <c r="K57" i="27"/>
  <c r="L57" i="27"/>
  <c r="O59" i="27"/>
  <c r="N59" i="27"/>
  <c r="N58" i="27"/>
  <c r="O58" i="27"/>
  <c r="N57" i="27"/>
  <c r="O57" i="27"/>
  <c r="N56" i="27"/>
  <c r="O56" i="27"/>
  <c r="N55" i="27"/>
  <c r="O55" i="27"/>
  <c r="N54" i="27"/>
  <c r="O54" i="27"/>
  <c r="N53" i="27"/>
  <c r="O53" i="27"/>
  <c r="N46" i="27"/>
  <c r="O43" i="27"/>
  <c r="N43" i="27"/>
  <c r="O42" i="27"/>
  <c r="N42" i="27"/>
  <c r="O41" i="27"/>
  <c r="N41" i="27"/>
  <c r="O39" i="27"/>
  <c r="N39" i="27"/>
  <c r="O37" i="27"/>
  <c r="O36" i="27"/>
  <c r="N36" i="27"/>
  <c r="O35" i="27"/>
  <c r="O34" i="27"/>
  <c r="N34" i="27"/>
  <c r="O33" i="27"/>
  <c r="O32" i="27"/>
  <c r="N32" i="27"/>
  <c r="O31" i="27"/>
  <c r="O30" i="27"/>
  <c r="N30" i="27"/>
  <c r="O29" i="27"/>
  <c r="O27" i="27"/>
  <c r="N26" i="27"/>
  <c r="O26" i="27"/>
  <c r="O24" i="27"/>
  <c r="N23" i="27"/>
  <c r="O23" i="27"/>
  <c r="N22" i="27"/>
  <c r="O22" i="27"/>
  <c r="G58" i="26"/>
  <c r="H58" i="26"/>
  <c r="G59" i="26"/>
  <c r="H59" i="26"/>
  <c r="H39" i="26"/>
  <c r="G40" i="26"/>
  <c r="H40" i="26"/>
  <c r="G41" i="26"/>
  <c r="H41" i="26"/>
  <c r="G42" i="26"/>
  <c r="H42" i="26"/>
  <c r="G43" i="26"/>
  <c r="H43" i="26"/>
  <c r="G44" i="26"/>
  <c r="H44" i="26"/>
  <c r="G45" i="26"/>
  <c r="F45" i="26"/>
  <c r="H45" i="26"/>
  <c r="H46" i="26"/>
  <c r="H22" i="26"/>
  <c r="H23" i="26"/>
  <c r="H24" i="26"/>
  <c r="G26" i="26"/>
  <c r="H26" i="26"/>
  <c r="G27" i="26"/>
  <c r="H27" i="26"/>
  <c r="G28" i="26"/>
  <c r="G29" i="26"/>
  <c r="H29" i="26"/>
  <c r="G30" i="26"/>
  <c r="H30" i="26"/>
  <c r="G31" i="26"/>
  <c r="H31" i="26"/>
  <c r="G32" i="26"/>
  <c r="H32" i="26"/>
  <c r="G33" i="26"/>
  <c r="H33" i="26"/>
  <c r="G34" i="26"/>
  <c r="H34" i="26"/>
  <c r="G35" i="26"/>
  <c r="H35" i="26"/>
  <c r="G36" i="26"/>
  <c r="H36" i="26"/>
  <c r="G37" i="26"/>
  <c r="H37" i="26"/>
  <c r="G48" i="26"/>
  <c r="H48" i="26"/>
  <c r="G49" i="26"/>
  <c r="H49" i="26"/>
  <c r="G51" i="26"/>
  <c r="H51" i="26"/>
  <c r="G52" i="26"/>
  <c r="H52" i="26"/>
  <c r="H53" i="26"/>
  <c r="G54" i="26"/>
  <c r="H54" i="26"/>
  <c r="K58" i="26"/>
  <c r="L58" i="26"/>
  <c r="K59" i="26"/>
  <c r="L59" i="26"/>
  <c r="L39" i="26"/>
  <c r="N39" i="26" s="1"/>
  <c r="K40" i="26"/>
  <c r="K41" i="26"/>
  <c r="L41" i="26"/>
  <c r="K42" i="26"/>
  <c r="L42" i="26"/>
  <c r="N42" i="26" s="1"/>
  <c r="K43" i="26"/>
  <c r="L43" i="26"/>
  <c r="K44" i="26"/>
  <c r="K45" i="26"/>
  <c r="L45" i="26" s="1"/>
  <c r="N45" i="26" s="1"/>
  <c r="O45" i="26" s="1"/>
  <c r="J45" i="26"/>
  <c r="L46" i="26"/>
  <c r="L22" i="26"/>
  <c r="L23" i="26"/>
  <c r="K26" i="26"/>
  <c r="L26" i="26"/>
  <c r="K27" i="26"/>
  <c r="K28" i="26"/>
  <c r="K29" i="26"/>
  <c r="L29" i="26"/>
  <c r="K30" i="26"/>
  <c r="L30" i="26"/>
  <c r="K31" i="26"/>
  <c r="L31" i="26"/>
  <c r="K32" i="26"/>
  <c r="L32" i="26"/>
  <c r="K33" i="26"/>
  <c r="L33" i="26"/>
  <c r="K34" i="26"/>
  <c r="L34" i="26"/>
  <c r="K35" i="26"/>
  <c r="L35" i="26"/>
  <c r="K36" i="26"/>
  <c r="L36" i="26"/>
  <c r="K37" i="26"/>
  <c r="L37" i="26"/>
  <c r="K48" i="26"/>
  <c r="L48" i="26" s="1"/>
  <c r="N48" i="26" s="1"/>
  <c r="O48" i="26" s="1"/>
  <c r="L53" i="26"/>
  <c r="K54" i="26"/>
  <c r="L54" i="26"/>
  <c r="G55" i="26"/>
  <c r="H55" i="26"/>
  <c r="G56" i="26"/>
  <c r="H56" i="26"/>
  <c r="G57" i="26"/>
  <c r="H57" i="26"/>
  <c r="K55" i="26"/>
  <c r="L55" i="26"/>
  <c r="K56" i="26"/>
  <c r="L56" i="26"/>
  <c r="K57" i="26"/>
  <c r="L57" i="26"/>
  <c r="O59" i="26"/>
  <c r="N59" i="26"/>
  <c r="N58" i="26"/>
  <c r="O58" i="26"/>
  <c r="N57" i="26"/>
  <c r="O57" i="26"/>
  <c r="N56" i="26"/>
  <c r="O56" i="26"/>
  <c r="N55" i="26"/>
  <c r="O55" i="26"/>
  <c r="N54" i="26"/>
  <c r="O54" i="26"/>
  <c r="N53" i="26"/>
  <c r="O53" i="26"/>
  <c r="N46" i="26"/>
  <c r="O43" i="26"/>
  <c r="N43" i="26"/>
  <c r="O42" i="26"/>
  <c r="O41" i="26"/>
  <c r="N41" i="26"/>
  <c r="O39" i="26"/>
  <c r="O37" i="26"/>
  <c r="N37" i="26"/>
  <c r="O36" i="26"/>
  <c r="N36" i="26"/>
  <c r="O35" i="26"/>
  <c r="N35" i="26"/>
  <c r="O34" i="26"/>
  <c r="N34" i="26"/>
  <c r="O33" i="26"/>
  <c r="N33" i="26"/>
  <c r="O32" i="26"/>
  <c r="N32" i="26"/>
  <c r="O31" i="26"/>
  <c r="N31" i="26"/>
  <c r="O30" i="26"/>
  <c r="N30" i="26"/>
  <c r="O29" i="26"/>
  <c r="N29" i="26"/>
  <c r="O27" i="26"/>
  <c r="N26" i="26"/>
  <c r="O26" i="26"/>
  <c r="O24" i="26"/>
  <c r="N23" i="26"/>
  <c r="O23" i="26"/>
  <c r="N22" i="26"/>
  <c r="O22" i="26"/>
  <c r="L47" i="25"/>
  <c r="L46" i="25"/>
  <c r="G53" i="25"/>
  <c r="H53" i="25"/>
  <c r="G27" i="25"/>
  <c r="G38" i="25"/>
  <c r="H38" i="25"/>
  <c r="G39" i="25"/>
  <c r="H39" i="25"/>
  <c r="G40" i="25"/>
  <c r="H40" i="25"/>
  <c r="G41" i="25"/>
  <c r="H41" i="25"/>
  <c r="G42" i="25"/>
  <c r="H42" i="25"/>
  <c r="G43" i="25"/>
  <c r="G57" i="25"/>
  <c r="F43" i="25"/>
  <c r="H43" i="25"/>
  <c r="H44" i="25"/>
  <c r="H22" i="25"/>
  <c r="H23" i="25"/>
  <c r="H24" i="25"/>
  <c r="G25" i="25"/>
  <c r="H25" i="25"/>
  <c r="G26" i="25"/>
  <c r="H26" i="25"/>
  <c r="G28" i="25"/>
  <c r="H28" i="25"/>
  <c r="G29" i="25"/>
  <c r="H29" i="25"/>
  <c r="G30" i="25"/>
  <c r="H30" i="25"/>
  <c r="G31" i="25"/>
  <c r="H31" i="25"/>
  <c r="G32" i="25"/>
  <c r="H32" i="25"/>
  <c r="G33" i="25"/>
  <c r="H33" i="25"/>
  <c r="G34" i="25"/>
  <c r="H34" i="25"/>
  <c r="G35" i="25"/>
  <c r="H35" i="25"/>
  <c r="G36" i="25"/>
  <c r="H36" i="25"/>
  <c r="H46" i="25"/>
  <c r="G47" i="25"/>
  <c r="H47" i="25" s="1"/>
  <c r="G49" i="25"/>
  <c r="H49" i="25"/>
  <c r="G50" i="25"/>
  <c r="H50" i="25"/>
  <c r="H51" i="25"/>
  <c r="G52" i="25"/>
  <c r="H52" i="25"/>
  <c r="K53" i="25"/>
  <c r="L53" i="25"/>
  <c r="K38" i="25"/>
  <c r="K39" i="25"/>
  <c r="L39" i="25"/>
  <c r="K40" i="25"/>
  <c r="L40" i="25"/>
  <c r="K41" i="25"/>
  <c r="K42" i="25"/>
  <c r="K43" i="25"/>
  <c r="L43" i="25" s="1"/>
  <c r="N43" i="25" s="1"/>
  <c r="O43" i="25" s="1"/>
  <c r="K57" i="25"/>
  <c r="J43" i="25"/>
  <c r="L44" i="25"/>
  <c r="L22" i="25"/>
  <c r="L23" i="25"/>
  <c r="L24" i="25"/>
  <c r="K25" i="25"/>
  <c r="L25" i="25"/>
  <c r="K26" i="25"/>
  <c r="K27" i="25"/>
  <c r="K28" i="25"/>
  <c r="L28" i="25"/>
  <c r="K29" i="25"/>
  <c r="L29" i="25"/>
  <c r="K30" i="25"/>
  <c r="L30" i="25"/>
  <c r="K31" i="25"/>
  <c r="L31" i="25"/>
  <c r="K32" i="25"/>
  <c r="L32" i="25"/>
  <c r="K33" i="25"/>
  <c r="L33" i="25"/>
  <c r="K34" i="25"/>
  <c r="L34" i="25"/>
  <c r="K35" i="25"/>
  <c r="L35" i="25"/>
  <c r="K36" i="25"/>
  <c r="L36" i="25"/>
  <c r="K47" i="25"/>
  <c r="K49" i="25"/>
  <c r="K50" i="25" s="1"/>
  <c r="L50" i="25" s="1"/>
  <c r="N50" i="25" s="1"/>
  <c r="O50" i="25" s="1"/>
  <c r="L49" i="25"/>
  <c r="L51" i="25"/>
  <c r="K52" i="25"/>
  <c r="L52" i="25"/>
  <c r="H54" i="25"/>
  <c r="H55" i="25"/>
  <c r="L54" i="25"/>
  <c r="L55" i="25"/>
  <c r="H57" i="25"/>
  <c r="O57" i="25"/>
  <c r="L57" i="25"/>
  <c r="N57" i="25"/>
  <c r="G56" i="25"/>
  <c r="H56" i="25"/>
  <c r="K56" i="25"/>
  <c r="L56" i="25"/>
  <c r="N56" i="25"/>
  <c r="O56" i="25"/>
  <c r="O55" i="25"/>
  <c r="N55" i="25"/>
  <c r="O54" i="25"/>
  <c r="N54" i="25"/>
  <c r="N53" i="25"/>
  <c r="O53" i="25"/>
  <c r="N52" i="25"/>
  <c r="O52" i="25"/>
  <c r="N51" i="25"/>
  <c r="O51" i="25"/>
  <c r="N49" i="25"/>
  <c r="O49" i="25" s="1"/>
  <c r="N44" i="25"/>
  <c r="O40" i="25"/>
  <c r="N40" i="25"/>
  <c r="O39" i="25"/>
  <c r="N39" i="25"/>
  <c r="O36" i="25"/>
  <c r="N36" i="25"/>
  <c r="O35" i="25"/>
  <c r="N35" i="25"/>
  <c r="O34" i="25"/>
  <c r="N34" i="25"/>
  <c r="O33" i="25"/>
  <c r="N33" i="25"/>
  <c r="O32" i="25"/>
  <c r="N32" i="25"/>
  <c r="O31" i="25"/>
  <c r="N31" i="25"/>
  <c r="O30" i="25"/>
  <c r="N30" i="25"/>
  <c r="O29" i="25"/>
  <c r="N29" i="25"/>
  <c r="O28" i="25"/>
  <c r="N28" i="25"/>
  <c r="O26" i="25"/>
  <c r="N25" i="25"/>
  <c r="O25" i="25"/>
  <c r="O24" i="25"/>
  <c r="N24" i="25"/>
  <c r="O23" i="25"/>
  <c r="N23" i="25"/>
  <c r="O22" i="25"/>
  <c r="N22" i="25"/>
  <c r="L48" i="13"/>
  <c r="L47" i="13"/>
  <c r="L48" i="1"/>
  <c r="N48" i="1" s="1"/>
  <c r="O48" i="1" s="1"/>
  <c r="G27" i="14"/>
  <c r="H27" i="14" s="1"/>
  <c r="K46" i="17"/>
  <c r="K47" i="17" s="1"/>
  <c r="L47" i="17" s="1"/>
  <c r="N47" i="17" s="1"/>
  <c r="O47" i="17" s="1"/>
  <c r="G46" i="17"/>
  <c r="G47" i="17"/>
  <c r="H47" i="17"/>
  <c r="H46" i="17"/>
  <c r="H41" i="17"/>
  <c r="O41" i="17"/>
  <c r="H38" i="17"/>
  <c r="K47" i="16"/>
  <c r="K48" i="16" s="1"/>
  <c r="L48" i="16" s="1"/>
  <c r="N48" i="16" s="1"/>
  <c r="O48" i="16" s="1"/>
  <c r="G47" i="16"/>
  <c r="G48" i="16"/>
  <c r="H48" i="16"/>
  <c r="H47" i="16"/>
  <c r="H42" i="16"/>
  <c r="H39" i="16"/>
  <c r="K46" i="14"/>
  <c r="L46" i="14" s="1"/>
  <c r="G46" i="14"/>
  <c r="G47" i="14" s="1"/>
  <c r="H47" i="14" s="1"/>
  <c r="K41" i="14"/>
  <c r="G41" i="14"/>
  <c r="H41" i="14"/>
  <c r="K38" i="14"/>
  <c r="G38" i="14"/>
  <c r="H38" i="14" s="1"/>
  <c r="K26" i="14"/>
  <c r="G26" i="14"/>
  <c r="H26" i="14"/>
  <c r="K48" i="13"/>
  <c r="G48" i="13"/>
  <c r="H48" i="13"/>
  <c r="H47" i="13"/>
  <c r="H42" i="13"/>
  <c r="H39" i="13"/>
  <c r="K48" i="8"/>
  <c r="K49" i="8" s="1"/>
  <c r="G48" i="8"/>
  <c r="G49" i="8"/>
  <c r="H49" i="8"/>
  <c r="H48" i="8"/>
  <c r="H40" i="8"/>
  <c r="K48" i="1"/>
  <c r="K49" i="1"/>
  <c r="L49" i="1" s="1"/>
  <c r="N49" i="1" s="1"/>
  <c r="O49" i="1" s="1"/>
  <c r="G48" i="1"/>
  <c r="G49" i="1"/>
  <c r="H49" i="1"/>
  <c r="H48" i="1"/>
  <c r="H40" i="1"/>
  <c r="K25" i="17"/>
  <c r="L25" i="17"/>
  <c r="K26" i="17"/>
  <c r="G25" i="17"/>
  <c r="H25" i="17"/>
  <c r="G26" i="17"/>
  <c r="K27" i="17"/>
  <c r="G27" i="17"/>
  <c r="K26" i="16"/>
  <c r="L26" i="16"/>
  <c r="H26" i="16"/>
  <c r="N26" i="16"/>
  <c r="K27" i="16"/>
  <c r="G26" i="16"/>
  <c r="G27" i="16"/>
  <c r="K28" i="16"/>
  <c r="G28" i="16"/>
  <c r="K25" i="14"/>
  <c r="K27" i="14"/>
  <c r="G25" i="14"/>
  <c r="K26" i="13"/>
  <c r="K27" i="13"/>
  <c r="K28" i="13"/>
  <c r="G26" i="13"/>
  <c r="H26" i="13"/>
  <c r="G27" i="13"/>
  <c r="G28" i="13"/>
  <c r="L26" i="8"/>
  <c r="H26" i="8"/>
  <c r="N26" i="8"/>
  <c r="O26" i="8"/>
  <c r="K26" i="8"/>
  <c r="K27" i="8"/>
  <c r="G26" i="8"/>
  <c r="G27" i="8"/>
  <c r="H27" i="8"/>
  <c r="O27" i="8"/>
  <c r="K26" i="1"/>
  <c r="L26" i="1"/>
  <c r="K27" i="1"/>
  <c r="G26" i="1"/>
  <c r="H26" i="1"/>
  <c r="G27" i="1"/>
  <c r="H27" i="1"/>
  <c r="O27" i="1"/>
  <c r="K49" i="14"/>
  <c r="G49" i="14"/>
  <c r="G50" i="14" s="1"/>
  <c r="H50" i="14" s="1"/>
  <c r="K50" i="16"/>
  <c r="L50" i="16" s="1"/>
  <c r="N50" i="16" s="1"/>
  <c r="O50" i="16" s="1"/>
  <c r="G50" i="16"/>
  <c r="K49" i="17"/>
  <c r="G49" i="17"/>
  <c r="K53" i="17"/>
  <c r="L53" i="17"/>
  <c r="G53" i="17"/>
  <c r="H53" i="17"/>
  <c r="K42" i="16"/>
  <c r="G42" i="16"/>
  <c r="G42" i="14"/>
  <c r="K42" i="13"/>
  <c r="G42" i="13"/>
  <c r="K54" i="16"/>
  <c r="G54" i="16"/>
  <c r="H54" i="16"/>
  <c r="G53" i="14"/>
  <c r="K53" i="14"/>
  <c r="L53" i="14" s="1"/>
  <c r="N53" i="14" s="1"/>
  <c r="H53" i="14"/>
  <c r="O53" i="14" s="1"/>
  <c r="G43" i="14"/>
  <c r="K54" i="13"/>
  <c r="L54" i="13"/>
  <c r="H54" i="13"/>
  <c r="N54" i="13"/>
  <c r="G54" i="13"/>
  <c r="K44" i="13"/>
  <c r="L44" i="13" s="1"/>
  <c r="N44" i="13" s="1"/>
  <c r="O44" i="13" s="1"/>
  <c r="J44" i="13"/>
  <c r="G44" i="13"/>
  <c r="F44" i="13"/>
  <c r="H44" i="13"/>
  <c r="G57" i="8"/>
  <c r="H57" i="8"/>
  <c r="K57" i="8"/>
  <c r="L57" i="8"/>
  <c r="N57" i="8"/>
  <c r="G56" i="8"/>
  <c r="K56" i="8"/>
  <c r="L56" i="8"/>
  <c r="G55" i="8"/>
  <c r="H55" i="8"/>
  <c r="K55" i="8"/>
  <c r="L55" i="8"/>
  <c r="K45" i="8"/>
  <c r="L45" i="8" s="1"/>
  <c r="N45" i="8" s="1"/>
  <c r="O45" i="8" s="1"/>
  <c r="G45" i="8"/>
  <c r="G57" i="1"/>
  <c r="G56" i="1"/>
  <c r="H56" i="1"/>
  <c r="G55" i="1"/>
  <c r="K55" i="1"/>
  <c r="L55" i="1"/>
  <c r="H55" i="1"/>
  <c r="N55" i="1"/>
  <c r="O55" i="1"/>
  <c r="K45" i="1"/>
  <c r="J45" i="1"/>
  <c r="L45" i="1"/>
  <c r="F45" i="1"/>
  <c r="G45" i="1"/>
  <c r="H45" i="1"/>
  <c r="N45" i="1"/>
  <c r="K50" i="13"/>
  <c r="L50" i="13" s="1"/>
  <c r="N50" i="13" s="1"/>
  <c r="O50" i="13" s="1"/>
  <c r="G50" i="13"/>
  <c r="H50" i="13"/>
  <c r="K42" i="17"/>
  <c r="K40" i="17"/>
  <c r="K39" i="17"/>
  <c r="L39" i="17"/>
  <c r="K38" i="17"/>
  <c r="G42" i="17"/>
  <c r="H42" i="17"/>
  <c r="G40" i="17"/>
  <c r="G39" i="17"/>
  <c r="H39" i="17"/>
  <c r="O39" i="17"/>
  <c r="G38" i="17"/>
  <c r="G57" i="17"/>
  <c r="K57" i="17"/>
  <c r="G56" i="17"/>
  <c r="H56" i="17"/>
  <c r="K56" i="17"/>
  <c r="L56" i="17"/>
  <c r="N56" i="17"/>
  <c r="L55" i="17"/>
  <c r="H55" i="17"/>
  <c r="N55" i="17"/>
  <c r="L54" i="17"/>
  <c r="H54" i="17"/>
  <c r="O54" i="17"/>
  <c r="K52" i="17"/>
  <c r="L52" i="17"/>
  <c r="H52" i="17"/>
  <c r="N52" i="17"/>
  <c r="O52" i="17"/>
  <c r="G52" i="17"/>
  <c r="L51" i="17"/>
  <c r="H51" i="17"/>
  <c r="N51" i="17"/>
  <c r="K50" i="17"/>
  <c r="L50" i="17" s="1"/>
  <c r="N50" i="17" s="1"/>
  <c r="O50" i="17" s="1"/>
  <c r="G50" i="17"/>
  <c r="H50" i="17"/>
  <c r="H49" i="17"/>
  <c r="L49" i="17"/>
  <c r="N49" i="17" s="1"/>
  <c r="O49" i="17" s="1"/>
  <c r="L44" i="17"/>
  <c r="H44" i="17"/>
  <c r="N44" i="17"/>
  <c r="K43" i="17"/>
  <c r="G43" i="17"/>
  <c r="F43" i="17"/>
  <c r="H43" i="17"/>
  <c r="K41" i="17"/>
  <c r="G41" i="17"/>
  <c r="L40" i="17"/>
  <c r="N40" i="17"/>
  <c r="H40" i="17"/>
  <c r="O40" i="17"/>
  <c r="K36" i="17"/>
  <c r="L36" i="17"/>
  <c r="G36" i="17"/>
  <c r="H36" i="17"/>
  <c r="O36" i="17"/>
  <c r="K35" i="17"/>
  <c r="L35" i="17"/>
  <c r="N35" i="17"/>
  <c r="G35" i="17"/>
  <c r="H35" i="17"/>
  <c r="O35" i="17"/>
  <c r="K34" i="17"/>
  <c r="L34" i="17"/>
  <c r="G34" i="17"/>
  <c r="H34" i="17"/>
  <c r="O34" i="17"/>
  <c r="K33" i="17"/>
  <c r="L33" i="17"/>
  <c r="N33" i="17"/>
  <c r="G33" i="17"/>
  <c r="H33" i="17"/>
  <c r="O33" i="17"/>
  <c r="K32" i="17"/>
  <c r="L32" i="17"/>
  <c r="N32" i="17"/>
  <c r="G32" i="17"/>
  <c r="H32" i="17"/>
  <c r="O32" i="17"/>
  <c r="K31" i="17"/>
  <c r="L31" i="17"/>
  <c r="N31" i="17"/>
  <c r="G31" i="17"/>
  <c r="H31" i="17"/>
  <c r="O31" i="17"/>
  <c r="K30" i="17"/>
  <c r="L30" i="17"/>
  <c r="N30" i="17"/>
  <c r="H30" i="17"/>
  <c r="O30" i="17"/>
  <c r="G30" i="17"/>
  <c r="K29" i="17"/>
  <c r="L29" i="17"/>
  <c r="G29" i="17"/>
  <c r="H29" i="17"/>
  <c r="O29" i="17"/>
  <c r="K28" i="17"/>
  <c r="L28" i="17"/>
  <c r="N28" i="17"/>
  <c r="G28" i="17"/>
  <c r="H28" i="17"/>
  <c r="O28" i="17"/>
  <c r="H26" i="17"/>
  <c r="O26" i="17"/>
  <c r="L24" i="17"/>
  <c r="N24" i="17"/>
  <c r="H24" i="17"/>
  <c r="O24" i="17"/>
  <c r="L23" i="17"/>
  <c r="N23" i="17"/>
  <c r="H23" i="17"/>
  <c r="L22" i="17"/>
  <c r="H22" i="17"/>
  <c r="N22" i="17"/>
  <c r="G58" i="16"/>
  <c r="K58" i="16"/>
  <c r="F44" i="16"/>
  <c r="G57" i="16"/>
  <c r="H57" i="16"/>
  <c r="K57" i="16"/>
  <c r="L57" i="16"/>
  <c r="L56" i="16"/>
  <c r="H56" i="16"/>
  <c r="N56" i="16"/>
  <c r="O56" i="16"/>
  <c r="L55" i="16"/>
  <c r="H55" i="16"/>
  <c r="O55" i="16"/>
  <c r="L54" i="16"/>
  <c r="K53" i="16"/>
  <c r="L53" i="16"/>
  <c r="H53" i="16"/>
  <c r="N53" i="16"/>
  <c r="G53" i="16"/>
  <c r="O53" i="16"/>
  <c r="L52" i="16"/>
  <c r="H52" i="16"/>
  <c r="N52" i="16"/>
  <c r="O52" i="16"/>
  <c r="G51" i="16"/>
  <c r="H51" i="16"/>
  <c r="H50" i="16"/>
  <c r="L45" i="16"/>
  <c r="H45" i="16"/>
  <c r="N45" i="16"/>
  <c r="K44" i="16"/>
  <c r="L44" i="16" s="1"/>
  <c r="N44" i="16" s="1"/>
  <c r="O44" i="16" s="1"/>
  <c r="G44" i="16"/>
  <c r="H44" i="16"/>
  <c r="K43" i="16"/>
  <c r="G43" i="16"/>
  <c r="H43" i="16"/>
  <c r="K41" i="16"/>
  <c r="L41" i="16"/>
  <c r="N41" i="16"/>
  <c r="G41" i="16"/>
  <c r="H41" i="16"/>
  <c r="O41" i="16"/>
  <c r="K40" i="16"/>
  <c r="L40" i="16"/>
  <c r="N40" i="16"/>
  <c r="G40" i="16"/>
  <c r="H40" i="16"/>
  <c r="O40" i="16"/>
  <c r="K39" i="16"/>
  <c r="K37" i="16"/>
  <c r="L37" i="16"/>
  <c r="G37" i="16"/>
  <c r="H37" i="16"/>
  <c r="O37" i="16"/>
  <c r="K36" i="16"/>
  <c r="L36" i="16"/>
  <c r="G36" i="16"/>
  <c r="H36" i="16"/>
  <c r="N36" i="16"/>
  <c r="K35" i="16"/>
  <c r="L35" i="16"/>
  <c r="G35" i="16"/>
  <c r="H35" i="16"/>
  <c r="O35" i="16"/>
  <c r="K34" i="16"/>
  <c r="L34" i="16"/>
  <c r="G34" i="16"/>
  <c r="H34" i="16"/>
  <c r="O34" i="16"/>
  <c r="K33" i="16"/>
  <c r="L33" i="16"/>
  <c r="G33" i="16"/>
  <c r="H33" i="16"/>
  <c r="N33" i="16"/>
  <c r="O33" i="16"/>
  <c r="K32" i="16"/>
  <c r="L32" i="16"/>
  <c r="N32" i="16"/>
  <c r="G32" i="16"/>
  <c r="H32" i="16"/>
  <c r="O32" i="16"/>
  <c r="K31" i="16"/>
  <c r="L31" i="16"/>
  <c r="G31" i="16"/>
  <c r="H31" i="16"/>
  <c r="K30" i="16"/>
  <c r="L30" i="16"/>
  <c r="N30" i="16"/>
  <c r="G30" i="16"/>
  <c r="H30" i="16"/>
  <c r="O30" i="16"/>
  <c r="K29" i="16"/>
  <c r="L29" i="16"/>
  <c r="N29" i="16"/>
  <c r="G29" i="16"/>
  <c r="H29" i="16"/>
  <c r="O29" i="16"/>
  <c r="G39" i="16"/>
  <c r="H27" i="16"/>
  <c r="O27" i="16"/>
  <c r="L24" i="16"/>
  <c r="H24" i="16"/>
  <c r="N24" i="16"/>
  <c r="O24" i="16"/>
  <c r="L23" i="16"/>
  <c r="N23" i="16"/>
  <c r="H23" i="16"/>
  <c r="O23" i="16"/>
  <c r="L22" i="16"/>
  <c r="H22" i="16"/>
  <c r="N22" i="16"/>
  <c r="O22" i="16"/>
  <c r="G57" i="14"/>
  <c r="K57" i="14"/>
  <c r="J43" i="14" s="1"/>
  <c r="G56" i="14"/>
  <c r="H56" i="14"/>
  <c r="O56" i="14" s="1"/>
  <c r="K56" i="14"/>
  <c r="L56" i="14"/>
  <c r="N56" i="14" s="1"/>
  <c r="L55" i="14"/>
  <c r="N55" i="14" s="1"/>
  <c r="H55" i="14"/>
  <c r="O55" i="14" s="1"/>
  <c r="L54" i="14"/>
  <c r="H54" i="14"/>
  <c r="O54" i="14"/>
  <c r="K52" i="14"/>
  <c r="L52" i="14" s="1"/>
  <c r="G52" i="14"/>
  <c r="H52" i="14" s="1"/>
  <c r="L51" i="14"/>
  <c r="N51" i="14" s="1"/>
  <c r="H51" i="14"/>
  <c r="O51" i="14" s="1"/>
  <c r="K50" i="14"/>
  <c r="L50" i="14" s="1"/>
  <c r="L49" i="14"/>
  <c r="L44" i="14"/>
  <c r="N44" i="14" s="1"/>
  <c r="H44" i="14"/>
  <c r="K43" i="14"/>
  <c r="F43" i="14"/>
  <c r="H43" i="14"/>
  <c r="K42" i="14"/>
  <c r="H42" i="14"/>
  <c r="K40" i="14"/>
  <c r="L40" i="14"/>
  <c r="N40" i="14" s="1"/>
  <c r="G40" i="14"/>
  <c r="H40" i="14"/>
  <c r="O40" i="14" s="1"/>
  <c r="K39" i="14"/>
  <c r="L39" i="14" s="1"/>
  <c r="N39" i="14" s="1"/>
  <c r="G39" i="14"/>
  <c r="H39" i="14" s="1"/>
  <c r="O39" i="14" s="1"/>
  <c r="K36" i="14"/>
  <c r="L36" i="14"/>
  <c r="G36" i="14"/>
  <c r="H36" i="14"/>
  <c r="O36" i="14" s="1"/>
  <c r="K35" i="14"/>
  <c r="L35" i="14" s="1"/>
  <c r="N35" i="14" s="1"/>
  <c r="G35" i="14"/>
  <c r="H35" i="14" s="1"/>
  <c r="O35" i="14" s="1"/>
  <c r="K34" i="14"/>
  <c r="L34" i="14"/>
  <c r="N34" i="14" s="1"/>
  <c r="G34" i="14"/>
  <c r="H34" i="14"/>
  <c r="O34" i="14"/>
  <c r="K33" i="14"/>
  <c r="L33" i="14"/>
  <c r="G33" i="14"/>
  <c r="H33" i="14"/>
  <c r="O33" i="14" s="1"/>
  <c r="K32" i="14"/>
  <c r="L32" i="14" s="1"/>
  <c r="G32" i="14"/>
  <c r="H32" i="14" s="1"/>
  <c r="O32" i="14" s="1"/>
  <c r="K31" i="14"/>
  <c r="L31" i="14"/>
  <c r="N31" i="14" s="1"/>
  <c r="G31" i="14"/>
  <c r="H31" i="14"/>
  <c r="K30" i="14"/>
  <c r="L30" i="14"/>
  <c r="N30" i="14" s="1"/>
  <c r="G30" i="14"/>
  <c r="H30" i="14"/>
  <c r="O30" i="14" s="1"/>
  <c r="K29" i="14"/>
  <c r="L29" i="14" s="1"/>
  <c r="G29" i="14"/>
  <c r="H29" i="14" s="1"/>
  <c r="O29" i="14" s="1"/>
  <c r="K28" i="14"/>
  <c r="L28" i="14"/>
  <c r="G28" i="14"/>
  <c r="H28" i="14"/>
  <c r="O28" i="14" s="1"/>
  <c r="O26" i="14"/>
  <c r="L25" i="14"/>
  <c r="H25" i="14"/>
  <c r="N25" i="14" s="1"/>
  <c r="L24" i="14"/>
  <c r="H24" i="14"/>
  <c r="N24" i="14" s="1"/>
  <c r="O24" i="14"/>
  <c r="L23" i="14"/>
  <c r="N23" i="14"/>
  <c r="H23" i="14"/>
  <c r="O23" i="14"/>
  <c r="L22" i="14"/>
  <c r="N22" i="14"/>
  <c r="H22" i="14"/>
  <c r="O22" i="14"/>
  <c r="N35" i="16"/>
  <c r="H58" i="16"/>
  <c r="O58" i="16"/>
  <c r="G53" i="13"/>
  <c r="H53" i="13"/>
  <c r="L53" i="13"/>
  <c r="N53" i="13"/>
  <c r="O53" i="13"/>
  <c r="K43" i="13"/>
  <c r="K41" i="13"/>
  <c r="L41" i="13"/>
  <c r="K40" i="13"/>
  <c r="K39" i="13"/>
  <c r="G43" i="13"/>
  <c r="G41" i="13"/>
  <c r="H41" i="13"/>
  <c r="G40" i="13"/>
  <c r="H40" i="13"/>
  <c r="K58" i="13"/>
  <c r="L58" i="13"/>
  <c r="N58" i="13"/>
  <c r="K57" i="13"/>
  <c r="L57" i="13"/>
  <c r="H56" i="13"/>
  <c r="O56" i="13"/>
  <c r="L55" i="13"/>
  <c r="N55" i="13"/>
  <c r="K53" i="13"/>
  <c r="L52" i="13"/>
  <c r="N52" i="13"/>
  <c r="O52" i="13"/>
  <c r="H52" i="13"/>
  <c r="L45" i="13"/>
  <c r="H45" i="13"/>
  <c r="N45" i="13"/>
  <c r="H43" i="13"/>
  <c r="L40" i="13"/>
  <c r="K37" i="13"/>
  <c r="L37" i="13"/>
  <c r="N37" i="13"/>
  <c r="G37" i="13"/>
  <c r="H37" i="13"/>
  <c r="O37" i="13"/>
  <c r="K36" i="13"/>
  <c r="L36" i="13"/>
  <c r="N36" i="13" s="1"/>
  <c r="G36" i="13"/>
  <c r="H36" i="13"/>
  <c r="O36" i="13"/>
  <c r="K35" i="13"/>
  <c r="L35" i="13"/>
  <c r="N35" i="13"/>
  <c r="G35" i="13"/>
  <c r="H35" i="13"/>
  <c r="O35" i="13"/>
  <c r="K34" i="13"/>
  <c r="L34" i="13"/>
  <c r="N34" i="13" s="1"/>
  <c r="G34" i="13"/>
  <c r="H34" i="13"/>
  <c r="O34" i="13"/>
  <c r="K33" i="13"/>
  <c r="L33" i="13"/>
  <c r="N33" i="13"/>
  <c r="G33" i="13"/>
  <c r="H33" i="13"/>
  <c r="O33" i="13"/>
  <c r="K32" i="13"/>
  <c r="L32" i="13"/>
  <c r="G32" i="13"/>
  <c r="H32" i="13"/>
  <c r="K31" i="13"/>
  <c r="L31" i="13"/>
  <c r="G31" i="13"/>
  <c r="H31" i="13"/>
  <c r="O31" i="13"/>
  <c r="K30" i="13"/>
  <c r="L30" i="13"/>
  <c r="N30" i="13"/>
  <c r="G30" i="13"/>
  <c r="H30" i="13"/>
  <c r="O30" i="13"/>
  <c r="L29" i="13"/>
  <c r="N29" i="13" s="1"/>
  <c r="K29" i="13"/>
  <c r="G29" i="13"/>
  <c r="H29" i="13"/>
  <c r="O29" i="13"/>
  <c r="H27" i="13"/>
  <c r="O27" i="13"/>
  <c r="L26" i="13"/>
  <c r="L24" i="13"/>
  <c r="H24" i="13"/>
  <c r="N24" i="13"/>
  <c r="O24" i="13"/>
  <c r="L23" i="13"/>
  <c r="N23" i="13"/>
  <c r="H23" i="13"/>
  <c r="L22" i="13"/>
  <c r="N22" i="13"/>
  <c r="H22" i="13"/>
  <c r="O22" i="13"/>
  <c r="G59" i="8"/>
  <c r="K59" i="8"/>
  <c r="L59" i="8"/>
  <c r="H59" i="8"/>
  <c r="N59" i="8"/>
  <c r="G58" i="8"/>
  <c r="K58" i="8"/>
  <c r="L58" i="8"/>
  <c r="H58" i="8"/>
  <c r="N58" i="8"/>
  <c r="K54" i="8"/>
  <c r="L54" i="8"/>
  <c r="H54" i="8"/>
  <c r="N54" i="8"/>
  <c r="G54" i="8"/>
  <c r="O54" i="8"/>
  <c r="L53" i="8"/>
  <c r="H53" i="8"/>
  <c r="N53" i="8"/>
  <c r="O53" i="8"/>
  <c r="L46" i="8"/>
  <c r="H46" i="8"/>
  <c r="N46" i="8"/>
  <c r="J45" i="8"/>
  <c r="F45" i="8"/>
  <c r="H45" i="8"/>
  <c r="K44" i="8"/>
  <c r="G44" i="8"/>
  <c r="H44" i="8"/>
  <c r="K43" i="8"/>
  <c r="L43" i="8"/>
  <c r="N43" i="8"/>
  <c r="G43" i="8"/>
  <c r="H43" i="8"/>
  <c r="O43" i="8"/>
  <c r="K42" i="8"/>
  <c r="L42" i="8"/>
  <c r="G42" i="8"/>
  <c r="H42" i="8"/>
  <c r="O42" i="8"/>
  <c r="K41" i="8"/>
  <c r="L41" i="8"/>
  <c r="G41" i="8"/>
  <c r="H41" i="8"/>
  <c r="O41" i="8"/>
  <c r="K40" i="8"/>
  <c r="G40" i="8"/>
  <c r="K37" i="8"/>
  <c r="L37" i="8"/>
  <c r="G37" i="8"/>
  <c r="H37" i="8"/>
  <c r="K36" i="8"/>
  <c r="L36" i="8"/>
  <c r="G36" i="8"/>
  <c r="H36" i="8"/>
  <c r="K35" i="8"/>
  <c r="L35" i="8"/>
  <c r="N35" i="8"/>
  <c r="G35" i="8"/>
  <c r="H35" i="8"/>
  <c r="O35" i="8"/>
  <c r="K34" i="8"/>
  <c r="L34" i="8"/>
  <c r="N34" i="8"/>
  <c r="G34" i="8"/>
  <c r="H34" i="8"/>
  <c r="O34" i="8"/>
  <c r="K33" i="8"/>
  <c r="L33" i="8"/>
  <c r="G33" i="8"/>
  <c r="H33" i="8"/>
  <c r="K32" i="8"/>
  <c r="L32" i="8"/>
  <c r="N32" i="8"/>
  <c r="G32" i="8"/>
  <c r="H32" i="8"/>
  <c r="O32" i="8"/>
  <c r="K31" i="8"/>
  <c r="L31" i="8"/>
  <c r="G31" i="8"/>
  <c r="H31" i="8"/>
  <c r="O31" i="8"/>
  <c r="K30" i="8"/>
  <c r="L30" i="8"/>
  <c r="G30" i="8"/>
  <c r="H30" i="8"/>
  <c r="O30" i="8"/>
  <c r="K29" i="8"/>
  <c r="L29" i="8"/>
  <c r="N29" i="8"/>
  <c r="G29" i="8"/>
  <c r="H29" i="8"/>
  <c r="O29" i="8"/>
  <c r="K28" i="8"/>
  <c r="G28" i="8"/>
  <c r="H24" i="8"/>
  <c r="O24" i="8"/>
  <c r="L39" i="8"/>
  <c r="H39" i="8"/>
  <c r="O39" i="8"/>
  <c r="L23" i="8"/>
  <c r="H23" i="8"/>
  <c r="L22" i="8"/>
  <c r="H22" i="8"/>
  <c r="G58" i="1"/>
  <c r="H58" i="1"/>
  <c r="G39" i="13"/>
  <c r="N40" i="13"/>
  <c r="O40" i="13"/>
  <c r="H58" i="13"/>
  <c r="O58" i="13"/>
  <c r="L56" i="13"/>
  <c r="N56" i="13"/>
  <c r="H55" i="13"/>
  <c r="O55" i="13"/>
  <c r="H57" i="13"/>
  <c r="O57" i="13"/>
  <c r="N23" i="8"/>
  <c r="O23" i="8"/>
  <c r="O59" i="8"/>
  <c r="G59" i="1"/>
  <c r="H59" i="1"/>
  <c r="O59" i="1"/>
  <c r="K59" i="1"/>
  <c r="L59" i="1"/>
  <c r="H57" i="1"/>
  <c r="K56" i="1"/>
  <c r="L56" i="1"/>
  <c r="N56" i="1"/>
  <c r="K54" i="1"/>
  <c r="L54" i="1"/>
  <c r="N54" i="1"/>
  <c r="O54" i="1"/>
  <c r="G54" i="1"/>
  <c r="H54" i="1"/>
  <c r="L53" i="1"/>
  <c r="H53" i="1"/>
  <c r="N53" i="1"/>
  <c r="O53" i="1"/>
  <c r="L46" i="1"/>
  <c r="H46" i="1"/>
  <c r="N46" i="1"/>
  <c r="O45" i="1"/>
  <c r="K44" i="1"/>
  <c r="G44" i="1"/>
  <c r="H44" i="1"/>
  <c r="K43" i="1"/>
  <c r="L43" i="1"/>
  <c r="N43" i="1"/>
  <c r="G43" i="1"/>
  <c r="H43" i="1"/>
  <c r="O43" i="1"/>
  <c r="K42" i="1"/>
  <c r="L42" i="1"/>
  <c r="N42" i="1"/>
  <c r="G42" i="1"/>
  <c r="H42" i="1"/>
  <c r="O42" i="1"/>
  <c r="K41" i="1"/>
  <c r="L41" i="1"/>
  <c r="N41" i="1"/>
  <c r="G41" i="1"/>
  <c r="H41" i="1"/>
  <c r="K40" i="1"/>
  <c r="G40" i="1"/>
  <c r="K37" i="1"/>
  <c r="L37" i="1"/>
  <c r="N37" i="1"/>
  <c r="G37" i="1"/>
  <c r="H37" i="1"/>
  <c r="O37" i="1"/>
  <c r="K36" i="1"/>
  <c r="L36" i="1"/>
  <c r="N36" i="1"/>
  <c r="G36" i="1"/>
  <c r="H36" i="1"/>
  <c r="O36" i="1"/>
  <c r="K35" i="1"/>
  <c r="L35" i="1"/>
  <c r="G35" i="1"/>
  <c r="H35" i="1"/>
  <c r="N35" i="1"/>
  <c r="O35" i="1"/>
  <c r="K34" i="1"/>
  <c r="L34" i="1"/>
  <c r="N34" i="1"/>
  <c r="G34" i="1"/>
  <c r="H34" i="1"/>
  <c r="O34" i="1"/>
  <c r="K33" i="1"/>
  <c r="L33" i="1"/>
  <c r="G33" i="1"/>
  <c r="H33" i="1"/>
  <c r="O33" i="1"/>
  <c r="K32" i="1"/>
  <c r="L32" i="1"/>
  <c r="N32" i="1"/>
  <c r="G32" i="1"/>
  <c r="H32" i="1"/>
  <c r="O32" i="1"/>
  <c r="K31" i="1"/>
  <c r="L31" i="1"/>
  <c r="N31" i="1"/>
  <c r="G31" i="1"/>
  <c r="H31" i="1"/>
  <c r="O31" i="1"/>
  <c r="K30" i="1"/>
  <c r="L30" i="1"/>
  <c r="G30" i="1"/>
  <c r="H30" i="1"/>
  <c r="O30" i="1"/>
  <c r="K29" i="1"/>
  <c r="L29" i="1"/>
  <c r="G29" i="1"/>
  <c r="H29" i="1"/>
  <c r="O29" i="1"/>
  <c r="K28" i="1"/>
  <c r="G28" i="1"/>
  <c r="H24" i="1"/>
  <c r="L39" i="1"/>
  <c r="N39" i="1"/>
  <c r="H39" i="1"/>
  <c r="O39" i="1"/>
  <c r="L23" i="1"/>
  <c r="H23" i="1"/>
  <c r="N23" i="1"/>
  <c r="L22" i="1"/>
  <c r="H22" i="1"/>
  <c r="N22" i="1"/>
  <c r="O22" i="1"/>
  <c r="K57" i="1"/>
  <c r="L57" i="1"/>
  <c r="N57" i="1"/>
  <c r="N54" i="17"/>
  <c r="N55" i="16"/>
  <c r="N57" i="13"/>
  <c r="O23" i="17"/>
  <c r="O41" i="1"/>
  <c r="O24" i="1"/>
  <c r="N29" i="1"/>
  <c r="O58" i="8"/>
  <c r="N39" i="8"/>
  <c r="O23" i="13"/>
  <c r="O31" i="14"/>
  <c r="L57" i="14"/>
  <c r="N57" i="14" s="1"/>
  <c r="O57" i="14" s="1"/>
  <c r="H57" i="14"/>
  <c r="N54" i="14"/>
  <c r="O41" i="13"/>
  <c r="N41" i="13"/>
  <c r="O54" i="13"/>
  <c r="N26" i="13"/>
  <c r="O26" i="13"/>
  <c r="N31" i="13"/>
  <c r="O32" i="13"/>
  <c r="N32" i="13"/>
  <c r="G51" i="13"/>
  <c r="H51" i="13"/>
  <c r="O37" i="8"/>
  <c r="N37" i="8"/>
  <c r="O36" i="8"/>
  <c r="N36" i="8"/>
  <c r="G51" i="8"/>
  <c r="H51" i="8"/>
  <c r="G52" i="8"/>
  <c r="H52" i="8"/>
  <c r="N31" i="8"/>
  <c r="N55" i="8"/>
  <c r="O55" i="8"/>
  <c r="O57" i="8"/>
  <c r="N30" i="8"/>
  <c r="O33" i="8"/>
  <c r="N33" i="8"/>
  <c r="N22" i="8"/>
  <c r="O22" i="8"/>
  <c r="N42" i="8"/>
  <c r="H56" i="8"/>
  <c r="N41" i="8"/>
  <c r="K52" i="1"/>
  <c r="L52" i="1" s="1"/>
  <c r="N52" i="1" s="1"/>
  <c r="O52" i="1" s="1"/>
  <c r="G51" i="1"/>
  <c r="H51" i="1"/>
  <c r="O57" i="1"/>
  <c r="N59" i="1"/>
  <c r="O56" i="1"/>
  <c r="N26" i="1"/>
  <c r="O26" i="1"/>
  <c r="N30" i="1"/>
  <c r="O23" i="1"/>
  <c r="N33" i="1"/>
  <c r="G52" i="1"/>
  <c r="H52" i="1"/>
  <c r="K58" i="1"/>
  <c r="L58" i="1"/>
  <c r="N58" i="1"/>
  <c r="O58" i="1"/>
  <c r="O31" i="16"/>
  <c r="N31" i="16"/>
  <c r="L58" i="16"/>
  <c r="N58" i="16"/>
  <c r="J44" i="16"/>
  <c r="N37" i="16"/>
  <c r="N54" i="16"/>
  <c r="O54" i="16"/>
  <c r="O26" i="16"/>
  <c r="N34" i="16"/>
  <c r="N57" i="16"/>
  <c r="O57" i="16"/>
  <c r="O36" i="16"/>
  <c r="L57" i="17"/>
  <c r="J43" i="17"/>
  <c r="L43" i="17"/>
  <c r="N43" i="17" s="1"/>
  <c r="O43" i="17" s="1"/>
  <c r="N29" i="17"/>
  <c r="N53" i="17"/>
  <c r="O53" i="17"/>
  <c r="N34" i="17"/>
  <c r="N25" i="17"/>
  <c r="O25" i="17"/>
  <c r="N39" i="17"/>
  <c r="O56" i="17"/>
  <c r="O22" i="17"/>
  <c r="O51" i="17"/>
  <c r="O55" i="17"/>
  <c r="H57" i="17"/>
  <c r="O57" i="17"/>
  <c r="N36" i="17"/>
  <c r="N56" i="8"/>
  <c r="O56" i="8"/>
  <c r="N57" i="17"/>
  <c r="N47" i="39" l="1"/>
  <c r="K51" i="16"/>
  <c r="L51" i="16" s="1"/>
  <c r="N51" i="16" s="1"/>
  <c r="O51" i="16" s="1"/>
  <c r="O56" i="37"/>
  <c r="O52" i="37"/>
  <c r="O24" i="37"/>
  <c r="L57" i="37"/>
  <c r="N57" i="37" s="1"/>
  <c r="O57" i="37" s="1"/>
  <c r="N39" i="37"/>
  <c r="K53" i="37"/>
  <c r="L53" i="37" s="1"/>
  <c r="N53" i="37" s="1"/>
  <c r="O53" i="37" s="1"/>
  <c r="L43" i="37"/>
  <c r="N43" i="37" s="1"/>
  <c r="O43" i="37" s="1"/>
  <c r="N49" i="37"/>
  <c r="O49" i="37" s="1"/>
  <c r="N32" i="14"/>
  <c r="N29" i="14"/>
  <c r="N52" i="14"/>
  <c r="O52" i="14" s="1"/>
  <c r="O25" i="14"/>
  <c r="N28" i="14"/>
  <c r="N33" i="14"/>
  <c r="N36" i="14"/>
  <c r="L43" i="14"/>
  <c r="N43" i="14" s="1"/>
  <c r="O43" i="14" s="1"/>
  <c r="N49" i="14"/>
  <c r="O49" i="14" s="1"/>
  <c r="N50" i="14"/>
  <c r="O50" i="14" s="1"/>
  <c r="H49" i="14"/>
  <c r="H46" i="14"/>
  <c r="N46" i="14"/>
  <c r="O46" i="14" s="1"/>
  <c r="K47" i="37"/>
  <c r="L47" i="37" s="1"/>
  <c r="N47" i="37" s="1"/>
  <c r="O47" i="37" s="1"/>
  <c r="K47" i="14"/>
  <c r="L47" i="14" s="1"/>
  <c r="N47" i="14" s="1"/>
  <c r="O47" i="14" s="1"/>
  <c r="L48" i="27"/>
  <c r="N48" i="27" s="1"/>
  <c r="O48" i="27" s="1"/>
  <c r="L48" i="34"/>
  <c r="N48" i="34" s="1"/>
  <c r="O48" i="34" s="1"/>
  <c r="L50" i="36"/>
  <c r="N50" i="36" s="1"/>
  <c r="O50" i="36" s="1"/>
  <c r="K50" i="37"/>
  <c r="L50" i="37" s="1"/>
  <c r="N50" i="37" s="1"/>
  <c r="O50" i="37" s="1"/>
  <c r="L48" i="28"/>
  <c r="N48" i="28" s="1"/>
  <c r="O48" i="28" s="1"/>
  <c r="L48" i="35"/>
  <c r="N48" i="35" s="1"/>
  <c r="O48" i="35" s="1"/>
  <c r="L46" i="17"/>
  <c r="N46" i="17" s="1"/>
  <c r="O46" i="17" s="1"/>
  <c r="N50" i="39"/>
  <c r="O50" i="39" s="1"/>
  <c r="K51" i="32"/>
  <c r="L51" i="32" s="1"/>
  <c r="N51" i="32" s="1"/>
  <c r="O51" i="32" s="1"/>
  <c r="K51" i="28"/>
  <c r="L51" i="28" s="1"/>
  <c r="N51" i="28" s="1"/>
  <c r="O51" i="28" s="1"/>
  <c r="K52" i="28"/>
  <c r="L52" i="28" s="1"/>
  <c r="N52" i="28" s="1"/>
  <c r="O52" i="28" s="1"/>
  <c r="L49" i="28"/>
  <c r="N49" i="28" s="1"/>
  <c r="O49" i="28" s="1"/>
  <c r="L47" i="16"/>
  <c r="N47" i="16" s="1"/>
  <c r="O47" i="16" s="1"/>
  <c r="K51" i="13"/>
  <c r="L51" i="13" s="1"/>
  <c r="N51" i="13" s="1"/>
  <c r="O51" i="13" s="1"/>
  <c r="K51" i="35"/>
  <c r="L51" i="35" s="1"/>
  <c r="N51" i="35" s="1"/>
  <c r="O51" i="35" s="1"/>
  <c r="K52" i="35"/>
  <c r="L52" i="35" s="1"/>
  <c r="N52" i="35" s="1"/>
  <c r="O52" i="35" s="1"/>
  <c r="L49" i="35"/>
  <c r="N49" i="35" s="1"/>
  <c r="O49" i="35" s="1"/>
  <c r="K51" i="34"/>
  <c r="L51" i="34" s="1"/>
  <c r="N51" i="34" s="1"/>
  <c r="O51" i="34" s="1"/>
  <c r="K52" i="34"/>
  <c r="L52" i="34" s="1"/>
  <c r="N52" i="34" s="1"/>
  <c r="O52" i="34" s="1"/>
  <c r="L49" i="34"/>
  <c r="N49" i="34" s="1"/>
  <c r="O49" i="34" s="1"/>
  <c r="K51" i="33"/>
  <c r="L51" i="33" s="1"/>
  <c r="N51" i="33" s="1"/>
  <c r="O51" i="33" s="1"/>
  <c r="K52" i="33"/>
  <c r="L52" i="33" s="1"/>
  <c r="N52" i="33" s="1"/>
  <c r="O52" i="33" s="1"/>
  <c r="L49" i="33"/>
  <c r="N49" i="33" s="1"/>
  <c r="O49" i="33" s="1"/>
  <c r="L49" i="8"/>
  <c r="N49" i="8" s="1"/>
  <c r="O49" i="8" s="1"/>
  <c r="K52" i="8"/>
  <c r="L52" i="8" s="1"/>
  <c r="N52" i="8" s="1"/>
  <c r="O52" i="8" s="1"/>
  <c r="K51" i="8"/>
  <c r="L51" i="8" s="1"/>
  <c r="N51" i="8" s="1"/>
  <c r="O51" i="8" s="1"/>
  <c r="L48" i="8"/>
  <c r="N48" i="8" s="1"/>
  <c r="O48" i="8" s="1"/>
  <c r="K49" i="31"/>
  <c r="K49" i="30"/>
  <c r="K49" i="29"/>
  <c r="K51" i="27"/>
  <c r="L51" i="27" s="1"/>
  <c r="N51" i="27" s="1"/>
  <c r="O51" i="27" s="1"/>
  <c r="K52" i="27"/>
  <c r="L52" i="27" s="1"/>
  <c r="N52" i="27" s="1"/>
  <c r="O52" i="27" s="1"/>
  <c r="L49" i="27"/>
  <c r="N49" i="27" s="1"/>
  <c r="O49" i="27" s="1"/>
  <c r="K49" i="26"/>
  <c r="K51" i="1"/>
  <c r="L51" i="1" s="1"/>
  <c r="N51" i="1" s="1"/>
  <c r="O51" i="1" s="1"/>
  <c r="H37" i="39"/>
  <c r="H45" i="39" s="1"/>
  <c r="N47" i="25"/>
  <c r="O47" i="25" s="1"/>
  <c r="N46" i="25"/>
  <c r="O46" i="25" s="1"/>
  <c r="N51" i="40"/>
  <c r="O51" i="40" s="1"/>
  <c r="J44" i="40"/>
  <c r="L44" i="40" s="1"/>
  <c r="L58" i="40"/>
  <c r="N58" i="40" s="1"/>
  <c r="O58" i="40" s="1"/>
  <c r="H46" i="40"/>
  <c r="N48" i="40"/>
  <c r="O48" i="40" s="1"/>
  <c r="J43" i="39"/>
  <c r="L43" i="39" s="1"/>
  <c r="L57" i="39"/>
  <c r="N57" i="39" s="1"/>
  <c r="O57" i="39" s="1"/>
  <c r="N53" i="39"/>
  <c r="O53" i="39" s="1"/>
  <c r="O47" i="39"/>
  <c r="L48" i="36"/>
  <c r="N48" i="36" s="1"/>
  <c r="O48" i="36" s="1"/>
  <c r="N47" i="36"/>
  <c r="O47" i="36" s="1"/>
  <c r="N48" i="13"/>
  <c r="O48" i="13" s="1"/>
  <c r="N47" i="13"/>
  <c r="O47" i="13" s="1"/>
  <c r="H49" i="38"/>
  <c r="H66" i="38" s="1"/>
  <c r="O54" i="38"/>
  <c r="N47" i="38"/>
  <c r="O47" i="38" s="1"/>
  <c r="H38" i="29"/>
  <c r="H38" i="32"/>
  <c r="H38" i="27"/>
  <c r="H38" i="35"/>
  <c r="H37" i="14"/>
  <c r="H38" i="13"/>
  <c r="H38" i="36"/>
  <c r="H38" i="28"/>
  <c r="H37" i="17"/>
  <c r="H38" i="1"/>
  <c r="H38" i="8"/>
  <c r="H38" i="16"/>
  <c r="F26" i="24" s="1"/>
  <c r="H38" i="31"/>
  <c r="F15" i="24" s="1"/>
  <c r="H38" i="34"/>
  <c r="F19" i="24" s="1"/>
  <c r="H38" i="26"/>
  <c r="F10" i="24" s="1"/>
  <c r="H38" i="30"/>
  <c r="F14" i="24" s="1"/>
  <c r="H38" i="33"/>
  <c r="F18" i="24" s="1"/>
  <c r="H37" i="37"/>
  <c r="F24" i="24" s="1"/>
  <c r="H37" i="25"/>
  <c r="H47" i="8" l="1"/>
  <c r="H50" i="8" s="1"/>
  <c r="F16" i="24"/>
  <c r="H46" i="36"/>
  <c r="H49" i="36" s="1"/>
  <c r="H66" i="36" s="1"/>
  <c r="F22" i="24"/>
  <c r="H47" i="27"/>
  <c r="H50" i="27" s="1"/>
  <c r="H61" i="27" s="1"/>
  <c r="H62" i="27" s="1"/>
  <c r="H63" i="27" s="1"/>
  <c r="H64" i="27" s="1"/>
  <c r="H65" i="27" s="1"/>
  <c r="F11" i="24"/>
  <c r="H47" i="28"/>
  <c r="H50" i="28" s="1"/>
  <c r="F12" i="24"/>
  <c r="H47" i="1"/>
  <c r="H50" i="1" s="1"/>
  <c r="F9" i="24"/>
  <c r="H46" i="13"/>
  <c r="H49" i="13" s="1"/>
  <c r="H66" i="13" s="1"/>
  <c r="F21" i="24"/>
  <c r="H47" i="32"/>
  <c r="H50" i="32" s="1"/>
  <c r="H67" i="32" s="1"/>
  <c r="H68" i="32" s="1"/>
  <c r="F17" i="24"/>
  <c r="H47" i="35"/>
  <c r="H50" i="35" s="1"/>
  <c r="H61" i="35" s="1"/>
  <c r="F20" i="24"/>
  <c r="H45" i="17"/>
  <c r="H48" i="17" s="1"/>
  <c r="F25" i="24"/>
  <c r="H45" i="14"/>
  <c r="H48" i="14" s="1"/>
  <c r="H65" i="14" s="1"/>
  <c r="F23" i="24"/>
  <c r="H47" i="29"/>
  <c r="H50" i="29" s="1"/>
  <c r="H67" i="29" s="1"/>
  <c r="H68" i="29" s="1"/>
  <c r="H69" i="29" s="1"/>
  <c r="H70" i="29" s="1"/>
  <c r="F13" i="24"/>
  <c r="L49" i="31"/>
  <c r="N49" i="31" s="1"/>
  <c r="O49" i="31" s="1"/>
  <c r="K51" i="31"/>
  <c r="L51" i="31" s="1"/>
  <c r="N51" i="31" s="1"/>
  <c r="O51" i="31" s="1"/>
  <c r="K52" i="31"/>
  <c r="L52" i="31" s="1"/>
  <c r="N52" i="31" s="1"/>
  <c r="O52" i="31" s="1"/>
  <c r="L49" i="30"/>
  <c r="N49" i="30" s="1"/>
  <c r="O49" i="30" s="1"/>
  <c r="K51" i="30"/>
  <c r="L51" i="30" s="1"/>
  <c r="N51" i="30" s="1"/>
  <c r="O51" i="30" s="1"/>
  <c r="K52" i="30"/>
  <c r="L52" i="30" s="1"/>
  <c r="N52" i="30" s="1"/>
  <c r="O52" i="30" s="1"/>
  <c r="L49" i="29"/>
  <c r="N49" i="29" s="1"/>
  <c r="O49" i="29" s="1"/>
  <c r="K51" i="29"/>
  <c r="L51" i="29" s="1"/>
  <c r="N51" i="29" s="1"/>
  <c r="O51" i="29" s="1"/>
  <c r="K52" i="29"/>
  <c r="L52" i="29" s="1"/>
  <c r="N52" i="29" s="1"/>
  <c r="O52" i="29" s="1"/>
  <c r="K51" i="26"/>
  <c r="L51" i="26" s="1"/>
  <c r="N51" i="26" s="1"/>
  <c r="O51" i="26" s="1"/>
  <c r="L49" i="26"/>
  <c r="N49" i="26" s="1"/>
  <c r="O49" i="26" s="1"/>
  <c r="K52" i="26"/>
  <c r="L52" i="26" s="1"/>
  <c r="N52" i="26" s="1"/>
  <c r="O52" i="26" s="1"/>
  <c r="H60" i="38"/>
  <c r="H61" i="38" s="1"/>
  <c r="N44" i="40"/>
  <c r="O44" i="40" s="1"/>
  <c r="H49" i="40"/>
  <c r="H48" i="39"/>
  <c r="N43" i="39"/>
  <c r="O43" i="39" s="1"/>
  <c r="H67" i="38"/>
  <c r="H69" i="32"/>
  <c r="H70" i="32" s="1"/>
  <c r="H71" i="32" s="1"/>
  <c r="H45" i="25"/>
  <c r="H47" i="34"/>
  <c r="H46" i="16"/>
  <c r="H45" i="37"/>
  <c r="H47" i="30"/>
  <c r="H47" i="31"/>
  <c r="H47" i="26"/>
  <c r="H47" i="33"/>
  <c r="H60" i="36" l="1"/>
  <c r="H67" i="27"/>
  <c r="H68" i="27" s="1"/>
  <c r="H69" i="27" s="1"/>
  <c r="H70" i="27" s="1"/>
  <c r="H71" i="27" s="1"/>
  <c r="H59" i="14"/>
  <c r="H61" i="32"/>
  <c r="H62" i="32" s="1"/>
  <c r="H71" i="29"/>
  <c r="H61" i="29"/>
  <c r="H62" i="29" s="1"/>
  <c r="H63" i="29" s="1"/>
  <c r="H64" i="29" s="1"/>
  <c r="H65" i="29" s="1"/>
  <c r="J13" i="24" s="1"/>
  <c r="H67" i="35"/>
  <c r="H68" i="35" s="1"/>
  <c r="H69" i="35" s="1"/>
  <c r="H60" i="40"/>
  <c r="H66" i="40"/>
  <c r="H59" i="39"/>
  <c r="H65" i="39"/>
  <c r="H62" i="38"/>
  <c r="H68" i="38"/>
  <c r="H60" i="13"/>
  <c r="H61" i="13" s="1"/>
  <c r="H62" i="13" s="1"/>
  <c r="H60" i="14"/>
  <c r="H61" i="14" s="1"/>
  <c r="H66" i="14"/>
  <c r="H67" i="14" s="1"/>
  <c r="H68" i="14" s="1"/>
  <c r="H69" i="14" s="1"/>
  <c r="J23" i="24" s="1"/>
  <c r="H61" i="1"/>
  <c r="H67" i="1"/>
  <c r="H67" i="8"/>
  <c r="H61" i="8"/>
  <c r="H61" i="28"/>
  <c r="H67" i="28"/>
  <c r="H68" i="28" s="1"/>
  <c r="H69" i="28" s="1"/>
  <c r="H65" i="17"/>
  <c r="H59" i="17"/>
  <c r="H60" i="17" s="1"/>
  <c r="H61" i="17" s="1"/>
  <c r="H67" i="36"/>
  <c r="H68" i="36" s="1"/>
  <c r="H62" i="35"/>
  <c r="H63" i="35" s="1"/>
  <c r="H50" i="31"/>
  <c r="H49" i="16"/>
  <c r="H61" i="36"/>
  <c r="H62" i="36" s="1"/>
  <c r="H67" i="13"/>
  <c r="H50" i="30"/>
  <c r="F27" i="24"/>
  <c r="H48" i="25"/>
  <c r="H48" i="37"/>
  <c r="H50" i="34"/>
  <c r="H50" i="33"/>
  <c r="H50" i="26"/>
  <c r="J11" i="24"/>
  <c r="H63" i="32" l="1"/>
  <c r="H64" i="32" s="1"/>
  <c r="H67" i="40"/>
  <c r="H61" i="40"/>
  <c r="H62" i="40" s="1"/>
  <c r="H60" i="39"/>
  <c r="H61" i="39" s="1"/>
  <c r="H66" i="39"/>
  <c r="H63" i="38"/>
  <c r="H62" i="14"/>
  <c r="H63" i="14" s="1"/>
  <c r="H62" i="17"/>
  <c r="H63" i="17" s="1"/>
  <c r="H66" i="17"/>
  <c r="H67" i="17" s="1"/>
  <c r="H70" i="28"/>
  <c r="H71" i="28" s="1"/>
  <c r="H68" i="1"/>
  <c r="H69" i="1" s="1"/>
  <c r="H62" i="8"/>
  <c r="H63" i="8" s="1"/>
  <c r="H68" i="8"/>
  <c r="H69" i="8" s="1"/>
  <c r="H70" i="8" s="1"/>
  <c r="H71" i="8" s="1"/>
  <c r="H62" i="28"/>
  <c r="H63" i="28" s="1"/>
  <c r="H62" i="1"/>
  <c r="H63" i="1" s="1"/>
  <c r="H64" i="35"/>
  <c r="H65" i="35" s="1"/>
  <c r="H59" i="25"/>
  <c r="H65" i="25"/>
  <c r="H69" i="36"/>
  <c r="H70" i="36" s="1"/>
  <c r="H67" i="33"/>
  <c r="H61" i="33"/>
  <c r="H65" i="37"/>
  <c r="H59" i="37"/>
  <c r="H61" i="31"/>
  <c r="H67" i="31"/>
  <c r="H61" i="26"/>
  <c r="H67" i="26"/>
  <c r="H66" i="16"/>
  <c r="H60" i="16"/>
  <c r="H63" i="13"/>
  <c r="H67" i="34"/>
  <c r="H61" i="34"/>
  <c r="H61" i="30"/>
  <c r="H67" i="30"/>
  <c r="H70" i="35"/>
  <c r="H71" i="35" s="1"/>
  <c r="H68" i="13"/>
  <c r="H63" i="36"/>
  <c r="H64" i="36" s="1"/>
  <c r="H65" i="32" l="1"/>
  <c r="J17" i="24" s="1"/>
  <c r="H63" i="40"/>
  <c r="H64" i="40" s="1"/>
  <c r="H68" i="40"/>
  <c r="H62" i="39"/>
  <c r="H67" i="39"/>
  <c r="N69" i="38"/>
  <c r="O69" i="38" s="1"/>
  <c r="H64" i="38"/>
  <c r="H70" i="38"/>
  <c r="H70" i="1"/>
  <c r="H71" i="1" s="1"/>
  <c r="H64" i="1"/>
  <c r="H65" i="1" s="1"/>
  <c r="J9" i="24" s="1"/>
  <c r="H68" i="17"/>
  <c r="H69" i="17" s="1"/>
  <c r="J25" i="24" s="1"/>
  <c r="H64" i="8"/>
  <c r="H65" i="8" s="1"/>
  <c r="J16" i="24" s="1"/>
  <c r="H64" i="28"/>
  <c r="H65" i="28" s="1"/>
  <c r="J12" i="24" s="1"/>
  <c r="J20" i="24"/>
  <c r="H68" i="30"/>
  <c r="H61" i="16"/>
  <c r="H62" i="16" s="1"/>
  <c r="H68" i="26"/>
  <c r="H69" i="26" s="1"/>
  <c r="H68" i="31"/>
  <c r="H69" i="31" s="1"/>
  <c r="H62" i="33"/>
  <c r="H63" i="33" s="1"/>
  <c r="J22" i="24"/>
  <c r="H62" i="34"/>
  <c r="H63" i="34" s="1"/>
  <c r="H67" i="16"/>
  <c r="H68" i="16" s="1"/>
  <c r="H62" i="31"/>
  <c r="H63" i="31" s="1"/>
  <c r="H60" i="37"/>
  <c r="H61" i="37" s="1"/>
  <c r="H68" i="33"/>
  <c r="H69" i="33" s="1"/>
  <c r="H62" i="30"/>
  <c r="H63" i="30" s="1"/>
  <c r="H68" i="34"/>
  <c r="H69" i="34" s="1"/>
  <c r="H62" i="26"/>
  <c r="H66" i="37"/>
  <c r="H66" i="25"/>
  <c r="H67" i="25" s="1"/>
  <c r="H69" i="13"/>
  <c r="H70" i="13" s="1"/>
  <c r="H64" i="13"/>
  <c r="H60" i="25"/>
  <c r="H61" i="25" s="1"/>
  <c r="H70" i="40" l="1"/>
  <c r="H63" i="39"/>
  <c r="H69" i="39"/>
  <c r="H68" i="25"/>
  <c r="H69" i="25" s="1"/>
  <c r="H70" i="34"/>
  <c r="H71" i="34" s="1"/>
  <c r="H64" i="30"/>
  <c r="H65" i="30" s="1"/>
  <c r="H62" i="37"/>
  <c r="H63" i="37" s="1"/>
  <c r="H69" i="16"/>
  <c r="H70" i="16" s="1"/>
  <c r="H64" i="34"/>
  <c r="H65" i="34" s="1"/>
  <c r="H70" i="26"/>
  <c r="H71" i="26" s="1"/>
  <c r="H63" i="16"/>
  <c r="H64" i="16" s="1"/>
  <c r="H62" i="25"/>
  <c r="H63" i="25" s="1"/>
  <c r="J21" i="24"/>
  <c r="H67" i="37"/>
  <c r="H63" i="26"/>
  <c r="H70" i="33"/>
  <c r="H71" i="33" s="1"/>
  <c r="H64" i="31"/>
  <c r="H65" i="31" s="1"/>
  <c r="H64" i="33"/>
  <c r="H65" i="33" s="1"/>
  <c r="H70" i="31"/>
  <c r="H69" i="30"/>
  <c r="N69" i="40" l="1"/>
  <c r="O69" i="40" s="1"/>
  <c r="N68" i="39"/>
  <c r="O68" i="39" s="1"/>
  <c r="J15" i="24"/>
  <c r="J14" i="24"/>
  <c r="H68" i="37"/>
  <c r="H69" i="37" s="1"/>
  <c r="J26" i="24"/>
  <c r="J27" i="24"/>
  <c r="H71" i="31"/>
  <c r="J18" i="24"/>
  <c r="H70" i="30"/>
  <c r="H64" i="26"/>
  <c r="J19" i="24"/>
  <c r="J24" i="24" l="1"/>
  <c r="H65" i="26"/>
  <c r="H71" i="30"/>
  <c r="J10" i="24" l="1"/>
  <c r="L41" i="25" l="1"/>
  <c r="N41" i="25" s="1"/>
  <c r="O41" i="25" s="1"/>
  <c r="L38" i="25"/>
  <c r="N38" i="25" s="1"/>
  <c r="O38" i="25" s="1"/>
  <c r="L38" i="17"/>
  <c r="N38" i="17" s="1"/>
  <c r="O38" i="17" s="1"/>
  <c r="L25" i="28"/>
  <c r="L40" i="29" l="1"/>
  <c r="N40" i="29" s="1"/>
  <c r="O40" i="29" s="1"/>
  <c r="L40" i="27"/>
  <c r="N40" i="27" s="1"/>
  <c r="O40" i="27" s="1"/>
  <c r="L40" i="30"/>
  <c r="N40" i="30" s="1"/>
  <c r="O40" i="30" s="1"/>
  <c r="L40" i="31"/>
  <c r="N40" i="31" s="1"/>
  <c r="O40" i="31" s="1"/>
  <c r="L40" i="28"/>
  <c r="N40" i="28" s="1"/>
  <c r="O40" i="28" s="1"/>
  <c r="L40" i="26"/>
  <c r="N40" i="26" s="1"/>
  <c r="O40" i="26" s="1"/>
  <c r="L40" i="1"/>
  <c r="N40" i="1" s="1"/>
  <c r="O40" i="1" s="1"/>
  <c r="L40" i="33"/>
  <c r="N40" i="33" s="1"/>
  <c r="O40" i="33" s="1"/>
  <c r="L40" i="8"/>
  <c r="N40" i="8" s="1"/>
  <c r="O40" i="8" s="1"/>
  <c r="L40" i="35"/>
  <c r="N40" i="35" s="1"/>
  <c r="O40" i="35" s="1"/>
  <c r="L40" i="34"/>
  <c r="N40" i="34" s="1"/>
  <c r="O40" i="34" s="1"/>
  <c r="L40" i="32"/>
  <c r="N40" i="32" s="1"/>
  <c r="O40" i="32" s="1"/>
  <c r="L42" i="38"/>
  <c r="N42" i="38" s="1"/>
  <c r="O42" i="38" s="1"/>
  <c r="L42" i="36"/>
  <c r="N42" i="36" s="1"/>
  <c r="O42" i="36" s="1"/>
  <c r="L42" i="13"/>
  <c r="N42" i="13" s="1"/>
  <c r="O42" i="13" s="1"/>
  <c r="L39" i="40"/>
  <c r="N39" i="40" s="1"/>
  <c r="O39" i="40" s="1"/>
  <c r="L39" i="16"/>
  <c r="N39" i="16" s="1"/>
  <c r="O39" i="16" s="1"/>
  <c r="L39" i="38"/>
  <c r="N39" i="38" s="1"/>
  <c r="O39" i="38" s="1"/>
  <c r="L39" i="13"/>
  <c r="N39" i="13" s="1"/>
  <c r="O39" i="13" s="1"/>
  <c r="L39" i="36"/>
  <c r="N39" i="36" s="1"/>
  <c r="O39" i="36" s="1"/>
  <c r="L41" i="39"/>
  <c r="N41" i="39" s="1"/>
  <c r="O41" i="39" s="1"/>
  <c r="L41" i="37"/>
  <c r="N41" i="37" s="1"/>
  <c r="O41" i="37" s="1"/>
  <c r="L41" i="14"/>
  <c r="N41" i="14" s="1"/>
  <c r="O41" i="14" s="1"/>
  <c r="L38" i="39"/>
  <c r="N38" i="39" s="1"/>
  <c r="O38" i="39" s="1"/>
  <c r="L38" i="14"/>
  <c r="N38" i="14" s="1"/>
  <c r="O38" i="14" s="1"/>
  <c r="L38" i="37"/>
  <c r="N38" i="37" s="1"/>
  <c r="O38" i="37" s="1"/>
  <c r="L42" i="40"/>
  <c r="N42" i="40" s="1"/>
  <c r="O42" i="40" s="1"/>
  <c r="L42" i="16"/>
  <c r="N42" i="16" s="1"/>
  <c r="O42" i="16" s="1"/>
  <c r="N25" i="28"/>
  <c r="L25" i="40"/>
  <c r="L25" i="32"/>
  <c r="L25" i="38"/>
  <c r="N25" i="32" l="1"/>
  <c r="N25" i="40"/>
  <c r="N25" i="38"/>
  <c r="L26" i="17" l="1"/>
  <c r="L26" i="25"/>
  <c r="L27" i="40" l="1"/>
  <c r="L27" i="16"/>
  <c r="N26" i="17"/>
  <c r="L27" i="33"/>
  <c r="L27" i="35"/>
  <c r="L27" i="34"/>
  <c r="L27" i="32"/>
  <c r="L27" i="8"/>
  <c r="L27" i="36"/>
  <c r="L27" i="38"/>
  <c r="L27" i="13"/>
  <c r="L26" i="39"/>
  <c r="L26" i="14"/>
  <c r="L26" i="37"/>
  <c r="N26" i="25"/>
  <c r="L27" i="31" l="1"/>
  <c r="L27" i="30"/>
  <c r="L27" i="1"/>
  <c r="L27" i="29"/>
  <c r="L27" i="27"/>
  <c r="L27" i="26"/>
  <c r="L27" i="28"/>
  <c r="N27" i="32"/>
  <c r="N27" i="38"/>
  <c r="N27" i="34"/>
  <c r="N26" i="14"/>
  <c r="N27" i="36"/>
  <c r="N27" i="35"/>
  <c r="N27" i="16"/>
  <c r="N27" i="13"/>
  <c r="N26" i="37"/>
  <c r="N26" i="39"/>
  <c r="N27" i="8"/>
  <c r="N27" i="33"/>
  <c r="N27" i="40"/>
  <c r="N27" i="28" l="1"/>
  <c r="N27" i="30"/>
  <c r="N27" i="29"/>
  <c r="N27" i="1"/>
  <c r="N27" i="26"/>
  <c r="N27" i="27"/>
  <c r="N27" i="31"/>
  <c r="L24" i="29" l="1"/>
  <c r="L24" i="28"/>
  <c r="L24" i="1"/>
  <c r="L24" i="26"/>
  <c r="L24" i="31"/>
  <c r="L24" i="27"/>
  <c r="L24" i="30"/>
  <c r="N24" i="26" l="1"/>
  <c r="N24" i="30"/>
  <c r="N24" i="1"/>
  <c r="N24" i="27"/>
  <c r="N24" i="28"/>
  <c r="N24" i="31"/>
  <c r="N24" i="29"/>
  <c r="J42" i="25" l="1"/>
  <c r="L42" i="25" s="1"/>
  <c r="J42" i="17"/>
  <c r="L42" i="17" s="1"/>
  <c r="J43" i="13" l="1"/>
  <c r="L43" i="13" s="1"/>
  <c r="J43" i="38"/>
  <c r="L43" i="38" s="1"/>
  <c r="J43" i="36"/>
  <c r="L43" i="36" s="1"/>
  <c r="N42" i="25"/>
  <c r="O42" i="25" s="1"/>
  <c r="J42" i="14"/>
  <c r="L42" i="14" s="1"/>
  <c r="J42" i="37"/>
  <c r="L42" i="37" s="1"/>
  <c r="J42" i="39"/>
  <c r="L42" i="39" s="1"/>
  <c r="J43" i="16"/>
  <c r="L43" i="16" s="1"/>
  <c r="J43" i="40"/>
  <c r="L43" i="40" s="1"/>
  <c r="N42" i="17"/>
  <c r="O42" i="17" s="1"/>
  <c r="J44" i="32"/>
  <c r="L44" i="32" s="1"/>
  <c r="J44" i="34"/>
  <c r="L44" i="34" s="1"/>
  <c r="J44" i="35"/>
  <c r="L44" i="35" s="1"/>
  <c r="J44" i="8"/>
  <c r="L44" i="8" s="1"/>
  <c r="J44" i="33"/>
  <c r="L44" i="33" s="1"/>
  <c r="N43" i="40" l="1"/>
  <c r="O43" i="40" s="1"/>
  <c r="N43" i="38"/>
  <c r="O43" i="38" s="1"/>
  <c r="N44" i="8"/>
  <c r="O44" i="8" s="1"/>
  <c r="N42" i="39"/>
  <c r="O42" i="39" s="1"/>
  <c r="J44" i="28"/>
  <c r="L44" i="28" s="1"/>
  <c r="J44" i="26"/>
  <c r="L44" i="26" s="1"/>
  <c r="J44" i="27"/>
  <c r="L44" i="27" s="1"/>
  <c r="J44" i="31"/>
  <c r="L44" i="31" s="1"/>
  <c r="J44" i="1"/>
  <c r="L44" i="1" s="1"/>
  <c r="J44" i="29"/>
  <c r="L44" i="29" s="1"/>
  <c r="J44" i="30"/>
  <c r="L44" i="30" s="1"/>
  <c r="N44" i="35"/>
  <c r="O44" i="35" s="1"/>
  <c r="N42" i="37"/>
  <c r="O42" i="37" s="1"/>
  <c r="N43" i="36"/>
  <c r="O43" i="36" s="1"/>
  <c r="N44" i="34"/>
  <c r="O44" i="34" s="1"/>
  <c r="N42" i="14"/>
  <c r="O42" i="14" s="1"/>
  <c r="N44" i="33"/>
  <c r="O44" i="33" s="1"/>
  <c r="N44" i="32"/>
  <c r="O44" i="32" s="1"/>
  <c r="N43" i="16"/>
  <c r="O43" i="16" s="1"/>
  <c r="N43" i="13"/>
  <c r="O43" i="13" s="1"/>
  <c r="N44" i="1" l="1"/>
  <c r="O44" i="1" s="1"/>
  <c r="N44" i="30"/>
  <c r="O44" i="30" s="1"/>
  <c r="N44" i="27"/>
  <c r="O44" i="27" s="1"/>
  <c r="N44" i="29"/>
  <c r="O44" i="29" s="1"/>
  <c r="N44" i="26"/>
  <c r="O44" i="26" s="1"/>
  <c r="N44" i="28"/>
  <c r="O44" i="28" s="1"/>
  <c r="N44" i="31"/>
  <c r="O44" i="31" s="1"/>
  <c r="J21" i="36" l="1"/>
  <c r="L21" i="36" s="1"/>
  <c r="J21" i="13"/>
  <c r="L21" i="13" s="1"/>
  <c r="J21" i="38"/>
  <c r="L21" i="38" s="1"/>
  <c r="N21" i="38" l="1"/>
  <c r="O21" i="38" s="1"/>
  <c r="N21" i="13"/>
  <c r="O21" i="13" s="1"/>
  <c r="N21" i="36"/>
  <c r="O21" i="36" s="1"/>
  <c r="J21" i="17" l="1"/>
  <c r="L21" i="17" s="1"/>
  <c r="N21" i="17" l="1"/>
  <c r="O21" i="17" s="1"/>
  <c r="J21" i="16"/>
  <c r="L21" i="16" s="1"/>
  <c r="J21" i="40"/>
  <c r="L21" i="40" s="1"/>
  <c r="J27" i="17"/>
  <c r="L27" i="17" s="1"/>
  <c r="N27" i="17" s="1"/>
  <c r="O27" i="17" s="1"/>
  <c r="L37" i="17" l="1"/>
  <c r="L45" i="17" s="1"/>
  <c r="N21" i="40"/>
  <c r="O21" i="40" s="1"/>
  <c r="J28" i="16"/>
  <c r="L28" i="16" s="1"/>
  <c r="N28" i="16" s="1"/>
  <c r="O28" i="16" s="1"/>
  <c r="J28" i="40"/>
  <c r="L28" i="40" s="1"/>
  <c r="N28" i="40" s="1"/>
  <c r="O28" i="40" s="1"/>
  <c r="N21" i="16"/>
  <c r="O21" i="16" s="1"/>
  <c r="G25" i="24"/>
  <c r="N37" i="17"/>
  <c r="O37" i="17" s="1"/>
  <c r="L38" i="16" l="1"/>
  <c r="H25" i="24"/>
  <c r="I25" i="24" s="1"/>
  <c r="N38" i="16"/>
  <c r="O38" i="16" s="1"/>
  <c r="G26" i="24"/>
  <c r="L46" i="16"/>
  <c r="L38" i="40"/>
  <c r="L48" i="17"/>
  <c r="N45" i="17"/>
  <c r="O45" i="17" s="1"/>
  <c r="J21" i="25"/>
  <c r="L21" i="25" s="1"/>
  <c r="N21" i="25" l="1"/>
  <c r="O21" i="25" s="1"/>
  <c r="J21" i="39"/>
  <c r="L21" i="39" s="1"/>
  <c r="J21" i="14"/>
  <c r="L21" i="14" s="1"/>
  <c r="J21" i="37"/>
  <c r="L21" i="37" s="1"/>
  <c r="H26" i="24"/>
  <c r="I26" i="24" s="1"/>
  <c r="L59" i="17"/>
  <c r="N48" i="17"/>
  <c r="O48" i="17" s="1"/>
  <c r="L65" i="17"/>
  <c r="J21" i="32"/>
  <c r="L21" i="32" s="1"/>
  <c r="J21" i="34"/>
  <c r="L21" i="34" s="1"/>
  <c r="J21" i="35"/>
  <c r="L21" i="35" s="1"/>
  <c r="J21" i="8"/>
  <c r="L21" i="8" s="1"/>
  <c r="J21" i="33"/>
  <c r="L21" i="33" s="1"/>
  <c r="N38" i="40"/>
  <c r="O38" i="40" s="1"/>
  <c r="L46" i="40"/>
  <c r="L49" i="16"/>
  <c r="N46" i="16"/>
  <c r="O46" i="16" s="1"/>
  <c r="J27" i="25"/>
  <c r="L27" i="25" s="1"/>
  <c r="N27" i="25" s="1"/>
  <c r="O27" i="25" s="1"/>
  <c r="N59" i="17" l="1"/>
  <c r="O59" i="17" s="1"/>
  <c r="L60" i="17"/>
  <c r="N60" i="17" s="1"/>
  <c r="O60" i="17" s="1"/>
  <c r="N21" i="33"/>
  <c r="O21" i="33" s="1"/>
  <c r="N21" i="32"/>
  <c r="O21" i="32" s="1"/>
  <c r="N21" i="39"/>
  <c r="O21" i="39" s="1"/>
  <c r="N21" i="34"/>
  <c r="O21" i="34" s="1"/>
  <c r="L60" i="16"/>
  <c r="L66" i="16"/>
  <c r="N49" i="16"/>
  <c r="O49" i="16" s="1"/>
  <c r="N21" i="8"/>
  <c r="O21" i="8" s="1"/>
  <c r="N65" i="17"/>
  <c r="O65" i="17" s="1"/>
  <c r="L66" i="17"/>
  <c r="N66" i="17" s="1"/>
  <c r="O66" i="17" s="1"/>
  <c r="L37" i="25"/>
  <c r="J28" i="35"/>
  <c r="L28" i="35" s="1"/>
  <c r="N28" i="35" s="1"/>
  <c r="O28" i="35" s="1"/>
  <c r="J28" i="33"/>
  <c r="L28" i="33" s="1"/>
  <c r="N28" i="33" s="1"/>
  <c r="O28" i="33" s="1"/>
  <c r="J28" i="8"/>
  <c r="L28" i="8" s="1"/>
  <c r="N28" i="8" s="1"/>
  <c r="O28" i="8" s="1"/>
  <c r="J28" i="34"/>
  <c r="L28" i="34" s="1"/>
  <c r="N28" i="34" s="1"/>
  <c r="O28" i="34" s="1"/>
  <c r="J28" i="32"/>
  <c r="L28" i="32" s="1"/>
  <c r="N28" i="32" s="1"/>
  <c r="O28" i="32" s="1"/>
  <c r="N21" i="14"/>
  <c r="O21" i="14" s="1"/>
  <c r="J27" i="14"/>
  <c r="L27" i="14" s="1"/>
  <c r="N27" i="14" s="1"/>
  <c r="O27" i="14" s="1"/>
  <c r="J27" i="37"/>
  <c r="L27" i="37" s="1"/>
  <c r="N27" i="37" s="1"/>
  <c r="O27" i="37" s="1"/>
  <c r="J27" i="39"/>
  <c r="L27" i="39" s="1"/>
  <c r="N27" i="39" s="1"/>
  <c r="O27" i="39" s="1"/>
  <c r="L49" i="40"/>
  <c r="N46" i="40"/>
  <c r="O46" i="40" s="1"/>
  <c r="N21" i="35"/>
  <c r="O21" i="35" s="1"/>
  <c r="L38" i="35"/>
  <c r="N21" i="37"/>
  <c r="O21" i="37" s="1"/>
  <c r="L37" i="37"/>
  <c r="L38" i="8" l="1"/>
  <c r="N38" i="8" s="1"/>
  <c r="O38" i="8" s="1"/>
  <c r="G24" i="24"/>
  <c r="N37" i="37"/>
  <c r="O37" i="37" s="1"/>
  <c r="L45" i="37"/>
  <c r="N37" i="25"/>
  <c r="O37" i="25" s="1"/>
  <c r="L45" i="25"/>
  <c r="G16" i="24"/>
  <c r="L47" i="8"/>
  <c r="N60" i="16"/>
  <c r="O60" i="16" s="1"/>
  <c r="L61" i="16"/>
  <c r="N61" i="16" s="1"/>
  <c r="O61" i="16" s="1"/>
  <c r="L62" i="16"/>
  <c r="L66" i="40"/>
  <c r="L60" i="40"/>
  <c r="N49" i="40"/>
  <c r="O49" i="40" s="1"/>
  <c r="L37" i="14"/>
  <c r="L67" i="17"/>
  <c r="L38" i="34"/>
  <c r="L38" i="32"/>
  <c r="L61" i="17"/>
  <c r="N38" i="35"/>
  <c r="O38" i="35" s="1"/>
  <c r="G20" i="24"/>
  <c r="L47" i="35"/>
  <c r="N66" i="16"/>
  <c r="O66" i="16" s="1"/>
  <c r="L67" i="16"/>
  <c r="N67" i="16" s="1"/>
  <c r="O67" i="16" s="1"/>
  <c r="L37" i="39"/>
  <c r="L38" i="33"/>
  <c r="L68" i="16" l="1"/>
  <c r="L50" i="8"/>
  <c r="N47" i="8"/>
  <c r="O47" i="8" s="1"/>
  <c r="J21" i="27"/>
  <c r="L21" i="27" s="1"/>
  <c r="J21" i="29"/>
  <c r="L21" i="29" s="1"/>
  <c r="J21" i="30"/>
  <c r="L21" i="30" s="1"/>
  <c r="J21" i="26"/>
  <c r="L21" i="26" s="1"/>
  <c r="J21" i="28"/>
  <c r="L21" i="28" s="1"/>
  <c r="J21" i="31"/>
  <c r="L21" i="31" s="1"/>
  <c r="J21" i="1"/>
  <c r="L21" i="1" s="1"/>
  <c r="N38" i="33"/>
  <c r="O38" i="33" s="1"/>
  <c r="G18" i="24"/>
  <c r="L47" i="33"/>
  <c r="N61" i="17"/>
  <c r="O61" i="17" s="1"/>
  <c r="L62" i="17"/>
  <c r="N62" i="17" s="1"/>
  <c r="O62" i="17" s="1"/>
  <c r="N37" i="14"/>
  <c r="O37" i="14" s="1"/>
  <c r="G23" i="24"/>
  <c r="L45" i="14"/>
  <c r="L63" i="16"/>
  <c r="N63" i="16" s="1"/>
  <c r="O63" i="16" s="1"/>
  <c r="N62" i="16"/>
  <c r="O62" i="16" s="1"/>
  <c r="H16" i="24"/>
  <c r="I16" i="24" s="1"/>
  <c r="N45" i="37"/>
  <c r="O45" i="37" s="1"/>
  <c r="L48" i="37"/>
  <c r="L69" i="16"/>
  <c r="N69" i="16" s="1"/>
  <c r="O69" i="16" s="1"/>
  <c r="N68" i="16"/>
  <c r="O68" i="16" s="1"/>
  <c r="L70" i="16"/>
  <c r="N67" i="17"/>
  <c r="O67" i="17" s="1"/>
  <c r="L68" i="17"/>
  <c r="N68" i="17" s="1"/>
  <c r="O68" i="17" s="1"/>
  <c r="N37" i="39"/>
  <c r="O37" i="39" s="1"/>
  <c r="L45" i="39"/>
  <c r="N47" i="35"/>
  <c r="O47" i="35" s="1"/>
  <c r="L50" i="35"/>
  <c r="N38" i="32"/>
  <c r="O38" i="32" s="1"/>
  <c r="G17" i="24"/>
  <c r="L47" i="32"/>
  <c r="N66" i="40"/>
  <c r="O66" i="40" s="1"/>
  <c r="L67" i="40"/>
  <c r="N67" i="40" s="1"/>
  <c r="O67" i="40" s="1"/>
  <c r="H20" i="24"/>
  <c r="I20" i="24" s="1"/>
  <c r="N38" i="34"/>
  <c r="O38" i="34" s="1"/>
  <c r="G19" i="24"/>
  <c r="L47" i="34"/>
  <c r="L61" i="40"/>
  <c r="N61" i="40" s="1"/>
  <c r="O61" i="40" s="1"/>
  <c r="N60" i="40"/>
  <c r="O60" i="40" s="1"/>
  <c r="L48" i="25"/>
  <c r="N45" i="25"/>
  <c r="O45" i="25" s="1"/>
  <c r="G27" i="24"/>
  <c r="H24" i="24"/>
  <c r="I24" i="24" s="1"/>
  <c r="L68" i="40" l="1"/>
  <c r="N50" i="35"/>
  <c r="O50" i="35" s="1"/>
  <c r="L61" i="35"/>
  <c r="L67" i="35"/>
  <c r="L50" i="33"/>
  <c r="N47" i="33"/>
  <c r="O47" i="33" s="1"/>
  <c r="L65" i="25"/>
  <c r="L59" i="25"/>
  <c r="N48" i="25"/>
  <c r="O48" i="25" s="1"/>
  <c r="N47" i="34"/>
  <c r="O47" i="34" s="1"/>
  <c r="L50" i="34"/>
  <c r="N47" i="32"/>
  <c r="O47" i="32" s="1"/>
  <c r="L50" i="32"/>
  <c r="L69" i="17"/>
  <c r="L63" i="17"/>
  <c r="N63" i="17" s="1"/>
  <c r="O63" i="17" s="1"/>
  <c r="H18" i="24"/>
  <c r="I18" i="24" s="1"/>
  <c r="N21" i="28"/>
  <c r="O21" i="28" s="1"/>
  <c r="N21" i="27"/>
  <c r="O21" i="27" s="1"/>
  <c r="K26" i="24"/>
  <c r="N70" i="16"/>
  <c r="O70" i="16" s="1"/>
  <c r="N21" i="29"/>
  <c r="O21" i="29" s="1"/>
  <c r="L62" i="40"/>
  <c r="H19" i="24"/>
  <c r="I19" i="24" s="1"/>
  <c r="L70" i="40"/>
  <c r="N70" i="40" s="1"/>
  <c r="O70" i="40" s="1"/>
  <c r="N68" i="40"/>
  <c r="O68" i="40" s="1"/>
  <c r="H17" i="24"/>
  <c r="I17" i="24" s="1"/>
  <c r="N45" i="39"/>
  <c r="O45" i="39" s="1"/>
  <c r="L48" i="39"/>
  <c r="L48" i="14"/>
  <c r="N45" i="14"/>
  <c r="O45" i="14" s="1"/>
  <c r="N21" i="26"/>
  <c r="O21" i="26" s="1"/>
  <c r="N21" i="31"/>
  <c r="O21" i="31" s="1"/>
  <c r="H27" i="24"/>
  <c r="I27" i="24" s="1"/>
  <c r="L59" i="37"/>
  <c r="N48" i="37"/>
  <c r="O48" i="37" s="1"/>
  <c r="L65" i="37"/>
  <c r="L64" i="16"/>
  <c r="N64" i="16" s="1"/>
  <c r="O64" i="16" s="1"/>
  <c r="H23" i="24"/>
  <c r="I23" i="24" s="1"/>
  <c r="N21" i="1"/>
  <c r="O21" i="1" s="1"/>
  <c r="N21" i="30"/>
  <c r="O21" i="30" s="1"/>
  <c r="L61" i="8"/>
  <c r="L67" i="8"/>
  <c r="N50" i="8"/>
  <c r="O50" i="8" s="1"/>
  <c r="L62" i="8" l="1"/>
  <c r="N62" i="8" s="1"/>
  <c r="O62" i="8" s="1"/>
  <c r="N61" i="8"/>
  <c r="O61" i="8" s="1"/>
  <c r="N65" i="37"/>
  <c r="O65" i="37" s="1"/>
  <c r="L66" i="37"/>
  <c r="N66" i="37" s="1"/>
  <c r="O66" i="37" s="1"/>
  <c r="L67" i="32"/>
  <c r="N50" i="32"/>
  <c r="O50" i="32" s="1"/>
  <c r="L61" i="32"/>
  <c r="L61" i="33"/>
  <c r="L67" i="33"/>
  <c r="N50" i="33"/>
  <c r="O50" i="33" s="1"/>
  <c r="J28" i="13"/>
  <c r="L28" i="13" s="1"/>
  <c r="J28" i="36"/>
  <c r="L28" i="36" s="1"/>
  <c r="J28" i="38"/>
  <c r="L28" i="38" s="1"/>
  <c r="L60" i="25"/>
  <c r="N60" i="25" s="1"/>
  <c r="O60" i="25" s="1"/>
  <c r="N59" i="25"/>
  <c r="O59" i="25" s="1"/>
  <c r="N67" i="35"/>
  <c r="O67" i="35" s="1"/>
  <c r="L68" i="35"/>
  <c r="N68" i="35" s="1"/>
  <c r="O68" i="35" s="1"/>
  <c r="J28" i="29"/>
  <c r="L28" i="29" s="1"/>
  <c r="J28" i="28"/>
  <c r="L28" i="28" s="1"/>
  <c r="J28" i="26"/>
  <c r="L28" i="26" s="1"/>
  <c r="J28" i="27"/>
  <c r="L28" i="27" s="1"/>
  <c r="J28" i="30"/>
  <c r="L28" i="30" s="1"/>
  <c r="J28" i="1"/>
  <c r="L28" i="1" s="1"/>
  <c r="J28" i="31"/>
  <c r="L28" i="31" s="1"/>
  <c r="N59" i="37"/>
  <c r="O59" i="37" s="1"/>
  <c r="L60" i="37"/>
  <c r="N60" i="37" s="1"/>
  <c r="O60" i="37" s="1"/>
  <c r="N48" i="14"/>
  <c r="O48" i="14" s="1"/>
  <c r="L65" i="14"/>
  <c r="L59" i="14"/>
  <c r="N50" i="34"/>
  <c r="O50" i="34" s="1"/>
  <c r="L61" i="34"/>
  <c r="L67" i="34"/>
  <c r="L66" i="25"/>
  <c r="N66" i="25" s="1"/>
  <c r="O66" i="25" s="1"/>
  <c r="N65" i="25"/>
  <c r="O65" i="25" s="1"/>
  <c r="L67" i="25"/>
  <c r="N61" i="35"/>
  <c r="O61" i="35" s="1"/>
  <c r="L62" i="35"/>
  <c r="N62" i="35" s="1"/>
  <c r="O62" i="35" s="1"/>
  <c r="L68" i="8"/>
  <c r="N68" i="8" s="1"/>
  <c r="O68" i="8" s="1"/>
  <c r="N67" i="8"/>
  <c r="O67" i="8" s="1"/>
  <c r="L59" i="39"/>
  <c r="N48" i="39"/>
  <c r="O48" i="39" s="1"/>
  <c r="L65" i="39"/>
  <c r="N62" i="40"/>
  <c r="O62" i="40" s="1"/>
  <c r="L63" i="40"/>
  <c r="N63" i="40" s="1"/>
  <c r="O63" i="40" s="1"/>
  <c r="L26" i="24"/>
  <c r="M26" i="24" s="1"/>
  <c r="K25" i="24"/>
  <c r="N69" i="17"/>
  <c r="O69" i="17" s="1"/>
  <c r="L64" i="40" l="1"/>
  <c r="N64" i="40" s="1"/>
  <c r="O64" i="40" s="1"/>
  <c r="N67" i="25"/>
  <c r="O67" i="25" s="1"/>
  <c r="L68" i="25"/>
  <c r="N68" i="25" s="1"/>
  <c r="O68" i="25" s="1"/>
  <c r="L62" i="34"/>
  <c r="N62" i="34" s="1"/>
  <c r="O62" i="34" s="1"/>
  <c r="N61" i="34"/>
  <c r="O61" i="34" s="1"/>
  <c r="N28" i="31"/>
  <c r="O28" i="31" s="1"/>
  <c r="L38" i="31"/>
  <c r="N28" i="26"/>
  <c r="O28" i="26" s="1"/>
  <c r="L38" i="26"/>
  <c r="L25" i="24"/>
  <c r="M25" i="24" s="1"/>
  <c r="L60" i="39"/>
  <c r="N60" i="39" s="1"/>
  <c r="O60" i="39" s="1"/>
  <c r="N59" i="39"/>
  <c r="O59" i="39" s="1"/>
  <c r="L63" i="35"/>
  <c r="L61" i="37"/>
  <c r="N28" i="1"/>
  <c r="O28" i="1" s="1"/>
  <c r="L38" i="1"/>
  <c r="N28" i="28"/>
  <c r="O28" i="28" s="1"/>
  <c r="L38" i="28"/>
  <c r="N28" i="38"/>
  <c r="O28" i="38" s="1"/>
  <c r="L38" i="38"/>
  <c r="N67" i="33"/>
  <c r="O67" i="33" s="1"/>
  <c r="L68" i="33"/>
  <c r="N68" i="33" s="1"/>
  <c r="O68" i="33" s="1"/>
  <c r="L68" i="32"/>
  <c r="N68" i="32" s="1"/>
  <c r="O68" i="32" s="1"/>
  <c r="N67" i="32"/>
  <c r="O67" i="32" s="1"/>
  <c r="L69" i="8"/>
  <c r="L60" i="14"/>
  <c r="N60" i="14" s="1"/>
  <c r="O60" i="14" s="1"/>
  <c r="N59" i="14"/>
  <c r="O59" i="14" s="1"/>
  <c r="N28" i="30"/>
  <c r="O28" i="30" s="1"/>
  <c r="L38" i="30"/>
  <c r="N28" i="29"/>
  <c r="O28" i="29" s="1"/>
  <c r="L38" i="29"/>
  <c r="L61" i="25"/>
  <c r="N28" i="36"/>
  <c r="O28" i="36" s="1"/>
  <c r="L38" i="36"/>
  <c r="N61" i="33"/>
  <c r="O61" i="33" s="1"/>
  <c r="L62" i="33"/>
  <c r="N62" i="33" s="1"/>
  <c r="O62" i="33" s="1"/>
  <c r="L67" i="37"/>
  <c r="L63" i="8"/>
  <c r="N65" i="39"/>
  <c r="O65" i="39" s="1"/>
  <c r="L66" i="39"/>
  <c r="N66" i="39" s="1"/>
  <c r="O66" i="39" s="1"/>
  <c r="N67" i="34"/>
  <c r="O67" i="34" s="1"/>
  <c r="L68" i="34"/>
  <c r="N68" i="34" s="1"/>
  <c r="O68" i="34" s="1"/>
  <c r="L66" i="14"/>
  <c r="N66" i="14" s="1"/>
  <c r="O66" i="14" s="1"/>
  <c r="N65" i="14"/>
  <c r="O65" i="14" s="1"/>
  <c r="N28" i="27"/>
  <c r="O28" i="27" s="1"/>
  <c r="L38" i="27"/>
  <c r="L69" i="35"/>
  <c r="N28" i="13"/>
  <c r="O28" i="13" s="1"/>
  <c r="L38" i="13"/>
  <c r="L62" i="32"/>
  <c r="N62" i="32" s="1"/>
  <c r="O62" i="32" s="1"/>
  <c r="N61" i="32"/>
  <c r="O61" i="32" s="1"/>
  <c r="L69" i="33" l="1"/>
  <c r="L69" i="25"/>
  <c r="N69" i="25" s="1"/>
  <c r="O69" i="25" s="1"/>
  <c r="L63" i="32"/>
  <c r="L64" i="32" s="1"/>
  <c r="N64" i="32" s="1"/>
  <c r="O64" i="32" s="1"/>
  <c r="L67" i="39"/>
  <c r="L69" i="34"/>
  <c r="N69" i="34" s="1"/>
  <c r="O69" i="34" s="1"/>
  <c r="L61" i="14"/>
  <c r="L62" i="14" s="1"/>
  <c r="N62" i="14" s="1"/>
  <c r="O62" i="14" s="1"/>
  <c r="L69" i="32"/>
  <c r="N69" i="32" s="1"/>
  <c r="O69" i="32" s="1"/>
  <c r="L70" i="33"/>
  <c r="N70" i="33" s="1"/>
  <c r="O70" i="33" s="1"/>
  <c r="N69" i="33"/>
  <c r="O69" i="33" s="1"/>
  <c r="G15" i="24"/>
  <c r="N38" i="31"/>
  <c r="O38" i="31" s="1"/>
  <c r="L47" i="31"/>
  <c r="L70" i="35"/>
  <c r="N70" i="35" s="1"/>
  <c r="O70" i="35" s="1"/>
  <c r="N69" i="35"/>
  <c r="O69" i="35" s="1"/>
  <c r="L67" i="14"/>
  <c r="N63" i="8"/>
  <c r="O63" i="8" s="1"/>
  <c r="L64" i="8"/>
  <c r="N64" i="8" s="1"/>
  <c r="O64" i="8" s="1"/>
  <c r="G13" i="24"/>
  <c r="N38" i="29"/>
  <c r="O38" i="29" s="1"/>
  <c r="L47" i="29"/>
  <c r="N61" i="14"/>
  <c r="O61" i="14" s="1"/>
  <c r="N38" i="28"/>
  <c r="O38" i="28" s="1"/>
  <c r="G12" i="24"/>
  <c r="L47" i="28"/>
  <c r="L62" i="37"/>
  <c r="N62" i="37" s="1"/>
  <c r="O62" i="37" s="1"/>
  <c r="N61" i="37"/>
  <c r="O61" i="37" s="1"/>
  <c r="K27" i="24"/>
  <c r="L62" i="25"/>
  <c r="N62" i="25" s="1"/>
  <c r="O62" i="25" s="1"/>
  <c r="N61" i="25"/>
  <c r="O61" i="25" s="1"/>
  <c r="L70" i="8"/>
  <c r="N70" i="8" s="1"/>
  <c r="O70" i="8" s="1"/>
  <c r="N69" i="8"/>
  <c r="O69" i="8" s="1"/>
  <c r="N38" i="27"/>
  <c r="O38" i="27" s="1"/>
  <c r="G11" i="24"/>
  <c r="L47" i="27"/>
  <c r="N67" i="39"/>
  <c r="O67" i="39" s="1"/>
  <c r="L69" i="39"/>
  <c r="N69" i="39" s="1"/>
  <c r="O69" i="39" s="1"/>
  <c r="L68" i="37"/>
  <c r="N68" i="37" s="1"/>
  <c r="O68" i="37" s="1"/>
  <c r="N67" i="37"/>
  <c r="O67" i="37" s="1"/>
  <c r="N38" i="36"/>
  <c r="O38" i="36" s="1"/>
  <c r="G22" i="24"/>
  <c r="L46" i="36"/>
  <c r="N63" i="35"/>
  <c r="O63" i="35" s="1"/>
  <c r="L64" i="35"/>
  <c r="N64" i="35" s="1"/>
  <c r="O64" i="35" s="1"/>
  <c r="L65" i="35"/>
  <c r="G10" i="24"/>
  <c r="N38" i="26"/>
  <c r="O38" i="26" s="1"/>
  <c r="L47" i="26"/>
  <c r="L63" i="34"/>
  <c r="G21" i="24"/>
  <c r="N38" i="13"/>
  <c r="O38" i="13" s="1"/>
  <c r="L46" i="13"/>
  <c r="L63" i="33"/>
  <c r="N38" i="30"/>
  <c r="O38" i="30" s="1"/>
  <c r="G14" i="24"/>
  <c r="L47" i="30"/>
  <c r="N38" i="38"/>
  <c r="O38" i="38" s="1"/>
  <c r="L46" i="38"/>
  <c r="G9" i="24"/>
  <c r="N38" i="1"/>
  <c r="O38" i="1" s="1"/>
  <c r="L47" i="1"/>
  <c r="L61" i="39"/>
  <c r="L70" i="32" l="1"/>
  <c r="N63" i="32"/>
  <c r="O63" i="32" s="1"/>
  <c r="L70" i="34"/>
  <c r="N70" i="34" s="1"/>
  <c r="O70" i="34" s="1"/>
  <c r="L71" i="33"/>
  <c r="N71" i="33" s="1"/>
  <c r="O71" i="33" s="1"/>
  <c r="L50" i="1"/>
  <c r="N47" i="1"/>
  <c r="O47" i="1" s="1"/>
  <c r="N63" i="33"/>
  <c r="O63" i="33" s="1"/>
  <c r="L64" i="33"/>
  <c r="N64" i="33" s="1"/>
  <c r="O64" i="33" s="1"/>
  <c r="N63" i="34"/>
  <c r="O63" i="34" s="1"/>
  <c r="L64" i="34"/>
  <c r="N64" i="34" s="1"/>
  <c r="O64" i="34" s="1"/>
  <c r="L65" i="34"/>
  <c r="K20" i="24"/>
  <c r="N65" i="35"/>
  <c r="O65" i="35" s="1"/>
  <c r="H11" i="24"/>
  <c r="I11" i="24" s="1"/>
  <c r="L27" i="24"/>
  <c r="M27" i="24" s="1"/>
  <c r="H13" i="24"/>
  <c r="I13" i="24" s="1"/>
  <c r="L68" i="14"/>
  <c r="N68" i="14" s="1"/>
  <c r="O68" i="14" s="1"/>
  <c r="N67" i="14"/>
  <c r="O67" i="14" s="1"/>
  <c r="N47" i="31"/>
  <c r="O47" i="31" s="1"/>
  <c r="L50" i="31"/>
  <c r="L50" i="30"/>
  <c r="N47" i="30"/>
  <c r="O47" i="30" s="1"/>
  <c r="L49" i="13"/>
  <c r="N46" i="13"/>
  <c r="O46" i="13" s="1"/>
  <c r="N47" i="26"/>
  <c r="O47" i="26" s="1"/>
  <c r="L50" i="26"/>
  <c r="L63" i="25"/>
  <c r="N63" i="25" s="1"/>
  <c r="O63" i="25" s="1"/>
  <c r="L50" i="28"/>
  <c r="N47" i="28"/>
  <c r="O47" i="28" s="1"/>
  <c r="L65" i="8"/>
  <c r="L71" i="35"/>
  <c r="N71" i="35" s="1"/>
  <c r="O71" i="35" s="1"/>
  <c r="L65" i="32"/>
  <c r="H22" i="24"/>
  <c r="I22" i="24" s="1"/>
  <c r="H9" i="24"/>
  <c r="I9" i="24" s="1"/>
  <c r="H14" i="24"/>
  <c r="I14" i="24" s="1"/>
  <c r="L69" i="37"/>
  <c r="L71" i="8"/>
  <c r="N71" i="8" s="1"/>
  <c r="O71" i="8" s="1"/>
  <c r="L63" i="37"/>
  <c r="N63" i="37" s="1"/>
  <c r="O63" i="37" s="1"/>
  <c r="H12" i="24"/>
  <c r="I12" i="24" s="1"/>
  <c r="N47" i="29"/>
  <c r="O47" i="29" s="1"/>
  <c r="L50" i="29"/>
  <c r="H15" i="24"/>
  <c r="I15" i="24" s="1"/>
  <c r="L71" i="34"/>
  <c r="N71" i="34" s="1"/>
  <c r="O71" i="34" s="1"/>
  <c r="N61" i="39"/>
  <c r="O61" i="39" s="1"/>
  <c r="L62" i="39"/>
  <c r="N62" i="39" s="1"/>
  <c r="O62" i="39" s="1"/>
  <c r="L49" i="38"/>
  <c r="N46" i="38"/>
  <c r="O46" i="38" s="1"/>
  <c r="H21" i="24"/>
  <c r="I21" i="24" s="1"/>
  <c r="H10" i="24"/>
  <c r="I10" i="24" s="1"/>
  <c r="N46" i="36"/>
  <c r="O46" i="36" s="1"/>
  <c r="L49" i="36"/>
  <c r="N47" i="27"/>
  <c r="O47" i="27" s="1"/>
  <c r="L50" i="27"/>
  <c r="L63" i="14"/>
  <c r="N63" i="14" s="1"/>
  <c r="O63" i="14" s="1"/>
  <c r="N70" i="32" l="1"/>
  <c r="O70" i="32" s="1"/>
  <c r="L71" i="32"/>
  <c r="N71" i="32" s="1"/>
  <c r="O71" i="32" s="1"/>
  <c r="L63" i="39"/>
  <c r="N63" i="39" s="1"/>
  <c r="O63" i="39" s="1"/>
  <c r="L66" i="36"/>
  <c r="L60" i="36"/>
  <c r="N49" i="36"/>
  <c r="O49" i="36" s="1"/>
  <c r="K24" i="24"/>
  <c r="N69" i="37"/>
  <c r="O69" i="37" s="1"/>
  <c r="L60" i="13"/>
  <c r="N49" i="13"/>
  <c r="O49" i="13" s="1"/>
  <c r="L66" i="13"/>
  <c r="K19" i="24"/>
  <c r="N65" i="34"/>
  <c r="O65" i="34" s="1"/>
  <c r="K16" i="24"/>
  <c r="N65" i="8"/>
  <c r="O65" i="8" s="1"/>
  <c r="L67" i="26"/>
  <c r="N50" i="26"/>
  <c r="O50" i="26" s="1"/>
  <c r="L61" i="26"/>
  <c r="L69" i="14"/>
  <c r="L67" i="27"/>
  <c r="N50" i="27"/>
  <c r="O50" i="27" s="1"/>
  <c r="L61" i="27"/>
  <c r="L67" i="29"/>
  <c r="L61" i="29"/>
  <c r="N50" i="29"/>
  <c r="O50" i="29" s="1"/>
  <c r="L61" i="30"/>
  <c r="N50" i="30"/>
  <c r="O50" i="30" s="1"/>
  <c r="L67" i="30"/>
  <c r="N49" i="38"/>
  <c r="O49" i="38" s="1"/>
  <c r="L66" i="38"/>
  <c r="L60" i="38"/>
  <c r="K17" i="24"/>
  <c r="N65" i="32"/>
  <c r="O65" i="32" s="1"/>
  <c r="L61" i="28"/>
  <c r="N50" i="28"/>
  <c r="O50" i="28" s="1"/>
  <c r="L67" i="28"/>
  <c r="L67" i="31"/>
  <c r="N50" i="31"/>
  <c r="O50" i="31" s="1"/>
  <c r="L61" i="31"/>
  <c r="L20" i="24"/>
  <c r="M20" i="24" s="1"/>
  <c r="L65" i="33"/>
  <c r="L61" i="1"/>
  <c r="L67" i="1"/>
  <c r="N50" i="1"/>
  <c r="O50" i="1" s="1"/>
  <c r="L62" i="1" l="1"/>
  <c r="N62" i="1" s="1"/>
  <c r="O62" i="1" s="1"/>
  <c r="N61" i="1"/>
  <c r="O61" i="1" s="1"/>
  <c r="L63" i="1"/>
  <c r="N69" i="14"/>
  <c r="O69" i="14" s="1"/>
  <c r="K23" i="24"/>
  <c r="L24" i="24"/>
  <c r="M24" i="24" s="1"/>
  <c r="N65" i="33"/>
  <c r="O65" i="33" s="1"/>
  <c r="K18" i="24"/>
  <c r="L62" i="28"/>
  <c r="N62" i="28" s="1"/>
  <c r="O62" i="28" s="1"/>
  <c r="N61" i="28"/>
  <c r="O61" i="28" s="1"/>
  <c r="L67" i="38"/>
  <c r="N67" i="38" s="1"/>
  <c r="O67" i="38" s="1"/>
  <c r="N66" i="38"/>
  <c r="O66" i="38" s="1"/>
  <c r="L62" i="30"/>
  <c r="N62" i="30" s="1"/>
  <c r="O62" i="30" s="1"/>
  <c r="N61" i="30"/>
  <c r="O61" i="30" s="1"/>
  <c r="L62" i="27"/>
  <c r="N62" i="27" s="1"/>
  <c r="O62" i="27" s="1"/>
  <c r="N61" i="27"/>
  <c r="O61" i="27" s="1"/>
  <c r="L62" i="26"/>
  <c r="N62" i="26" s="1"/>
  <c r="O62" i="26" s="1"/>
  <c r="N61" i="26"/>
  <c r="O61" i="26" s="1"/>
  <c r="L16" i="24"/>
  <c r="M16" i="24" s="1"/>
  <c r="L62" i="31"/>
  <c r="N62" i="31" s="1"/>
  <c r="O62" i="31" s="1"/>
  <c r="N61" i="31"/>
  <c r="O61" i="31" s="1"/>
  <c r="N67" i="29"/>
  <c r="O67" i="29" s="1"/>
  <c r="L68" i="29"/>
  <c r="N68" i="29" s="1"/>
  <c r="O68" i="29" s="1"/>
  <c r="L67" i="13"/>
  <c r="N67" i="13" s="1"/>
  <c r="O67" i="13" s="1"/>
  <c r="N66" i="13"/>
  <c r="O66" i="13" s="1"/>
  <c r="L68" i="13"/>
  <c r="L68" i="31"/>
  <c r="N68" i="31" s="1"/>
  <c r="O68" i="31" s="1"/>
  <c r="N67" i="31"/>
  <c r="O67" i="31" s="1"/>
  <c r="N60" i="13"/>
  <c r="O60" i="13" s="1"/>
  <c r="L61" i="13"/>
  <c r="N61" i="13" s="1"/>
  <c r="O61" i="13" s="1"/>
  <c r="N60" i="36"/>
  <c r="O60" i="36" s="1"/>
  <c r="L61" i="36"/>
  <c r="N61" i="36" s="1"/>
  <c r="O61" i="36" s="1"/>
  <c r="N60" i="38"/>
  <c r="O60" i="38" s="1"/>
  <c r="L61" i="38"/>
  <c r="N61" i="38" s="1"/>
  <c r="O61" i="38" s="1"/>
  <c r="L68" i="1"/>
  <c r="N68" i="1" s="1"/>
  <c r="O68" i="1" s="1"/>
  <c r="N67" i="1"/>
  <c r="O67" i="1" s="1"/>
  <c r="N67" i="28"/>
  <c r="O67" i="28" s="1"/>
  <c r="L68" i="28"/>
  <c r="N68" i="28" s="1"/>
  <c r="O68" i="28" s="1"/>
  <c r="L17" i="24"/>
  <c r="M17" i="24" s="1"/>
  <c r="L68" i="30"/>
  <c r="N68" i="30" s="1"/>
  <c r="O68" i="30" s="1"/>
  <c r="N67" i="30"/>
  <c r="O67" i="30" s="1"/>
  <c r="N61" i="29"/>
  <c r="O61" i="29" s="1"/>
  <c r="L62" i="29"/>
  <c r="N62" i="29" s="1"/>
  <c r="O62" i="29" s="1"/>
  <c r="N67" i="27"/>
  <c r="O67" i="27" s="1"/>
  <c r="L68" i="27"/>
  <c r="N68" i="27" s="1"/>
  <c r="O68" i="27" s="1"/>
  <c r="L68" i="26"/>
  <c r="N68" i="26" s="1"/>
  <c r="O68" i="26" s="1"/>
  <c r="N67" i="26"/>
  <c r="O67" i="26" s="1"/>
  <c r="L19" i="24"/>
  <c r="M19" i="24" s="1"/>
  <c r="L67" i="36"/>
  <c r="N67" i="36" s="1"/>
  <c r="O67" i="36" s="1"/>
  <c r="N66" i="36"/>
  <c r="O66" i="36" s="1"/>
  <c r="L68" i="36" l="1"/>
  <c r="L68" i="38"/>
  <c r="N68" i="38" s="1"/>
  <c r="O68" i="38" s="1"/>
  <c r="L69" i="26"/>
  <c r="L70" i="26" s="1"/>
  <c r="N70" i="26" s="1"/>
  <c r="O70" i="26" s="1"/>
  <c r="L63" i="28"/>
  <c r="L63" i="26"/>
  <c r="L64" i="26" s="1"/>
  <c r="N64" i="26" s="1"/>
  <c r="O64" i="26" s="1"/>
  <c r="L69" i="29"/>
  <c r="N69" i="29" s="1"/>
  <c r="O69" i="29" s="1"/>
  <c r="L70" i="29"/>
  <c r="N70" i="29" s="1"/>
  <c r="O70" i="29" s="1"/>
  <c r="N63" i="26"/>
  <c r="O63" i="26" s="1"/>
  <c r="L64" i="28"/>
  <c r="N64" i="28" s="1"/>
  <c r="O64" i="28" s="1"/>
  <c r="N63" i="28"/>
  <c r="O63" i="28" s="1"/>
  <c r="N68" i="13"/>
  <c r="O68" i="13" s="1"/>
  <c r="L69" i="13"/>
  <c r="N69" i="13" s="1"/>
  <c r="O69" i="13" s="1"/>
  <c r="L70" i="38"/>
  <c r="N70" i="38" s="1"/>
  <c r="O70" i="38" s="1"/>
  <c r="N63" i="1"/>
  <c r="O63" i="1" s="1"/>
  <c r="L64" i="1"/>
  <c r="N64" i="1" s="1"/>
  <c r="O64" i="1" s="1"/>
  <c r="L65" i="1"/>
  <c r="L69" i="27"/>
  <c r="L69" i="30"/>
  <c r="L69" i="1"/>
  <c r="L62" i="38"/>
  <c r="L62" i="36"/>
  <c r="L69" i="31"/>
  <c r="L63" i="30"/>
  <c r="L69" i="36"/>
  <c r="N69" i="36" s="1"/>
  <c r="O69" i="36" s="1"/>
  <c r="N68" i="36"/>
  <c r="O68" i="36" s="1"/>
  <c r="L63" i="29"/>
  <c r="L69" i="28"/>
  <c r="L62" i="13"/>
  <c r="L63" i="31"/>
  <c r="L63" i="27"/>
  <c r="L18" i="24"/>
  <c r="M18" i="24" s="1"/>
  <c r="L23" i="24"/>
  <c r="M23" i="24" s="1"/>
  <c r="N69" i="26" l="1"/>
  <c r="O69" i="26" s="1"/>
  <c r="L71" i="26"/>
  <c r="N71" i="26" s="1"/>
  <c r="O71" i="26" s="1"/>
  <c r="L65" i="26"/>
  <c r="N65" i="26" s="1"/>
  <c r="O65" i="26" s="1"/>
  <c r="K9" i="24"/>
  <c r="N65" i="1"/>
  <c r="O65" i="1" s="1"/>
  <c r="L64" i="27"/>
  <c r="N64" i="27" s="1"/>
  <c r="O64" i="27" s="1"/>
  <c r="N63" i="27"/>
  <c r="O63" i="27" s="1"/>
  <c r="N63" i="29"/>
  <c r="O63" i="29" s="1"/>
  <c r="L64" i="29"/>
  <c r="N64" i="29" s="1"/>
  <c r="O64" i="29" s="1"/>
  <c r="L64" i="30"/>
  <c r="N64" i="30" s="1"/>
  <c r="O64" i="30" s="1"/>
  <c r="N63" i="30"/>
  <c r="O63" i="30" s="1"/>
  <c r="N69" i="1"/>
  <c r="O69" i="1" s="1"/>
  <c r="L70" i="1"/>
  <c r="N70" i="1" s="1"/>
  <c r="O70" i="1" s="1"/>
  <c r="L70" i="28"/>
  <c r="N70" i="28" s="1"/>
  <c r="O70" i="28" s="1"/>
  <c r="N69" i="28"/>
  <c r="O69" i="28" s="1"/>
  <c r="N62" i="38"/>
  <c r="O62" i="38" s="1"/>
  <c r="L63" i="38"/>
  <c r="N63" i="38" s="1"/>
  <c r="O63" i="38" s="1"/>
  <c r="N63" i="31"/>
  <c r="O63" i="31" s="1"/>
  <c r="L64" i="31"/>
  <c r="N64" i="31" s="1"/>
  <c r="O64" i="31" s="1"/>
  <c r="L70" i="36"/>
  <c r="N69" i="31"/>
  <c r="O69" i="31" s="1"/>
  <c r="L70" i="31"/>
  <c r="N70" i="31" s="1"/>
  <c r="O70" i="31" s="1"/>
  <c r="L70" i="30"/>
  <c r="N70" i="30" s="1"/>
  <c r="O70" i="30" s="1"/>
  <c r="N69" i="30"/>
  <c r="O69" i="30" s="1"/>
  <c r="K10" i="24"/>
  <c r="L63" i="13"/>
  <c r="N63" i="13" s="1"/>
  <c r="O63" i="13" s="1"/>
  <c r="N62" i="13"/>
  <c r="O62" i="13" s="1"/>
  <c r="L63" i="36"/>
  <c r="N63" i="36" s="1"/>
  <c r="O63" i="36" s="1"/>
  <c r="N62" i="36"/>
  <c r="O62" i="36" s="1"/>
  <c r="N69" i="27"/>
  <c r="O69" i="27" s="1"/>
  <c r="L70" i="27"/>
  <c r="N70" i="27" s="1"/>
  <c r="O70" i="27" s="1"/>
  <c r="L71" i="27"/>
  <c r="N71" i="27" s="1"/>
  <c r="O71" i="27" s="1"/>
  <c r="L70" i="13"/>
  <c r="L65" i="28"/>
  <c r="L71" i="29"/>
  <c r="N71" i="29" s="1"/>
  <c r="O71" i="29" s="1"/>
  <c r="L71" i="31" l="1"/>
  <c r="N71" i="31" s="1"/>
  <c r="O71" i="31" s="1"/>
  <c r="L65" i="31"/>
  <c r="L71" i="30"/>
  <c r="N71" i="30" s="1"/>
  <c r="O71" i="30" s="1"/>
  <c r="L65" i="30"/>
  <c r="L65" i="29"/>
  <c r="N65" i="29" s="1"/>
  <c r="O65" i="29" s="1"/>
  <c r="L64" i="36"/>
  <c r="N64" i="36" s="1"/>
  <c r="O64" i="36" s="1"/>
  <c r="N65" i="28"/>
  <c r="O65" i="28" s="1"/>
  <c r="K12" i="24"/>
  <c r="L10" i="24"/>
  <c r="M10" i="24" s="1"/>
  <c r="N65" i="30"/>
  <c r="O65" i="30" s="1"/>
  <c r="K14" i="24"/>
  <c r="K21" i="24"/>
  <c r="N70" i="13"/>
  <c r="O70" i="13" s="1"/>
  <c r="L64" i="13"/>
  <c r="N64" i="13" s="1"/>
  <c r="O64" i="13" s="1"/>
  <c r="L71" i="1"/>
  <c r="N71" i="1" s="1"/>
  <c r="O71" i="1" s="1"/>
  <c r="K13" i="24"/>
  <c r="L71" i="28"/>
  <c r="N71" i="28" s="1"/>
  <c r="O71" i="28" s="1"/>
  <c r="L65" i="27"/>
  <c r="N65" i="31"/>
  <c r="O65" i="31" s="1"/>
  <c r="K15" i="24"/>
  <c r="N70" i="36"/>
  <c r="O70" i="36" s="1"/>
  <c r="K22" i="24"/>
  <c r="L64" i="38"/>
  <c r="N64" i="38" s="1"/>
  <c r="O64" i="38" s="1"/>
  <c r="L9" i="24"/>
  <c r="M9" i="24" s="1"/>
  <c r="L22" i="24" l="1"/>
  <c r="M22" i="24" s="1"/>
  <c r="L15" i="24"/>
  <c r="M15" i="24" s="1"/>
  <c r="L13" i="24"/>
  <c r="M13" i="24" s="1"/>
  <c r="L21" i="24"/>
  <c r="M21" i="24" s="1"/>
  <c r="K11" i="24"/>
  <c r="N65" i="27"/>
  <c r="O65" i="27" s="1"/>
  <c r="L14" i="24"/>
  <c r="M14" i="24" s="1"/>
  <c r="L12" i="24"/>
  <c r="M12" i="24" s="1"/>
  <c r="L11" i="24" l="1"/>
  <c r="M11" i="24" s="1"/>
</calcChain>
</file>

<file path=xl/comments1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0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1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2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3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4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5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required`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6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7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8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9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0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1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2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<sst xmlns="http://schemas.openxmlformats.org/spreadsheetml/2006/main" count="2263" uniqueCount="97">
  <si>
    <t>File Number:</t>
  </si>
  <si>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</si>
  <si>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</si>
  <si>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</si>
  <si>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</si>
  <si>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</si>
  <si>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</si>
  <si>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</si>
  <si>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</si>
  <si>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</si>
  <si>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</si>
  <si>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</si>
  <si>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</si>
  <si>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</si>
  <si>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</si>
  <si>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</si>
  <si>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</si>
  <si>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</si>
  <si>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</si>
  <si>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</si>
  <si>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Smart Meter Disposition Rider</t>
  </si>
  <si>
    <t>LRAM &amp; SSM Rate Rider</t>
  </si>
  <si>
    <t>Sub-Total A (excluding pass through)</t>
  </si>
  <si>
    <t>Deferral/Variance Account Disposition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</si>
  <si>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</si>
  <si>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</si>
  <si>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</si>
  <si>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</si>
  <si>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</si>
  <si>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</si>
  <si>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</si>
  <si>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</si>
  <si>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</si>
  <si>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</si>
  <si>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</si>
  <si>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</si>
  <si>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</si>
  <si>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</si>
  <si>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</si>
  <si>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</si>
  <si>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</si>
  <si>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</si>
  <si>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</si>
  <si>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</si>
  <si>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</si>
  <si>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</si>
  <si>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</si>
  <si>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</si>
  <si>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</si>
  <si>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</si>
  <si>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</si>
  <si>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</si>
  <si>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</si>
  <si>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</si>
  <si>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</si>
  <si>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</si>
  <si>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</si>
  <si>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</si>
  <si>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</si>
  <si>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Residential</t>
  </si>
  <si>
    <t>Monthly</t>
  </si>
  <si>
    <t>per kWh</t>
  </si>
  <si>
    <t>Rate Rider for Disposal of Residual Historical Smart Meter Costs - effective until April 30, 2014</t>
  </si>
  <si>
    <t>Rate Rider for Smart Meter Incremental Revenue Requirement</t>
  </si>
  <si>
    <t>Stranded Meter Rate Rider (SMRR)</t>
  </si>
  <si>
    <t xml:space="preserve">Rate Rider for Application of Tax Change </t>
  </si>
  <si>
    <t>Rate Rider for Accounts 1575 and 1576</t>
  </si>
  <si>
    <t>GS &lt; 50 kW</t>
  </si>
  <si>
    <t>non-TOU</t>
  </si>
  <si>
    <t>kW</t>
  </si>
  <si>
    <t>per kW</t>
  </si>
  <si>
    <t>Street Lighting</t>
  </si>
  <si>
    <t>Unmetered Scattered Load</t>
  </si>
  <si>
    <t>COP Spot Price</t>
  </si>
  <si>
    <t>Rate Rider for Disposition of Global Adjustment Sub-Account(Applicable only for Non-RPP Customers)</t>
  </si>
  <si>
    <t>Filed:</t>
  </si>
  <si>
    <t>Rate Class</t>
  </si>
  <si>
    <t>kWh</t>
  </si>
  <si>
    <t>$ Difference</t>
  </si>
  <si>
    <t>Bill Impact %</t>
  </si>
  <si>
    <t>Rate Rider for Disposal of Residual Historical Smart Meter Costs - effective until April 30, 2015</t>
  </si>
  <si>
    <t>GS 3,000-4,999 kW</t>
  </si>
  <si>
    <t>Sentinel Lighting</t>
  </si>
  <si>
    <t>2014 Total Bill $</t>
  </si>
  <si>
    <t>2015 Total Bill $</t>
  </si>
  <si>
    <t>2014 Dist Bill $</t>
  </si>
  <si>
    <t>2015 Dist Bill $</t>
  </si>
  <si>
    <t>GS 50-2,999 kW</t>
  </si>
  <si>
    <t>LRAMVA (2011 &amp; 2012 CDM Activities)</t>
  </si>
  <si>
    <t>Bill Impact $</t>
  </si>
  <si>
    <t>Residential -TOU</t>
  </si>
  <si>
    <t>GS &lt; 50 kW - TOU</t>
  </si>
  <si>
    <t/>
  </si>
  <si>
    <t>EB-2014-0099</t>
  </si>
  <si>
    <t xml:space="preserve">Exhibit </t>
  </si>
  <si>
    <t>Appendix</t>
  </si>
  <si>
    <t>8-B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</si>
</sst>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_-&quot;$&quot;* #,##0.00000_-;\-&quot;$&quot;* #,##0.00000_-;_-&quot;$&quot;* &quot;-&quot;??_-;_-@_-"/>
    <numFmt numFmtId="169" formatCode="&quot;$&quot;#,##0.00;\(&quot;$&quot;#,##0.00\)"/>
    <numFmt numFmtId="170" formatCode="0.00%;\(0.00%\)"/>
    <numFmt numFmtId="171" formatCode="0.0000%"/>
  </numFmts>
  <fonts count="17" x14ac:knownFonts="1">
    <font>
      <sz val="11"/>
      <color theme="1"/>
      <name val="Calibri"/>
      <family val="2"/>
      <scheme val="minor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7" fillId="0" borderId="0"/>
    <xf numFmtId="9" fontId="15" fillId="0" borderId="0" applyFont="0" applyFill="0" applyBorder="0" applyAlignment="0" applyProtection="0"/>
  </cellStyleXfs>
  <cellXfs count="271">
    <xf numFmtId="0" fontId="0" fillId="0" borderId="0" xfId="0"/>
    <xf numFmtId="0" fontId="1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2" fillId="0" borderId="0" xfId="0" applyFont="1"/>
    <xf numFmtId="0" fontId="3" fillId="0" borderId="0" xfId="0" applyFont="1" applyAlignment="1">
      <alignment horizontal="right" vertical="top"/>
    </xf>
    <xf numFmtId="0" fontId="4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7" fillId="0" borderId="0" xfId="0" applyFont="1" applyProtection="1"/>
    <xf numFmtId="0" fontId="2" fillId="0" borderId="0" xfId="0" applyFont="1" applyProtection="1"/>
    <xf numFmtId="166" fontId="2" fillId="4" borderId="1" xfId="1" applyNumberFormat="1" applyFont="1" applyFill="1" applyBorder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quotePrefix="1" applyFont="1" applyBorder="1" applyAlignment="1" applyProtection="1">
      <alignment horizontal="center"/>
    </xf>
    <xf numFmtId="0" fontId="2" fillId="0" borderId="6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7" fontId="15" fillId="4" borderId="7" xfId="2" applyNumberFormat="1" applyFont="1" applyFill="1" applyBorder="1" applyAlignment="1" applyProtection="1">
      <alignment vertical="top"/>
      <protection locked="0"/>
    </xf>
    <xf numFmtId="0" fontId="0" fillId="0" borderId="7" xfId="0" applyFill="1" applyBorder="1" applyAlignment="1" applyProtection="1">
      <alignment vertical="center"/>
    </xf>
    <xf numFmtId="164" fontId="15" fillId="0" borderId="3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7" fontId="15" fillId="4" borderId="7" xfId="2" applyNumberFormat="1" applyFont="1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</xf>
    <xf numFmtId="44" fontId="0" fillId="0" borderId="7" xfId="0" applyNumberFormat="1" applyBorder="1" applyAlignment="1" applyProtection="1">
      <alignment vertical="center"/>
    </xf>
    <xf numFmtId="10" fontId="15" fillId="0" borderId="3" xfId="4" applyNumberFormat="1" applyFont="1" applyBorder="1" applyAlignment="1" applyProtection="1">
      <alignment vertical="center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Protection="1"/>
    <xf numFmtId="0" fontId="2" fillId="5" borderId="8" xfId="0" applyFont="1" applyFill="1" applyBorder="1" applyAlignment="1" applyProtection="1">
      <alignment vertical="top"/>
      <protection locked="0"/>
    </xf>
    <xf numFmtId="0" fontId="0" fillId="5" borderId="9" xfId="0" applyFill="1" applyBorder="1" applyAlignment="1" applyProtection="1">
      <alignment vertical="top"/>
    </xf>
    <xf numFmtId="0" fontId="0" fillId="5" borderId="9" xfId="0" applyFill="1" applyBorder="1" applyAlignment="1" applyProtection="1">
      <alignment vertical="top"/>
      <protection locked="0"/>
    </xf>
    <xf numFmtId="167" fontId="15" fillId="5" borderId="1" xfId="2" applyNumberFormat="1" applyFont="1" applyFill="1" applyBorder="1" applyAlignment="1" applyProtection="1">
      <alignment vertical="top"/>
      <protection locked="0"/>
    </xf>
    <xf numFmtId="0" fontId="0" fillId="5" borderId="1" xfId="0" applyFill="1" applyBorder="1" applyAlignment="1" applyProtection="1">
      <alignment vertical="center"/>
      <protection locked="0"/>
    </xf>
    <xf numFmtId="164" fontId="15" fillId="5" borderId="10" xfId="2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7" fontId="15" fillId="5" borderId="1" xfId="2" applyNumberFormat="1" applyFont="1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vertical="center"/>
      <protection locked="0"/>
    </xf>
    <xf numFmtId="44" fontId="2" fillId="5" borderId="1" xfId="0" applyNumberFormat="1" applyFont="1" applyFill="1" applyBorder="1" applyAlignment="1" applyProtection="1">
      <alignment vertical="center"/>
    </xf>
    <xf numFmtId="10" fontId="2" fillId="5" borderId="10" xfId="4" applyNumberFormat="1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top" wrapText="1"/>
    </xf>
    <xf numFmtId="0" fontId="0" fillId="0" borderId="11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7" fillId="0" borderId="0" xfId="0" applyFont="1" applyAlignment="1" applyProtection="1">
      <alignment vertical="top"/>
    </xf>
    <xf numFmtId="0" fontId="2" fillId="5" borderId="8" xfId="0" applyFont="1" applyFill="1" applyBorder="1" applyAlignment="1" applyProtection="1">
      <alignment vertical="top" wrapText="1"/>
    </xf>
    <xf numFmtId="0" fontId="0" fillId="5" borderId="9" xfId="0" applyFill="1" applyBorder="1" applyProtection="1"/>
    <xf numFmtId="0" fontId="0" fillId="5" borderId="1" xfId="0" applyFill="1" applyBorder="1" applyProtection="1"/>
    <xf numFmtId="0" fontId="0" fillId="5" borderId="1" xfId="0" applyFill="1" applyBorder="1" applyAlignment="1" applyProtection="1">
      <alignment vertical="center"/>
    </xf>
    <xf numFmtId="44" fontId="2" fillId="5" borderId="10" xfId="0" applyNumberFormat="1" applyFont="1" applyFill="1" applyBorder="1" applyAlignment="1" applyProtection="1">
      <alignment vertical="center"/>
    </xf>
    <xf numFmtId="0" fontId="0" fillId="5" borderId="10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6" borderId="7" xfId="0" applyNumberFormat="1" applyFill="1" applyBorder="1" applyAlignment="1" applyProtection="1">
      <alignment vertical="center"/>
    </xf>
    <xf numFmtId="1" fontId="0" fillId="6" borderId="3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1" xfId="0" applyFill="1" applyBorder="1" applyAlignment="1" applyProtection="1">
      <alignment vertical="top"/>
    </xf>
    <xf numFmtId="0" fontId="2" fillId="5" borderId="0" xfId="0" applyFont="1" applyFill="1" applyAlignment="1" applyProtection="1">
      <alignment vertical="center"/>
    </xf>
    <xf numFmtId="0" fontId="2" fillId="5" borderId="1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7" fontId="15" fillId="4" borderId="7" xfId="2" applyNumberFormat="1" applyFill="1" applyBorder="1" applyAlignment="1" applyProtection="1">
      <alignment vertical="top"/>
      <protection locked="0"/>
    </xf>
    <xf numFmtId="164" fontId="15" fillId="0" borderId="3" xfId="2" applyBorder="1" applyAlignment="1" applyProtection="1">
      <alignment vertical="center"/>
    </xf>
    <xf numFmtId="10" fontId="15" fillId="0" borderId="3" xfId="4" applyNumberFormat="1" applyBorder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" fontId="0" fillId="0" borderId="3" xfId="0" applyNumberFormat="1" applyFill="1" applyBorder="1" applyAlignment="1" applyProtection="1">
      <alignment vertical="center"/>
    </xf>
    <xf numFmtId="167" fontId="15" fillId="0" borderId="7" xfId="2" applyNumberFormat="1" applyFill="1" applyBorder="1" applyAlignment="1" applyProtection="1">
      <alignment vertical="top"/>
      <protection locked="0"/>
    </xf>
    <xf numFmtId="44" fontId="0" fillId="0" borderId="0" xfId="0" applyNumberFormat="1" applyProtection="1"/>
    <xf numFmtId="0" fontId="7" fillId="0" borderId="0" xfId="3" applyProtection="1"/>
    <xf numFmtId="0" fontId="7" fillId="0" borderId="0" xfId="3" applyFont="1" applyAlignment="1" applyProtection="1">
      <alignment vertical="top"/>
    </xf>
    <xf numFmtId="0" fontId="7" fillId="0" borderId="0" xfId="3" applyAlignment="1" applyProtection="1">
      <alignment vertical="top"/>
    </xf>
    <xf numFmtId="0" fontId="7" fillId="3" borderId="0" xfId="3" applyFill="1" applyAlignment="1" applyProtection="1">
      <alignment vertical="top"/>
      <protection locked="0"/>
    </xf>
    <xf numFmtId="0" fontId="7" fillId="0" borderId="0" xfId="3" applyFill="1" applyAlignment="1" applyProtection="1">
      <alignment vertical="top"/>
    </xf>
    <xf numFmtId="1" fontId="7" fillId="7" borderId="7" xfId="3" applyNumberFormat="1" applyFill="1" applyBorder="1" applyAlignment="1" applyProtection="1">
      <alignment vertical="center"/>
    </xf>
    <xf numFmtId="0" fontId="7" fillId="0" borderId="0" xfId="3" applyAlignment="1" applyProtection="1">
      <alignment vertical="center"/>
    </xf>
    <xf numFmtId="44" fontId="7" fillId="0" borderId="7" xfId="3" applyNumberFormat="1" applyBorder="1" applyAlignment="1" applyProtection="1">
      <alignment vertical="center"/>
    </xf>
    <xf numFmtId="0" fontId="7" fillId="8" borderId="12" xfId="0" applyFont="1" applyFill="1" applyBorder="1" applyProtection="1"/>
    <xf numFmtId="0" fontId="0" fillId="8" borderId="13" xfId="0" applyFill="1" applyBorder="1" applyAlignment="1" applyProtection="1">
      <alignment vertical="top"/>
    </xf>
    <xf numFmtId="0" fontId="0" fillId="8" borderId="13" xfId="0" applyFill="1" applyBorder="1" applyAlignment="1" applyProtection="1">
      <alignment vertical="top"/>
      <protection locked="0"/>
    </xf>
    <xf numFmtId="167" fontId="15" fillId="8" borderId="14" xfId="2" applyNumberFormat="1" applyFill="1" applyBorder="1" applyAlignment="1" applyProtection="1">
      <alignment vertical="top"/>
      <protection locked="0"/>
    </xf>
    <xf numFmtId="0" fontId="0" fillId="8" borderId="15" xfId="0" applyFill="1" applyBorder="1" applyAlignment="1" applyProtection="1">
      <alignment vertical="center"/>
      <protection locked="0"/>
    </xf>
    <xf numFmtId="164" fontId="15" fillId="8" borderId="13" xfId="2" applyFill="1" applyBorder="1" applyAlignment="1" applyProtection="1">
      <alignment vertical="center"/>
    </xf>
    <xf numFmtId="0" fontId="0" fillId="8" borderId="13" xfId="0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  <protection locked="0"/>
    </xf>
    <xf numFmtId="44" fontId="0" fillId="8" borderId="14" xfId="0" applyNumberFormat="1" applyFill="1" applyBorder="1" applyAlignment="1" applyProtection="1">
      <alignment vertical="center"/>
    </xf>
    <xf numFmtId="10" fontId="15" fillId="8" borderId="16" xfId="4" applyNumberForma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9" fontId="0" fillId="0" borderId="7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2" fillId="0" borderId="11" xfId="0" applyNumberFormat="1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9" fontId="2" fillId="0" borderId="7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4" fontId="2" fillId="0" borderId="7" xfId="0" applyNumberFormat="1" applyFont="1" applyFill="1" applyBorder="1" applyAlignment="1" applyProtection="1">
      <alignment vertical="center"/>
    </xf>
    <xf numFmtId="10" fontId="2" fillId="0" borderId="3" xfId="4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horizontal="left" vertical="top" indent="1"/>
    </xf>
    <xf numFmtId="9" fontId="0" fillId="0" borderId="7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44" fontId="7" fillId="0" borderId="11" xfId="0" applyNumberFormat="1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9" fontId="7" fillId="0" borderId="7" xfId="0" applyNumberFormat="1" applyFont="1" applyFill="1" applyBorder="1" applyAlignment="1" applyProtection="1">
      <alignment vertical="center"/>
      <protection locked="0"/>
    </xf>
    <xf numFmtId="44" fontId="7" fillId="0" borderId="3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44" fontId="7" fillId="0" borderId="7" xfId="0" applyNumberFormat="1" applyFont="1" applyFill="1" applyBorder="1" applyAlignment="1" applyProtection="1">
      <alignment vertical="center"/>
    </xf>
    <xf numFmtId="10" fontId="7" fillId="0" borderId="3" xfId="4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top" wrapText="1" indent="1"/>
    </xf>
    <xf numFmtId="0" fontId="0" fillId="0" borderId="7" xfId="0" applyFill="1" applyBorder="1" applyAlignment="1" applyProtection="1">
      <alignment vertical="top"/>
    </xf>
    <xf numFmtId="44" fontId="16" fillId="0" borderId="11" xfId="0" applyNumberFormat="1" applyFont="1" applyFill="1" applyBorder="1" applyAlignment="1" applyProtection="1">
      <alignment vertical="center"/>
    </xf>
    <xf numFmtId="44" fontId="16" fillId="0" borderId="3" xfId="0" applyNumberFormat="1" applyFont="1" applyFill="1" applyBorder="1" applyAlignment="1" applyProtection="1">
      <alignment vertical="center"/>
    </xf>
    <xf numFmtId="44" fontId="16" fillId="0" borderId="7" xfId="0" applyNumberFormat="1" applyFont="1" applyFill="1" applyBorder="1" applyAlignment="1" applyProtection="1">
      <alignment vertical="center"/>
    </xf>
    <xf numFmtId="10" fontId="16" fillId="0" borderId="3" xfId="4" applyNumberFormat="1" applyFont="1" applyFill="1" applyBorder="1" applyAlignment="1" applyProtection="1">
      <alignment vertical="center"/>
    </xf>
    <xf numFmtId="0" fontId="0" fillId="9" borderId="0" xfId="0" applyFill="1" applyAlignment="1" applyProtection="1">
      <alignment vertical="top"/>
    </xf>
    <xf numFmtId="0" fontId="0" fillId="9" borderId="5" xfId="0" applyFill="1" applyBorder="1" applyAlignment="1" applyProtection="1">
      <alignment vertical="top"/>
    </xf>
    <xf numFmtId="0" fontId="0" fillId="9" borderId="17" xfId="0" applyFill="1" applyBorder="1" applyAlignment="1" applyProtection="1">
      <alignment vertical="center"/>
    </xf>
    <xf numFmtId="44" fontId="2" fillId="9" borderId="18" xfId="0" applyNumberFormat="1" applyFont="1" applyFill="1" applyBorder="1" applyAlignment="1" applyProtection="1">
      <alignment vertical="center"/>
    </xf>
    <xf numFmtId="0" fontId="2" fillId="9" borderId="5" xfId="0" applyFont="1" applyFill="1" applyBorder="1" applyAlignment="1" applyProtection="1">
      <alignment vertical="center"/>
    </xf>
    <xf numFmtId="44" fontId="2" fillId="9" borderId="6" xfId="0" applyNumberFormat="1" applyFont="1" applyFill="1" applyBorder="1" applyAlignment="1" applyProtection="1">
      <alignment vertical="center"/>
    </xf>
    <xf numFmtId="0" fontId="2" fillId="9" borderId="17" xfId="0" applyFont="1" applyFill="1" applyBorder="1" applyAlignment="1" applyProtection="1">
      <alignment vertical="center"/>
    </xf>
    <xf numFmtId="44" fontId="2" fillId="9" borderId="5" xfId="0" applyNumberFormat="1" applyFont="1" applyFill="1" applyBorder="1" applyAlignment="1" applyProtection="1">
      <alignment vertical="center"/>
    </xf>
    <xf numFmtId="10" fontId="2" fillId="9" borderId="6" xfId="4" applyNumberFormat="1" applyFont="1" applyFill="1" applyBorder="1" applyAlignment="1" applyProtection="1">
      <alignment vertical="center"/>
    </xf>
    <xf numFmtId="0" fontId="7" fillId="8" borderId="12" xfId="3" applyFont="1" applyFill="1" applyBorder="1" applyProtection="1"/>
    <xf numFmtId="0" fontId="7" fillId="8" borderId="13" xfId="3" applyFill="1" applyBorder="1" applyAlignment="1" applyProtection="1">
      <alignment vertical="top"/>
    </xf>
    <xf numFmtId="0" fontId="7" fillId="8" borderId="13" xfId="3" applyFill="1" applyBorder="1" applyAlignment="1" applyProtection="1">
      <alignment vertical="top"/>
      <protection locked="0"/>
    </xf>
    <xf numFmtId="0" fontId="7" fillId="8" borderId="15" xfId="3" applyFill="1" applyBorder="1" applyAlignment="1" applyProtection="1">
      <alignment vertical="center"/>
      <protection locked="0"/>
    </xf>
    <xf numFmtId="0" fontId="7" fillId="8" borderId="13" xfId="3" applyFill="1" applyBorder="1" applyAlignment="1" applyProtection="1">
      <alignment vertical="center"/>
    </xf>
    <xf numFmtId="0" fontId="7" fillId="8" borderId="14" xfId="3" applyFill="1" applyBorder="1" applyAlignment="1" applyProtection="1">
      <alignment vertical="center"/>
      <protection locked="0"/>
    </xf>
    <xf numFmtId="44" fontId="7" fillId="8" borderId="14" xfId="3" applyNumberFormat="1" applyFill="1" applyBorder="1" applyAlignment="1" applyProtection="1">
      <alignment vertical="center"/>
    </xf>
    <xf numFmtId="0" fontId="2" fillId="0" borderId="0" xfId="3" applyFont="1" applyFill="1" applyAlignment="1" applyProtection="1">
      <alignment vertical="top"/>
    </xf>
    <xf numFmtId="9" fontId="7" fillId="0" borderId="7" xfId="3" applyNumberFormat="1" applyFill="1" applyBorder="1" applyAlignment="1" applyProtection="1">
      <alignment vertical="top"/>
    </xf>
    <xf numFmtId="9" fontId="7" fillId="0" borderId="0" xfId="3" applyNumberFormat="1" applyFill="1" applyBorder="1" applyAlignment="1" applyProtection="1">
      <alignment vertical="center"/>
    </xf>
    <xf numFmtId="44" fontId="2" fillId="0" borderId="11" xfId="3" applyNumberFormat="1" applyFont="1" applyFill="1" applyBorder="1" applyAlignment="1" applyProtection="1">
      <alignment vertical="center"/>
    </xf>
    <xf numFmtId="0" fontId="2" fillId="0" borderId="7" xfId="3" applyFont="1" applyFill="1" applyBorder="1" applyAlignment="1" applyProtection="1">
      <alignment vertical="center"/>
    </xf>
    <xf numFmtId="9" fontId="2" fillId="0" borderId="7" xfId="3" applyNumberFormat="1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center"/>
    </xf>
    <xf numFmtId="44" fontId="2" fillId="0" borderId="7" xfId="3" applyNumberFormat="1" applyFont="1" applyFill="1" applyBorder="1" applyAlignment="1" applyProtection="1">
      <alignment vertical="center"/>
    </xf>
    <xf numFmtId="0" fontId="7" fillId="0" borderId="0" xfId="3" applyFont="1" applyFill="1" applyAlignment="1" applyProtection="1">
      <alignment horizontal="left" vertical="top" indent="1"/>
    </xf>
    <xf numFmtId="9" fontId="7" fillId="0" borderId="7" xfId="3" applyNumberFormat="1" applyFill="1" applyBorder="1" applyAlignment="1" applyProtection="1">
      <alignment vertical="top"/>
      <protection locked="0"/>
    </xf>
    <xf numFmtId="44" fontId="7" fillId="0" borderId="11" xfId="3" applyNumberFormat="1" applyFont="1" applyFill="1" applyBorder="1" applyAlignment="1" applyProtection="1">
      <alignment vertical="center"/>
    </xf>
    <xf numFmtId="0" fontId="7" fillId="0" borderId="7" xfId="3" applyFont="1" applyFill="1" applyBorder="1" applyAlignment="1" applyProtection="1">
      <alignment vertical="center"/>
    </xf>
    <xf numFmtId="9" fontId="7" fillId="0" borderId="7" xfId="3" applyNumberFormat="1" applyFont="1" applyFill="1" applyBorder="1" applyAlignment="1" applyProtection="1">
      <alignment vertical="top"/>
      <protection locked="0"/>
    </xf>
    <xf numFmtId="9" fontId="7" fillId="0" borderId="7" xfId="3" applyNumberFormat="1" applyFont="1" applyFill="1" applyBorder="1" applyAlignment="1" applyProtection="1">
      <alignment vertical="center"/>
    </xf>
    <xf numFmtId="44" fontId="7" fillId="0" borderId="3" xfId="3" applyNumberFormat="1" applyFont="1" applyFill="1" applyBorder="1" applyAlignment="1" applyProtection="1">
      <alignment vertical="center"/>
    </xf>
    <xf numFmtId="0" fontId="7" fillId="0" borderId="0" xfId="3" applyFont="1" applyFill="1" applyBorder="1" applyAlignment="1" applyProtection="1">
      <alignment vertical="center"/>
    </xf>
    <xf numFmtId="44" fontId="7" fillId="0" borderId="7" xfId="3" applyNumberFormat="1" applyFont="1" applyFill="1" applyBorder="1" applyAlignment="1" applyProtection="1">
      <alignment vertical="center"/>
    </xf>
    <xf numFmtId="0" fontId="2" fillId="0" borderId="0" xfId="3" applyFont="1" applyAlignment="1" applyProtection="1">
      <alignment horizontal="left" vertical="top" wrapText="1" indent="1"/>
    </xf>
    <xf numFmtId="0" fontId="7" fillId="0" borderId="7" xfId="3" applyFill="1" applyBorder="1" applyAlignment="1" applyProtection="1">
      <alignment vertical="top"/>
    </xf>
    <xf numFmtId="0" fontId="7" fillId="0" borderId="0" xfId="3" applyFill="1" applyBorder="1" applyAlignment="1" applyProtection="1">
      <alignment vertical="center"/>
    </xf>
    <xf numFmtId="44" fontId="16" fillId="0" borderId="11" xfId="3" applyNumberFormat="1" applyFont="1" applyFill="1" applyBorder="1" applyAlignment="1" applyProtection="1">
      <alignment vertical="center"/>
    </xf>
    <xf numFmtId="44" fontId="16" fillId="0" borderId="3" xfId="3" applyNumberFormat="1" applyFont="1" applyFill="1" applyBorder="1" applyAlignment="1" applyProtection="1">
      <alignment vertical="center"/>
    </xf>
    <xf numFmtId="44" fontId="16" fillId="0" borderId="7" xfId="3" applyNumberFormat="1" applyFont="1" applyFill="1" applyBorder="1" applyAlignment="1" applyProtection="1">
      <alignment vertical="center"/>
    </xf>
    <xf numFmtId="0" fontId="7" fillId="9" borderId="0" xfId="3" applyFill="1" applyAlignment="1" applyProtection="1">
      <alignment vertical="top"/>
    </xf>
    <xf numFmtId="0" fontId="7" fillId="9" borderId="7" xfId="3" applyFill="1" applyBorder="1" applyAlignment="1" applyProtection="1">
      <alignment vertical="top"/>
    </xf>
    <xf numFmtId="0" fontId="7" fillId="9" borderId="0" xfId="3" applyFill="1" applyBorder="1" applyAlignment="1" applyProtection="1">
      <alignment vertical="center"/>
    </xf>
    <xf numFmtId="44" fontId="2" fillId="9" borderId="11" xfId="3" applyNumberFormat="1" applyFont="1" applyFill="1" applyBorder="1" applyAlignment="1" applyProtection="1">
      <alignment vertical="center"/>
    </xf>
    <xf numFmtId="0" fontId="2" fillId="9" borderId="7" xfId="3" applyFont="1" applyFill="1" applyBorder="1" applyAlignment="1" applyProtection="1">
      <alignment vertical="center"/>
    </xf>
    <xf numFmtId="44" fontId="2" fillId="9" borderId="3" xfId="3" applyNumberFormat="1" applyFont="1" applyFill="1" applyBorder="1" applyAlignment="1" applyProtection="1">
      <alignment vertical="center"/>
    </xf>
    <xf numFmtId="0" fontId="2" fillId="9" borderId="0" xfId="3" applyFont="1" applyFill="1" applyBorder="1" applyAlignment="1" applyProtection="1">
      <alignment vertical="center"/>
    </xf>
    <xf numFmtId="44" fontId="2" fillId="9" borderId="7" xfId="3" applyNumberFormat="1" applyFont="1" applyFill="1" applyBorder="1" applyAlignment="1" applyProtection="1">
      <alignment vertical="center"/>
    </xf>
    <xf numFmtId="10" fontId="2" fillId="9" borderId="3" xfId="4" applyNumberFormat="1" applyFont="1" applyFill="1" applyBorder="1" applyAlignment="1" applyProtection="1">
      <alignment vertical="center"/>
    </xf>
    <xf numFmtId="167" fontId="15" fillId="8" borderId="15" xfId="2" applyNumberFormat="1" applyFill="1" applyBorder="1" applyAlignment="1" applyProtection="1">
      <alignment vertical="top"/>
      <protection locked="0"/>
    </xf>
    <xf numFmtId="0" fontId="7" fillId="8" borderId="13" xfId="3" applyFill="1" applyBorder="1" applyAlignment="1" applyProtection="1">
      <alignment vertical="center"/>
      <protection locked="0"/>
    </xf>
    <xf numFmtId="164" fontId="15" fillId="8" borderId="19" xfId="2" applyFill="1" applyBorder="1" applyAlignment="1" applyProtection="1">
      <alignment vertical="center"/>
    </xf>
    <xf numFmtId="0" fontId="7" fillId="8" borderId="15" xfId="3" applyFill="1" applyBorder="1" applyAlignment="1" applyProtection="1">
      <alignment vertical="center"/>
    </xf>
    <xf numFmtId="164" fontId="15" fillId="8" borderId="14" xfId="2" applyFill="1" applyBorder="1" applyAlignment="1" applyProtection="1">
      <alignment vertical="center"/>
    </xf>
    <xf numFmtId="44" fontId="7" fillId="8" borderId="15" xfId="3" applyNumberFormat="1" applyFill="1" applyBorder="1" applyAlignment="1" applyProtection="1">
      <alignment vertical="center"/>
    </xf>
    <xf numFmtId="10" fontId="15" fillId="4" borderId="1" xfId="4" applyNumberFormat="1" applyFill="1" applyBorder="1" applyProtection="1">
      <protection locked="0"/>
    </xf>
    <xf numFmtId="0" fontId="11" fillId="0" borderId="0" xfId="0" applyFont="1" applyProtection="1"/>
    <xf numFmtId="0" fontId="0" fillId="6" borderId="0" xfId="0" applyFill="1" applyProtection="1"/>
    <xf numFmtId="44" fontId="15" fillId="4" borderId="7" xfId="2" applyNumberFormat="1" applyFont="1" applyFill="1" applyBorder="1" applyAlignment="1" applyProtection="1">
      <alignment vertical="center"/>
      <protection locked="0"/>
    </xf>
    <xf numFmtId="44" fontId="15" fillId="4" borderId="7" xfId="2" applyNumberFormat="1" applyFont="1" applyFill="1" applyBorder="1" applyAlignment="1" applyProtection="1">
      <alignment vertical="top"/>
      <protection locked="0"/>
    </xf>
    <xf numFmtId="0" fontId="0" fillId="4" borderId="0" xfId="0" applyFill="1" applyAlignment="1" applyProtection="1">
      <alignment vertical="top" wrapText="1"/>
    </xf>
    <xf numFmtId="44" fontId="15" fillId="4" borderId="7" xfId="2" applyNumberFormat="1" applyFill="1" applyBorder="1" applyAlignment="1" applyProtection="1">
      <alignment vertical="top"/>
      <protection locked="0"/>
    </xf>
    <xf numFmtId="44" fontId="15" fillId="7" borderId="7" xfId="2" applyNumberFormat="1" applyFont="1" applyFill="1" applyBorder="1" applyAlignment="1" applyProtection="1">
      <alignment vertical="top"/>
      <protection locked="0"/>
    </xf>
    <xf numFmtId="166" fontId="0" fillId="0" borderId="7" xfId="0" applyNumberFormat="1" applyFill="1" applyBorder="1" applyAlignment="1" applyProtection="1">
      <alignment vertical="center"/>
    </xf>
    <xf numFmtId="0" fontId="7" fillId="10" borderId="0" xfId="3" applyFont="1" applyFill="1" applyAlignment="1" applyProtection="1">
      <alignment vertical="top"/>
    </xf>
    <xf numFmtId="0" fontId="7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  <protection locked="0"/>
    </xf>
    <xf numFmtId="167" fontId="15" fillId="0" borderId="7" xfId="2" applyNumberFormat="1" applyFont="1" applyFill="1" applyBorder="1" applyAlignment="1" applyProtection="1">
      <alignment vertical="top"/>
      <protection locked="0"/>
    </xf>
    <xf numFmtId="164" fontId="15" fillId="0" borderId="3" xfId="2" applyFont="1" applyFill="1" applyBorder="1" applyAlignment="1" applyProtection="1">
      <alignment vertical="center"/>
    </xf>
    <xf numFmtId="167" fontId="15" fillId="0" borderId="7" xfId="2" applyNumberFormat="1" applyFont="1" applyFill="1" applyBorder="1" applyAlignment="1" applyProtection="1">
      <alignment vertical="center"/>
      <protection locked="0"/>
    </xf>
    <xf numFmtId="44" fontId="0" fillId="0" borderId="7" xfId="0" applyNumberFormat="1" applyFill="1" applyBorder="1" applyAlignment="1" applyProtection="1">
      <alignment vertical="center"/>
    </xf>
    <xf numFmtId="10" fontId="15" fillId="0" borderId="3" xfId="4" applyNumberFormat="1" applyFont="1" applyFill="1" applyBorder="1" applyAlignment="1" applyProtection="1">
      <alignment vertical="center"/>
    </xf>
    <xf numFmtId="164" fontId="15" fillId="0" borderId="3" xfId="2" applyFill="1" applyBorder="1" applyAlignment="1" applyProtection="1">
      <alignment vertical="center"/>
    </xf>
    <xf numFmtId="44" fontId="2" fillId="0" borderId="20" xfId="3" applyNumberFormat="1" applyFont="1" applyFill="1" applyBorder="1" applyAlignment="1" applyProtection="1">
      <alignment vertical="center"/>
    </xf>
    <xf numFmtId="44" fontId="2" fillId="0" borderId="20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0" fillId="0" borderId="0" xfId="0" applyFill="1"/>
    <xf numFmtId="15" fontId="3" fillId="0" borderId="0" xfId="0" applyNumberFormat="1" applyFont="1" applyFill="1" applyAlignment="1">
      <alignment vertical="top"/>
    </xf>
    <xf numFmtId="0" fontId="0" fillId="0" borderId="0" xfId="0" applyBorder="1"/>
    <xf numFmtId="168" fontId="15" fillId="4" borderId="7" xfId="2" applyNumberFormat="1" applyFont="1" applyFill="1" applyBorder="1" applyAlignment="1" applyProtection="1">
      <alignment vertical="top"/>
      <protection locked="0"/>
    </xf>
    <xf numFmtId="168" fontId="15" fillId="4" borderId="7" xfId="2" applyNumberFormat="1" applyFont="1" applyFill="1" applyBorder="1" applyAlignment="1" applyProtection="1">
      <alignment vertical="center"/>
      <protection locked="0"/>
    </xf>
    <xf numFmtId="167" fontId="0" fillId="4" borderId="7" xfId="2" applyNumberFormat="1" applyFont="1" applyFill="1" applyBorder="1" applyAlignment="1" applyProtection="1">
      <alignment vertical="top"/>
      <protection locked="0"/>
    </xf>
    <xf numFmtId="0" fontId="0" fillId="0" borderId="0" xfId="0" applyAlignment="1">
      <alignment horizontal="center"/>
    </xf>
    <xf numFmtId="171" fontId="15" fillId="4" borderId="1" xfId="4" applyNumberFormat="1" applyFill="1" applyBorder="1" applyProtection="1">
      <protection locked="0"/>
    </xf>
    <xf numFmtId="165" fontId="0" fillId="0" borderId="7" xfId="0" applyNumberFormat="1" applyFill="1" applyBorder="1" applyAlignment="1" applyProtection="1">
      <alignment vertical="center"/>
    </xf>
    <xf numFmtId="0" fontId="2" fillId="11" borderId="20" xfId="0" applyFont="1" applyFill="1" applyBorder="1" applyAlignment="1">
      <alignment horizontal="center" vertical="center" wrapText="1"/>
    </xf>
    <xf numFmtId="0" fontId="2" fillId="11" borderId="3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169" fontId="0" fillId="0" borderId="15" xfId="0" applyNumberFormat="1" applyBorder="1" applyAlignment="1">
      <alignment horizontal="center" vertical="center"/>
    </xf>
    <xf numFmtId="170" fontId="15" fillId="0" borderId="15" xfId="4" applyNumberFormat="1" applyFont="1" applyBorder="1" applyAlignment="1">
      <alignment horizontal="center" vertical="center"/>
    </xf>
    <xf numFmtId="170" fontId="15" fillId="0" borderId="35" xfId="4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69" fontId="0" fillId="0" borderId="36" xfId="0" applyNumberFormat="1" applyBorder="1" applyAlignment="1">
      <alignment horizontal="center" vertical="center"/>
    </xf>
    <xf numFmtId="170" fontId="15" fillId="0" borderId="36" xfId="4" applyNumberFormat="1" applyFont="1" applyBorder="1" applyAlignment="1">
      <alignment horizontal="center" vertical="center"/>
    </xf>
    <xf numFmtId="170" fontId="15" fillId="0" borderId="37" xfId="4" applyNumberFormat="1" applyFont="1" applyBorder="1" applyAlignment="1">
      <alignment horizontal="center" vertical="center"/>
    </xf>
    <xf numFmtId="169" fontId="0" fillId="0" borderId="25" xfId="0" applyNumberFormat="1" applyBorder="1" applyAlignment="1">
      <alignment horizontal="center" vertical="center"/>
    </xf>
    <xf numFmtId="170" fontId="15" fillId="0" borderId="25" xfId="4" applyNumberFormat="1" applyFont="1" applyBorder="1" applyAlignment="1">
      <alignment horizontal="center" vertical="center"/>
    </xf>
    <xf numFmtId="170" fontId="15" fillId="0" borderId="27" xfId="4" applyNumberFormat="1" applyFon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70" fontId="15" fillId="0" borderId="1" xfId="4" applyNumberFormat="1" applyFont="1" applyBorder="1" applyAlignment="1">
      <alignment horizontal="center" vertical="center"/>
    </xf>
    <xf numFmtId="170" fontId="15" fillId="0" borderId="29" xfId="4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9" fontId="0" fillId="0" borderId="1" xfId="0" applyNumberFormat="1" applyFill="1" applyBorder="1" applyAlignment="1">
      <alignment horizontal="center" vertical="center"/>
    </xf>
    <xf numFmtId="170" fontId="15" fillId="0" borderId="1" xfId="4" applyNumberFormat="1" applyFont="1" applyFill="1" applyBorder="1" applyAlignment="1">
      <alignment horizontal="center" vertical="center"/>
    </xf>
    <xf numFmtId="170" fontId="15" fillId="0" borderId="29" xfId="4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169" fontId="0" fillId="0" borderId="31" xfId="0" applyNumberFormat="1" applyBorder="1" applyAlignment="1">
      <alignment horizontal="center" vertical="center"/>
    </xf>
    <xf numFmtId="170" fontId="15" fillId="0" borderId="31" xfId="4" applyNumberFormat="1" applyFont="1" applyBorder="1" applyAlignment="1">
      <alignment horizontal="center" vertical="center"/>
    </xf>
    <xf numFmtId="170" fontId="15" fillId="0" borderId="32" xfId="4" applyNumberFormat="1" applyFon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center"/>
    </xf>
    <xf numFmtId="15" fontId="7" fillId="4" borderId="0" xfId="0" applyNumberFormat="1" applyFont="1" applyFill="1" applyAlignment="1">
      <alignment horizontal="right" vertical="top"/>
    </xf>
    <xf numFmtId="0" fontId="7" fillId="4" borderId="0" xfId="0" applyNumberFormat="1" applyFont="1" applyFill="1" applyAlignment="1">
      <alignment horizontal="right" vertical="top"/>
    </xf>
    <xf numFmtId="0" fontId="5" fillId="4" borderId="0" xfId="0" applyFont="1" applyFill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9" borderId="0" xfId="0" applyFont="1" applyFill="1" applyAlignment="1" applyProtection="1">
      <alignment horizontal="left" vertical="top" wrapText="1"/>
    </xf>
    <xf numFmtId="0" fontId="2" fillId="9" borderId="0" xfId="3" applyFont="1" applyFill="1" applyAlignment="1" applyProtection="1">
      <alignment horizontal="left" vertical="top" wrapText="1"/>
    </xf>
    <xf numFmtId="0" fontId="2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0" fillId="0" borderId="5" xfId="0" applyBorder="1" applyAlignment="1">
      <alignment wrapText="1"/>
    </xf>
    <xf numFmtId="0" fontId="2" fillId="0" borderId="3" xfId="0" applyFont="1" applyFill="1" applyBorder="1" applyAlignment="1" applyProtection="1">
      <alignment horizontal="center" wrapText="1"/>
    </xf>
    <xf numFmtId="0" fontId="0" fillId="0" borderId="6" xfId="0" applyBorder="1" applyAlignment="1">
      <alignment wrapText="1"/>
    </xf>
    <xf numFmtId="0" fontId="9" fillId="0" borderId="0" xfId="0" applyFont="1" applyAlignment="1" applyProtection="1">
      <alignment horizontal="left" vertical="top" wrapText="1" indent="1"/>
    </xf>
    <xf numFmtId="0" fontId="9" fillId="0" borderId="0" xfId="3" applyFont="1" applyAlignment="1" applyProtection="1">
      <alignment horizontal="left" vertical="top" wrapText="1" indent="1"/>
    </xf>
    <xf numFmtId="0" fontId="7" fillId="0" borderId="1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2" fillId="11" borderId="23" xfId="0" applyFont="1" applyFill="1" applyBorder="1" applyAlignment="1">
      <alignment horizontal="center" vertical="center" wrapText="1"/>
    </xf>
    <xf numFmtId="0" fontId="2" fillId="11" borderId="26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Rate%20Applications/2014%20COS%20Rate%20Rebasing/New%20Working%20Models%20August%202013/Revised_Filing_Requirements_Chapter2_Appendices_for%2020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rth%20Bay%202015%20Rate%20Design%20Model_Settleme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tranded%20Meter%20Calculati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North%20Bay%202015_EDDVAR_Continuity_Schedule_Settlement%20Proposal_20150526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North%20Bay%202015_RTSR%20MODEL_V4_0_JT1-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 refreshError="1">
        <row r="16">
          <cell r="E16" t="str">
            <v>EB-2013-0116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 2015"/>
      <sheetName val="2014 Existing Rates"/>
      <sheetName val="2015 Test Yr On Existing Rates"/>
      <sheetName val="Cost Allocation Study"/>
      <sheetName val="Rates By Rate Class"/>
      <sheetName val="Allocation Low Voltage Costs"/>
      <sheetName val="Low Voltage Rates"/>
      <sheetName val="Distribution Rate Schedule"/>
      <sheetName val="BILL IMPACTS"/>
      <sheetName val="Rate Schedule "/>
      <sheetName val="Dist. Rev. Reconciliation"/>
      <sheetName val="Revenue Deficiency Analysis"/>
      <sheetName val="Appendix 2-O Table a"/>
      <sheetName val="Appendix 2-O Table b"/>
      <sheetName val="Appendix 2-O Table c"/>
      <sheetName val="Appendix 2-O Table d"/>
    </sheetNames>
    <sheetDataSet>
      <sheetData sheetId="0"/>
      <sheetData sheetId="1"/>
      <sheetData sheetId="2"/>
      <sheetData sheetId="3">
        <row r="6">
          <cell r="C6">
            <v>14.64</v>
          </cell>
          <cell r="E6">
            <v>1.3100000000000001E-2</v>
          </cell>
        </row>
        <row r="7">
          <cell r="C7">
            <v>21.69</v>
          </cell>
          <cell r="E7">
            <v>1.67E-2</v>
          </cell>
        </row>
        <row r="8">
          <cell r="C8">
            <v>293.97000000000003</v>
          </cell>
          <cell r="D8">
            <v>2.0966</v>
          </cell>
        </row>
        <row r="9">
          <cell r="C9">
            <v>5844.1</v>
          </cell>
          <cell r="D9">
            <v>1.115</v>
          </cell>
        </row>
        <row r="10">
          <cell r="B10">
            <v>4.88</v>
          </cell>
          <cell r="D10">
            <v>26.125499999999999</v>
          </cell>
        </row>
        <row r="11">
          <cell r="B11">
            <v>4.42</v>
          </cell>
          <cell r="D11">
            <v>15.436999999999999</v>
          </cell>
        </row>
        <row r="12">
          <cell r="B12">
            <v>7.03</v>
          </cell>
          <cell r="E12">
            <v>1.6199999999999999E-2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E10">
            <v>15.49</v>
          </cell>
        </row>
        <row r="11">
          <cell r="E11">
            <v>1.3899999999999999E-2</v>
          </cell>
        </row>
        <row r="12">
          <cell r="E12">
            <v>6.9999999999999994E-5</v>
          </cell>
        </row>
        <row r="16">
          <cell r="E16">
            <v>22.96</v>
          </cell>
        </row>
        <row r="17">
          <cell r="E17">
            <v>1.77E-2</v>
          </cell>
        </row>
        <row r="18">
          <cell r="E18">
            <v>6.9999999999999994E-5</v>
          </cell>
        </row>
        <row r="22">
          <cell r="E22">
            <v>293.97000000000003</v>
          </cell>
        </row>
        <row r="23">
          <cell r="E23">
            <v>2.4028</v>
          </cell>
        </row>
        <row r="24">
          <cell r="E24">
            <v>2.5499999999999998E-2</v>
          </cell>
        </row>
        <row r="28">
          <cell r="E28">
            <v>6185.12</v>
          </cell>
        </row>
        <row r="29">
          <cell r="E29">
            <v>1.1451</v>
          </cell>
        </row>
        <row r="30">
          <cell r="E30">
            <v>2.8199999999999999E-2</v>
          </cell>
        </row>
        <row r="34">
          <cell r="E34">
            <v>4.6500000000000004</v>
          </cell>
        </row>
        <row r="35">
          <cell r="E35">
            <v>24.876999999999999</v>
          </cell>
        </row>
        <row r="36">
          <cell r="E36">
            <v>1.9699999999999999E-2</v>
          </cell>
        </row>
        <row r="41">
          <cell r="E41">
            <v>4.6779000000000002</v>
          </cell>
        </row>
        <row r="42">
          <cell r="E42">
            <v>16.337800000000001</v>
          </cell>
        </row>
        <row r="43">
          <cell r="E43">
            <v>2.01E-2</v>
          </cell>
        </row>
        <row r="47">
          <cell r="E47">
            <v>5.0915999999999997</v>
          </cell>
        </row>
        <row r="48">
          <cell r="E48">
            <v>1.17E-2</v>
          </cell>
        </row>
        <row r="49">
          <cell r="E49">
            <v>6.9999999999999994E-5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nded Meter Calc"/>
      <sheetName val="Meters"/>
      <sheetName val="860 Datadump"/>
      <sheetName val="CC Meters"/>
      <sheetName val="CC Datadump"/>
    </sheetNames>
    <sheetDataSet>
      <sheetData sheetId="0">
        <row r="103">
          <cell r="B103">
            <v>0.85</v>
          </cell>
        </row>
        <row r="108">
          <cell r="B108">
            <v>1.92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2014 Continuity Schedule"/>
      <sheetName val="3. Appendix A"/>
      <sheetName val="4. Billing Determinants"/>
      <sheetName val="5. Allocation of Balances"/>
      <sheetName val="6. Rate Rider Calculations"/>
      <sheetName val="Summary Sheet"/>
    </sheetNames>
    <sheetDataSet>
      <sheetData sheetId="0"/>
      <sheetData sheetId="1"/>
      <sheetData sheetId="2"/>
      <sheetData sheetId="3"/>
      <sheetData sheetId="4"/>
      <sheetData sheetId="5">
        <row r="20">
          <cell r="F20">
            <v>-1.0318837523400292E-3</v>
          </cell>
        </row>
        <row r="21">
          <cell r="F21">
            <v>1.2089006660829713E-4</v>
          </cell>
        </row>
        <row r="22">
          <cell r="F22">
            <v>0.54062580919773795</v>
          </cell>
        </row>
        <row r="23">
          <cell r="F23">
            <v>0.89069167795155479</v>
          </cell>
        </row>
        <row r="24">
          <cell r="F24">
            <v>-3.1131541843236444E-3</v>
          </cell>
        </row>
        <row r="25">
          <cell r="F25">
            <v>-4.3414482560416445</v>
          </cell>
        </row>
        <row r="26">
          <cell r="F26">
            <v>-12.194111949067624</v>
          </cell>
        </row>
        <row r="49">
          <cell r="F49">
            <v>0.66690650450522238</v>
          </cell>
        </row>
        <row r="50">
          <cell r="F50">
            <v>0.84323777400339062</v>
          </cell>
        </row>
        <row r="51">
          <cell r="F51">
            <v>0</v>
          </cell>
        </row>
        <row r="52">
          <cell r="F52">
            <v>0.56189970777114051</v>
          </cell>
        </row>
        <row r="53">
          <cell r="F53">
            <v>0.5911501662771157</v>
          </cell>
        </row>
        <row r="75">
          <cell r="F75">
            <v>-3.6442926228316881E-3</v>
          </cell>
        </row>
        <row r="76">
          <cell r="F76">
            <v>-3.6442926228316881E-3</v>
          </cell>
        </row>
        <row r="77">
          <cell r="F77">
            <v>-1.4713070385202904</v>
          </cell>
        </row>
        <row r="78">
          <cell r="F78">
            <v>-1.8603232441972013</v>
          </cell>
        </row>
        <row r="79">
          <cell r="F79">
            <v>-3.6442926228316876E-3</v>
          </cell>
        </row>
        <row r="80">
          <cell r="F80">
            <v>-1.2396445219851648</v>
          </cell>
        </row>
        <row r="81">
          <cell r="F81">
            <v>-1.3041759146002594</v>
          </cell>
        </row>
        <row r="103">
          <cell r="F103">
            <v>2.0487596584733804E-4</v>
          </cell>
        </row>
        <row r="104">
          <cell r="F104">
            <v>8.9550917063467952E-4</v>
          </cell>
        </row>
        <row r="105">
          <cell r="F105">
            <v>7.227842642143574E-2</v>
          </cell>
        </row>
        <row r="109">
          <cell r="F109">
            <v>13.032701418722425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RRR Data"/>
      <sheetName val="5. UTRs and Sub-Transmission"/>
      <sheetName val="6. Historical Wholesale"/>
      <sheetName val="7. Current Wholesale"/>
      <sheetName val="8. Forecast Wholesale"/>
      <sheetName val="9. Adj Network to Current WS"/>
      <sheetName val="10. Adj Conn. to Current WS"/>
      <sheetName val="11. Adj Network to Forecast WS"/>
      <sheetName val="12. Adj Conn. to Forecast WS"/>
      <sheetName val="13. Final 2015 RTS Rates"/>
      <sheetName val="hidd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6">
          <cell r="F26">
            <v>7.5166324038951132E-3</v>
          </cell>
          <cell r="H26">
            <v>5.857883813739073E-3</v>
          </cell>
        </row>
        <row r="27">
          <cell r="F27">
            <v>7.0871105522439639E-3</v>
          </cell>
          <cell r="H27">
            <v>5.3052532652731223E-3</v>
          </cell>
        </row>
        <row r="28">
          <cell r="F28">
            <v>2.8142271720183309</v>
          </cell>
          <cell r="H28">
            <v>2.0809855933033821</v>
          </cell>
        </row>
        <row r="29">
          <cell r="F29">
            <v>2.9851768689754885</v>
          </cell>
          <cell r="H29">
            <v>2.2998272904958981</v>
          </cell>
        </row>
        <row r="30">
          <cell r="F30">
            <v>7.0871105522439639E-3</v>
          </cell>
          <cell r="H30">
            <v>5.3052532652731205E-3</v>
          </cell>
        </row>
        <row r="31">
          <cell r="F31">
            <v>2.1330055152996077</v>
          </cell>
          <cell r="H31">
            <v>1.6423074639311108</v>
          </cell>
        </row>
        <row r="32">
          <cell r="F32">
            <v>2.122374849471242</v>
          </cell>
          <cell r="H32">
            <v>1.6085970004746879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0" tint="-0.14999847407452621"/>
    <pageSetUpPr fitToPage="1"/>
  </sheetPr>
  <dimension ref="A1:T90"/>
  <sheetViews>
    <sheetView showGridLines="0" tabSelected="1" workbookViewId="0">
      <selection activeCell="B4" sqref="B4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">
        <v>93</v>
      </c>
      <c r="O1" s="234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v>8</v>
      </c>
      <c r="O2" s="235"/>
    </row>
    <row r="3" spans="1:20" s="2" customFormat="1" ht="15" customHeight="1" x14ac:dyDescent="0.25">
      <c r="C3" s="6"/>
      <c r="D3" s="6"/>
      <c r="E3" s="6"/>
      <c r="L3" s="3" t="s">
        <v>95</v>
      </c>
      <c r="N3" s="234" t="s">
        <v>96</v>
      </c>
      <c r="O3" s="234"/>
    </row>
    <row r="4" spans="1:20" s="2" customFormat="1" ht="9" customHeight="1" x14ac:dyDescent="0.25">
      <c r="L4" s="3"/>
      <c r="N4" s="4"/>
      <c r="O4"/>
    </row>
    <row r="5" spans="1:20" s="2" customFormat="1" x14ac:dyDescent="0.25">
      <c r="L5" s="3" t="s">
        <v>75</v>
      </c>
      <c r="N5" s="234">
        <v>42177</v>
      </c>
      <c r="O5" s="234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59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Rates'!$C$6</f>
        <v>14.64</v>
      </c>
      <c r="G21" s="26">
        <v>1</v>
      </c>
      <c r="H21" s="27">
        <f>G21*F21</f>
        <v>14.64</v>
      </c>
      <c r="I21" s="28"/>
      <c r="J21" s="173">
        <f>'[2]Rate Schedule '!$E$10</f>
        <v>15.49</v>
      </c>
      <c r="K21" s="30">
        <v>1</v>
      </c>
      <c r="L21" s="27">
        <f>K21*J21</f>
        <v>15.49</v>
      </c>
      <c r="M21" s="28"/>
      <c r="N21" s="31">
        <f>L21-H21</f>
        <v>0.84999999999999964</v>
      </c>
      <c r="O21" s="32">
        <f>IF((H21)=0,"",(N21/H21))</f>
        <v>5.8060109289617461E-2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Calc'!$B$103</f>
        <v>0.85</v>
      </c>
      <c r="K24" s="30">
        <v>1</v>
      </c>
      <c r="L24" s="27">
        <f t="shared" si="1"/>
        <v>0.85</v>
      </c>
      <c r="M24" s="28"/>
      <c r="N24" s="31">
        <f t="shared" si="2"/>
        <v>0.85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100</v>
      </c>
      <c r="H25" s="27">
        <f t="shared" si="0"/>
        <v>0</v>
      </c>
      <c r="I25" s="28"/>
      <c r="J25" s="29">
        <f>'[4]6. Rate Rider Calculations'!$F$103</f>
        <v>2.0487596584733804E-4</v>
      </c>
      <c r="K25" s="26">
        <f>$F$16</f>
        <v>100</v>
      </c>
      <c r="L25" s="27">
        <f t="shared" si="1"/>
        <v>2.0487596584733803E-2</v>
      </c>
      <c r="M25" s="28"/>
      <c r="N25" s="31">
        <f t="shared" si="2"/>
        <v>2.0487596584733803E-2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100</v>
      </c>
      <c r="H26" s="27">
        <f t="shared" si="0"/>
        <v>-0.02</v>
      </c>
      <c r="I26" s="28"/>
      <c r="J26" s="173"/>
      <c r="K26" s="26">
        <f>$F$16</f>
        <v>100</v>
      </c>
      <c r="L26" s="27">
        <f t="shared" si="1"/>
        <v>0</v>
      </c>
      <c r="M26" s="28"/>
      <c r="N26" s="31">
        <f t="shared" si="2"/>
        <v>0.02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100</v>
      </c>
      <c r="H27" s="27">
        <f t="shared" si="0"/>
        <v>0</v>
      </c>
      <c r="I27" s="28"/>
      <c r="J27" s="29">
        <f>'[4]6. Rate Rider Calculations'!$F$75</f>
        <v>-3.6442926228316881E-3</v>
      </c>
      <c r="K27" s="26">
        <f>$F$16</f>
        <v>100</v>
      </c>
      <c r="L27" s="27">
        <f t="shared" si="1"/>
        <v>-0.3644292622831688</v>
      </c>
      <c r="M27" s="28"/>
      <c r="N27" s="31">
        <f t="shared" si="2"/>
        <v>-0.3644292622831688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Rates'!$E$6</f>
        <v>1.3100000000000001E-2</v>
      </c>
      <c r="G28" s="26">
        <f>$F$16</f>
        <v>100</v>
      </c>
      <c r="H28" s="27">
        <f t="shared" si="0"/>
        <v>1.31</v>
      </c>
      <c r="I28" s="28"/>
      <c r="J28" s="29">
        <f>'[2]Rate Schedule '!$E$11</f>
        <v>1.3899999999999999E-2</v>
      </c>
      <c r="K28" s="26">
        <f>$F$16</f>
        <v>100</v>
      </c>
      <c r="L28" s="27">
        <f t="shared" si="1"/>
        <v>1.39</v>
      </c>
      <c r="M28" s="28"/>
      <c r="N28" s="31">
        <f t="shared" si="2"/>
        <v>7.9999999999999849E-2</v>
      </c>
      <c r="O28" s="32">
        <f t="shared" si="3"/>
        <v>6.1068702290076216E-2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100</v>
      </c>
      <c r="H29" s="27">
        <f t="shared" si="0"/>
        <v>0</v>
      </c>
      <c r="I29" s="28"/>
      <c r="J29" s="29"/>
      <c r="K29" s="26">
        <f t="shared" ref="K29:K37" si="5">$F$16</f>
        <v>100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100</v>
      </c>
      <c r="H30" s="27">
        <f t="shared" si="0"/>
        <v>0</v>
      </c>
      <c r="I30" s="28"/>
      <c r="J30" s="29"/>
      <c r="K30" s="26">
        <f t="shared" si="5"/>
        <v>100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100</v>
      </c>
      <c r="H31" s="27">
        <f t="shared" si="0"/>
        <v>0</v>
      </c>
      <c r="I31" s="28"/>
      <c r="J31" s="29"/>
      <c r="K31" s="26">
        <f t="shared" si="5"/>
        <v>100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100</v>
      </c>
      <c r="H32" s="27">
        <f t="shared" si="0"/>
        <v>0</v>
      </c>
      <c r="I32" s="28"/>
      <c r="J32" s="29"/>
      <c r="K32" s="26">
        <f t="shared" si="5"/>
        <v>100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100</v>
      </c>
      <c r="H33" s="27">
        <f t="shared" si="0"/>
        <v>0</v>
      </c>
      <c r="I33" s="28"/>
      <c r="J33" s="29"/>
      <c r="K33" s="26">
        <f t="shared" si="5"/>
        <v>100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100</v>
      </c>
      <c r="H34" s="27">
        <f t="shared" si="0"/>
        <v>0</v>
      </c>
      <c r="I34" s="28"/>
      <c r="J34" s="29"/>
      <c r="K34" s="26">
        <f t="shared" si="5"/>
        <v>100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100</v>
      </c>
      <c r="H35" s="27">
        <f t="shared" si="0"/>
        <v>0</v>
      </c>
      <c r="I35" s="28"/>
      <c r="J35" s="29"/>
      <c r="K35" s="26">
        <f t="shared" si="5"/>
        <v>100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100</v>
      </c>
      <c r="H36" s="27">
        <f t="shared" si="0"/>
        <v>0</v>
      </c>
      <c r="I36" s="28"/>
      <c r="J36" s="29"/>
      <c r="K36" s="26">
        <f t="shared" si="5"/>
        <v>100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100</v>
      </c>
      <c r="H37" s="27">
        <f t="shared" si="0"/>
        <v>0</v>
      </c>
      <c r="I37" s="28"/>
      <c r="J37" s="29"/>
      <c r="K37" s="26">
        <f t="shared" si="5"/>
        <v>100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18.63</v>
      </c>
      <c r="I38" s="41"/>
      <c r="J38" s="42"/>
      <c r="K38" s="43"/>
      <c r="L38" s="40">
        <f>SUM(L21:L37)</f>
        <v>17.386058334301563</v>
      </c>
      <c r="M38" s="41"/>
      <c r="N38" s="44">
        <f t="shared" si="2"/>
        <v>-1.2439416656984363</v>
      </c>
      <c r="O38" s="45">
        <f t="shared" si="3"/>
        <v>-6.6770889194763094E-2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100</v>
      </c>
      <c r="H40" s="27">
        <f t="shared" ref="H40:H46" si="7">G40*F40</f>
        <v>-0.18</v>
      </c>
      <c r="I40" s="28"/>
      <c r="J40" s="29">
        <f>'[4]6. Rate Rider Calculations'!$F$20</f>
        <v>-1.0318837523400292E-3</v>
      </c>
      <c r="K40" s="26">
        <f>$F$16</f>
        <v>100</v>
      </c>
      <c r="L40" s="27">
        <f t="shared" ref="L40:L46" si="8">K40*J40</f>
        <v>-0.10318837523400291</v>
      </c>
      <c r="M40" s="28"/>
      <c r="N40" s="31">
        <f t="shared" ref="N40:N46" si="9">L40-H40</f>
        <v>7.681162476599708E-2</v>
      </c>
      <c r="O40" s="32">
        <f t="shared" ref="O40:O45" si="10">IF((H40)=0,"",(N40/H40))</f>
        <v>-0.4267312486999838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100</v>
      </c>
      <c r="H41" s="27">
        <f t="shared" si="7"/>
        <v>0</v>
      </c>
      <c r="I41" s="47"/>
      <c r="J41" s="29"/>
      <c r="K41" s="26">
        <f>$F$16</f>
        <v>100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100</v>
      </c>
      <c r="H42" s="27">
        <f t="shared" si="7"/>
        <v>0</v>
      </c>
      <c r="I42" s="47"/>
      <c r="J42" s="29"/>
      <c r="K42" s="26">
        <f>$F$16</f>
        <v>100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100</v>
      </c>
      <c r="H43" s="27">
        <f t="shared" si="7"/>
        <v>0</v>
      </c>
      <c r="I43" s="47"/>
      <c r="J43" s="29"/>
      <c r="K43" s="26">
        <f>$F$16</f>
        <v>100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100</v>
      </c>
      <c r="H44" s="27">
        <f t="shared" si="7"/>
        <v>4.0000000000000001E-3</v>
      </c>
      <c r="I44" s="28"/>
      <c r="J44" s="195">
        <f>'[2]Rate Schedule '!$E$12</f>
        <v>6.9999999999999994E-5</v>
      </c>
      <c r="K44" s="26">
        <f>$F$16</f>
        <v>100</v>
      </c>
      <c r="L44" s="27">
        <f t="shared" si="8"/>
        <v>6.9999999999999993E-3</v>
      </c>
      <c r="M44" s="28"/>
      <c r="N44" s="31">
        <f t="shared" si="9"/>
        <v>2.9999999999999992E-3</v>
      </c>
      <c r="O44" s="32">
        <f t="shared" si="10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4.8000000000000114</v>
      </c>
      <c r="H45" s="183">
        <f t="shared" si="7"/>
        <v>0.44380800000000104</v>
      </c>
      <c r="I45" s="57"/>
      <c r="J45" s="184">
        <f>0.64*$F$55+0.18*$F$56+0.18*$F$57</f>
        <v>9.2460000000000001E-2</v>
      </c>
      <c r="K45" s="26">
        <f>$F$16*(1+$J$74)-$F$16</f>
        <v>4.7099999999999937</v>
      </c>
      <c r="L45" s="183">
        <f t="shared" si="8"/>
        <v>0.43548659999999945</v>
      </c>
      <c r="M45" s="57"/>
      <c r="N45" s="185">
        <f t="shared" si="9"/>
        <v>-8.3214000000015886E-3</v>
      </c>
      <c r="O45" s="186">
        <f t="shared" si="10"/>
        <v>-1.8750000000003535E-2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19.687808</v>
      </c>
      <c r="I47" s="41"/>
      <c r="J47" s="53"/>
      <c r="K47" s="55"/>
      <c r="L47" s="54">
        <f>SUM(L39:L46)+L38</f>
        <v>18.515356559067559</v>
      </c>
      <c r="M47" s="41"/>
      <c r="N47" s="44">
        <f t="shared" ref="N47:N65" si="11">L47-H47</f>
        <v>-1.1724514409324414</v>
      </c>
      <c r="O47" s="45">
        <f t="shared" ref="O47:O65" si="12">IF((H47)=0,"",(N47/H47))</f>
        <v>-5.955215740281708E-2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104.80000000000001</v>
      </c>
      <c r="H48" s="27">
        <f>G48*F48</f>
        <v>0.76504000000000005</v>
      </c>
      <c r="I48" s="28"/>
      <c r="J48" s="29">
        <f>'[5]13. Final 2015 RTS Rates'!$F$26</f>
        <v>7.5166324038951132E-3</v>
      </c>
      <c r="K48" s="59">
        <f>F16*(1+J74)</f>
        <v>104.71</v>
      </c>
      <c r="L48" s="27">
        <f>K48*J48</f>
        <v>0.78706657901185728</v>
      </c>
      <c r="M48" s="28"/>
      <c r="N48" s="31">
        <f t="shared" si="11"/>
        <v>2.2026579011857228E-2</v>
      </c>
      <c r="O48" s="32">
        <f t="shared" si="12"/>
        <v>2.8791408307875702E-2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104.80000000000001</v>
      </c>
      <c r="H49" s="27">
        <f>G49*F49</f>
        <v>0.59736000000000011</v>
      </c>
      <c r="I49" s="28"/>
      <c r="J49" s="29">
        <f>'[5]13. Final 2015 RTS Rates'!$H$26</f>
        <v>5.857883813739073E-3</v>
      </c>
      <c r="K49" s="59">
        <f>K48</f>
        <v>104.71</v>
      </c>
      <c r="L49" s="27">
        <f>K49*J49</f>
        <v>0.61337901413661833</v>
      </c>
      <c r="M49" s="28"/>
      <c r="N49" s="31">
        <f t="shared" si="11"/>
        <v>1.6019014136618215E-2</v>
      </c>
      <c r="O49" s="32">
        <f t="shared" si="12"/>
        <v>2.681634882921222E-2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21.050207999999998</v>
      </c>
      <c r="I50" s="62"/>
      <c r="J50" s="63"/>
      <c r="K50" s="64"/>
      <c r="L50" s="54">
        <f>SUM(L47:L49)</f>
        <v>19.915802152216035</v>
      </c>
      <c r="M50" s="62"/>
      <c r="N50" s="44">
        <f t="shared" si="11"/>
        <v>-1.1344058477839631</v>
      </c>
      <c r="O50" s="45">
        <f t="shared" si="12"/>
        <v>-5.3890481641984879E-2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104.80000000000001</v>
      </c>
      <c r="H51" s="67">
        <f t="shared" ref="H51:H57" si="13">G51*F51</f>
        <v>0.46112000000000009</v>
      </c>
      <c r="I51" s="28"/>
      <c r="J51" s="66">
        <v>4.4000000000000003E-3</v>
      </c>
      <c r="K51" s="59">
        <f>K49</f>
        <v>104.71</v>
      </c>
      <c r="L51" s="67">
        <f t="shared" ref="L51:L57" si="14">K51*J51</f>
        <v>0.46072400000000002</v>
      </c>
      <c r="M51" s="28"/>
      <c r="N51" s="31">
        <f t="shared" si="11"/>
        <v>-3.9600000000006297E-4</v>
      </c>
      <c r="O51" s="68">
        <f t="shared" si="12"/>
        <v>-8.5877862595433484E-4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104.80000000000001</v>
      </c>
      <c r="H52" s="67">
        <f t="shared" si="13"/>
        <v>0.13624</v>
      </c>
      <c r="I52" s="28"/>
      <c r="J52" s="66">
        <v>1.2999999999999999E-3</v>
      </c>
      <c r="K52" s="59">
        <f>K49</f>
        <v>104.71</v>
      </c>
      <c r="L52" s="67">
        <f t="shared" si="14"/>
        <v>0.13612299999999999</v>
      </c>
      <c r="M52" s="28"/>
      <c r="N52" s="31">
        <f t="shared" si="11"/>
        <v>-1.1700000000000599E-4</v>
      </c>
      <c r="O52" s="68">
        <f t="shared" si="12"/>
        <v>-8.5877862595424247E-4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3"/>
        <v>0.25</v>
      </c>
      <c r="I53" s="28"/>
      <c r="J53" s="176">
        <v>0.25</v>
      </c>
      <c r="K53" s="30">
        <v>1</v>
      </c>
      <c r="L53" s="67">
        <f t="shared" si="14"/>
        <v>0.25</v>
      </c>
      <c r="M53" s="28"/>
      <c r="N53" s="31">
        <f t="shared" si="11"/>
        <v>0</v>
      </c>
      <c r="O53" s="68">
        <f t="shared" si="12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100</v>
      </c>
      <c r="H54" s="67">
        <f t="shared" si="13"/>
        <v>0.70000000000000007</v>
      </c>
      <c r="I54" s="28"/>
      <c r="J54" s="66">
        <v>7.0000000000000001E-3</v>
      </c>
      <c r="K54" s="70">
        <f>F16</f>
        <v>100</v>
      </c>
      <c r="L54" s="67">
        <f t="shared" si="14"/>
        <v>0.70000000000000007</v>
      </c>
      <c r="M54" s="28"/>
      <c r="N54" s="31">
        <f t="shared" si="11"/>
        <v>0</v>
      </c>
      <c r="O54" s="68">
        <f t="shared" si="12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64</v>
      </c>
      <c r="H55" s="67">
        <f t="shared" si="13"/>
        <v>4.8</v>
      </c>
      <c r="I55" s="28"/>
      <c r="J55" s="66">
        <v>7.4999999999999997E-2</v>
      </c>
      <c r="K55" s="69">
        <f>G55</f>
        <v>64</v>
      </c>
      <c r="L55" s="67">
        <f t="shared" si="14"/>
        <v>4.8</v>
      </c>
      <c r="M55" s="28"/>
      <c r="N55" s="31">
        <f t="shared" si="11"/>
        <v>0</v>
      </c>
      <c r="O55" s="68">
        <f t="shared" si="12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18</v>
      </c>
      <c r="H56" s="67">
        <f t="shared" si="13"/>
        <v>2.016</v>
      </c>
      <c r="I56" s="28"/>
      <c r="J56" s="66">
        <v>0.112</v>
      </c>
      <c r="K56" s="69">
        <f>G56</f>
        <v>18</v>
      </c>
      <c r="L56" s="67">
        <f t="shared" si="14"/>
        <v>2.016</v>
      </c>
      <c r="M56" s="28"/>
      <c r="N56" s="31">
        <f t="shared" si="11"/>
        <v>0</v>
      </c>
      <c r="O56" s="68">
        <f t="shared" si="12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18</v>
      </c>
      <c r="H57" s="67">
        <f t="shared" si="13"/>
        <v>2.4300000000000002</v>
      </c>
      <c r="I57" s="28"/>
      <c r="J57" s="66">
        <v>0.13500000000000001</v>
      </c>
      <c r="K57" s="69">
        <f>G57</f>
        <v>18</v>
      </c>
      <c r="L57" s="67">
        <f t="shared" si="14"/>
        <v>2.4300000000000002</v>
      </c>
      <c r="M57" s="28"/>
      <c r="N57" s="31">
        <f t="shared" si="11"/>
        <v>0</v>
      </c>
      <c r="O57" s="68">
        <f t="shared" si="12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100</v>
      </c>
      <c r="H58" s="67">
        <f>G58*F58</f>
        <v>8.6</v>
      </c>
      <c r="I58" s="79"/>
      <c r="J58" s="66">
        <v>8.5999999999999993E-2</v>
      </c>
      <c r="K58" s="78">
        <f>G58</f>
        <v>100</v>
      </c>
      <c r="L58" s="67">
        <f>K58*J58</f>
        <v>8.6</v>
      </c>
      <c r="M58" s="79"/>
      <c r="N58" s="80">
        <f t="shared" si="11"/>
        <v>0</v>
      </c>
      <c r="O58" s="68">
        <f t="shared" si="12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0</v>
      </c>
      <c r="H59" s="67">
        <f>G59*F59</f>
        <v>0</v>
      </c>
      <c r="I59" s="79"/>
      <c r="J59" s="66">
        <v>0.10100000000000001</v>
      </c>
      <c r="K59" s="78">
        <f>G59</f>
        <v>0</v>
      </c>
      <c r="L59" s="67">
        <f>K59*J59</f>
        <v>0</v>
      </c>
      <c r="M59" s="79"/>
      <c r="N59" s="80">
        <f t="shared" si="11"/>
        <v>0</v>
      </c>
      <c r="O59" s="68" t="str">
        <f t="shared" si="12"/>
        <v/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31.843567999999998</v>
      </c>
      <c r="I61" s="95"/>
      <c r="J61" s="96"/>
      <c r="K61" s="96"/>
      <c r="L61" s="189">
        <f>SUM(L51:L57,L50)</f>
        <v>30.708649152216033</v>
      </c>
      <c r="M61" s="97"/>
      <c r="N61" s="98">
        <f>L61-H61</f>
        <v>-1.1349188477839647</v>
      </c>
      <c r="O61" s="99">
        <f>IF((H61)=0,"",(N61/H61))</f>
        <v>-3.564044229541001E-2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4.1396638399999999</v>
      </c>
      <c r="I62" s="104"/>
      <c r="J62" s="105">
        <v>0.13</v>
      </c>
      <c r="K62" s="104"/>
      <c r="L62" s="106">
        <f>L61*J62</f>
        <v>3.9921243897880845</v>
      </c>
      <c r="M62" s="107"/>
      <c r="N62" s="108">
        <f t="shared" si="11"/>
        <v>-0.14753945021191539</v>
      </c>
      <c r="O62" s="109">
        <f t="shared" si="12"/>
        <v>-3.5640442295410003E-2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35.983231839999995</v>
      </c>
      <c r="I63" s="104"/>
      <c r="J63" s="104"/>
      <c r="K63" s="104"/>
      <c r="L63" s="106">
        <f>L61+L62</f>
        <v>34.700773542004114</v>
      </c>
      <c r="M63" s="107"/>
      <c r="N63" s="108">
        <f t="shared" si="11"/>
        <v>-1.2824582979958805</v>
      </c>
      <c r="O63" s="109">
        <f t="shared" si="12"/>
        <v>-3.5640442295410024E-2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-3.6</v>
      </c>
      <c r="I64" s="104"/>
      <c r="J64" s="104"/>
      <c r="K64" s="104"/>
      <c r="L64" s="113">
        <f>ROUND(-L63*10%,2)</f>
        <v>-3.47</v>
      </c>
      <c r="M64" s="107"/>
      <c r="N64" s="114">
        <f t="shared" si="11"/>
        <v>0.12999999999999989</v>
      </c>
      <c r="O64" s="115">
        <f t="shared" si="12"/>
        <v>-3.611111111111108E-2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32.383231839999993</v>
      </c>
      <c r="I65" s="120"/>
      <c r="J65" s="120"/>
      <c r="K65" s="120"/>
      <c r="L65" s="121">
        <f>L63+L64</f>
        <v>31.230773542004115</v>
      </c>
      <c r="M65" s="122"/>
      <c r="N65" s="123">
        <f t="shared" si="11"/>
        <v>-1.152458297995878</v>
      </c>
      <c r="O65" s="124">
        <f t="shared" si="12"/>
        <v>-3.5588118680988275E-2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31.197568</v>
      </c>
      <c r="I67" s="136"/>
      <c r="J67" s="137"/>
      <c r="K67" s="137"/>
      <c r="L67" s="188">
        <f>SUM(L58:L59,L50,L51:L54)</f>
        <v>30.062649152216032</v>
      </c>
      <c r="M67" s="138"/>
      <c r="N67" s="139">
        <f>L67-H67</f>
        <v>-1.1349188477839682</v>
      </c>
      <c r="O67" s="99">
        <f>IF((H67)=0,"",(N67/H67))</f>
        <v>-3.6378439748379371E-2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4.0556838400000004</v>
      </c>
      <c r="I68" s="143"/>
      <c r="J68" s="144">
        <v>0.13</v>
      </c>
      <c r="K68" s="145"/>
      <c r="L68" s="146">
        <f>L67*J68</f>
        <v>3.9081443897880845</v>
      </c>
      <c r="M68" s="147"/>
      <c r="N68" s="148">
        <f>L68-H68</f>
        <v>-0.14753945021191583</v>
      </c>
      <c r="O68" s="109">
        <f>IF((H68)=0,"",(N68/H68))</f>
        <v>-3.6378439748379357E-2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35.253251840000004</v>
      </c>
      <c r="I69" s="143"/>
      <c r="J69" s="143"/>
      <c r="K69" s="143"/>
      <c r="L69" s="146">
        <f>L67+L68</f>
        <v>33.970793542004117</v>
      </c>
      <c r="M69" s="147"/>
      <c r="N69" s="148">
        <f>L69-H69</f>
        <v>-1.2824582979958876</v>
      </c>
      <c r="O69" s="109">
        <f>IF((H69)=0,"",(N69/H69))</f>
        <v>-3.6378439748379461E-2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-3.53</v>
      </c>
      <c r="I70" s="143"/>
      <c r="J70" s="143"/>
      <c r="K70" s="143"/>
      <c r="L70" s="153">
        <f>ROUND(-L69*10%,2)</f>
        <v>-3.4</v>
      </c>
      <c r="M70" s="147"/>
      <c r="N70" s="154">
        <f>L70-H70</f>
        <v>0.12999999999999989</v>
      </c>
      <c r="O70" s="115">
        <f>IF((H70)=0,"",(N70/H70))</f>
        <v>-3.6827195467422066E-2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31.723251840000003</v>
      </c>
      <c r="I71" s="159"/>
      <c r="J71" s="159"/>
      <c r="K71" s="159"/>
      <c r="L71" s="160">
        <f>SUM(L69:L70)</f>
        <v>30.570793542004118</v>
      </c>
      <c r="M71" s="161"/>
      <c r="N71" s="162">
        <f>L71-H71</f>
        <v>-1.1524582979958851</v>
      </c>
      <c r="O71" s="163">
        <f>IF((H71)=0,"",(N71/H71))</f>
        <v>-3.6328504524329529E-2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71:D71"/>
    <mergeCell ref="D19:D20"/>
    <mergeCell ref="N19:N20"/>
    <mergeCell ref="O19:O20"/>
    <mergeCell ref="B64:D64"/>
    <mergeCell ref="B70:D70"/>
    <mergeCell ref="D12:O12"/>
    <mergeCell ref="F18:H18"/>
    <mergeCell ref="J18:L18"/>
    <mergeCell ref="N18:O18"/>
    <mergeCell ref="B65:D65"/>
    <mergeCell ref="B9:O9"/>
    <mergeCell ref="N1:O1"/>
    <mergeCell ref="N2:O2"/>
    <mergeCell ref="N3:O3"/>
    <mergeCell ref="N5:O5"/>
    <mergeCell ref="B8:O8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2 E66 E48:E49 E51:E60 E39:E46 E21:E24 E26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60" fitToHeight="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0" tint="-0.14999847407452621"/>
    <pageSetUpPr fitToPage="1"/>
  </sheetPr>
  <dimension ref="A1:T90"/>
  <sheetViews>
    <sheetView showGridLines="0" workbookViewId="0">
      <selection activeCell="M1" sqref="M1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 s="190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 s="191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8-B</v>
      </c>
      <c r="O3" s="234"/>
      <c r="P3" s="190"/>
    </row>
    <row r="4" spans="1:20" s="2" customFormat="1" ht="9" customHeigh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34">
        <f>'Res (100kWh)'!$N$5:$O$5</f>
        <v>42177</v>
      </c>
      <c r="O5" s="234"/>
      <c r="P5" s="193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67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5000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Rates'!$C$7</f>
        <v>21.69</v>
      </c>
      <c r="G21" s="26">
        <v>1</v>
      </c>
      <c r="H21" s="27">
        <f>G21*F21</f>
        <v>21.69</v>
      </c>
      <c r="I21" s="28"/>
      <c r="J21" s="173">
        <f>'[2]Rate Schedule '!$E$16</f>
        <v>22.96</v>
      </c>
      <c r="K21" s="30">
        <v>1</v>
      </c>
      <c r="L21" s="27">
        <f>K21*J21</f>
        <v>22.96</v>
      </c>
      <c r="M21" s="28"/>
      <c r="N21" s="31">
        <f>L21-H21</f>
        <v>1.2699999999999996</v>
      </c>
      <c r="O21" s="32">
        <f>IF((H21)=0,"",(N21/H21))</f>
        <v>5.855232826187181E-2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7.85</v>
      </c>
      <c r="G22" s="26">
        <v>1</v>
      </c>
      <c r="H22" s="27">
        <f t="shared" ref="H22:H37" si="0">G22*F22</f>
        <v>7.85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-7.85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3.2</v>
      </c>
      <c r="G23" s="26">
        <v>1</v>
      </c>
      <c r="H23" s="27">
        <f t="shared" si="0"/>
        <v>3.2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-3.2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Calc'!$B$108</f>
        <v>1.92</v>
      </c>
      <c r="K24" s="30">
        <v>1</v>
      </c>
      <c r="L24" s="27">
        <f t="shared" si="1"/>
        <v>1.92</v>
      </c>
      <c r="M24" s="28"/>
      <c r="N24" s="31">
        <f t="shared" si="2"/>
        <v>1.92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5000</v>
      </c>
      <c r="H25" s="27">
        <f t="shared" si="0"/>
        <v>0</v>
      </c>
      <c r="I25" s="28"/>
      <c r="J25" s="29">
        <f>'[4]6. Rate Rider Calculations'!$F$104</f>
        <v>8.9550917063467952E-4</v>
      </c>
      <c r="K25" s="26">
        <f>$F$16</f>
        <v>5000</v>
      </c>
      <c r="L25" s="27">
        <f t="shared" si="1"/>
        <v>4.4775458531733978</v>
      </c>
      <c r="M25" s="28"/>
      <c r="N25" s="31">
        <f t="shared" si="2"/>
        <v>4.4775458531733978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5000</v>
      </c>
      <c r="H26" s="27">
        <f t="shared" si="0"/>
        <v>-1</v>
      </c>
      <c r="I26" s="28"/>
      <c r="J26" s="173"/>
      <c r="K26" s="26">
        <f>$F$16</f>
        <v>5000</v>
      </c>
      <c r="L26" s="27">
        <f t="shared" si="1"/>
        <v>0</v>
      </c>
      <c r="M26" s="28"/>
      <c r="N26" s="31">
        <f t="shared" si="2"/>
        <v>1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5000</v>
      </c>
      <c r="H27" s="27">
        <f t="shared" si="0"/>
        <v>0</v>
      </c>
      <c r="I27" s="28"/>
      <c r="J27" s="29">
        <f>'[4]6. Rate Rider Calculations'!$F$76</f>
        <v>-3.6442926228316881E-3</v>
      </c>
      <c r="K27" s="26">
        <f>$F$16</f>
        <v>5000</v>
      </c>
      <c r="L27" s="27">
        <f t="shared" si="1"/>
        <v>-18.221463114158439</v>
      </c>
      <c r="M27" s="28"/>
      <c r="N27" s="31">
        <f t="shared" si="2"/>
        <v>-18.221463114158439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Rates'!$E$7</f>
        <v>1.67E-2</v>
      </c>
      <c r="G28" s="26">
        <f>$F$16</f>
        <v>5000</v>
      </c>
      <c r="H28" s="27">
        <f t="shared" si="0"/>
        <v>83.5</v>
      </c>
      <c r="I28" s="28"/>
      <c r="J28" s="29">
        <f>'[2]Rate Schedule '!$E$17</f>
        <v>1.77E-2</v>
      </c>
      <c r="K28" s="26">
        <f>$F$16</f>
        <v>5000</v>
      </c>
      <c r="L28" s="27">
        <f t="shared" si="1"/>
        <v>88.5</v>
      </c>
      <c r="M28" s="28"/>
      <c r="N28" s="31">
        <f t="shared" si="2"/>
        <v>5</v>
      </c>
      <c r="O28" s="32">
        <f t="shared" si="3"/>
        <v>5.9880239520958084E-2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5000</v>
      </c>
      <c r="H29" s="27">
        <f t="shared" si="0"/>
        <v>0</v>
      </c>
      <c r="I29" s="28"/>
      <c r="J29" s="29"/>
      <c r="K29" s="26">
        <f t="shared" ref="K29:K37" si="5">$F$16</f>
        <v>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5000</v>
      </c>
      <c r="H30" s="27">
        <f t="shared" si="0"/>
        <v>0</v>
      </c>
      <c r="I30" s="28"/>
      <c r="J30" s="29"/>
      <c r="K30" s="26">
        <f t="shared" si="5"/>
        <v>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5000</v>
      </c>
      <c r="H31" s="27">
        <f t="shared" si="0"/>
        <v>0</v>
      </c>
      <c r="I31" s="28"/>
      <c r="J31" s="29"/>
      <c r="K31" s="26">
        <f t="shared" si="5"/>
        <v>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5000</v>
      </c>
      <c r="H32" s="27">
        <f t="shared" si="0"/>
        <v>0</v>
      </c>
      <c r="I32" s="28"/>
      <c r="J32" s="29"/>
      <c r="K32" s="26">
        <f t="shared" si="5"/>
        <v>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5000</v>
      </c>
      <c r="H33" s="27">
        <f t="shared" si="0"/>
        <v>0</v>
      </c>
      <c r="I33" s="28"/>
      <c r="J33" s="29"/>
      <c r="K33" s="26">
        <f t="shared" si="5"/>
        <v>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5000</v>
      </c>
      <c r="H34" s="27">
        <f t="shared" si="0"/>
        <v>0</v>
      </c>
      <c r="I34" s="28"/>
      <c r="J34" s="29"/>
      <c r="K34" s="26">
        <f t="shared" si="5"/>
        <v>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5000</v>
      </c>
      <c r="H35" s="27">
        <f t="shared" si="0"/>
        <v>0</v>
      </c>
      <c r="I35" s="28"/>
      <c r="J35" s="29"/>
      <c r="K35" s="26">
        <f t="shared" si="5"/>
        <v>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5000</v>
      </c>
      <c r="H36" s="27">
        <f t="shared" si="0"/>
        <v>0</v>
      </c>
      <c r="I36" s="28"/>
      <c r="J36" s="29"/>
      <c r="K36" s="26">
        <f t="shared" si="5"/>
        <v>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5000</v>
      </c>
      <c r="H37" s="27">
        <f t="shared" si="0"/>
        <v>0</v>
      </c>
      <c r="I37" s="28"/>
      <c r="J37" s="29"/>
      <c r="K37" s="26">
        <f t="shared" si="5"/>
        <v>5000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115.24000000000001</v>
      </c>
      <c r="I38" s="41"/>
      <c r="J38" s="42"/>
      <c r="K38" s="43"/>
      <c r="L38" s="40">
        <f>SUM(L21:L37)</f>
        <v>99.636082739014967</v>
      </c>
      <c r="M38" s="41"/>
      <c r="N38" s="44">
        <f t="shared" si="2"/>
        <v>-15.603917260985043</v>
      </c>
      <c r="O38" s="45">
        <f t="shared" si="3"/>
        <v>-0.13540365551010969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5000</v>
      </c>
      <c r="H40" s="27">
        <f t="shared" ref="H40:H46" si="7">G40*F40</f>
        <v>-9</v>
      </c>
      <c r="I40" s="28"/>
      <c r="J40" s="29">
        <f>'[4]6. Rate Rider Calculations'!$F$21</f>
        <v>1.2089006660829713E-4</v>
      </c>
      <c r="K40" s="26">
        <f>$F$16</f>
        <v>5000</v>
      </c>
      <c r="L40" s="27">
        <f t="shared" ref="L40:L46" si="8">K40*J40</f>
        <v>0.60445033304148565</v>
      </c>
      <c r="M40" s="28"/>
      <c r="N40" s="31">
        <f t="shared" ref="N40:N65" si="9">L40-H40</f>
        <v>9.6044503330414859</v>
      </c>
      <c r="O40" s="32">
        <f t="shared" ref="O40:O45" si="10">IF((H40)=0,"",(N40/H40))</f>
        <v>-1.0671611481157206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5000</v>
      </c>
      <c r="H41" s="27">
        <f t="shared" si="7"/>
        <v>0</v>
      </c>
      <c r="I41" s="47"/>
      <c r="J41" s="29"/>
      <c r="K41" s="26">
        <f>$F$16</f>
        <v>5000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5000</v>
      </c>
      <c r="H42" s="27">
        <f t="shared" si="7"/>
        <v>0</v>
      </c>
      <c r="I42" s="47"/>
      <c r="J42" s="29"/>
      <c r="K42" s="26">
        <f>$F$16</f>
        <v>5000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5000</v>
      </c>
      <c r="H43" s="27">
        <f t="shared" si="7"/>
        <v>0</v>
      </c>
      <c r="I43" s="47"/>
      <c r="J43" s="29"/>
      <c r="K43" s="26">
        <f>$F$16</f>
        <v>5000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5000</v>
      </c>
      <c r="H44" s="27">
        <f t="shared" si="7"/>
        <v>0.2</v>
      </c>
      <c r="I44" s="28"/>
      <c r="J44" s="196">
        <f>'[2]Rate Schedule '!$E$18</f>
        <v>6.9999999999999994E-5</v>
      </c>
      <c r="K44" s="26">
        <f>$F$16</f>
        <v>5000</v>
      </c>
      <c r="L44" s="27">
        <f t="shared" si="8"/>
        <v>0.35</v>
      </c>
      <c r="M44" s="28"/>
      <c r="N44" s="31">
        <f t="shared" si="9"/>
        <v>0.14999999999999997</v>
      </c>
      <c r="O44" s="32">
        <f t="shared" si="10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240</v>
      </c>
      <c r="H45" s="183">
        <f t="shared" si="7"/>
        <v>22.1904</v>
      </c>
      <c r="I45" s="57"/>
      <c r="J45" s="184">
        <f>0.64*$F$55+0.18*$F$56+0.18*$F$57</f>
        <v>9.2460000000000001E-2</v>
      </c>
      <c r="K45" s="26">
        <f>$F$16*(1+$J$74)-$F$16</f>
        <v>235.5</v>
      </c>
      <c r="L45" s="183">
        <f t="shared" si="8"/>
        <v>21.774329999999999</v>
      </c>
      <c r="M45" s="57"/>
      <c r="N45" s="185">
        <f t="shared" si="9"/>
        <v>-0.41607000000000127</v>
      </c>
      <c r="O45" s="186">
        <f t="shared" si="10"/>
        <v>-1.8750000000000058E-2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129.4204</v>
      </c>
      <c r="I47" s="41"/>
      <c r="J47" s="53"/>
      <c r="K47" s="55"/>
      <c r="L47" s="54">
        <f>SUM(L39:L46)+L38</f>
        <v>123.15486307205646</v>
      </c>
      <c r="M47" s="41"/>
      <c r="N47" s="44">
        <f t="shared" si="9"/>
        <v>-6.2655369279435433</v>
      </c>
      <c r="O47" s="45">
        <f t="shared" ref="O47:O65" si="11">IF((H47)=0,"",(N47/H47))</f>
        <v>-4.8412282205460212E-2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6.8999999999999999E-3</v>
      </c>
      <c r="G48" s="58">
        <f>F16*(1+F74)</f>
        <v>5240</v>
      </c>
      <c r="H48" s="27">
        <f>G48*F48</f>
        <v>36.155999999999999</v>
      </c>
      <c r="I48" s="28"/>
      <c r="J48" s="29">
        <f>'[5]13. Final 2015 RTS Rates'!$F$27</f>
        <v>7.0871105522439639E-3</v>
      </c>
      <c r="K48" s="59">
        <f>F16*(1+J74)</f>
        <v>5235.5</v>
      </c>
      <c r="L48" s="27">
        <f>K48*J48</f>
        <v>37.104567296273274</v>
      </c>
      <c r="M48" s="28"/>
      <c r="N48" s="31">
        <f t="shared" si="9"/>
        <v>0.94856729627327496</v>
      </c>
      <c r="O48" s="32">
        <f t="shared" si="11"/>
        <v>2.6235404808974305E-2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5.1999999999999998E-3</v>
      </c>
      <c r="G49" s="58">
        <f>G48</f>
        <v>5240</v>
      </c>
      <c r="H49" s="27">
        <f>G49*F49</f>
        <v>27.247999999999998</v>
      </c>
      <c r="I49" s="28"/>
      <c r="J49" s="29">
        <f>'[5]13. Final 2015 RTS Rates'!$H$27</f>
        <v>5.3052532652731223E-3</v>
      </c>
      <c r="K49" s="59">
        <f>K48</f>
        <v>5235.5</v>
      </c>
      <c r="L49" s="27">
        <f>K49*J49</f>
        <v>27.775653470337431</v>
      </c>
      <c r="M49" s="28"/>
      <c r="N49" s="31">
        <f t="shared" si="9"/>
        <v>0.52765347033743382</v>
      </c>
      <c r="O49" s="32">
        <f t="shared" si="11"/>
        <v>1.9364851377621617E-2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192.8244</v>
      </c>
      <c r="I50" s="62"/>
      <c r="J50" s="63"/>
      <c r="K50" s="64"/>
      <c r="L50" s="54">
        <f>SUM(L47:L49)</f>
        <v>188.03508383866716</v>
      </c>
      <c r="M50" s="62"/>
      <c r="N50" s="44">
        <f t="shared" si="9"/>
        <v>-4.7893161613328346</v>
      </c>
      <c r="O50" s="45">
        <f t="shared" si="11"/>
        <v>-2.483770809779693E-2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5240</v>
      </c>
      <c r="H51" s="67">
        <f t="shared" ref="H51:H57" si="12">G51*F51</f>
        <v>23.056000000000001</v>
      </c>
      <c r="I51" s="28"/>
      <c r="J51" s="66">
        <v>4.4000000000000003E-3</v>
      </c>
      <c r="K51" s="59">
        <f>K49</f>
        <v>5235.5</v>
      </c>
      <c r="L51" s="67">
        <f t="shared" ref="L51:L57" si="13">K51*J51</f>
        <v>23.036200000000001</v>
      </c>
      <c r="M51" s="28"/>
      <c r="N51" s="31">
        <f t="shared" si="9"/>
        <v>-1.980000000000004E-2</v>
      </c>
      <c r="O51" s="68">
        <f t="shared" si="11"/>
        <v>-8.5877862595420019E-4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5240</v>
      </c>
      <c r="H52" s="67">
        <f t="shared" si="12"/>
        <v>6.8119999999999994</v>
      </c>
      <c r="I52" s="28"/>
      <c r="J52" s="66">
        <v>1.2999999999999999E-3</v>
      </c>
      <c r="K52" s="59">
        <f>K49</f>
        <v>5235.5</v>
      </c>
      <c r="L52" s="67">
        <f t="shared" si="13"/>
        <v>6.8061499999999997</v>
      </c>
      <c r="M52" s="28"/>
      <c r="N52" s="31">
        <f t="shared" si="9"/>
        <v>-5.8499999999996888E-3</v>
      </c>
      <c r="O52" s="68">
        <f t="shared" si="11"/>
        <v>-8.5877862595415291E-4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5000</v>
      </c>
      <c r="H54" s="67">
        <f t="shared" si="12"/>
        <v>35</v>
      </c>
      <c r="I54" s="28"/>
      <c r="J54" s="66">
        <v>7.0000000000000001E-3</v>
      </c>
      <c r="K54" s="70">
        <f>F16</f>
        <v>5000</v>
      </c>
      <c r="L54" s="67">
        <f t="shared" si="13"/>
        <v>35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3200</v>
      </c>
      <c r="H55" s="67">
        <f t="shared" si="12"/>
        <v>240</v>
      </c>
      <c r="I55" s="28"/>
      <c r="J55" s="66">
        <v>7.4999999999999997E-2</v>
      </c>
      <c r="K55" s="69">
        <f>G55</f>
        <v>3200</v>
      </c>
      <c r="L55" s="67">
        <f t="shared" si="13"/>
        <v>240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900</v>
      </c>
      <c r="H56" s="67">
        <f t="shared" si="12"/>
        <v>100.8</v>
      </c>
      <c r="I56" s="28"/>
      <c r="J56" s="66">
        <v>0.112</v>
      </c>
      <c r="K56" s="69">
        <f>G56</f>
        <v>900</v>
      </c>
      <c r="L56" s="67">
        <f t="shared" si="13"/>
        <v>100.8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900</v>
      </c>
      <c r="H57" s="67">
        <f t="shared" si="12"/>
        <v>121.50000000000001</v>
      </c>
      <c r="I57" s="28"/>
      <c r="J57" s="66">
        <v>0.13500000000000001</v>
      </c>
      <c r="K57" s="69">
        <f>G57</f>
        <v>900</v>
      </c>
      <c r="L57" s="67">
        <f t="shared" si="13"/>
        <v>121.50000000000001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4400</v>
      </c>
      <c r="H59" s="67">
        <f>G59*F59</f>
        <v>444.40000000000003</v>
      </c>
      <c r="I59" s="79"/>
      <c r="J59" s="66">
        <v>0.10100000000000001</v>
      </c>
      <c r="K59" s="78">
        <f>G59</f>
        <v>4400</v>
      </c>
      <c r="L59" s="67">
        <f>K59*J59</f>
        <v>444.40000000000003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720.24239999999998</v>
      </c>
      <c r="I61" s="95"/>
      <c r="J61" s="96"/>
      <c r="K61" s="96"/>
      <c r="L61" s="189">
        <f>SUM(L51:L57,L50)</f>
        <v>715.42743383866718</v>
      </c>
      <c r="M61" s="97"/>
      <c r="N61" s="98">
        <f>L61-H61</f>
        <v>-4.8149661613327908</v>
      </c>
      <c r="O61" s="99">
        <f>IF((H61)=0,"",(N61/H61))</f>
        <v>-6.6852023170710182E-3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93.631512000000001</v>
      </c>
      <c r="I62" s="104"/>
      <c r="J62" s="105">
        <v>0.13</v>
      </c>
      <c r="K62" s="104"/>
      <c r="L62" s="106">
        <f>L61*J62</f>
        <v>93.005566399026733</v>
      </c>
      <c r="M62" s="107"/>
      <c r="N62" s="108">
        <f t="shared" si="9"/>
        <v>-0.62594560097326735</v>
      </c>
      <c r="O62" s="109">
        <f t="shared" si="11"/>
        <v>-6.6852023170710659E-3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813.87391200000002</v>
      </c>
      <c r="I63" s="104"/>
      <c r="J63" s="104"/>
      <c r="K63" s="104"/>
      <c r="L63" s="106">
        <f>L61+L62</f>
        <v>808.43300023769393</v>
      </c>
      <c r="M63" s="107"/>
      <c r="N63" s="108">
        <f t="shared" si="9"/>
        <v>-5.4409117623060865</v>
      </c>
      <c r="O63" s="109">
        <f t="shared" si="11"/>
        <v>-6.6852023170710581E-3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-81.39</v>
      </c>
      <c r="I64" s="104"/>
      <c r="J64" s="104"/>
      <c r="K64" s="104"/>
      <c r="L64" s="113">
        <f>ROUND(-L63*10%,2)</f>
        <v>-80.84</v>
      </c>
      <c r="M64" s="107"/>
      <c r="N64" s="114">
        <f t="shared" si="9"/>
        <v>0.54999999999999716</v>
      </c>
      <c r="O64" s="115">
        <f t="shared" si="11"/>
        <v>-6.7575869271408913E-3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732.48391200000003</v>
      </c>
      <c r="I65" s="120"/>
      <c r="J65" s="120"/>
      <c r="K65" s="120"/>
      <c r="L65" s="121">
        <f>L63+L64</f>
        <v>727.5930002376939</v>
      </c>
      <c r="M65" s="122"/>
      <c r="N65" s="123">
        <f t="shared" si="9"/>
        <v>-4.890911762306132</v>
      </c>
      <c r="O65" s="124">
        <f t="shared" si="11"/>
        <v>-6.6771592961704963E-3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753.94240000000002</v>
      </c>
      <c r="I67" s="136"/>
      <c r="J67" s="137"/>
      <c r="K67" s="137"/>
      <c r="L67" s="188">
        <f>SUM(L58:L59,L50,L51:L54)</f>
        <v>749.12743383866712</v>
      </c>
      <c r="M67" s="138"/>
      <c r="N67" s="139">
        <f>L67-H67</f>
        <v>-4.8149661613329044</v>
      </c>
      <c r="O67" s="99">
        <f>IF((H67)=0,"",(N67/H67))</f>
        <v>-6.3863846380478196E-3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98.012512000000001</v>
      </c>
      <c r="I68" s="143"/>
      <c r="J68" s="144">
        <v>0.13</v>
      </c>
      <c r="K68" s="145"/>
      <c r="L68" s="146">
        <f>L67*J68</f>
        <v>97.386566399026734</v>
      </c>
      <c r="M68" s="147"/>
      <c r="N68" s="148">
        <f>L68-H68</f>
        <v>-0.62594560097326735</v>
      </c>
      <c r="O68" s="109">
        <f>IF((H68)=0,"",(N68/H68))</f>
        <v>-6.3863846380477155E-3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851.95491200000004</v>
      </c>
      <c r="I69" s="143"/>
      <c r="J69" s="143"/>
      <c r="K69" s="143"/>
      <c r="L69" s="146">
        <f>L67+L68</f>
        <v>846.51400023769384</v>
      </c>
      <c r="M69" s="147"/>
      <c r="N69" s="148">
        <f>L69-H69</f>
        <v>-5.4409117623062002</v>
      </c>
      <c r="O69" s="109">
        <f>IF((H69)=0,"",(N69/H69))</f>
        <v>-6.3863846380478404E-3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-85.2</v>
      </c>
      <c r="I70" s="143"/>
      <c r="J70" s="143"/>
      <c r="K70" s="143"/>
      <c r="L70" s="153">
        <f>ROUND(-L69*10%,2)</f>
        <v>-84.65</v>
      </c>
      <c r="M70" s="147"/>
      <c r="N70" s="154">
        <f>L70-H70</f>
        <v>0.54999999999999716</v>
      </c>
      <c r="O70" s="115">
        <f>IF((H70)=0,"",(N70/H70))</f>
        <v>-6.4553990610328304E-3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766.75491199999999</v>
      </c>
      <c r="I71" s="159"/>
      <c r="J71" s="159"/>
      <c r="K71" s="159"/>
      <c r="L71" s="160">
        <f>SUM(L69:L70)</f>
        <v>761.86400023769386</v>
      </c>
      <c r="M71" s="161"/>
      <c r="N71" s="162">
        <f>L71-H71</f>
        <v>-4.890911762306132</v>
      </c>
      <c r="O71" s="163">
        <f>IF((H71)=0,"",(N71/H71))</f>
        <v>-6.3787159179048494E-3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8:O8"/>
    <mergeCell ref="N1:O1"/>
    <mergeCell ref="N2:O2"/>
    <mergeCell ref="N3:O3"/>
    <mergeCell ref="N5:O5"/>
    <mergeCell ref="B64:D64"/>
    <mergeCell ref="B65:D65"/>
    <mergeCell ref="B70:D70"/>
    <mergeCell ref="B71:D71"/>
    <mergeCell ref="B9:O9"/>
    <mergeCell ref="D12:O12"/>
    <mergeCell ref="F18:H18"/>
    <mergeCell ref="J18:L18"/>
    <mergeCell ref="N18:O18"/>
    <mergeCell ref="D19:D20"/>
    <mergeCell ref="N19:N20"/>
    <mergeCell ref="O19:O20"/>
  </mergeCells>
  <dataValidations count="4">
    <dataValidation type="list" allowBlank="1" showInputMessage="1" showErrorMessage="1" sqref="E48:E49 E51:E57 E60 E39:E46 E21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theme="0" tint="-0.14999847407452621"/>
    <pageSetUpPr fitToPage="1"/>
  </sheetPr>
  <dimension ref="A1:T90"/>
  <sheetViews>
    <sheetView showGridLines="0" topLeftCell="A9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0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3.42578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 s="190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 s="191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8-B</v>
      </c>
      <c r="O3" s="234"/>
      <c r="P3" s="190"/>
    </row>
    <row r="4" spans="1:20" s="2" customFormat="1" ht="9" customHeigh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34">
        <f>'Res (100kWh)'!$N$5:$O$5</f>
        <v>42177</v>
      </c>
      <c r="O5" s="234"/>
      <c r="P5" s="193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67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10000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Rates'!$C$7</f>
        <v>21.69</v>
      </c>
      <c r="G21" s="26">
        <v>1</v>
      </c>
      <c r="H21" s="27">
        <f>G21*F21</f>
        <v>21.69</v>
      </c>
      <c r="I21" s="28"/>
      <c r="J21" s="173">
        <f>'[2]Rate Schedule '!$E$16</f>
        <v>22.96</v>
      </c>
      <c r="K21" s="30">
        <v>1</v>
      </c>
      <c r="L21" s="27">
        <f>K21*J21</f>
        <v>22.96</v>
      </c>
      <c r="M21" s="28"/>
      <c r="N21" s="31">
        <f>L21-H21</f>
        <v>1.2699999999999996</v>
      </c>
      <c r="O21" s="32">
        <f>IF((H21)=0,"",(N21/H21))</f>
        <v>5.855232826187181E-2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7.85</v>
      </c>
      <c r="G22" s="26">
        <v>1</v>
      </c>
      <c r="H22" s="27">
        <f t="shared" ref="H22:H37" si="0">G22*F22</f>
        <v>7.85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-7.85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3.2</v>
      </c>
      <c r="G23" s="26">
        <v>1</v>
      </c>
      <c r="H23" s="27">
        <f t="shared" si="0"/>
        <v>3.2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-3.2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Calc'!$B$108</f>
        <v>1.92</v>
      </c>
      <c r="K24" s="30">
        <v>1</v>
      </c>
      <c r="L24" s="27">
        <f t="shared" si="1"/>
        <v>1.92</v>
      </c>
      <c r="M24" s="28"/>
      <c r="N24" s="31">
        <f t="shared" si="2"/>
        <v>1.92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10000</v>
      </c>
      <c r="H25" s="27">
        <f t="shared" si="0"/>
        <v>0</v>
      </c>
      <c r="I25" s="28"/>
      <c r="J25" s="29">
        <f>'[4]6. Rate Rider Calculations'!$F$104</f>
        <v>8.9550917063467952E-4</v>
      </c>
      <c r="K25" s="26">
        <f>$F$16</f>
        <v>10000</v>
      </c>
      <c r="L25" s="27">
        <f t="shared" si="1"/>
        <v>8.9550917063467956</v>
      </c>
      <c r="M25" s="28"/>
      <c r="N25" s="31">
        <f t="shared" si="2"/>
        <v>8.9550917063467956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10000</v>
      </c>
      <c r="H26" s="27">
        <f t="shared" si="0"/>
        <v>-2</v>
      </c>
      <c r="I26" s="28"/>
      <c r="J26" s="173"/>
      <c r="K26" s="26">
        <f>$F$16</f>
        <v>10000</v>
      </c>
      <c r="L26" s="27">
        <f t="shared" si="1"/>
        <v>0</v>
      </c>
      <c r="M26" s="28"/>
      <c r="N26" s="31">
        <f t="shared" si="2"/>
        <v>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10000</v>
      </c>
      <c r="H27" s="27">
        <f t="shared" si="0"/>
        <v>0</v>
      </c>
      <c r="I27" s="28"/>
      <c r="J27" s="29">
        <f>'[4]6. Rate Rider Calculations'!$F$76</f>
        <v>-3.6442926228316881E-3</v>
      </c>
      <c r="K27" s="26">
        <f>$F$16</f>
        <v>10000</v>
      </c>
      <c r="L27" s="27">
        <f t="shared" si="1"/>
        <v>-36.442926228316878</v>
      </c>
      <c r="M27" s="28"/>
      <c r="N27" s="31">
        <f t="shared" si="2"/>
        <v>-36.442926228316878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Rates'!$E$7</f>
        <v>1.67E-2</v>
      </c>
      <c r="G28" s="26">
        <f>$F$16</f>
        <v>10000</v>
      </c>
      <c r="H28" s="27">
        <f t="shared" si="0"/>
        <v>167</v>
      </c>
      <c r="I28" s="28"/>
      <c r="J28" s="29">
        <f>'[2]Rate Schedule '!$E$17</f>
        <v>1.77E-2</v>
      </c>
      <c r="K28" s="26">
        <f>$F$16</f>
        <v>10000</v>
      </c>
      <c r="L28" s="27">
        <f t="shared" si="1"/>
        <v>177</v>
      </c>
      <c r="M28" s="28"/>
      <c r="N28" s="31">
        <f t="shared" si="2"/>
        <v>10</v>
      </c>
      <c r="O28" s="32">
        <f t="shared" si="3"/>
        <v>5.9880239520958084E-2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10000</v>
      </c>
      <c r="H29" s="27">
        <f t="shared" si="0"/>
        <v>0</v>
      </c>
      <c r="I29" s="28"/>
      <c r="J29" s="29"/>
      <c r="K29" s="26">
        <f t="shared" ref="K29:K37" si="5">$F$16</f>
        <v>10000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10000</v>
      </c>
      <c r="H30" s="27">
        <f t="shared" si="0"/>
        <v>0</v>
      </c>
      <c r="I30" s="28"/>
      <c r="J30" s="29"/>
      <c r="K30" s="26">
        <f t="shared" si="5"/>
        <v>10000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10000</v>
      </c>
      <c r="H31" s="27">
        <f t="shared" si="0"/>
        <v>0</v>
      </c>
      <c r="I31" s="28"/>
      <c r="J31" s="29"/>
      <c r="K31" s="26">
        <f t="shared" si="5"/>
        <v>10000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10000</v>
      </c>
      <c r="H32" s="27">
        <f t="shared" si="0"/>
        <v>0</v>
      </c>
      <c r="I32" s="28"/>
      <c r="J32" s="29"/>
      <c r="K32" s="26">
        <f t="shared" si="5"/>
        <v>10000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10000</v>
      </c>
      <c r="H33" s="27">
        <f t="shared" si="0"/>
        <v>0</v>
      </c>
      <c r="I33" s="28"/>
      <c r="J33" s="29"/>
      <c r="K33" s="26">
        <f t="shared" si="5"/>
        <v>10000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10000</v>
      </c>
      <c r="H34" s="27">
        <f t="shared" si="0"/>
        <v>0</v>
      </c>
      <c r="I34" s="28"/>
      <c r="J34" s="29"/>
      <c r="K34" s="26">
        <f t="shared" si="5"/>
        <v>10000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10000</v>
      </c>
      <c r="H35" s="27">
        <f t="shared" si="0"/>
        <v>0</v>
      </c>
      <c r="I35" s="28"/>
      <c r="J35" s="29"/>
      <c r="K35" s="26">
        <f t="shared" si="5"/>
        <v>10000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10000</v>
      </c>
      <c r="H36" s="27">
        <f t="shared" si="0"/>
        <v>0</v>
      </c>
      <c r="I36" s="28"/>
      <c r="J36" s="29"/>
      <c r="K36" s="26">
        <f t="shared" si="5"/>
        <v>10000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10000</v>
      </c>
      <c r="H37" s="27">
        <f t="shared" si="0"/>
        <v>0</v>
      </c>
      <c r="I37" s="28"/>
      <c r="J37" s="29"/>
      <c r="K37" s="26">
        <f t="shared" si="5"/>
        <v>10000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197.74</v>
      </c>
      <c r="I38" s="41"/>
      <c r="J38" s="42"/>
      <c r="K38" s="43"/>
      <c r="L38" s="40">
        <f>SUM(L21:L37)</f>
        <v>174.39216547802994</v>
      </c>
      <c r="M38" s="41"/>
      <c r="N38" s="44">
        <f t="shared" si="2"/>
        <v>-23.347834521970071</v>
      </c>
      <c r="O38" s="45">
        <f t="shared" si="3"/>
        <v>-0.11807340205304981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10000</v>
      </c>
      <c r="H40" s="27">
        <f t="shared" ref="H40:H46" si="7">G40*F40</f>
        <v>-18</v>
      </c>
      <c r="I40" s="28"/>
      <c r="J40" s="29">
        <f>'[4]6. Rate Rider Calculations'!$F$21</f>
        <v>1.2089006660829713E-4</v>
      </c>
      <c r="K40" s="26">
        <f>$F$16</f>
        <v>10000</v>
      </c>
      <c r="L40" s="27">
        <f t="shared" ref="L40:L46" si="8">K40*J40</f>
        <v>1.2089006660829713</v>
      </c>
      <c r="M40" s="28"/>
      <c r="N40" s="31">
        <f t="shared" ref="N40:N65" si="9">L40-H40</f>
        <v>19.208900666082972</v>
      </c>
      <c r="O40" s="32">
        <f t="shared" ref="O40:O45" si="10">IF((H40)=0,"",(N40/H40))</f>
        <v>-1.0671611481157206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10000</v>
      </c>
      <c r="H41" s="27">
        <f t="shared" si="7"/>
        <v>0</v>
      </c>
      <c r="I41" s="47"/>
      <c r="J41" s="29"/>
      <c r="K41" s="26">
        <f>$F$16</f>
        <v>10000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10000</v>
      </c>
      <c r="H42" s="27">
        <f t="shared" si="7"/>
        <v>0</v>
      </c>
      <c r="I42" s="47"/>
      <c r="J42" s="29"/>
      <c r="K42" s="26">
        <f>$F$16</f>
        <v>10000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10000</v>
      </c>
      <c r="H43" s="27">
        <f t="shared" si="7"/>
        <v>0</v>
      </c>
      <c r="I43" s="47"/>
      <c r="J43" s="29"/>
      <c r="K43" s="26">
        <f>$F$16</f>
        <v>10000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10000</v>
      </c>
      <c r="H44" s="27">
        <f t="shared" si="7"/>
        <v>0.4</v>
      </c>
      <c r="I44" s="28"/>
      <c r="J44" s="196">
        <f>'[2]Rate Schedule '!$E$18</f>
        <v>6.9999999999999994E-5</v>
      </c>
      <c r="K44" s="26">
        <f>$F$16</f>
        <v>10000</v>
      </c>
      <c r="L44" s="27">
        <f t="shared" si="8"/>
        <v>0.7</v>
      </c>
      <c r="M44" s="28"/>
      <c r="N44" s="31">
        <f t="shared" si="9"/>
        <v>0.29999999999999993</v>
      </c>
      <c r="O44" s="32">
        <f t="shared" si="10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480</v>
      </c>
      <c r="H45" s="183">
        <f t="shared" si="7"/>
        <v>44.380800000000001</v>
      </c>
      <c r="I45" s="57"/>
      <c r="J45" s="184">
        <f>0.64*$F$55+0.18*$F$56+0.18*$F$57</f>
        <v>9.2460000000000001E-2</v>
      </c>
      <c r="K45" s="26">
        <f>$F$16*(1+$J$74)-$F$16</f>
        <v>471</v>
      </c>
      <c r="L45" s="183">
        <f t="shared" si="8"/>
        <v>43.548659999999998</v>
      </c>
      <c r="M45" s="57"/>
      <c r="N45" s="185">
        <f t="shared" si="9"/>
        <v>-0.83214000000000254</v>
      </c>
      <c r="O45" s="186">
        <f t="shared" si="10"/>
        <v>-1.8750000000000058E-2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225.3108</v>
      </c>
      <c r="I47" s="41"/>
      <c r="J47" s="53"/>
      <c r="K47" s="55"/>
      <c r="L47" s="54">
        <f>SUM(L39:L46)+L38</f>
        <v>220.6397261441129</v>
      </c>
      <c r="M47" s="41"/>
      <c r="N47" s="44">
        <f t="shared" si="9"/>
        <v>-4.6710738558871014</v>
      </c>
      <c r="O47" s="45">
        <f t="shared" ref="O47:O65" si="11">IF((H47)=0,"",(N47/H47))</f>
        <v>-2.0731690872728255E-2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6.8999999999999999E-3</v>
      </c>
      <c r="G48" s="58">
        <f>F16*(1+F74)</f>
        <v>10480</v>
      </c>
      <c r="H48" s="27">
        <f>G48*F48</f>
        <v>72.311999999999998</v>
      </c>
      <c r="I48" s="28"/>
      <c r="J48" s="29">
        <f>'[5]13. Final 2015 RTS Rates'!$F$27</f>
        <v>7.0871105522439639E-3</v>
      </c>
      <c r="K48" s="59">
        <f>F16*(1+J74)</f>
        <v>10471</v>
      </c>
      <c r="L48" s="27">
        <f>K48*J48</f>
        <v>74.209134592546548</v>
      </c>
      <c r="M48" s="28"/>
      <c r="N48" s="31">
        <f t="shared" si="9"/>
        <v>1.8971345925465499</v>
      </c>
      <c r="O48" s="32">
        <f t="shared" si="11"/>
        <v>2.6235404808974305E-2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5.1999999999999998E-3</v>
      </c>
      <c r="G49" s="58">
        <f>G48</f>
        <v>10480</v>
      </c>
      <c r="H49" s="27">
        <f>G49*F49</f>
        <v>54.495999999999995</v>
      </c>
      <c r="I49" s="28"/>
      <c r="J49" s="29">
        <f>'[5]13. Final 2015 RTS Rates'!$H$27</f>
        <v>5.3052532652731223E-3</v>
      </c>
      <c r="K49" s="59">
        <f>K48</f>
        <v>10471</v>
      </c>
      <c r="L49" s="27">
        <f>K49*J49</f>
        <v>55.551306940674863</v>
      </c>
      <c r="M49" s="28"/>
      <c r="N49" s="31">
        <f t="shared" si="9"/>
        <v>1.0553069406748676</v>
      </c>
      <c r="O49" s="32">
        <f t="shared" si="11"/>
        <v>1.9364851377621617E-2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352.11879999999996</v>
      </c>
      <c r="I50" s="62"/>
      <c r="J50" s="63"/>
      <c r="K50" s="64"/>
      <c r="L50" s="54">
        <f>SUM(L47:L49)</f>
        <v>350.40016767733431</v>
      </c>
      <c r="M50" s="62"/>
      <c r="N50" s="44">
        <f t="shared" si="9"/>
        <v>-1.7186323226656555</v>
      </c>
      <c r="O50" s="45">
        <f t="shared" si="11"/>
        <v>-4.8808309089592933E-3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10480</v>
      </c>
      <c r="H51" s="67">
        <f t="shared" ref="H51:H57" si="12">G51*F51</f>
        <v>46.112000000000002</v>
      </c>
      <c r="I51" s="28"/>
      <c r="J51" s="66">
        <v>4.4000000000000003E-3</v>
      </c>
      <c r="K51" s="59">
        <f>K49</f>
        <v>10471</v>
      </c>
      <c r="L51" s="67">
        <f t="shared" ref="L51:L57" si="13">K51*J51</f>
        <v>46.072400000000002</v>
      </c>
      <c r="M51" s="28"/>
      <c r="N51" s="31">
        <f t="shared" si="9"/>
        <v>-3.960000000000008E-2</v>
      </c>
      <c r="O51" s="68">
        <f t="shared" si="11"/>
        <v>-8.5877862595420019E-4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10480</v>
      </c>
      <c r="H52" s="67">
        <f t="shared" si="12"/>
        <v>13.623999999999999</v>
      </c>
      <c r="I52" s="28"/>
      <c r="J52" s="66">
        <v>1.2999999999999999E-3</v>
      </c>
      <c r="K52" s="59">
        <f>K49</f>
        <v>10471</v>
      </c>
      <c r="L52" s="67">
        <f t="shared" si="13"/>
        <v>13.612299999999999</v>
      </c>
      <c r="M52" s="28"/>
      <c r="N52" s="31">
        <f t="shared" si="9"/>
        <v>-1.1699999999999378E-2</v>
      </c>
      <c r="O52" s="68">
        <f t="shared" si="11"/>
        <v>-8.5877862595415291E-4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10000</v>
      </c>
      <c r="H54" s="67">
        <f t="shared" si="12"/>
        <v>70</v>
      </c>
      <c r="I54" s="28"/>
      <c r="J54" s="66">
        <v>7.0000000000000001E-3</v>
      </c>
      <c r="K54" s="70">
        <f>F16</f>
        <v>10000</v>
      </c>
      <c r="L54" s="67">
        <f t="shared" si="13"/>
        <v>70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6400</v>
      </c>
      <c r="H55" s="67">
        <f t="shared" si="12"/>
        <v>480</v>
      </c>
      <c r="I55" s="28"/>
      <c r="J55" s="66">
        <v>7.4999999999999997E-2</v>
      </c>
      <c r="K55" s="69">
        <f>G55</f>
        <v>6400</v>
      </c>
      <c r="L55" s="67">
        <f t="shared" si="13"/>
        <v>480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1800</v>
      </c>
      <c r="H56" s="67">
        <f t="shared" si="12"/>
        <v>201.6</v>
      </c>
      <c r="I56" s="28"/>
      <c r="J56" s="66">
        <v>0.112</v>
      </c>
      <c r="K56" s="69">
        <f>G56</f>
        <v>1800</v>
      </c>
      <c r="L56" s="67">
        <f t="shared" si="13"/>
        <v>201.6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1800</v>
      </c>
      <c r="H57" s="67">
        <f t="shared" si="12"/>
        <v>243.00000000000003</v>
      </c>
      <c r="I57" s="28"/>
      <c r="J57" s="66">
        <v>0.13500000000000001</v>
      </c>
      <c r="K57" s="69">
        <f>G57</f>
        <v>1800</v>
      </c>
      <c r="L57" s="67">
        <f t="shared" si="13"/>
        <v>243.00000000000003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9400</v>
      </c>
      <c r="H59" s="67">
        <f>G59*F59</f>
        <v>949.40000000000009</v>
      </c>
      <c r="I59" s="79"/>
      <c r="J59" s="66">
        <v>0.10100000000000001</v>
      </c>
      <c r="K59" s="78">
        <f>G59</f>
        <v>9400</v>
      </c>
      <c r="L59" s="67">
        <f>K59*J59</f>
        <v>949.40000000000009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1406.7048</v>
      </c>
      <c r="I61" s="95"/>
      <c r="J61" s="96"/>
      <c r="K61" s="96"/>
      <c r="L61" s="189">
        <f>SUM(L51:L57,L50)</f>
        <v>1404.9348676773345</v>
      </c>
      <c r="M61" s="97"/>
      <c r="N61" s="98">
        <f>L61-H61</f>
        <v>-1.7699323226654542</v>
      </c>
      <c r="O61" s="99">
        <f>IF((H61)=0,"",(N61/H61))</f>
        <v>-1.2582116181486366E-3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182.871624</v>
      </c>
      <c r="I62" s="104"/>
      <c r="J62" s="105">
        <v>0.13</v>
      </c>
      <c r="K62" s="104"/>
      <c r="L62" s="106">
        <f>L61*J62</f>
        <v>182.6415327980535</v>
      </c>
      <c r="M62" s="107"/>
      <c r="N62" s="108">
        <f t="shared" si="9"/>
        <v>-0.23009120194649313</v>
      </c>
      <c r="O62" s="109">
        <f t="shared" si="11"/>
        <v>-1.2582116181485497E-3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1589.5764239999999</v>
      </c>
      <c r="I63" s="104"/>
      <c r="J63" s="104"/>
      <c r="K63" s="104"/>
      <c r="L63" s="106">
        <f>L61+L62</f>
        <v>1587.576400475388</v>
      </c>
      <c r="M63" s="107"/>
      <c r="N63" s="108">
        <f t="shared" si="9"/>
        <v>-2.0000235246118336</v>
      </c>
      <c r="O63" s="109">
        <f t="shared" si="11"/>
        <v>-1.2582116181485551E-3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-158.96</v>
      </c>
      <c r="I64" s="104"/>
      <c r="J64" s="104"/>
      <c r="K64" s="104"/>
      <c r="L64" s="113">
        <f>ROUND(-L63*10%,2)</f>
        <v>-158.76</v>
      </c>
      <c r="M64" s="107"/>
      <c r="N64" s="114">
        <f t="shared" si="9"/>
        <v>0.20000000000001705</v>
      </c>
      <c r="O64" s="115">
        <f t="shared" si="11"/>
        <v>-1.258178158027284E-3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1430.6164239999998</v>
      </c>
      <c r="I65" s="120"/>
      <c r="J65" s="120"/>
      <c r="K65" s="120"/>
      <c r="L65" s="121">
        <f>L63+L64</f>
        <v>1428.816400475388</v>
      </c>
      <c r="M65" s="122"/>
      <c r="N65" s="123">
        <f t="shared" si="9"/>
        <v>-1.8000235246117882</v>
      </c>
      <c r="O65" s="124">
        <f t="shared" si="11"/>
        <v>-1.2582153360010553E-3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1483.1048000000003</v>
      </c>
      <c r="I67" s="136"/>
      <c r="J67" s="137"/>
      <c r="K67" s="137"/>
      <c r="L67" s="188">
        <f>SUM(L58:L59,L50,L51:L54)</f>
        <v>1481.3348676773344</v>
      </c>
      <c r="M67" s="138"/>
      <c r="N67" s="139">
        <f>L67-H67</f>
        <v>-1.7699323226659089</v>
      </c>
      <c r="O67" s="99">
        <f>IF((H67)=0,"",(N67/H67))</f>
        <v>-1.1933966653374115E-3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192.80362400000004</v>
      </c>
      <c r="I68" s="143"/>
      <c r="J68" s="144">
        <v>0.13</v>
      </c>
      <c r="K68" s="145"/>
      <c r="L68" s="146">
        <f>L67*J68</f>
        <v>192.57353279805346</v>
      </c>
      <c r="M68" s="147"/>
      <c r="N68" s="148">
        <f>L68-H68</f>
        <v>-0.23009120194657839</v>
      </c>
      <c r="O68" s="109">
        <f>IF((H68)=0,"",(N68/H68))</f>
        <v>-1.1933966653374646E-3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1675.9084240000004</v>
      </c>
      <c r="I69" s="143"/>
      <c r="J69" s="143"/>
      <c r="K69" s="143"/>
      <c r="L69" s="146">
        <f>L67+L68</f>
        <v>1673.9084004753879</v>
      </c>
      <c r="M69" s="147"/>
      <c r="N69" s="148">
        <f>L69-H69</f>
        <v>-2.0000235246125158</v>
      </c>
      <c r="O69" s="109">
        <f>IF((H69)=0,"",(N69/H69))</f>
        <v>-1.1933966653374344E-3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-167.59</v>
      </c>
      <c r="I70" s="143"/>
      <c r="J70" s="143"/>
      <c r="K70" s="143"/>
      <c r="L70" s="153">
        <f>ROUND(-L69*10%,2)</f>
        <v>-167.39</v>
      </c>
      <c r="M70" s="147"/>
      <c r="N70" s="154">
        <f>L70-H70</f>
        <v>0.20000000000001705</v>
      </c>
      <c r="O70" s="115">
        <f>IF((H70)=0,"",(N70/H70))</f>
        <v>-1.1933886270064863E-3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1508.3184240000005</v>
      </c>
      <c r="I71" s="159"/>
      <c r="J71" s="159"/>
      <c r="K71" s="159"/>
      <c r="L71" s="160">
        <f>SUM(L69:L70)</f>
        <v>1506.5184004753878</v>
      </c>
      <c r="M71" s="161"/>
      <c r="N71" s="162">
        <f>L71-H71</f>
        <v>-1.8000235246126977</v>
      </c>
      <c r="O71" s="163">
        <f>IF((H71)=0,"",(N71/H71))</f>
        <v>-1.1933975584804612E-3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8:O8"/>
    <mergeCell ref="N1:O1"/>
    <mergeCell ref="N2:O2"/>
    <mergeCell ref="N3:O3"/>
    <mergeCell ref="N5:O5"/>
    <mergeCell ref="B64:D64"/>
    <mergeCell ref="B65:D65"/>
    <mergeCell ref="B70:D70"/>
    <mergeCell ref="B71:D71"/>
    <mergeCell ref="B9:O9"/>
    <mergeCell ref="D12:O12"/>
    <mergeCell ref="F18:H18"/>
    <mergeCell ref="J18:L18"/>
    <mergeCell ref="N18:O18"/>
    <mergeCell ref="D19:D20"/>
    <mergeCell ref="N19:N20"/>
    <mergeCell ref="O19:O20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2 E66 E48:E49 E51:E60 E39:E46 E21:E24 E26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theme="0" tint="-0.14999847407452621"/>
    <pageSetUpPr fitToPage="1"/>
  </sheetPr>
  <dimension ref="A1:T90"/>
  <sheetViews>
    <sheetView showGridLines="0" topLeftCell="B1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1.2851562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10.2851562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 s="190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 s="191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8-B</v>
      </c>
      <c r="O3" s="234"/>
      <c r="P3" s="190"/>
    </row>
    <row r="4" spans="1:20" s="2" customFormat="1" ht="9" customHeigh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34">
        <f>'Res (100kWh)'!$N$5:$O$5</f>
        <v>42177</v>
      </c>
      <c r="O5" s="234"/>
      <c r="P5" s="193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67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15000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Rates'!$C$7</f>
        <v>21.69</v>
      </c>
      <c r="G21" s="26">
        <v>1</v>
      </c>
      <c r="H21" s="27">
        <f>G21*F21</f>
        <v>21.69</v>
      </c>
      <c r="I21" s="28"/>
      <c r="J21" s="173">
        <f>'[2]Rate Schedule '!$E$16</f>
        <v>22.96</v>
      </c>
      <c r="K21" s="30">
        <v>1</v>
      </c>
      <c r="L21" s="27">
        <f>K21*J21</f>
        <v>22.96</v>
      </c>
      <c r="M21" s="28"/>
      <c r="N21" s="31">
        <f>L21-H21</f>
        <v>1.2699999999999996</v>
      </c>
      <c r="O21" s="32">
        <f>IF((H21)=0,"",(N21/H21))</f>
        <v>5.855232826187181E-2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7.85</v>
      </c>
      <c r="G22" s="26">
        <v>1</v>
      </c>
      <c r="H22" s="27">
        <f t="shared" ref="H22:H37" si="0">G22*F22</f>
        <v>7.85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-7.85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3.2</v>
      </c>
      <c r="G23" s="26">
        <v>1</v>
      </c>
      <c r="H23" s="27">
        <f t="shared" si="0"/>
        <v>3.2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-3.2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Calc'!$B$108</f>
        <v>1.92</v>
      </c>
      <c r="K24" s="30">
        <v>1</v>
      </c>
      <c r="L24" s="27">
        <f t="shared" si="1"/>
        <v>1.92</v>
      </c>
      <c r="M24" s="28"/>
      <c r="N24" s="31">
        <f t="shared" si="2"/>
        <v>1.92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15000</v>
      </c>
      <c r="H25" s="27">
        <f t="shared" si="0"/>
        <v>0</v>
      </c>
      <c r="I25" s="28"/>
      <c r="J25" s="29">
        <f>'[4]6. Rate Rider Calculations'!$F$104</f>
        <v>8.9550917063467952E-4</v>
      </c>
      <c r="K25" s="26">
        <f>$F$16</f>
        <v>15000</v>
      </c>
      <c r="L25" s="27">
        <f t="shared" si="1"/>
        <v>13.432637559520193</v>
      </c>
      <c r="M25" s="28"/>
      <c r="N25" s="31">
        <f t="shared" si="2"/>
        <v>13.432637559520193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15000</v>
      </c>
      <c r="H26" s="27">
        <f t="shared" si="0"/>
        <v>-3</v>
      </c>
      <c r="I26" s="28"/>
      <c r="J26" s="173"/>
      <c r="K26" s="26">
        <f>$F$16</f>
        <v>15000</v>
      </c>
      <c r="L26" s="27">
        <f t="shared" si="1"/>
        <v>0</v>
      </c>
      <c r="M26" s="28"/>
      <c r="N26" s="31">
        <f t="shared" si="2"/>
        <v>3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15000</v>
      </c>
      <c r="H27" s="27">
        <f t="shared" si="0"/>
        <v>0</v>
      </c>
      <c r="I27" s="28"/>
      <c r="J27" s="29">
        <f>'[4]6. Rate Rider Calculations'!$F$76</f>
        <v>-3.6442926228316881E-3</v>
      </c>
      <c r="K27" s="26">
        <f>$F$16</f>
        <v>15000</v>
      </c>
      <c r="L27" s="27">
        <f t="shared" si="1"/>
        <v>-54.664389342475324</v>
      </c>
      <c r="M27" s="28"/>
      <c r="N27" s="31">
        <f t="shared" si="2"/>
        <v>-54.664389342475324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Rates'!$E$7</f>
        <v>1.67E-2</v>
      </c>
      <c r="G28" s="26">
        <f>$F$16</f>
        <v>15000</v>
      </c>
      <c r="H28" s="27">
        <f t="shared" si="0"/>
        <v>250.5</v>
      </c>
      <c r="I28" s="28"/>
      <c r="J28" s="29">
        <f>'[2]Rate Schedule '!$E$17</f>
        <v>1.77E-2</v>
      </c>
      <c r="K28" s="26">
        <f>$F$16</f>
        <v>15000</v>
      </c>
      <c r="L28" s="27">
        <f t="shared" si="1"/>
        <v>265.5</v>
      </c>
      <c r="M28" s="28"/>
      <c r="N28" s="31">
        <f t="shared" si="2"/>
        <v>15</v>
      </c>
      <c r="O28" s="32">
        <f t="shared" si="3"/>
        <v>5.9880239520958084E-2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15000</v>
      </c>
      <c r="H29" s="27">
        <f t="shared" si="0"/>
        <v>0</v>
      </c>
      <c r="I29" s="28"/>
      <c r="J29" s="29"/>
      <c r="K29" s="26">
        <f t="shared" ref="K29:K37" si="5">$F$16</f>
        <v>15000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15000</v>
      </c>
      <c r="H30" s="27">
        <f t="shared" si="0"/>
        <v>0</v>
      </c>
      <c r="I30" s="28"/>
      <c r="J30" s="29"/>
      <c r="K30" s="26">
        <f t="shared" si="5"/>
        <v>15000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15000</v>
      </c>
      <c r="H31" s="27">
        <f t="shared" si="0"/>
        <v>0</v>
      </c>
      <c r="I31" s="28"/>
      <c r="J31" s="29"/>
      <c r="K31" s="26">
        <f t="shared" si="5"/>
        <v>15000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15000</v>
      </c>
      <c r="H32" s="27">
        <f t="shared" si="0"/>
        <v>0</v>
      </c>
      <c r="I32" s="28"/>
      <c r="J32" s="29"/>
      <c r="K32" s="26">
        <f t="shared" si="5"/>
        <v>15000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15000</v>
      </c>
      <c r="H33" s="27">
        <f t="shared" si="0"/>
        <v>0</v>
      </c>
      <c r="I33" s="28"/>
      <c r="J33" s="29"/>
      <c r="K33" s="26">
        <f t="shared" si="5"/>
        <v>15000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15000</v>
      </c>
      <c r="H34" s="27">
        <f t="shared" si="0"/>
        <v>0</v>
      </c>
      <c r="I34" s="28"/>
      <c r="J34" s="29"/>
      <c r="K34" s="26">
        <f t="shared" si="5"/>
        <v>15000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15000</v>
      </c>
      <c r="H35" s="27">
        <f t="shared" si="0"/>
        <v>0</v>
      </c>
      <c r="I35" s="28"/>
      <c r="J35" s="29"/>
      <c r="K35" s="26">
        <f t="shared" si="5"/>
        <v>15000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15000</v>
      </c>
      <c r="H36" s="27">
        <f t="shared" si="0"/>
        <v>0</v>
      </c>
      <c r="I36" s="28"/>
      <c r="J36" s="29"/>
      <c r="K36" s="26">
        <f t="shared" si="5"/>
        <v>15000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15000</v>
      </c>
      <c r="H37" s="27">
        <f t="shared" si="0"/>
        <v>0</v>
      </c>
      <c r="I37" s="28"/>
      <c r="J37" s="29"/>
      <c r="K37" s="26">
        <f t="shared" si="5"/>
        <v>15000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280.24</v>
      </c>
      <c r="I38" s="41"/>
      <c r="J38" s="42"/>
      <c r="K38" s="43"/>
      <c r="L38" s="40">
        <f>SUM(L21:L37)</f>
        <v>249.14824821704488</v>
      </c>
      <c r="M38" s="41"/>
      <c r="N38" s="44">
        <f t="shared" si="2"/>
        <v>-31.091751782955129</v>
      </c>
      <c r="O38" s="45">
        <f t="shared" si="3"/>
        <v>-0.11094687333341111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15000</v>
      </c>
      <c r="H40" s="27">
        <f t="shared" ref="H40:H46" si="7">G40*F40</f>
        <v>-27</v>
      </c>
      <c r="I40" s="28"/>
      <c r="J40" s="29">
        <f>'[4]6. Rate Rider Calculations'!$F$21</f>
        <v>1.2089006660829713E-4</v>
      </c>
      <c r="K40" s="26">
        <f>$F$16</f>
        <v>15000</v>
      </c>
      <c r="L40" s="27">
        <f t="shared" ref="L40:L46" si="8">K40*J40</f>
        <v>1.813350999124457</v>
      </c>
      <c r="M40" s="28"/>
      <c r="N40" s="31">
        <f t="shared" ref="N40:N65" si="9">L40-H40</f>
        <v>28.813350999124456</v>
      </c>
      <c r="O40" s="32">
        <f t="shared" ref="O40:O45" si="10">IF((H40)=0,"",(N40/H40))</f>
        <v>-1.0671611481157206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15000</v>
      </c>
      <c r="H41" s="27">
        <f t="shared" si="7"/>
        <v>0</v>
      </c>
      <c r="I41" s="47"/>
      <c r="J41" s="29"/>
      <c r="K41" s="26">
        <f>$F$16</f>
        <v>15000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15000</v>
      </c>
      <c r="H42" s="27">
        <f t="shared" si="7"/>
        <v>0</v>
      </c>
      <c r="I42" s="47"/>
      <c r="J42" s="29"/>
      <c r="K42" s="26">
        <f>$F$16</f>
        <v>15000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15000</v>
      </c>
      <c r="H43" s="27">
        <f t="shared" si="7"/>
        <v>0</v>
      </c>
      <c r="I43" s="47"/>
      <c r="J43" s="29"/>
      <c r="K43" s="26">
        <f>$F$16</f>
        <v>15000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15000</v>
      </c>
      <c r="H44" s="27">
        <f t="shared" si="7"/>
        <v>0.60000000000000009</v>
      </c>
      <c r="I44" s="28"/>
      <c r="J44" s="196">
        <f>'[2]Rate Schedule '!$E$18</f>
        <v>6.9999999999999994E-5</v>
      </c>
      <c r="K44" s="26">
        <f>$F$16</f>
        <v>15000</v>
      </c>
      <c r="L44" s="27">
        <f t="shared" si="8"/>
        <v>1.0499999999999998</v>
      </c>
      <c r="M44" s="28"/>
      <c r="N44" s="31">
        <f t="shared" si="9"/>
        <v>0.44999999999999973</v>
      </c>
      <c r="O44" s="32">
        <f t="shared" si="10"/>
        <v>0.74999999999999944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720</v>
      </c>
      <c r="H45" s="183">
        <f t="shared" si="7"/>
        <v>66.571200000000005</v>
      </c>
      <c r="I45" s="57"/>
      <c r="J45" s="184">
        <f>0.64*$F$55+0.18*$F$56+0.18*$F$57</f>
        <v>9.2460000000000001E-2</v>
      </c>
      <c r="K45" s="26">
        <f>$F$16*(1+$J$74)-$F$16</f>
        <v>706.49999999999818</v>
      </c>
      <c r="L45" s="183">
        <f t="shared" si="8"/>
        <v>65.322989999999834</v>
      </c>
      <c r="M45" s="57"/>
      <c r="N45" s="185">
        <f t="shared" si="9"/>
        <v>-1.2482100000001708</v>
      </c>
      <c r="O45" s="186">
        <f t="shared" si="10"/>
        <v>-1.8750000000002563E-2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321.20120000000003</v>
      </c>
      <c r="I47" s="41"/>
      <c r="J47" s="53"/>
      <c r="K47" s="55"/>
      <c r="L47" s="54">
        <f>SUM(L39:L46)+L38</f>
        <v>318.12458921616917</v>
      </c>
      <c r="M47" s="41"/>
      <c r="N47" s="44">
        <f t="shared" si="9"/>
        <v>-3.0766107838308585</v>
      </c>
      <c r="O47" s="45">
        <f t="shared" ref="O47:O65" si="11">IF((H47)=0,"",(N47/H47))</f>
        <v>-9.578453579347954E-3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6.8999999999999999E-3</v>
      </c>
      <c r="G48" s="58">
        <f>F16*(1+F74)</f>
        <v>15720</v>
      </c>
      <c r="H48" s="27">
        <f>G48*F48</f>
        <v>108.468</v>
      </c>
      <c r="I48" s="28"/>
      <c r="J48" s="29">
        <f>'[5]13. Final 2015 RTS Rates'!$F$27</f>
        <v>7.0871105522439639E-3</v>
      </c>
      <c r="K48" s="59">
        <f>F16*(1+J74)</f>
        <v>15706.499999999998</v>
      </c>
      <c r="L48" s="27">
        <f>K48*J48</f>
        <v>111.31370188881981</v>
      </c>
      <c r="M48" s="28"/>
      <c r="N48" s="31">
        <f t="shared" si="9"/>
        <v>2.8457018888198036</v>
      </c>
      <c r="O48" s="32">
        <f t="shared" si="11"/>
        <v>2.6235404808974107E-2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5.1999999999999998E-3</v>
      </c>
      <c r="G49" s="58">
        <f>G48</f>
        <v>15720</v>
      </c>
      <c r="H49" s="27">
        <f>G49*F49</f>
        <v>81.744</v>
      </c>
      <c r="I49" s="28"/>
      <c r="J49" s="29">
        <f>'[5]13. Final 2015 RTS Rates'!$H$27</f>
        <v>5.3052532652731223E-3</v>
      </c>
      <c r="K49" s="59">
        <f>K48</f>
        <v>15706.499999999998</v>
      </c>
      <c r="L49" s="27">
        <f>K49*J49</f>
        <v>83.32696041101228</v>
      </c>
      <c r="M49" s="28"/>
      <c r="N49" s="31">
        <f t="shared" si="9"/>
        <v>1.5829604110122801</v>
      </c>
      <c r="O49" s="32">
        <f t="shared" si="11"/>
        <v>1.9364851377621357E-2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511.41320000000007</v>
      </c>
      <c r="I50" s="62"/>
      <c r="J50" s="63"/>
      <c r="K50" s="64"/>
      <c r="L50" s="54">
        <f>SUM(L47:L49)</f>
        <v>512.76525151600129</v>
      </c>
      <c r="M50" s="62"/>
      <c r="N50" s="44">
        <f t="shared" si="9"/>
        <v>1.352051516001211</v>
      </c>
      <c r="O50" s="45">
        <f t="shared" si="11"/>
        <v>2.6437556089698327E-3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15720</v>
      </c>
      <c r="H51" s="67">
        <f t="shared" ref="H51:H57" si="12">G51*F51</f>
        <v>69.168000000000006</v>
      </c>
      <c r="I51" s="28"/>
      <c r="J51" s="66">
        <v>4.4000000000000003E-3</v>
      </c>
      <c r="K51" s="59">
        <f>K49</f>
        <v>15706.499999999998</v>
      </c>
      <c r="L51" s="67">
        <f t="shared" ref="L51:L57" si="13">K51*J51</f>
        <v>69.108599999999996</v>
      </c>
      <c r="M51" s="28"/>
      <c r="N51" s="31">
        <f t="shared" si="9"/>
        <v>-5.9400000000010778E-2</v>
      </c>
      <c r="O51" s="68">
        <f t="shared" si="11"/>
        <v>-8.5877862595435425E-4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15720</v>
      </c>
      <c r="H52" s="67">
        <f t="shared" si="12"/>
        <v>20.436</v>
      </c>
      <c r="I52" s="28"/>
      <c r="J52" s="66">
        <v>1.2999999999999999E-3</v>
      </c>
      <c r="K52" s="59">
        <f>K49</f>
        <v>15706.499999999998</v>
      </c>
      <c r="L52" s="67">
        <f t="shared" si="13"/>
        <v>20.418449999999996</v>
      </c>
      <c r="M52" s="28"/>
      <c r="N52" s="31">
        <f t="shared" si="9"/>
        <v>-1.7550000000003507E-2</v>
      </c>
      <c r="O52" s="68">
        <f t="shared" si="11"/>
        <v>-8.5877862595437008E-4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15000</v>
      </c>
      <c r="H54" s="67">
        <f t="shared" si="12"/>
        <v>105</v>
      </c>
      <c r="I54" s="28"/>
      <c r="J54" s="66">
        <v>7.0000000000000001E-3</v>
      </c>
      <c r="K54" s="70">
        <f>F16</f>
        <v>15000</v>
      </c>
      <c r="L54" s="67">
        <f t="shared" si="13"/>
        <v>105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9600</v>
      </c>
      <c r="H55" s="67">
        <f t="shared" si="12"/>
        <v>720</v>
      </c>
      <c r="I55" s="28"/>
      <c r="J55" s="66">
        <v>7.4999999999999997E-2</v>
      </c>
      <c r="K55" s="69">
        <f>G55</f>
        <v>9600</v>
      </c>
      <c r="L55" s="67">
        <f t="shared" si="13"/>
        <v>720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2700</v>
      </c>
      <c r="H56" s="67">
        <f t="shared" si="12"/>
        <v>302.40000000000003</v>
      </c>
      <c r="I56" s="28"/>
      <c r="J56" s="66">
        <v>0.112</v>
      </c>
      <c r="K56" s="69">
        <f>G56</f>
        <v>2700</v>
      </c>
      <c r="L56" s="67">
        <f t="shared" si="13"/>
        <v>302.40000000000003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2700</v>
      </c>
      <c r="H57" s="67">
        <f t="shared" si="12"/>
        <v>364.5</v>
      </c>
      <c r="I57" s="28"/>
      <c r="J57" s="66">
        <v>0.13500000000000001</v>
      </c>
      <c r="K57" s="69">
        <f>G57</f>
        <v>2700</v>
      </c>
      <c r="L57" s="67">
        <f t="shared" si="13"/>
        <v>364.5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14400</v>
      </c>
      <c r="H59" s="67">
        <f>G59*F59</f>
        <v>1454.4</v>
      </c>
      <c r="I59" s="79"/>
      <c r="J59" s="66">
        <v>0.10100000000000001</v>
      </c>
      <c r="K59" s="78">
        <f>G59</f>
        <v>14400</v>
      </c>
      <c r="L59" s="67">
        <f>K59*J59</f>
        <v>1454.4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2093.1672000000003</v>
      </c>
      <c r="I61" s="95"/>
      <c r="J61" s="96"/>
      <c r="K61" s="96"/>
      <c r="L61" s="189">
        <f>SUM(L51:L57,L50)</f>
        <v>2094.4423015160014</v>
      </c>
      <c r="M61" s="97"/>
      <c r="N61" s="98">
        <f>L61-H61</f>
        <v>1.2751015160010866</v>
      </c>
      <c r="O61" s="99">
        <f>IF((H61)=0,"",(N61/H61))</f>
        <v>6.0917327387945228E-4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272.11173600000006</v>
      </c>
      <c r="I62" s="104"/>
      <c r="J62" s="105">
        <v>0.13</v>
      </c>
      <c r="K62" s="104"/>
      <c r="L62" s="106">
        <f>L61*J62</f>
        <v>272.2774991970802</v>
      </c>
      <c r="M62" s="107"/>
      <c r="N62" s="108">
        <f t="shared" si="9"/>
        <v>0.16576319708013898</v>
      </c>
      <c r="O62" s="109">
        <f t="shared" si="11"/>
        <v>6.0917327387944393E-4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2365.2789360000006</v>
      </c>
      <c r="I63" s="104"/>
      <c r="J63" s="104"/>
      <c r="K63" s="104"/>
      <c r="L63" s="106">
        <f>L61+L62</f>
        <v>2366.7198007130814</v>
      </c>
      <c r="M63" s="107"/>
      <c r="N63" s="108">
        <f t="shared" si="9"/>
        <v>1.4408647130808276</v>
      </c>
      <c r="O63" s="109">
        <f t="shared" si="11"/>
        <v>6.0917327387928304E-4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-236.53</v>
      </c>
      <c r="I64" s="104"/>
      <c r="J64" s="104"/>
      <c r="K64" s="104"/>
      <c r="L64" s="113">
        <f>ROUND(-L63*10%,2)</f>
        <v>-236.67</v>
      </c>
      <c r="M64" s="107"/>
      <c r="N64" s="114">
        <f t="shared" si="9"/>
        <v>-0.13999999999998636</v>
      </c>
      <c r="O64" s="115">
        <f t="shared" si="11"/>
        <v>5.9189109203900715E-4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2128.7489360000004</v>
      </c>
      <c r="I65" s="120"/>
      <c r="J65" s="120"/>
      <c r="K65" s="120"/>
      <c r="L65" s="121">
        <f>L63+L64</f>
        <v>2130.0498007130814</v>
      </c>
      <c r="M65" s="122"/>
      <c r="N65" s="123">
        <f t="shared" si="9"/>
        <v>1.300864713080955</v>
      </c>
      <c r="O65" s="124">
        <f t="shared" si="11"/>
        <v>6.1109353530685911E-4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2212.2672000000002</v>
      </c>
      <c r="I67" s="136"/>
      <c r="J67" s="137"/>
      <c r="K67" s="137"/>
      <c r="L67" s="188">
        <f>SUM(L58:L59,L50,L51:L54)</f>
        <v>2213.5423015160013</v>
      </c>
      <c r="M67" s="138"/>
      <c r="N67" s="139">
        <f>L67-H67</f>
        <v>1.2751015160010866</v>
      </c>
      <c r="O67" s="99">
        <f>IF((H67)=0,"",(N67/H67))</f>
        <v>5.7637771603768584E-4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287.59473600000001</v>
      </c>
      <c r="I68" s="143"/>
      <c r="J68" s="144">
        <v>0.13</v>
      </c>
      <c r="K68" s="145"/>
      <c r="L68" s="146">
        <f>L67*J68</f>
        <v>287.76049919708021</v>
      </c>
      <c r="M68" s="147"/>
      <c r="N68" s="148">
        <f>L68-H68</f>
        <v>0.16576319708019582</v>
      </c>
      <c r="O68" s="109">
        <f>IF((H68)=0,"",(N68/H68))</f>
        <v>5.7637771603787568E-4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2499.8619360000002</v>
      </c>
      <c r="I69" s="143"/>
      <c r="J69" s="143"/>
      <c r="K69" s="143"/>
      <c r="L69" s="146">
        <f>L67+L68</f>
        <v>2501.3028007130815</v>
      </c>
      <c r="M69" s="147"/>
      <c r="N69" s="148">
        <f>L69-H69</f>
        <v>1.4408647130812824</v>
      </c>
      <c r="O69" s="109">
        <f>IF((H69)=0,"",(N69/H69))</f>
        <v>5.7637771603770774E-4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-249.99</v>
      </c>
      <c r="I70" s="143"/>
      <c r="J70" s="143"/>
      <c r="K70" s="143"/>
      <c r="L70" s="153">
        <f>ROUND(-L69*10%,2)</f>
        <v>-250.13</v>
      </c>
      <c r="M70" s="147"/>
      <c r="N70" s="154">
        <f>L70-H70</f>
        <v>-0.13999999999998636</v>
      </c>
      <c r="O70" s="115">
        <f>IF((H70)=0,"",(N70/H70))</f>
        <v>5.6002240089598121E-4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2249.8719360000005</v>
      </c>
      <c r="I71" s="159"/>
      <c r="J71" s="159"/>
      <c r="K71" s="159"/>
      <c r="L71" s="160">
        <f>SUM(L69:L70)</f>
        <v>2251.1728007130814</v>
      </c>
      <c r="M71" s="161"/>
      <c r="N71" s="162">
        <f>L71-H71</f>
        <v>1.300864713080955</v>
      </c>
      <c r="O71" s="163">
        <f>IF((H71)=0,"",(N71/H71))</f>
        <v>5.7819500402042201E-4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8:O8"/>
    <mergeCell ref="N1:O1"/>
    <mergeCell ref="N2:O2"/>
    <mergeCell ref="N3:O3"/>
    <mergeCell ref="N5:O5"/>
    <mergeCell ref="B64:D64"/>
    <mergeCell ref="B65:D65"/>
    <mergeCell ref="B70:D70"/>
    <mergeCell ref="B71:D71"/>
    <mergeCell ref="B9:O9"/>
    <mergeCell ref="D12:O12"/>
    <mergeCell ref="F18:H18"/>
    <mergeCell ref="J18:L18"/>
    <mergeCell ref="N18:O18"/>
    <mergeCell ref="D19:D20"/>
    <mergeCell ref="N19:N20"/>
    <mergeCell ref="O19:O20"/>
  </mergeCells>
  <dataValidations count="4">
    <dataValidation type="list" allowBlank="1" showInputMessage="1" showErrorMessage="1" sqref="E48:E49 E51:E57 E60 E39:E46 E21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theme="0" tint="-0.14999847407452621"/>
    <pageSetUpPr fitToPage="1"/>
  </sheetPr>
  <dimension ref="A1:T89"/>
  <sheetViews>
    <sheetView showGridLines="0" topLeftCell="A21" workbookViewId="0">
      <selection activeCell="K44" sqref="K44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1.57031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1.5703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0.140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21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 s="190"/>
      <c r="T1" s="2">
        <v>1</v>
      </c>
    </row>
    <row r="2" spans="1:20" s="2" customFormat="1" ht="18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 s="191"/>
    </row>
    <row r="3" spans="1:20" s="2" customFormat="1" ht="15.75" x14ac:dyDescent="0.25">
      <c r="C3" s="6"/>
      <c r="D3" s="6"/>
      <c r="E3" s="6"/>
      <c r="L3" s="3" t="s">
        <v>95</v>
      </c>
      <c r="N3" s="234" t="str">
        <f>'Res (100kWh)'!$N$3:$O$3</f>
        <v>8-B</v>
      </c>
      <c r="O3" s="234"/>
      <c r="P3" s="190"/>
    </row>
    <row r="4" spans="1:20" s="2" customForma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34">
        <f>'Res (100kWh)'!$N$5:$O$5</f>
        <v>42177</v>
      </c>
      <c r="O5" s="234"/>
      <c r="P5" s="193"/>
    </row>
    <row r="6" spans="1:20" s="2" customFormat="1" x14ac:dyDescent="0.25">
      <c r="N6" s="7"/>
      <c r="O6"/>
      <c r="P6"/>
    </row>
    <row r="7" spans="1:20" x14ac:dyDescent="0.25">
      <c r="L7"/>
      <c r="M7"/>
      <c r="N7"/>
      <c r="O7"/>
      <c r="P7"/>
    </row>
    <row r="8" spans="1:20" ht="18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x14ac:dyDescent="0.25">
      <c r="L10"/>
      <c r="M10"/>
      <c r="N10"/>
      <c r="O10"/>
      <c r="P10"/>
    </row>
    <row r="11" spans="1:20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87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15.75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20000</v>
      </c>
      <c r="G16" s="13" t="s">
        <v>7</v>
      </c>
      <c r="H16" s="14">
        <v>60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x14ac:dyDescent="0.25">
      <c r="B21" s="22" t="s">
        <v>18</v>
      </c>
      <c r="C21" s="22"/>
      <c r="D21" s="23" t="s">
        <v>60</v>
      </c>
      <c r="E21" s="24"/>
      <c r="F21" s="174">
        <f>'[2]2014 Existing Rates'!$C$8</f>
        <v>293.97000000000003</v>
      </c>
      <c r="G21" s="26">
        <v>1</v>
      </c>
      <c r="H21" s="27">
        <f>G21*F21</f>
        <v>293.97000000000003</v>
      </c>
      <c r="I21" s="28"/>
      <c r="J21" s="173">
        <f>'[2]Rate Schedule '!$E$22</f>
        <v>293.97000000000003</v>
      </c>
      <c r="K21" s="30">
        <v>1</v>
      </c>
      <c r="L21" s="27">
        <f>K21*J21</f>
        <v>293.97000000000003</v>
      </c>
      <c r="M21" s="28"/>
      <c r="N21" s="31">
        <f>L21-H21</f>
        <v>0</v>
      </c>
      <c r="O21" s="32">
        <f>IF((H21)=0,"",(N21/H21))</f>
        <v>0</v>
      </c>
    </row>
    <row r="22" spans="2:15" ht="30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7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0</v>
      </c>
      <c r="O23" s="32" t="str">
        <f t="shared" ref="O23:O38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70</v>
      </c>
      <c r="E25" s="24"/>
      <c r="F25" s="25"/>
      <c r="G25" s="178">
        <f>$H$16</f>
        <v>60</v>
      </c>
      <c r="H25" s="27">
        <f t="shared" si="0"/>
        <v>0</v>
      </c>
      <c r="I25" s="28"/>
      <c r="J25" s="29">
        <f>'[4]6. Rate Rider Calculations'!$F$105</f>
        <v>7.227842642143574E-2</v>
      </c>
      <c r="K25" s="178">
        <f>$H$16</f>
        <v>60</v>
      </c>
      <c r="L25" s="27">
        <f t="shared" si="1"/>
        <v>4.3367055852861442</v>
      </c>
      <c r="M25" s="28"/>
      <c r="N25" s="31">
        <f t="shared" si="2"/>
        <v>4.3367055852861442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70</v>
      </c>
      <c r="E26" s="24"/>
      <c r="F26" s="25">
        <v>-2.4199999999999999E-2</v>
      </c>
      <c r="G26" s="178">
        <f>$H$16</f>
        <v>60</v>
      </c>
      <c r="H26" s="27">
        <f t="shared" si="0"/>
        <v>-1.452</v>
      </c>
      <c r="I26" s="28"/>
      <c r="J26" s="29"/>
      <c r="K26" s="178">
        <f>$H$16</f>
        <v>60</v>
      </c>
      <c r="L26" s="27">
        <f t="shared" si="1"/>
        <v>0</v>
      </c>
      <c r="M26" s="28"/>
      <c r="N26" s="31">
        <f t="shared" si="2"/>
        <v>1.452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70</v>
      </c>
      <c r="E27" s="24"/>
      <c r="F27" s="25"/>
      <c r="G27" s="178">
        <f>$H$16</f>
        <v>60</v>
      </c>
      <c r="H27" s="27">
        <f t="shared" si="0"/>
        <v>0</v>
      </c>
      <c r="I27" s="28"/>
      <c r="J27" s="29">
        <f>'[4]6. Rate Rider Calculations'!$F$77</f>
        <v>-1.4713070385202904</v>
      </c>
      <c r="K27" s="178">
        <f>$H$16</f>
        <v>60</v>
      </c>
      <c r="L27" s="27">
        <f t="shared" si="1"/>
        <v>-88.278422311217426</v>
      </c>
      <c r="M27" s="28"/>
      <c r="N27" s="31">
        <f t="shared" si="2"/>
        <v>-88.278422311217426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70</v>
      </c>
      <c r="E28" s="24"/>
      <c r="F28" s="25">
        <f>'[2]2014 Existing Rates'!$D$8</f>
        <v>2.0966</v>
      </c>
      <c r="G28" s="178">
        <f>$H$16</f>
        <v>60</v>
      </c>
      <c r="H28" s="27">
        <f t="shared" si="0"/>
        <v>125.79600000000001</v>
      </c>
      <c r="I28" s="28"/>
      <c r="J28" s="29">
        <f>'[2]Rate Schedule '!$E$23</f>
        <v>2.4028</v>
      </c>
      <c r="K28" s="178">
        <f>$H$16</f>
        <v>60</v>
      </c>
      <c r="L28" s="27">
        <f t="shared" si="1"/>
        <v>144.16800000000001</v>
      </c>
      <c r="M28" s="28"/>
      <c r="N28" s="31">
        <f t="shared" si="2"/>
        <v>18.372</v>
      </c>
      <c r="O28" s="32">
        <f t="shared" si="3"/>
        <v>0.14604597920442622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20000</v>
      </c>
      <c r="H29" s="27">
        <f t="shared" si="0"/>
        <v>0</v>
      </c>
      <c r="I29" s="28"/>
      <c r="J29" s="29"/>
      <c r="K29" s="26">
        <f t="shared" ref="K29:K37" si="4">$F$16</f>
        <v>20000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20000</v>
      </c>
      <c r="H30" s="27">
        <f t="shared" si="0"/>
        <v>0</v>
      </c>
      <c r="I30" s="28"/>
      <c r="J30" s="29"/>
      <c r="K30" s="26">
        <f t="shared" si="4"/>
        <v>20000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5">$F$16</f>
        <v>20000</v>
      </c>
      <c r="H31" s="27">
        <f t="shared" si="0"/>
        <v>0</v>
      </c>
      <c r="I31" s="28"/>
      <c r="J31" s="29"/>
      <c r="K31" s="26">
        <f t="shared" si="4"/>
        <v>20000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20000</v>
      </c>
      <c r="H32" s="27">
        <f t="shared" si="0"/>
        <v>0</v>
      </c>
      <c r="I32" s="28"/>
      <c r="J32" s="29"/>
      <c r="K32" s="26">
        <f t="shared" si="4"/>
        <v>20000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20000</v>
      </c>
      <c r="H33" s="27">
        <f t="shared" si="0"/>
        <v>0</v>
      </c>
      <c r="I33" s="28"/>
      <c r="J33" s="29"/>
      <c r="K33" s="26">
        <f t="shared" si="4"/>
        <v>20000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20000</v>
      </c>
      <c r="H34" s="27">
        <f t="shared" si="0"/>
        <v>0</v>
      </c>
      <c r="I34" s="28"/>
      <c r="J34" s="29"/>
      <c r="K34" s="26">
        <f t="shared" si="4"/>
        <v>20000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20000</v>
      </c>
      <c r="H35" s="27">
        <f t="shared" si="0"/>
        <v>0</v>
      </c>
      <c r="I35" s="28"/>
      <c r="J35" s="29"/>
      <c r="K35" s="26">
        <f t="shared" si="4"/>
        <v>20000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20000</v>
      </c>
      <c r="H36" s="27">
        <f t="shared" si="0"/>
        <v>0</v>
      </c>
      <c r="I36" s="28"/>
      <c r="J36" s="29"/>
      <c r="K36" s="26">
        <f t="shared" si="4"/>
        <v>20000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5"/>
        <v>20000</v>
      </c>
      <c r="H37" s="27">
        <f t="shared" si="0"/>
        <v>0</v>
      </c>
      <c r="I37" s="28"/>
      <c r="J37" s="29"/>
      <c r="K37" s="26">
        <f t="shared" si="4"/>
        <v>20000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418.31400000000002</v>
      </c>
      <c r="I38" s="41"/>
      <c r="J38" s="42"/>
      <c r="K38" s="43"/>
      <c r="L38" s="40">
        <f>SUM(L21:L37)</f>
        <v>354.19628327406878</v>
      </c>
      <c r="M38" s="41"/>
      <c r="N38" s="44">
        <f t="shared" si="2"/>
        <v>-64.117716725931245</v>
      </c>
      <c r="O38" s="45">
        <f t="shared" si="3"/>
        <v>-0.15327652606876949</v>
      </c>
    </row>
    <row r="39" spans="2:15" x14ac:dyDescent="0.25">
      <c r="B39" s="46" t="s">
        <v>23</v>
      </c>
      <c r="C39" s="22"/>
      <c r="D39" s="56" t="s">
        <v>70</v>
      </c>
      <c r="E39" s="57"/>
      <c r="F39" s="29">
        <v>-0.72409999999999997</v>
      </c>
      <c r="G39" s="178">
        <f>G28</f>
        <v>60</v>
      </c>
      <c r="H39" s="27">
        <f t="shared" ref="H39:H45" si="6">G39*F39</f>
        <v>-43.445999999999998</v>
      </c>
      <c r="I39" s="28"/>
      <c r="J39" s="29">
        <f>'[4]6. Rate Rider Calculations'!$F$22</f>
        <v>0.54062580919773795</v>
      </c>
      <c r="K39" s="178">
        <f>H16</f>
        <v>60</v>
      </c>
      <c r="L39" s="27">
        <f t="shared" ref="L39:L45" si="7">K39*J39</f>
        <v>32.437548551864275</v>
      </c>
      <c r="M39" s="28"/>
      <c r="N39" s="31">
        <f t="shared" ref="N39:N45" si="8">L39-H39</f>
        <v>75.883548551864266</v>
      </c>
      <c r="O39" s="32">
        <f t="shared" ref="O39:O44" si="9">IF((H39)=0,"",(N39/H39))</f>
        <v>-1.7466176069572406</v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60</v>
      </c>
      <c r="H40" s="27">
        <f t="shared" si="6"/>
        <v>0</v>
      </c>
      <c r="I40" s="47"/>
      <c r="J40" s="29"/>
      <c r="K40" s="178">
        <f>H16</f>
        <v>60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idden="1" x14ac:dyDescent="0.25">
      <c r="B41" s="46"/>
      <c r="C41" s="22"/>
      <c r="D41" s="23" t="s">
        <v>70</v>
      </c>
      <c r="E41" s="24"/>
      <c r="F41" s="25"/>
      <c r="G41" s="178">
        <f>H16</f>
        <v>60</v>
      </c>
      <c r="H41" s="27">
        <f t="shared" si="6"/>
        <v>0</v>
      </c>
      <c r="I41" s="47"/>
      <c r="J41" s="29"/>
      <c r="K41" s="178">
        <f>H16</f>
        <v>60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t="32.25" customHeight="1" x14ac:dyDescent="0.25">
      <c r="B42" s="46" t="s">
        <v>74</v>
      </c>
      <c r="C42" s="22"/>
      <c r="D42" s="56" t="s">
        <v>70</v>
      </c>
      <c r="E42" s="24"/>
      <c r="F42" s="29">
        <v>0.32969999999999999</v>
      </c>
      <c r="G42" s="178">
        <f>H16</f>
        <v>60</v>
      </c>
      <c r="H42" s="27">
        <f t="shared" si="6"/>
        <v>19.782</v>
      </c>
      <c r="I42" s="47"/>
      <c r="J42" s="29">
        <f>'[4]6. Rate Rider Calculations'!$F$49</f>
        <v>0.66690650450522238</v>
      </c>
      <c r="K42" s="178">
        <f>H16</f>
        <v>60</v>
      </c>
      <c r="L42" s="27">
        <f t="shared" si="7"/>
        <v>40.014390270313342</v>
      </c>
      <c r="M42" s="48"/>
      <c r="N42" s="31">
        <f t="shared" si="8"/>
        <v>20.232390270313342</v>
      </c>
      <c r="O42" s="32">
        <f t="shared" si="9"/>
        <v>1.0227676812411961</v>
      </c>
    </row>
    <row r="43" spans="2:15" x14ac:dyDescent="0.25">
      <c r="B43" s="49" t="s">
        <v>24</v>
      </c>
      <c r="C43" s="22"/>
      <c r="D43" s="23" t="s">
        <v>70</v>
      </c>
      <c r="E43" s="24"/>
      <c r="F43" s="197">
        <v>1.3899999999999999E-2</v>
      </c>
      <c r="G43" s="178">
        <f>H16</f>
        <v>60</v>
      </c>
      <c r="H43" s="27">
        <f t="shared" si="6"/>
        <v>0.83399999999999996</v>
      </c>
      <c r="I43" s="28"/>
      <c r="J43" s="29">
        <f>'[2]Rate Schedule '!$E$24</f>
        <v>2.5499999999999998E-2</v>
      </c>
      <c r="K43" s="178">
        <f>H16</f>
        <v>60</v>
      </c>
      <c r="L43" s="27">
        <f t="shared" si="7"/>
        <v>1.5299999999999998</v>
      </c>
      <c r="M43" s="28"/>
      <c r="N43" s="31">
        <f t="shared" si="8"/>
        <v>0.69599999999999984</v>
      </c>
      <c r="O43" s="32">
        <f t="shared" si="9"/>
        <v>0.83453237410071923</v>
      </c>
    </row>
    <row r="44" spans="2:15" s="34" customFormat="1" x14ac:dyDescent="0.25">
      <c r="B44" s="180" t="s">
        <v>25</v>
      </c>
      <c r="C44" s="24"/>
      <c r="D44" s="181" t="s">
        <v>61</v>
      </c>
      <c r="E44" s="24"/>
      <c r="F44" s="182">
        <f>IF(ISBLANK(D14)=TRUE, 0, IF(D14="TOU", 0.64*$F$54+0.18*$F$55+0.18*$F$56, IF(AND(D14="non-TOU", G58&gt;0), F58,F57)))</f>
        <v>7.4999999999999997E-2</v>
      </c>
      <c r="G44" s="26">
        <f>$F$16*(1+$F$73)-$F$16</f>
        <v>960</v>
      </c>
      <c r="H44" s="183">
        <f t="shared" si="6"/>
        <v>72</v>
      </c>
      <c r="I44" s="57"/>
      <c r="J44" s="184">
        <f>IF(ISBLANK(D14)=TRUE, 0, IF(D14="TOU", 0.64*$F$54+0.18*$F$55+0.18*$F$56, IF(AND(D14="non-TOU", K58&gt;0), J58,J57)))</f>
        <v>7.4999999999999997E-2</v>
      </c>
      <c r="K44" s="26">
        <f>$F$16*(1+$J$73)-$F$16</f>
        <v>942</v>
      </c>
      <c r="L44" s="183">
        <f t="shared" si="7"/>
        <v>70.649999999999991</v>
      </c>
      <c r="M44" s="57"/>
      <c r="N44" s="185">
        <f t="shared" si="8"/>
        <v>-1.3500000000000085</v>
      </c>
      <c r="O44" s="186">
        <f t="shared" si="9"/>
        <v>-1.8750000000000117E-2</v>
      </c>
    </row>
    <row r="45" spans="2:15" x14ac:dyDescent="0.25">
      <c r="B45" s="49" t="s">
        <v>26</v>
      </c>
      <c r="C45" s="22"/>
      <c r="D45" s="23" t="s">
        <v>60</v>
      </c>
      <c r="E45" s="24"/>
      <c r="F45" s="177"/>
      <c r="G45" s="26">
        <v>0</v>
      </c>
      <c r="H45" s="27">
        <f t="shared" si="6"/>
        <v>0</v>
      </c>
      <c r="I45" s="28"/>
      <c r="J45" s="177"/>
      <c r="K45" s="26">
        <v>0</v>
      </c>
      <c r="L45" s="27">
        <f t="shared" si="7"/>
        <v>0</v>
      </c>
      <c r="M45" s="28"/>
      <c r="N45" s="31">
        <f t="shared" si="8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SUM(H39:H45)+H38</f>
        <v>467.48400000000004</v>
      </c>
      <c r="I46" s="41"/>
      <c r="J46" s="53"/>
      <c r="K46" s="55"/>
      <c r="L46" s="54">
        <f>SUM(L39:L45)+L38</f>
        <v>498.82822209624641</v>
      </c>
      <c r="M46" s="41"/>
      <c r="N46" s="44">
        <f t="shared" ref="N46:N64" si="10">L46-H46</f>
        <v>31.344222096246369</v>
      </c>
      <c r="O46" s="45">
        <f t="shared" ref="O46:O64" si="11">IF((H46)=0,"",(N46/H46))</f>
        <v>6.7048759093886356E-2</v>
      </c>
    </row>
    <row r="47" spans="2:15" x14ac:dyDescent="0.25">
      <c r="B47" s="28" t="s">
        <v>28</v>
      </c>
      <c r="C47" s="28"/>
      <c r="D47" s="56" t="s">
        <v>70</v>
      </c>
      <c r="E47" s="57"/>
      <c r="F47" s="29">
        <v>2.7265000000000001</v>
      </c>
      <c r="G47" s="58">
        <f>H16</f>
        <v>60</v>
      </c>
      <c r="H47" s="27">
        <f>G47*F47</f>
        <v>163.59</v>
      </c>
      <c r="I47" s="28"/>
      <c r="J47" s="29">
        <f>'[5]13. Final 2015 RTS Rates'!$F$28</f>
        <v>2.8142271720183309</v>
      </c>
      <c r="K47" s="59">
        <f>H16</f>
        <v>60</v>
      </c>
      <c r="L47" s="27">
        <f>K47*J47</f>
        <v>168.85363032109984</v>
      </c>
      <c r="M47" s="28"/>
      <c r="N47" s="31">
        <f t="shared" si="10"/>
        <v>5.2636303210998392</v>
      </c>
      <c r="O47" s="32">
        <f t="shared" si="11"/>
        <v>3.2175746201478325E-2</v>
      </c>
    </row>
    <row r="48" spans="2:15" x14ac:dyDescent="0.25">
      <c r="B48" s="60" t="s">
        <v>29</v>
      </c>
      <c r="C48" s="28"/>
      <c r="D48" s="56" t="s">
        <v>70</v>
      </c>
      <c r="E48" s="57"/>
      <c r="F48" s="29">
        <v>2.0265</v>
      </c>
      <c r="G48" s="58">
        <f>G47</f>
        <v>60</v>
      </c>
      <c r="H48" s="27">
        <f>G48*F48</f>
        <v>121.59</v>
      </c>
      <c r="I48" s="28"/>
      <c r="J48" s="29">
        <f>'[5]13. Final 2015 RTS Rates'!$H$28</f>
        <v>2.0809855933033821</v>
      </c>
      <c r="K48" s="59">
        <f>K47</f>
        <v>60</v>
      </c>
      <c r="L48" s="27">
        <f>K48*J48</f>
        <v>124.85913559820293</v>
      </c>
      <c r="M48" s="28"/>
      <c r="N48" s="31">
        <f t="shared" si="10"/>
        <v>3.2691355982029222</v>
      </c>
      <c r="O48" s="32">
        <f t="shared" si="11"/>
        <v>2.6886549865966957E-2</v>
      </c>
    </row>
    <row r="49" spans="2:19" x14ac:dyDescent="0.25">
      <c r="B49" s="50" t="s">
        <v>30</v>
      </c>
      <c r="C49" s="36"/>
      <c r="D49" s="36"/>
      <c r="E49" s="36"/>
      <c r="F49" s="61"/>
      <c r="G49" s="53"/>
      <c r="H49" s="54">
        <f>SUM(H46:H48)</f>
        <v>752.6640000000001</v>
      </c>
      <c r="I49" s="62"/>
      <c r="J49" s="63"/>
      <c r="K49" s="64"/>
      <c r="L49" s="54">
        <f>SUM(L46:L48)</f>
        <v>792.54098801554915</v>
      </c>
      <c r="M49" s="62"/>
      <c r="N49" s="44">
        <f t="shared" si="10"/>
        <v>39.876988015549045</v>
      </c>
      <c r="O49" s="45">
        <f t="shared" si="11"/>
        <v>5.2981128386038176E-2</v>
      </c>
    </row>
    <row r="50" spans="2:19" x14ac:dyDescent="0.25">
      <c r="B50" s="65" t="s">
        <v>31</v>
      </c>
      <c r="C50" s="22"/>
      <c r="D50" s="23" t="s">
        <v>61</v>
      </c>
      <c r="E50" s="24"/>
      <c r="F50" s="66">
        <v>4.4000000000000003E-3</v>
      </c>
      <c r="G50" s="58">
        <f>F16*(1+F73)</f>
        <v>20960</v>
      </c>
      <c r="H50" s="67">
        <f t="shared" ref="H50:H56" si="12">G50*F50</f>
        <v>92.224000000000004</v>
      </c>
      <c r="I50" s="28"/>
      <c r="J50" s="66">
        <v>4.4000000000000003E-3</v>
      </c>
      <c r="K50" s="59">
        <f>F16*(1+J73)</f>
        <v>20942</v>
      </c>
      <c r="L50" s="67">
        <f t="shared" ref="L50:L56" si="13">K50*J50</f>
        <v>92.144800000000004</v>
      </c>
      <c r="M50" s="28"/>
      <c r="N50" s="31">
        <f t="shared" si="10"/>
        <v>-7.9200000000000159E-2</v>
      </c>
      <c r="O50" s="68">
        <f t="shared" si="11"/>
        <v>-8.5877862595420019E-4</v>
      </c>
    </row>
    <row r="51" spans="2:19" x14ac:dyDescent="0.25">
      <c r="B51" s="65" t="s">
        <v>32</v>
      </c>
      <c r="C51" s="22"/>
      <c r="D51" s="23" t="s">
        <v>61</v>
      </c>
      <c r="E51" s="24"/>
      <c r="F51" s="66">
        <v>1.2999999999999999E-3</v>
      </c>
      <c r="G51" s="58">
        <f>G50</f>
        <v>20960</v>
      </c>
      <c r="H51" s="67">
        <f t="shared" si="12"/>
        <v>27.247999999999998</v>
      </c>
      <c r="I51" s="28"/>
      <c r="J51" s="66">
        <v>1.2999999999999999E-3</v>
      </c>
      <c r="K51" s="59">
        <f>K50</f>
        <v>20942</v>
      </c>
      <c r="L51" s="67">
        <f t="shared" si="13"/>
        <v>27.224599999999999</v>
      </c>
      <c r="M51" s="28"/>
      <c r="N51" s="31">
        <f t="shared" si="10"/>
        <v>-2.3399999999998755E-2</v>
      </c>
      <c r="O51" s="68">
        <f t="shared" si="11"/>
        <v>-8.5877862595415291E-4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7">
        <f t="shared" si="12"/>
        <v>0.25</v>
      </c>
      <c r="I52" s="28"/>
      <c r="J52" s="176">
        <v>0.25</v>
      </c>
      <c r="K52" s="30">
        <v>1</v>
      </c>
      <c r="L52" s="67">
        <f t="shared" si="13"/>
        <v>0.25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6">
        <v>7.0000000000000001E-3</v>
      </c>
      <c r="G53" s="69">
        <f>F16</f>
        <v>20000</v>
      </c>
      <c r="H53" s="67">
        <f t="shared" si="12"/>
        <v>140</v>
      </c>
      <c r="I53" s="28"/>
      <c r="J53" s="66">
        <v>7.0000000000000001E-3</v>
      </c>
      <c r="K53" s="70">
        <f>F16</f>
        <v>20000</v>
      </c>
      <c r="L53" s="67">
        <f t="shared" si="13"/>
        <v>140</v>
      </c>
      <c r="M53" s="28"/>
      <c r="N53" s="31">
        <f t="shared" si="10"/>
        <v>0</v>
      </c>
      <c r="O53" s="68">
        <f t="shared" si="11"/>
        <v>0</v>
      </c>
    </row>
    <row r="54" spans="2:19" ht="15.75" thickBot="1" x14ac:dyDescent="0.3">
      <c r="B54" s="49" t="s">
        <v>73</v>
      </c>
      <c r="C54" s="22"/>
      <c r="D54" s="23" t="s">
        <v>61</v>
      </c>
      <c r="E54" s="24"/>
      <c r="F54" s="66">
        <v>8.2699999999999996E-2</v>
      </c>
      <c r="G54" s="69">
        <f>F16</f>
        <v>20000</v>
      </c>
      <c r="H54" s="67">
        <f t="shared" si="12"/>
        <v>1654</v>
      </c>
      <c r="I54" s="28"/>
      <c r="J54" s="66">
        <v>8.2699999999999996E-2</v>
      </c>
      <c r="K54" s="69">
        <f>G54</f>
        <v>20000</v>
      </c>
      <c r="L54" s="67">
        <f t="shared" si="13"/>
        <v>1654</v>
      </c>
      <c r="M54" s="28"/>
      <c r="N54" s="31">
        <f t="shared" si="10"/>
        <v>0</v>
      </c>
      <c r="O54" s="68">
        <f t="shared" si="11"/>
        <v>0</v>
      </c>
      <c r="S54" s="72"/>
    </row>
    <row r="55" spans="2:19" hidden="1" x14ac:dyDescent="0.25">
      <c r="B55" s="49" t="s">
        <v>36</v>
      </c>
      <c r="C55" s="22"/>
      <c r="D55" s="23"/>
      <c r="E55" s="24"/>
      <c r="F55" s="71">
        <v>0.104</v>
      </c>
      <c r="G55" s="69">
        <v>0</v>
      </c>
      <c r="H55" s="67">
        <f t="shared" si="12"/>
        <v>0</v>
      </c>
      <c r="I55" s="28"/>
      <c r="J55" s="66">
        <v>0.104</v>
      </c>
      <c r="K55" s="69">
        <v>0</v>
      </c>
      <c r="L55" s="67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hidden="1" x14ac:dyDescent="0.25">
      <c r="B56" s="12" t="s">
        <v>37</v>
      </c>
      <c r="C56" s="22"/>
      <c r="D56" s="23"/>
      <c r="E56" s="24"/>
      <c r="F56" s="71">
        <v>0.124</v>
      </c>
      <c r="G56" s="69">
        <v>0</v>
      </c>
      <c r="H56" s="67">
        <f t="shared" si="12"/>
        <v>0</v>
      </c>
      <c r="I56" s="28"/>
      <c r="J56" s="66">
        <v>0.124</v>
      </c>
      <c r="K56" s="69">
        <v>0</v>
      </c>
      <c r="L56" s="67">
        <f t="shared" si="13"/>
        <v>0</v>
      </c>
      <c r="M56" s="28"/>
      <c r="N56" s="31">
        <f t="shared" si="10"/>
        <v>0</v>
      </c>
      <c r="O56" s="68" t="str">
        <f t="shared" si="11"/>
        <v/>
      </c>
      <c r="S56" s="72"/>
    </row>
    <row r="57" spans="2:19" s="73" customFormat="1" hidden="1" x14ac:dyDescent="0.2">
      <c r="B57" s="179" t="s">
        <v>38</v>
      </c>
      <c r="C57" s="75"/>
      <c r="D57" s="76"/>
      <c r="E57" s="77"/>
      <c r="F57" s="71">
        <v>7.4999999999999997E-2</v>
      </c>
      <c r="G57" s="78">
        <v>0</v>
      </c>
      <c r="H57" s="67">
        <f>G57*F57</f>
        <v>0</v>
      </c>
      <c r="I57" s="79"/>
      <c r="J57" s="66">
        <v>7.4999999999999997E-2</v>
      </c>
      <c r="K57" s="78">
        <f>G57</f>
        <v>0</v>
      </c>
      <c r="L57" s="67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s="73" customFormat="1" ht="15.75" hidden="1" thickBot="1" x14ac:dyDescent="0.25">
      <c r="B58" s="179" t="s">
        <v>39</v>
      </c>
      <c r="C58" s="75"/>
      <c r="D58" s="76"/>
      <c r="E58" s="77"/>
      <c r="F58" s="71">
        <v>8.7999999999999995E-2</v>
      </c>
      <c r="G58" s="78">
        <v>0</v>
      </c>
      <c r="H58" s="67">
        <f>G58*F58</f>
        <v>0</v>
      </c>
      <c r="I58" s="79"/>
      <c r="J58" s="66">
        <v>8.7999999999999995E-2</v>
      </c>
      <c r="K58" s="78">
        <f>G58</f>
        <v>0</v>
      </c>
      <c r="L58" s="67">
        <f>K58*J58</f>
        <v>0</v>
      </c>
      <c r="M58" s="79"/>
      <c r="N58" s="80">
        <f t="shared" si="10"/>
        <v>0</v>
      </c>
      <c r="O58" s="68" t="str">
        <f t="shared" si="11"/>
        <v/>
      </c>
    </row>
    <row r="59" spans="2:19" ht="15.75" hidden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idden="1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2666.386</v>
      </c>
      <c r="I60" s="95"/>
      <c r="J60" s="96"/>
      <c r="K60" s="96"/>
      <c r="L60" s="94">
        <f>SUM(L50:L56,L49)</f>
        <v>2706.160388015549</v>
      </c>
      <c r="M60" s="97"/>
      <c r="N60" s="98">
        <f>L60-H60</f>
        <v>39.774388015548993</v>
      </c>
      <c r="O60" s="99">
        <f>IF((H60)=0,"",(N60/H60))</f>
        <v>1.491696551645148E-2</v>
      </c>
      <c r="S60" s="72"/>
    </row>
    <row r="61" spans="2:19" hidden="1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346.63018</v>
      </c>
      <c r="I61" s="104"/>
      <c r="J61" s="105">
        <v>0.13</v>
      </c>
      <c r="K61" s="104"/>
      <c r="L61" s="106">
        <f>L60*J61</f>
        <v>351.80085044202139</v>
      </c>
      <c r="M61" s="107"/>
      <c r="N61" s="108">
        <f t="shared" si="10"/>
        <v>5.1706704420213896</v>
      </c>
      <c r="O61" s="109">
        <f t="shared" si="11"/>
        <v>1.4916965516451539E-2</v>
      </c>
      <c r="S61" s="72"/>
    </row>
    <row r="62" spans="2:19" hidden="1" x14ac:dyDescent="0.25">
      <c r="B62" s="110" t="s">
        <v>42</v>
      </c>
      <c r="C62" s="22"/>
      <c r="D62" s="22"/>
      <c r="E62" s="22"/>
      <c r="F62" s="111"/>
      <c r="G62" s="102"/>
      <c r="H62" s="103">
        <f>H60+H61</f>
        <v>3013.0161800000001</v>
      </c>
      <c r="I62" s="104"/>
      <c r="J62" s="104"/>
      <c r="K62" s="104"/>
      <c r="L62" s="106">
        <f>L60+L61</f>
        <v>3057.9612384575703</v>
      </c>
      <c r="M62" s="107"/>
      <c r="N62" s="108">
        <f t="shared" si="10"/>
        <v>44.945058457570212</v>
      </c>
      <c r="O62" s="109">
        <f t="shared" si="11"/>
        <v>1.4916965516451429E-2</v>
      </c>
      <c r="S62" s="72"/>
    </row>
    <row r="63" spans="2:19" hidden="1" x14ac:dyDescent="0.25">
      <c r="B63" s="248" t="s">
        <v>43</v>
      </c>
      <c r="C63" s="248"/>
      <c r="D63" s="248"/>
      <c r="E63" s="22"/>
      <c r="F63" s="111"/>
      <c r="G63" s="102"/>
      <c r="H63" s="112">
        <f>ROUND(-H62*10%,2)</f>
        <v>-301.3</v>
      </c>
      <c r="I63" s="104"/>
      <c r="J63" s="104"/>
      <c r="K63" s="104"/>
      <c r="L63" s="113">
        <f>ROUND(-L62*10%,2)</f>
        <v>-305.8</v>
      </c>
      <c r="M63" s="107"/>
      <c r="N63" s="114">
        <f t="shared" si="10"/>
        <v>-4.5</v>
      </c>
      <c r="O63" s="115">
        <f t="shared" si="11"/>
        <v>1.4935280451377365E-2</v>
      </c>
    </row>
    <row r="64" spans="2:19" ht="15.75" hidden="1" thickBot="1" x14ac:dyDescent="0.3">
      <c r="B64" s="240" t="s">
        <v>44</v>
      </c>
      <c r="C64" s="240"/>
      <c r="D64" s="240"/>
      <c r="E64" s="116"/>
      <c r="F64" s="117"/>
      <c r="G64" s="118"/>
      <c r="H64" s="119">
        <f>H62+H63</f>
        <v>2711.7161799999999</v>
      </c>
      <c r="I64" s="120"/>
      <c r="J64" s="120"/>
      <c r="K64" s="120"/>
      <c r="L64" s="121">
        <f>L62+L63</f>
        <v>2752.1612384575701</v>
      </c>
      <c r="M64" s="122"/>
      <c r="N64" s="123">
        <f t="shared" si="10"/>
        <v>40.445058457570212</v>
      </c>
      <c r="O64" s="124">
        <f t="shared" si="11"/>
        <v>1.4914930535824074E-2</v>
      </c>
    </row>
    <row r="65" spans="1:15" s="73" customFormat="1" ht="15.75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SUM(H54,H49,H50:H53)</f>
        <v>2666.3860000000004</v>
      </c>
      <c r="I66" s="136"/>
      <c r="J66" s="137"/>
      <c r="K66" s="137"/>
      <c r="L66" s="188">
        <f>SUM(L54,L49,L50:L53)</f>
        <v>2706.1603880155494</v>
      </c>
      <c r="M66" s="138"/>
      <c r="N66" s="139">
        <f>L66-H66</f>
        <v>39.774388015548993</v>
      </c>
      <c r="O66" s="99">
        <f>IF((H66)=0,"",(N66/H66))</f>
        <v>1.4916965516451476E-2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346.63018000000005</v>
      </c>
      <c r="I67" s="143"/>
      <c r="J67" s="144">
        <v>0.13</v>
      </c>
      <c r="K67" s="145"/>
      <c r="L67" s="146">
        <f>L66*J67</f>
        <v>351.80085044202144</v>
      </c>
      <c r="M67" s="147"/>
      <c r="N67" s="148">
        <f>L67-H67</f>
        <v>5.1706704420213896</v>
      </c>
      <c r="O67" s="109">
        <f>IF((H67)=0,"",(N67/H67))</f>
        <v>1.4916965516451535E-2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3013.0161800000005</v>
      </c>
      <c r="I68" s="143"/>
      <c r="J68" s="143"/>
      <c r="K68" s="143"/>
      <c r="L68" s="146">
        <f>L66+L67</f>
        <v>3057.9612384575707</v>
      </c>
      <c r="M68" s="147"/>
      <c r="N68" s="148">
        <f>L68-H68</f>
        <v>44.945058457570212</v>
      </c>
      <c r="O68" s="109">
        <f>IF((H68)=0,"",(N68/H68))</f>
        <v>1.4916965516451426E-2</v>
      </c>
    </row>
    <row r="69" spans="1:15" s="73" customFormat="1" ht="12.75" x14ac:dyDescent="0.2">
      <c r="B69" s="249" t="s">
        <v>43</v>
      </c>
      <c r="C69" s="249"/>
      <c r="D69" s="249"/>
      <c r="E69" s="75"/>
      <c r="F69" s="150"/>
      <c r="G69" s="151"/>
      <c r="H69" s="152">
        <f>ROUND(-H68*10%,2)</f>
        <v>-301.3</v>
      </c>
      <c r="I69" s="143"/>
      <c r="J69" s="143"/>
      <c r="K69" s="143"/>
      <c r="L69" s="153">
        <f>ROUND(-L68*10%,2)</f>
        <v>-305.8</v>
      </c>
      <c r="M69" s="147"/>
      <c r="N69" s="154">
        <f>L69-H69</f>
        <v>-4.5</v>
      </c>
      <c r="O69" s="115">
        <f>IF((H69)=0,"",(N69/H69))</f>
        <v>1.4935280451377365E-2</v>
      </c>
    </row>
    <row r="70" spans="1:15" s="73" customFormat="1" ht="13.5" thickBot="1" x14ac:dyDescent="0.25">
      <c r="B70" s="241" t="s">
        <v>46</v>
      </c>
      <c r="C70" s="241"/>
      <c r="D70" s="241"/>
      <c r="E70" s="155"/>
      <c r="F70" s="156"/>
      <c r="G70" s="157"/>
      <c r="H70" s="158">
        <f>SUM(H68:H69)</f>
        <v>2711.7161800000003</v>
      </c>
      <c r="I70" s="159"/>
      <c r="J70" s="159"/>
      <c r="K70" s="159"/>
      <c r="L70" s="160">
        <f>SUM(L68:L69)</f>
        <v>2752.1612384575706</v>
      </c>
      <c r="M70" s="161"/>
      <c r="N70" s="162">
        <f>L70-H70</f>
        <v>40.445058457570212</v>
      </c>
      <c r="O70" s="163">
        <f>IF((H70)=0,"",(N70/H70))</f>
        <v>1.4914930535824072E-2</v>
      </c>
    </row>
    <row r="71" spans="1:15" s="73" customFormat="1" ht="15.75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x14ac:dyDescent="0.25">
      <c r="L72" s="72"/>
    </row>
    <row r="73" spans="1:15" x14ac:dyDescent="0.25">
      <c r="B73" s="13" t="s">
        <v>47</v>
      </c>
      <c r="F73" s="170">
        <v>4.8000000000000001E-2</v>
      </c>
      <c r="J73" s="170">
        <f>'Res (100kWh)'!$J$74</f>
        <v>4.7100000000000003E-2</v>
      </c>
    </row>
    <row r="75" spans="1:15" x14ac:dyDescent="0.25">
      <c r="A75" s="171" t="s">
        <v>48</v>
      </c>
    </row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N1:O1"/>
    <mergeCell ref="N2:O2"/>
    <mergeCell ref="F18:H18"/>
    <mergeCell ref="B9:O9"/>
    <mergeCell ref="J18:L18"/>
    <mergeCell ref="N3:O3"/>
    <mergeCell ref="N5:O5"/>
    <mergeCell ref="B8:O8"/>
    <mergeCell ref="N18:O18"/>
    <mergeCell ref="D12:O12"/>
    <mergeCell ref="B64:D64"/>
    <mergeCell ref="B70:D70"/>
    <mergeCell ref="D19:D20"/>
    <mergeCell ref="N19:N20"/>
    <mergeCell ref="O19:O20"/>
    <mergeCell ref="B63:D63"/>
    <mergeCell ref="B69:D69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47:E48 E39:E45 E50:E59 E21:E24 E26:E37">
      <formula1>#REF!</formula1>
    </dataValidation>
    <dataValidation type="list" allowBlank="1" showInputMessage="1" showErrorMessage="1" prompt="Select Charge Unit - monthly, per kWh, per kW" sqref="D47:D48 D39:D45 D65 D50:D59 D71 D21:D37">
      <formula1>"Monthly, per kWh, per kW"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theme="0" tint="-0.14999847407452621"/>
    <pageSetUpPr fitToPage="1"/>
  </sheetPr>
  <dimension ref="A1:T89"/>
  <sheetViews>
    <sheetView showGridLines="0" topLeftCell="A7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1.57031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1.5703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0.140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21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 s="190"/>
      <c r="T1" s="2">
        <v>1</v>
      </c>
    </row>
    <row r="2" spans="1:20" s="2" customFormat="1" ht="18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 s="191"/>
    </row>
    <row r="3" spans="1:20" s="2" customFormat="1" ht="15.75" x14ac:dyDescent="0.25">
      <c r="C3" s="6"/>
      <c r="D3" s="6"/>
      <c r="E3" s="6"/>
      <c r="L3" s="3" t="s">
        <v>95</v>
      </c>
      <c r="N3" s="234" t="str">
        <f>'Res (100kWh)'!$N$3:$O$3</f>
        <v>8-B</v>
      </c>
      <c r="O3" s="234"/>
      <c r="P3" s="190"/>
    </row>
    <row r="4" spans="1:20" s="2" customForma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34">
        <f>'Res (100kWh)'!$N$5:$O$5</f>
        <v>42177</v>
      </c>
      <c r="O5" s="234"/>
      <c r="P5" s="193"/>
    </row>
    <row r="6" spans="1:20" s="2" customFormat="1" x14ac:dyDescent="0.25">
      <c r="N6" s="7"/>
      <c r="O6"/>
      <c r="P6"/>
    </row>
    <row r="7" spans="1:20" x14ac:dyDescent="0.25">
      <c r="L7"/>
      <c r="M7"/>
      <c r="N7"/>
      <c r="O7"/>
      <c r="P7"/>
    </row>
    <row r="8" spans="1:20" ht="18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x14ac:dyDescent="0.25">
      <c r="L10"/>
      <c r="M10"/>
      <c r="N10"/>
      <c r="O10"/>
      <c r="P10"/>
    </row>
    <row r="11" spans="1:20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87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15.75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40000</v>
      </c>
      <c r="G16" s="13" t="s">
        <v>7</v>
      </c>
      <c r="H16" s="14">
        <v>100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x14ac:dyDescent="0.25">
      <c r="B21" s="22" t="s">
        <v>18</v>
      </c>
      <c r="C21" s="22"/>
      <c r="D21" s="23" t="s">
        <v>60</v>
      </c>
      <c r="E21" s="24"/>
      <c r="F21" s="174">
        <f>'[2]2014 Existing Rates'!$C$8</f>
        <v>293.97000000000003</v>
      </c>
      <c r="G21" s="26">
        <v>1</v>
      </c>
      <c r="H21" s="27">
        <f>G21*F21</f>
        <v>293.97000000000003</v>
      </c>
      <c r="I21" s="28"/>
      <c r="J21" s="173">
        <f>'[2]Rate Schedule '!$E$22</f>
        <v>293.97000000000003</v>
      </c>
      <c r="K21" s="30">
        <v>1</v>
      </c>
      <c r="L21" s="27">
        <f>K21*J21</f>
        <v>293.97000000000003</v>
      </c>
      <c r="M21" s="28"/>
      <c r="N21" s="31">
        <f>L21-H21</f>
        <v>0</v>
      </c>
      <c r="O21" s="32">
        <f>IF((H21)=0,"",(N21/H21))</f>
        <v>0</v>
      </c>
    </row>
    <row r="22" spans="2:15" ht="30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7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64" si="2">L23-H23</f>
        <v>0</v>
      </c>
      <c r="O23" s="32" t="str">
        <f t="shared" ref="O23:O44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70</v>
      </c>
      <c r="E25" s="24"/>
      <c r="F25" s="25"/>
      <c r="G25" s="178">
        <f>$H$16</f>
        <v>100</v>
      </c>
      <c r="H25" s="27">
        <f t="shared" si="0"/>
        <v>0</v>
      </c>
      <c r="I25" s="28"/>
      <c r="J25" s="29">
        <f>'[4]6. Rate Rider Calculations'!$F$105</f>
        <v>7.227842642143574E-2</v>
      </c>
      <c r="K25" s="178">
        <f>$H$16</f>
        <v>100</v>
      </c>
      <c r="L25" s="27">
        <f t="shared" si="1"/>
        <v>7.2278426421435737</v>
      </c>
      <c r="M25" s="28"/>
      <c r="N25" s="31">
        <f t="shared" si="2"/>
        <v>7.2278426421435737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70</v>
      </c>
      <c r="E26" s="24"/>
      <c r="F26" s="25">
        <v>-2.4199999999999999E-2</v>
      </c>
      <c r="G26" s="178">
        <f>$H$16</f>
        <v>100</v>
      </c>
      <c r="H26" s="27">
        <f t="shared" si="0"/>
        <v>-2.42</v>
      </c>
      <c r="I26" s="28"/>
      <c r="J26" s="29"/>
      <c r="K26" s="178">
        <f>$H$16</f>
        <v>100</v>
      </c>
      <c r="L26" s="27">
        <f t="shared" si="1"/>
        <v>0</v>
      </c>
      <c r="M26" s="28"/>
      <c r="N26" s="31">
        <f t="shared" si="2"/>
        <v>2.42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70</v>
      </c>
      <c r="E27" s="24"/>
      <c r="F27" s="25"/>
      <c r="G27" s="178">
        <f>$H$16</f>
        <v>100</v>
      </c>
      <c r="H27" s="27">
        <f t="shared" si="0"/>
        <v>0</v>
      </c>
      <c r="I27" s="28"/>
      <c r="J27" s="29">
        <f>'[4]6. Rate Rider Calculations'!$F$77</f>
        <v>-1.4713070385202904</v>
      </c>
      <c r="K27" s="178">
        <f>$H$16</f>
        <v>100</v>
      </c>
      <c r="L27" s="27">
        <f t="shared" si="1"/>
        <v>-147.13070385202906</v>
      </c>
      <c r="M27" s="28"/>
      <c r="N27" s="31">
        <f t="shared" si="2"/>
        <v>-147.13070385202906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70</v>
      </c>
      <c r="E28" s="24"/>
      <c r="F28" s="25">
        <f>'[2]2014 Existing Rates'!$D$8</f>
        <v>2.0966</v>
      </c>
      <c r="G28" s="178">
        <f>$H$16</f>
        <v>100</v>
      </c>
      <c r="H28" s="27">
        <f t="shared" si="0"/>
        <v>209.66</v>
      </c>
      <c r="I28" s="28"/>
      <c r="J28" s="29">
        <f>'[2]Rate Schedule '!$E$23</f>
        <v>2.4028</v>
      </c>
      <c r="K28" s="178">
        <f>$H$16</f>
        <v>100</v>
      </c>
      <c r="L28" s="27">
        <f t="shared" si="1"/>
        <v>240.28</v>
      </c>
      <c r="M28" s="28"/>
      <c r="N28" s="31">
        <f t="shared" si="2"/>
        <v>30.620000000000005</v>
      </c>
      <c r="O28" s="32">
        <f t="shared" si="3"/>
        <v>0.14604597920442625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40000</v>
      </c>
      <c r="H29" s="27">
        <f t="shared" si="0"/>
        <v>0</v>
      </c>
      <c r="I29" s="28"/>
      <c r="J29" s="29"/>
      <c r="K29" s="26">
        <f t="shared" ref="K29:K37" si="4">$F$16</f>
        <v>40000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40000</v>
      </c>
      <c r="H30" s="27">
        <f t="shared" si="0"/>
        <v>0</v>
      </c>
      <c r="I30" s="28"/>
      <c r="J30" s="29"/>
      <c r="K30" s="26">
        <f t="shared" si="4"/>
        <v>40000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5">$F$16</f>
        <v>40000</v>
      </c>
      <c r="H31" s="27">
        <f t="shared" si="0"/>
        <v>0</v>
      </c>
      <c r="I31" s="28"/>
      <c r="J31" s="29"/>
      <c r="K31" s="26">
        <f t="shared" si="4"/>
        <v>40000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40000</v>
      </c>
      <c r="H32" s="27">
        <f t="shared" si="0"/>
        <v>0</v>
      </c>
      <c r="I32" s="28"/>
      <c r="J32" s="29"/>
      <c r="K32" s="26">
        <f t="shared" si="4"/>
        <v>40000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40000</v>
      </c>
      <c r="H33" s="27">
        <f t="shared" si="0"/>
        <v>0</v>
      </c>
      <c r="I33" s="28"/>
      <c r="J33" s="29"/>
      <c r="K33" s="26">
        <f t="shared" si="4"/>
        <v>40000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40000</v>
      </c>
      <c r="H34" s="27">
        <f t="shared" si="0"/>
        <v>0</v>
      </c>
      <c r="I34" s="28"/>
      <c r="J34" s="29"/>
      <c r="K34" s="26">
        <f t="shared" si="4"/>
        <v>40000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40000</v>
      </c>
      <c r="H35" s="27">
        <f t="shared" si="0"/>
        <v>0</v>
      </c>
      <c r="I35" s="28"/>
      <c r="J35" s="29"/>
      <c r="K35" s="26">
        <f t="shared" si="4"/>
        <v>40000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40000</v>
      </c>
      <c r="H36" s="27">
        <f t="shared" si="0"/>
        <v>0</v>
      </c>
      <c r="I36" s="28"/>
      <c r="J36" s="29"/>
      <c r="K36" s="26">
        <f t="shared" si="4"/>
        <v>40000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5"/>
        <v>40000</v>
      </c>
      <c r="H37" s="27">
        <f t="shared" si="0"/>
        <v>0</v>
      </c>
      <c r="I37" s="28"/>
      <c r="J37" s="29"/>
      <c r="K37" s="26">
        <f t="shared" si="4"/>
        <v>40000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501.21000000000004</v>
      </c>
      <c r="I38" s="41"/>
      <c r="J38" s="42"/>
      <c r="K38" s="43"/>
      <c r="L38" s="40">
        <f>SUM(L21:L37)</f>
        <v>394.34713879011451</v>
      </c>
      <c r="M38" s="41"/>
      <c r="N38" s="44">
        <f t="shared" si="2"/>
        <v>-106.86286120988552</v>
      </c>
      <c r="O38" s="45">
        <f t="shared" si="3"/>
        <v>-0.21320975481312326</v>
      </c>
    </row>
    <row r="39" spans="2:15" x14ac:dyDescent="0.25">
      <c r="B39" s="46" t="s">
        <v>23</v>
      </c>
      <c r="C39" s="22"/>
      <c r="D39" s="56" t="s">
        <v>70</v>
      </c>
      <c r="E39" s="57"/>
      <c r="F39" s="29">
        <v>-0.72409999999999997</v>
      </c>
      <c r="G39" s="178">
        <f>G28</f>
        <v>100</v>
      </c>
      <c r="H39" s="27">
        <f t="shared" ref="H39:H45" si="6">G39*F39</f>
        <v>-72.41</v>
      </c>
      <c r="I39" s="28"/>
      <c r="J39" s="29">
        <f>'[4]6. Rate Rider Calculations'!$F$22</f>
        <v>0.54062580919773795</v>
      </c>
      <c r="K39" s="178">
        <f>H16</f>
        <v>100</v>
      </c>
      <c r="L39" s="27">
        <f t="shared" ref="L39:L45" si="7">K39*J39</f>
        <v>54.062580919773794</v>
      </c>
      <c r="M39" s="28"/>
      <c r="N39" s="31">
        <f t="shared" si="2"/>
        <v>126.47258091977379</v>
      </c>
      <c r="O39" s="32">
        <f t="shared" si="3"/>
        <v>-1.7466176069572406</v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100</v>
      </c>
      <c r="H40" s="27">
        <f t="shared" si="6"/>
        <v>0</v>
      </c>
      <c r="I40" s="47"/>
      <c r="J40" s="29"/>
      <c r="K40" s="178">
        <f>H16</f>
        <v>100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idden="1" x14ac:dyDescent="0.25">
      <c r="B41" s="46"/>
      <c r="C41" s="22"/>
      <c r="D41" s="23" t="s">
        <v>70</v>
      </c>
      <c r="E41" s="24"/>
      <c r="F41" s="25"/>
      <c r="G41" s="178">
        <f>H16</f>
        <v>100</v>
      </c>
      <c r="H41" s="27">
        <f t="shared" si="6"/>
        <v>0</v>
      </c>
      <c r="I41" s="47"/>
      <c r="J41" s="29"/>
      <c r="K41" s="178">
        <f>H16</f>
        <v>100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32.25" customHeight="1" x14ac:dyDescent="0.25">
      <c r="B42" s="46" t="s">
        <v>74</v>
      </c>
      <c r="C42" s="22"/>
      <c r="D42" s="56" t="s">
        <v>70</v>
      </c>
      <c r="E42" s="24"/>
      <c r="F42" s="29">
        <v>0.32969999999999999</v>
      </c>
      <c r="G42" s="178">
        <f>H16</f>
        <v>100</v>
      </c>
      <c r="H42" s="27">
        <f t="shared" si="6"/>
        <v>32.97</v>
      </c>
      <c r="I42" s="47"/>
      <c r="J42" s="29">
        <f>'[4]6. Rate Rider Calculations'!$F$49</f>
        <v>0.66690650450522238</v>
      </c>
      <c r="K42" s="178">
        <f>H16</f>
        <v>100</v>
      </c>
      <c r="L42" s="27">
        <f t="shared" si="7"/>
        <v>66.690650450522241</v>
      </c>
      <c r="M42" s="48"/>
      <c r="N42" s="31">
        <f t="shared" si="2"/>
        <v>33.720650450522243</v>
      </c>
      <c r="O42" s="32">
        <f t="shared" si="3"/>
        <v>1.0227676812411963</v>
      </c>
    </row>
    <row r="43" spans="2:15" x14ac:dyDescent="0.25">
      <c r="B43" s="49" t="s">
        <v>24</v>
      </c>
      <c r="C43" s="22"/>
      <c r="D43" s="23" t="s">
        <v>70</v>
      </c>
      <c r="E43" s="24"/>
      <c r="F43" s="197">
        <v>1.3899999999999999E-2</v>
      </c>
      <c r="G43" s="178">
        <f>H16</f>
        <v>100</v>
      </c>
      <c r="H43" s="27">
        <f t="shared" si="6"/>
        <v>1.39</v>
      </c>
      <c r="I43" s="28"/>
      <c r="J43" s="29">
        <f>'[2]Rate Schedule '!$E$24</f>
        <v>2.5499999999999998E-2</v>
      </c>
      <c r="K43" s="178">
        <f>H16</f>
        <v>100</v>
      </c>
      <c r="L43" s="27">
        <f t="shared" si="7"/>
        <v>2.5499999999999998</v>
      </c>
      <c r="M43" s="28"/>
      <c r="N43" s="31">
        <f t="shared" si="2"/>
        <v>1.1599999999999999</v>
      </c>
      <c r="O43" s="32">
        <f t="shared" si="3"/>
        <v>0.83453237410071945</v>
      </c>
    </row>
    <row r="44" spans="2:15" s="34" customFormat="1" x14ac:dyDescent="0.25">
      <c r="B44" s="180" t="s">
        <v>25</v>
      </c>
      <c r="C44" s="24"/>
      <c r="D44" s="181" t="s">
        <v>61</v>
      </c>
      <c r="E44" s="24"/>
      <c r="F44" s="182">
        <f>IF(ISBLANK(D14)=TRUE, 0, IF(D14="TOU", 0.64*$F$54+0.18*$F$55+0.18*$F$56, IF(AND(D14="non-TOU", G58&gt;0), F58,F57)))</f>
        <v>7.4999999999999997E-2</v>
      </c>
      <c r="G44" s="26">
        <f>$F$16*(1+$F$73)-$F$16</f>
        <v>1920</v>
      </c>
      <c r="H44" s="183">
        <f t="shared" si="6"/>
        <v>144</v>
      </c>
      <c r="I44" s="57"/>
      <c r="J44" s="184">
        <f>IF(ISBLANK(D14)=TRUE, 0, IF(D14="TOU", 0.64*$F$54+0.18*$F$55+0.18*$F$56, IF(AND(D14="non-TOU", K58&gt;0), J58,J57)))</f>
        <v>7.4999999999999997E-2</v>
      </c>
      <c r="K44" s="26">
        <f>$F$16*(1+$J$73)-$F$16</f>
        <v>1884</v>
      </c>
      <c r="L44" s="183">
        <f t="shared" si="7"/>
        <v>141.29999999999998</v>
      </c>
      <c r="M44" s="57"/>
      <c r="N44" s="185">
        <f t="shared" si="2"/>
        <v>-2.7000000000000171</v>
      </c>
      <c r="O44" s="186">
        <f t="shared" si="3"/>
        <v>-1.8750000000000117E-2</v>
      </c>
    </row>
    <row r="45" spans="2:15" x14ac:dyDescent="0.25">
      <c r="B45" s="49" t="s">
        <v>26</v>
      </c>
      <c r="C45" s="22"/>
      <c r="D45" s="23" t="s">
        <v>60</v>
      </c>
      <c r="E45" s="24"/>
      <c r="F45" s="177"/>
      <c r="G45" s="26">
        <v>0</v>
      </c>
      <c r="H45" s="27">
        <f t="shared" si="6"/>
        <v>0</v>
      </c>
      <c r="I45" s="28"/>
      <c r="J45" s="177"/>
      <c r="K45" s="26">
        <v>0</v>
      </c>
      <c r="L45" s="27">
        <f t="shared" si="7"/>
        <v>0</v>
      </c>
      <c r="M45" s="28"/>
      <c r="N45" s="31">
        <f t="shared" si="2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SUM(H39:H45)+H38</f>
        <v>607.16000000000008</v>
      </c>
      <c r="I46" s="41"/>
      <c r="J46" s="53"/>
      <c r="K46" s="55"/>
      <c r="L46" s="54">
        <f>SUM(L39:L45)+L38</f>
        <v>658.95037016041056</v>
      </c>
      <c r="M46" s="41"/>
      <c r="N46" s="44">
        <f t="shared" si="2"/>
        <v>51.790370160410475</v>
      </c>
      <c r="O46" s="45">
        <f t="shared" ref="O46:O64" si="8">IF((H46)=0,"",(N46/H46))</f>
        <v>8.5299377693541192E-2</v>
      </c>
    </row>
    <row r="47" spans="2:15" x14ac:dyDescent="0.25">
      <c r="B47" s="28" t="s">
        <v>28</v>
      </c>
      <c r="C47" s="28"/>
      <c r="D47" s="56" t="s">
        <v>70</v>
      </c>
      <c r="E47" s="57"/>
      <c r="F47" s="29">
        <v>2.7265000000000001</v>
      </c>
      <c r="G47" s="58">
        <f>H16</f>
        <v>100</v>
      </c>
      <c r="H47" s="27">
        <f>G47*F47</f>
        <v>272.65000000000003</v>
      </c>
      <c r="I47" s="28"/>
      <c r="J47" s="29">
        <f>'[5]13. Final 2015 RTS Rates'!$F$28</f>
        <v>2.8142271720183309</v>
      </c>
      <c r="K47" s="59">
        <f>H16</f>
        <v>100</v>
      </c>
      <c r="L47" s="27">
        <f>K47*J47</f>
        <v>281.42271720183311</v>
      </c>
      <c r="M47" s="28"/>
      <c r="N47" s="31">
        <f t="shared" si="2"/>
        <v>8.7727172018330748</v>
      </c>
      <c r="O47" s="32">
        <f t="shared" si="8"/>
        <v>3.2175746201478353E-2</v>
      </c>
    </row>
    <row r="48" spans="2:15" x14ac:dyDescent="0.25">
      <c r="B48" s="60" t="s">
        <v>29</v>
      </c>
      <c r="C48" s="28"/>
      <c r="D48" s="56" t="s">
        <v>70</v>
      </c>
      <c r="E48" s="57"/>
      <c r="F48" s="29">
        <v>2.0265</v>
      </c>
      <c r="G48" s="58">
        <f>G47</f>
        <v>100</v>
      </c>
      <c r="H48" s="27">
        <f>G48*F48</f>
        <v>202.65</v>
      </c>
      <c r="I48" s="28"/>
      <c r="J48" s="29">
        <f>'[5]13. Final 2015 RTS Rates'!$H$28</f>
        <v>2.0809855933033821</v>
      </c>
      <c r="K48" s="59">
        <f>K47</f>
        <v>100</v>
      </c>
      <c r="L48" s="27">
        <f>K48*J48</f>
        <v>208.09855933033822</v>
      </c>
      <c r="M48" s="28"/>
      <c r="N48" s="31">
        <f t="shared" si="2"/>
        <v>5.4485593303382132</v>
      </c>
      <c r="O48" s="32">
        <f t="shared" si="8"/>
        <v>2.6886549865967002E-2</v>
      </c>
    </row>
    <row r="49" spans="2:19" x14ac:dyDescent="0.25">
      <c r="B49" s="50" t="s">
        <v>30</v>
      </c>
      <c r="C49" s="36"/>
      <c r="D49" s="36"/>
      <c r="E49" s="36"/>
      <c r="F49" s="61"/>
      <c r="G49" s="53"/>
      <c r="H49" s="54">
        <f>SUM(H46:H48)</f>
        <v>1082.4600000000003</v>
      </c>
      <c r="I49" s="62"/>
      <c r="J49" s="63"/>
      <c r="K49" s="64"/>
      <c r="L49" s="54">
        <f>SUM(L46:L48)</f>
        <v>1148.471646692582</v>
      </c>
      <c r="M49" s="62"/>
      <c r="N49" s="44">
        <f t="shared" si="2"/>
        <v>66.011646692581735</v>
      </c>
      <c r="O49" s="45">
        <f t="shared" si="8"/>
        <v>6.0982989387674109E-2</v>
      </c>
    </row>
    <row r="50" spans="2:19" x14ac:dyDescent="0.25">
      <c r="B50" s="65" t="s">
        <v>31</v>
      </c>
      <c r="C50" s="22"/>
      <c r="D50" s="23" t="s">
        <v>61</v>
      </c>
      <c r="E50" s="24"/>
      <c r="F50" s="66">
        <v>4.4000000000000003E-3</v>
      </c>
      <c r="G50" s="58">
        <f>F16*(1+F73)</f>
        <v>41920</v>
      </c>
      <c r="H50" s="67">
        <f t="shared" ref="H50:H56" si="9">G50*F50</f>
        <v>184.44800000000001</v>
      </c>
      <c r="I50" s="28"/>
      <c r="J50" s="66">
        <v>4.4000000000000003E-3</v>
      </c>
      <c r="K50" s="59">
        <f>F16*(1+J73)</f>
        <v>41884</v>
      </c>
      <c r="L50" s="67">
        <f t="shared" ref="L50:L56" si="10">K50*J50</f>
        <v>184.28960000000001</v>
      </c>
      <c r="M50" s="28"/>
      <c r="N50" s="31">
        <f t="shared" si="2"/>
        <v>-0.15840000000000032</v>
      </c>
      <c r="O50" s="68">
        <f t="shared" si="8"/>
        <v>-8.5877862595420019E-4</v>
      </c>
    </row>
    <row r="51" spans="2:19" x14ac:dyDescent="0.25">
      <c r="B51" s="65" t="s">
        <v>32</v>
      </c>
      <c r="C51" s="22"/>
      <c r="D51" s="23" t="s">
        <v>61</v>
      </c>
      <c r="E51" s="24"/>
      <c r="F51" s="66">
        <v>1.2999999999999999E-3</v>
      </c>
      <c r="G51" s="58">
        <f>G50</f>
        <v>41920</v>
      </c>
      <c r="H51" s="67">
        <f t="shared" si="9"/>
        <v>54.495999999999995</v>
      </c>
      <c r="I51" s="28"/>
      <c r="J51" s="66">
        <v>1.2999999999999999E-3</v>
      </c>
      <c r="K51" s="59">
        <f>K50</f>
        <v>41884</v>
      </c>
      <c r="L51" s="67">
        <f t="shared" si="10"/>
        <v>54.449199999999998</v>
      </c>
      <c r="M51" s="28"/>
      <c r="N51" s="31">
        <f t="shared" si="2"/>
        <v>-4.679999999999751E-2</v>
      </c>
      <c r="O51" s="68">
        <f t="shared" si="8"/>
        <v>-8.5877862595415291E-4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7">
        <f t="shared" si="9"/>
        <v>0.25</v>
      </c>
      <c r="I52" s="28"/>
      <c r="J52" s="176">
        <v>0.25</v>
      </c>
      <c r="K52" s="30">
        <v>1</v>
      </c>
      <c r="L52" s="67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6">
        <v>7.0000000000000001E-3</v>
      </c>
      <c r="G53" s="69">
        <f>F16</f>
        <v>40000</v>
      </c>
      <c r="H53" s="67">
        <f t="shared" si="9"/>
        <v>280</v>
      </c>
      <c r="I53" s="28"/>
      <c r="J53" s="66">
        <v>7.0000000000000001E-3</v>
      </c>
      <c r="K53" s="70">
        <f>F16</f>
        <v>40000</v>
      </c>
      <c r="L53" s="67">
        <f t="shared" si="10"/>
        <v>280</v>
      </c>
      <c r="M53" s="28"/>
      <c r="N53" s="31">
        <f t="shared" si="2"/>
        <v>0</v>
      </c>
      <c r="O53" s="68">
        <f t="shared" si="8"/>
        <v>0</v>
      </c>
    </row>
    <row r="54" spans="2:19" ht="15.75" thickBot="1" x14ac:dyDescent="0.3">
      <c r="B54" s="49" t="s">
        <v>73</v>
      </c>
      <c r="C54" s="22"/>
      <c r="D54" s="23" t="s">
        <v>61</v>
      </c>
      <c r="E54" s="24"/>
      <c r="F54" s="66">
        <v>8.2699999999999996E-2</v>
      </c>
      <c r="G54" s="69">
        <f>F16</f>
        <v>40000</v>
      </c>
      <c r="H54" s="67">
        <f t="shared" si="9"/>
        <v>3308</v>
      </c>
      <c r="I54" s="28"/>
      <c r="J54" s="66">
        <v>8.2699999999999996E-2</v>
      </c>
      <c r="K54" s="69">
        <f>G54</f>
        <v>40000</v>
      </c>
      <c r="L54" s="67">
        <f t="shared" si="10"/>
        <v>3308</v>
      </c>
      <c r="M54" s="28"/>
      <c r="N54" s="31">
        <f t="shared" si="2"/>
        <v>0</v>
      </c>
      <c r="O54" s="68">
        <f t="shared" si="8"/>
        <v>0</v>
      </c>
      <c r="S54" s="72"/>
    </row>
    <row r="55" spans="2:19" ht="15.75" hidden="1" thickBot="1" x14ac:dyDescent="0.3">
      <c r="B55" s="49" t="s">
        <v>36</v>
      </c>
      <c r="C55" s="22"/>
      <c r="D55" s="23"/>
      <c r="E55" s="24"/>
      <c r="F55" s="71">
        <v>0.104</v>
      </c>
      <c r="G55" s="69">
        <v>0</v>
      </c>
      <c r="H55" s="67">
        <f t="shared" si="9"/>
        <v>0</v>
      </c>
      <c r="I55" s="28"/>
      <c r="J55" s="66">
        <v>0.104</v>
      </c>
      <c r="K55" s="69">
        <v>0</v>
      </c>
      <c r="L55" s="67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ht="15.75" hidden="1" thickBot="1" x14ac:dyDescent="0.3">
      <c r="B56" s="12" t="s">
        <v>37</v>
      </c>
      <c r="C56" s="22"/>
      <c r="D56" s="23"/>
      <c r="E56" s="24"/>
      <c r="F56" s="71">
        <v>0.124</v>
      </c>
      <c r="G56" s="69">
        <v>0</v>
      </c>
      <c r="H56" s="67">
        <f t="shared" si="9"/>
        <v>0</v>
      </c>
      <c r="I56" s="28"/>
      <c r="J56" s="66">
        <v>0.124</v>
      </c>
      <c r="K56" s="69">
        <v>0</v>
      </c>
      <c r="L56" s="67">
        <f t="shared" si="10"/>
        <v>0</v>
      </c>
      <c r="M56" s="28"/>
      <c r="N56" s="31">
        <f t="shared" si="2"/>
        <v>0</v>
      </c>
      <c r="O56" s="68" t="str">
        <f t="shared" si="8"/>
        <v/>
      </c>
      <c r="S56" s="72"/>
    </row>
    <row r="57" spans="2:19" s="73" customFormat="1" ht="15.75" hidden="1" thickBot="1" x14ac:dyDescent="0.25">
      <c r="B57" s="179" t="s">
        <v>38</v>
      </c>
      <c r="C57" s="75"/>
      <c r="D57" s="76"/>
      <c r="E57" s="77"/>
      <c r="F57" s="71">
        <v>7.4999999999999997E-2</v>
      </c>
      <c r="G57" s="78">
        <v>0</v>
      </c>
      <c r="H57" s="67">
        <f>G57*F57</f>
        <v>0</v>
      </c>
      <c r="I57" s="79"/>
      <c r="J57" s="66">
        <v>7.4999999999999997E-2</v>
      </c>
      <c r="K57" s="78">
        <f>G57</f>
        <v>0</v>
      </c>
      <c r="L57" s="67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s="73" customFormat="1" ht="15.75" hidden="1" thickBot="1" x14ac:dyDescent="0.25">
      <c r="B58" s="179" t="s">
        <v>39</v>
      </c>
      <c r="C58" s="75"/>
      <c r="D58" s="76"/>
      <c r="E58" s="77"/>
      <c r="F58" s="71">
        <v>8.7999999999999995E-2</v>
      </c>
      <c r="G58" s="78">
        <v>0</v>
      </c>
      <c r="H58" s="67">
        <f>G58*F58</f>
        <v>0</v>
      </c>
      <c r="I58" s="79"/>
      <c r="J58" s="66">
        <v>8.7999999999999995E-2</v>
      </c>
      <c r="K58" s="78">
        <f>G58</f>
        <v>0</v>
      </c>
      <c r="L58" s="67">
        <f>K58*J58</f>
        <v>0</v>
      </c>
      <c r="M58" s="79"/>
      <c r="N58" s="80">
        <f t="shared" si="2"/>
        <v>0</v>
      </c>
      <c r="O58" s="68" t="str">
        <f t="shared" si="8"/>
        <v/>
      </c>
    </row>
    <row r="59" spans="2:19" ht="15.75" hidden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t="15.75" hidden="1" thickBot="1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4909.6540000000005</v>
      </c>
      <c r="I60" s="95"/>
      <c r="J60" s="96"/>
      <c r="K60" s="96"/>
      <c r="L60" s="94">
        <f>SUM(L50:L56,L49)</f>
        <v>4975.4604466925821</v>
      </c>
      <c r="M60" s="97"/>
      <c r="N60" s="98">
        <f>L60-H60</f>
        <v>65.80644669258163</v>
      </c>
      <c r="O60" s="99">
        <f>IF((H60)=0,"",(N60/H60))</f>
        <v>1.3403479490119186E-2</v>
      </c>
      <c r="S60" s="72"/>
    </row>
    <row r="61" spans="2:19" ht="15.75" hidden="1" thickBot="1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638.25502000000006</v>
      </c>
      <c r="I61" s="104"/>
      <c r="J61" s="105">
        <v>0.13</v>
      </c>
      <c r="K61" s="104"/>
      <c r="L61" s="106">
        <f>L60*J61</f>
        <v>646.80985807003572</v>
      </c>
      <c r="M61" s="107"/>
      <c r="N61" s="108">
        <f t="shared" si="2"/>
        <v>8.5548380700356574</v>
      </c>
      <c r="O61" s="109">
        <f t="shared" si="8"/>
        <v>1.3403479490119257E-2</v>
      </c>
      <c r="S61" s="72"/>
    </row>
    <row r="62" spans="2:19" ht="15.75" hidden="1" thickBot="1" x14ac:dyDescent="0.3">
      <c r="B62" s="110" t="s">
        <v>42</v>
      </c>
      <c r="C62" s="22"/>
      <c r="D62" s="22"/>
      <c r="E62" s="22"/>
      <c r="F62" s="111"/>
      <c r="G62" s="102"/>
      <c r="H62" s="103">
        <f>H60+H61</f>
        <v>5547.909020000001</v>
      </c>
      <c r="I62" s="104"/>
      <c r="J62" s="104"/>
      <c r="K62" s="104"/>
      <c r="L62" s="106">
        <f>L60+L61</f>
        <v>5622.2703047626183</v>
      </c>
      <c r="M62" s="107"/>
      <c r="N62" s="108">
        <f t="shared" si="2"/>
        <v>74.361284762617288</v>
      </c>
      <c r="O62" s="109">
        <f t="shared" si="8"/>
        <v>1.3403479490119193E-2</v>
      </c>
      <c r="S62" s="72"/>
    </row>
    <row r="63" spans="2:19" ht="15.75" hidden="1" thickBot="1" x14ac:dyDescent="0.3">
      <c r="B63" s="248" t="s">
        <v>43</v>
      </c>
      <c r="C63" s="248"/>
      <c r="D63" s="248"/>
      <c r="E63" s="22"/>
      <c r="F63" s="111"/>
      <c r="G63" s="102"/>
      <c r="H63" s="112">
        <f>ROUND(-H62*10%,2)</f>
        <v>-554.79</v>
      </c>
      <c r="I63" s="104"/>
      <c r="J63" s="104"/>
      <c r="K63" s="104"/>
      <c r="L63" s="113">
        <f>ROUND(-L62*10%,2)</f>
        <v>-562.23</v>
      </c>
      <c r="M63" s="107"/>
      <c r="N63" s="114">
        <f t="shared" si="2"/>
        <v>-7.4400000000000546</v>
      </c>
      <c r="O63" s="115">
        <f t="shared" si="8"/>
        <v>1.3410479640945322E-2</v>
      </c>
    </row>
    <row r="64" spans="2:19" ht="15.75" hidden="1" thickBot="1" x14ac:dyDescent="0.3">
      <c r="B64" s="240" t="s">
        <v>44</v>
      </c>
      <c r="C64" s="240"/>
      <c r="D64" s="240"/>
      <c r="E64" s="116"/>
      <c r="F64" s="117"/>
      <c r="G64" s="118"/>
      <c r="H64" s="119">
        <f>H62+H63</f>
        <v>4993.119020000001</v>
      </c>
      <c r="I64" s="120"/>
      <c r="J64" s="120"/>
      <c r="K64" s="120"/>
      <c r="L64" s="121">
        <f>L62+L63</f>
        <v>5060.0403047626187</v>
      </c>
      <c r="M64" s="122"/>
      <c r="N64" s="123">
        <f t="shared" si="2"/>
        <v>66.921284762617688</v>
      </c>
      <c r="O64" s="124">
        <f t="shared" si="8"/>
        <v>1.3402701696988123E-2</v>
      </c>
    </row>
    <row r="65" spans="1:15" s="73" customFormat="1" ht="15.75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SUM(H54,H49,H50:H53)</f>
        <v>4909.6540000000005</v>
      </c>
      <c r="I66" s="136"/>
      <c r="J66" s="137"/>
      <c r="K66" s="137"/>
      <c r="L66" s="188">
        <f>SUM(L54,L49,L50:L53)</f>
        <v>4975.4604466925821</v>
      </c>
      <c r="M66" s="138"/>
      <c r="N66" s="139">
        <f>L66-H66</f>
        <v>65.80644669258163</v>
      </c>
      <c r="O66" s="99">
        <f>IF((H66)=0,"",(N66/H66))</f>
        <v>1.3403479490119186E-2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638.25502000000006</v>
      </c>
      <c r="I67" s="143"/>
      <c r="J67" s="144">
        <v>0.13</v>
      </c>
      <c r="K67" s="145"/>
      <c r="L67" s="146">
        <f>L66*J67</f>
        <v>646.80985807003572</v>
      </c>
      <c r="M67" s="147"/>
      <c r="N67" s="148">
        <f>L67-H67</f>
        <v>8.5548380700356574</v>
      </c>
      <c r="O67" s="109">
        <f>IF((H67)=0,"",(N67/H67))</f>
        <v>1.3403479490119257E-2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5547.909020000001</v>
      </c>
      <c r="I68" s="143"/>
      <c r="J68" s="143"/>
      <c r="K68" s="143"/>
      <c r="L68" s="146">
        <f>L66+L67</f>
        <v>5622.2703047626183</v>
      </c>
      <c r="M68" s="147"/>
      <c r="N68" s="148">
        <f>L68-H68</f>
        <v>74.361284762617288</v>
      </c>
      <c r="O68" s="109">
        <f>IF((H68)=0,"",(N68/H68))</f>
        <v>1.3403479490119193E-2</v>
      </c>
    </row>
    <row r="69" spans="1:15" s="73" customFormat="1" ht="12.75" x14ac:dyDescent="0.2">
      <c r="B69" s="249" t="s">
        <v>43</v>
      </c>
      <c r="C69" s="249"/>
      <c r="D69" s="249"/>
      <c r="E69" s="75"/>
      <c r="F69" s="150"/>
      <c r="G69" s="151"/>
      <c r="H69" s="152">
        <f>ROUND(-H68*10%,2)</f>
        <v>-554.79</v>
      </c>
      <c r="I69" s="143"/>
      <c r="J69" s="143"/>
      <c r="K69" s="143"/>
      <c r="L69" s="153">
        <f>ROUND(-L68*10%,2)</f>
        <v>-562.23</v>
      </c>
      <c r="M69" s="147"/>
      <c r="N69" s="154">
        <f>L69-H69</f>
        <v>-7.4400000000000546</v>
      </c>
      <c r="O69" s="115">
        <f>IF((H69)=0,"",(N69/H69))</f>
        <v>1.3410479640945322E-2</v>
      </c>
    </row>
    <row r="70" spans="1:15" s="73" customFormat="1" ht="13.5" thickBot="1" x14ac:dyDescent="0.25">
      <c r="B70" s="241" t="s">
        <v>46</v>
      </c>
      <c r="C70" s="241"/>
      <c r="D70" s="241"/>
      <c r="E70" s="155"/>
      <c r="F70" s="156"/>
      <c r="G70" s="157"/>
      <c r="H70" s="158">
        <f>SUM(H68:H69)</f>
        <v>4993.119020000001</v>
      </c>
      <c r="I70" s="159"/>
      <c r="J70" s="159"/>
      <c r="K70" s="159"/>
      <c r="L70" s="160">
        <f>SUM(L68:L69)</f>
        <v>5060.0403047626187</v>
      </c>
      <c r="M70" s="161"/>
      <c r="N70" s="162">
        <f>L70-H70</f>
        <v>66.921284762617688</v>
      </c>
      <c r="O70" s="163">
        <f>IF((H70)=0,"",(N70/H70))</f>
        <v>1.3402701696988123E-2</v>
      </c>
    </row>
    <row r="71" spans="1:15" s="73" customFormat="1" ht="15.75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x14ac:dyDescent="0.25">
      <c r="L72" s="72"/>
    </row>
    <row r="73" spans="1:15" x14ac:dyDescent="0.25">
      <c r="B73" s="13" t="s">
        <v>47</v>
      </c>
      <c r="F73" s="170">
        <v>4.8000000000000001E-2</v>
      </c>
      <c r="J73" s="170">
        <f>'Res (100kWh)'!$J$74</f>
        <v>4.7100000000000003E-2</v>
      </c>
    </row>
    <row r="75" spans="1:15" x14ac:dyDescent="0.25">
      <c r="A75" s="171" t="s">
        <v>48</v>
      </c>
    </row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8:O8"/>
    <mergeCell ref="N1:O1"/>
    <mergeCell ref="N2:O2"/>
    <mergeCell ref="N3:O3"/>
    <mergeCell ref="N5:O5"/>
    <mergeCell ref="B63:D63"/>
    <mergeCell ref="B64:D64"/>
    <mergeCell ref="B69:D69"/>
    <mergeCell ref="B70:D70"/>
    <mergeCell ref="B9:O9"/>
    <mergeCell ref="D12:O12"/>
    <mergeCell ref="F18:H18"/>
    <mergeCell ref="J18:L18"/>
    <mergeCell ref="N18:O18"/>
    <mergeCell ref="D19:D20"/>
    <mergeCell ref="N19:N20"/>
    <mergeCell ref="O19:O20"/>
  </mergeCells>
  <dataValidations disablePrompts="1" count="4">
    <dataValidation type="list" allowBlank="1" showInputMessage="1" showErrorMessage="1" sqref="E47:E48 E39:E45 E65 E50:E59 E71 E21:E24 E26:E37">
      <formula1>#REF!</formula1>
    </dataValidation>
    <dataValidation type="list" allowBlank="1" showInputMessage="1" showErrorMessage="1" prompt="Select Charge Unit - monthly, per kWh, per kW" sqref="D47:D48 D39:D45 D65 D50:D59 D71 D21:D37">
      <formula1>"Monthly, per kWh, per kW"</formula1>
    </dataValidation>
    <dataValidation type="list" allowBlank="1" showInputMessage="1" showErrorMessage="1" sqref="D14">
      <formula1>"TOU, non-TOU"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theme="0" tint="-0.14999847407452621"/>
    <pageSetUpPr fitToPage="1"/>
  </sheetPr>
  <dimension ref="A1:T89"/>
  <sheetViews>
    <sheetView showGridLines="0" topLeftCell="A8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1.57031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1.5703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0.140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21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 s="190"/>
      <c r="T1" s="2">
        <v>1</v>
      </c>
    </row>
    <row r="2" spans="1:20" s="2" customFormat="1" ht="18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 s="191"/>
    </row>
    <row r="3" spans="1:20" s="2" customFormat="1" ht="15.75" x14ac:dyDescent="0.25">
      <c r="C3" s="6"/>
      <c r="D3" s="6"/>
      <c r="E3" s="6"/>
      <c r="L3" s="3" t="s">
        <v>95</v>
      </c>
      <c r="N3" s="234" t="str">
        <f>'Res (100kWh)'!$N$3:$O$3</f>
        <v>8-B</v>
      </c>
      <c r="O3" s="234"/>
      <c r="P3" s="190"/>
    </row>
    <row r="4" spans="1:20" s="2" customForma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34">
        <f>'Res (100kWh)'!$N$5:$O$5</f>
        <v>42177</v>
      </c>
      <c r="O5" s="234"/>
      <c r="P5" s="193"/>
    </row>
    <row r="6" spans="1:20" s="2" customFormat="1" x14ac:dyDescent="0.25">
      <c r="N6" s="7"/>
      <c r="O6"/>
      <c r="P6"/>
    </row>
    <row r="7" spans="1:20" x14ac:dyDescent="0.25">
      <c r="L7"/>
      <c r="M7"/>
      <c r="N7"/>
      <c r="O7"/>
      <c r="P7"/>
    </row>
    <row r="8" spans="1:20" ht="18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x14ac:dyDescent="0.25">
      <c r="L10"/>
      <c r="M10"/>
      <c r="N10"/>
      <c r="O10"/>
      <c r="P10"/>
    </row>
    <row r="11" spans="1:20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87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15.75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192000</v>
      </c>
      <c r="G16" s="13" t="s">
        <v>7</v>
      </c>
      <c r="H16" s="14">
        <v>455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x14ac:dyDescent="0.25">
      <c r="B21" s="22" t="s">
        <v>18</v>
      </c>
      <c r="C21" s="22"/>
      <c r="D21" s="23" t="s">
        <v>60</v>
      </c>
      <c r="E21" s="24"/>
      <c r="F21" s="174">
        <f>'[2]2014 Existing Rates'!$C$8</f>
        <v>293.97000000000003</v>
      </c>
      <c r="G21" s="26">
        <v>1</v>
      </c>
      <c r="H21" s="27">
        <f>G21*F21</f>
        <v>293.97000000000003</v>
      </c>
      <c r="I21" s="28"/>
      <c r="J21" s="173">
        <f>'[2]Rate Schedule '!$E$22</f>
        <v>293.97000000000003</v>
      </c>
      <c r="K21" s="30">
        <v>1</v>
      </c>
      <c r="L21" s="27">
        <f>K21*J21</f>
        <v>293.97000000000003</v>
      </c>
      <c r="M21" s="28"/>
      <c r="N21" s="31">
        <f>L21-H21</f>
        <v>0</v>
      </c>
      <c r="O21" s="32">
        <f>IF((H21)=0,"",(N21/H21))</f>
        <v>0</v>
      </c>
    </row>
    <row r="22" spans="2:15" ht="30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7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64" si="2">L23-H23</f>
        <v>0</v>
      </c>
      <c r="O23" s="32" t="str">
        <f t="shared" ref="O23:O44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70</v>
      </c>
      <c r="E25" s="24"/>
      <c r="F25" s="25"/>
      <c r="G25" s="178">
        <f>$H$16</f>
        <v>455</v>
      </c>
      <c r="H25" s="27">
        <f t="shared" ref="H25" si="4">G25*F25</f>
        <v>0</v>
      </c>
      <c r="I25" s="28"/>
      <c r="J25" s="29">
        <f>'[4]6. Rate Rider Calculations'!$F$105</f>
        <v>7.227842642143574E-2</v>
      </c>
      <c r="K25" s="178">
        <f>$H$16</f>
        <v>455</v>
      </c>
      <c r="L25" s="27">
        <f t="shared" ref="L25" si="5">K25*J25</f>
        <v>32.886684021753261</v>
      </c>
      <c r="M25" s="28"/>
      <c r="N25" s="31">
        <f t="shared" ref="N25" si="6">L25-H25</f>
        <v>32.886684021753261</v>
      </c>
      <c r="O25" s="32" t="str">
        <f t="shared" ref="O25" si="7">IF((H25)=0,"",(N25/H25))</f>
        <v/>
      </c>
    </row>
    <row r="26" spans="2:15" x14ac:dyDescent="0.25">
      <c r="B26" s="46" t="s">
        <v>65</v>
      </c>
      <c r="C26" s="22"/>
      <c r="D26" s="23" t="s">
        <v>70</v>
      </c>
      <c r="E26" s="24"/>
      <c r="F26" s="25">
        <v>-2.4199999999999999E-2</v>
      </c>
      <c r="G26" s="178">
        <f>$H$16</f>
        <v>455</v>
      </c>
      <c r="H26" s="27">
        <f t="shared" si="0"/>
        <v>-11.010999999999999</v>
      </c>
      <c r="I26" s="28"/>
      <c r="J26" s="29"/>
      <c r="K26" s="178">
        <f>$H$16</f>
        <v>455</v>
      </c>
      <c r="L26" s="27">
        <f t="shared" si="1"/>
        <v>0</v>
      </c>
      <c r="M26" s="28"/>
      <c r="N26" s="31">
        <f t="shared" si="2"/>
        <v>11.010999999999999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70</v>
      </c>
      <c r="E27" s="24"/>
      <c r="F27" s="25"/>
      <c r="G27" s="178">
        <f>$H$16</f>
        <v>455</v>
      </c>
      <c r="H27" s="27">
        <f t="shared" si="0"/>
        <v>0</v>
      </c>
      <c r="I27" s="28"/>
      <c r="J27" s="29">
        <f>'[4]6. Rate Rider Calculations'!$F$77</f>
        <v>-1.4713070385202904</v>
      </c>
      <c r="K27" s="178">
        <f>$H$16</f>
        <v>455</v>
      </c>
      <c r="L27" s="27">
        <f t="shared" si="1"/>
        <v>-669.44470252673216</v>
      </c>
      <c r="M27" s="28"/>
      <c r="N27" s="31">
        <f t="shared" si="2"/>
        <v>-669.44470252673216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70</v>
      </c>
      <c r="E28" s="24"/>
      <c r="F28" s="25">
        <f>'[2]2014 Existing Rates'!$D$8</f>
        <v>2.0966</v>
      </c>
      <c r="G28" s="178">
        <f>$H$16</f>
        <v>455</v>
      </c>
      <c r="H28" s="27">
        <f t="shared" si="0"/>
        <v>953.95299999999997</v>
      </c>
      <c r="I28" s="28"/>
      <c r="J28" s="29">
        <f>'[2]Rate Schedule '!$E$23</f>
        <v>2.4028</v>
      </c>
      <c r="K28" s="178">
        <f>$H$16</f>
        <v>455</v>
      </c>
      <c r="L28" s="27">
        <f t="shared" si="1"/>
        <v>1093.2740000000001</v>
      </c>
      <c r="M28" s="28"/>
      <c r="N28" s="31">
        <f t="shared" si="2"/>
        <v>139.32100000000014</v>
      </c>
      <c r="O28" s="32">
        <f t="shared" si="3"/>
        <v>0.14604597920442636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192000</v>
      </c>
      <c r="H29" s="27">
        <f t="shared" si="0"/>
        <v>0</v>
      </c>
      <c r="I29" s="28"/>
      <c r="J29" s="29"/>
      <c r="K29" s="26">
        <f t="shared" ref="K29:K37" si="8">$F$16</f>
        <v>192000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192000</v>
      </c>
      <c r="H30" s="27">
        <f t="shared" si="0"/>
        <v>0</v>
      </c>
      <c r="I30" s="28"/>
      <c r="J30" s="29"/>
      <c r="K30" s="26">
        <f t="shared" si="8"/>
        <v>192000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9">$F$16</f>
        <v>192000</v>
      </c>
      <c r="H31" s="27">
        <f t="shared" si="0"/>
        <v>0</v>
      </c>
      <c r="I31" s="28"/>
      <c r="J31" s="29"/>
      <c r="K31" s="26">
        <f t="shared" si="8"/>
        <v>192000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9"/>
        <v>192000</v>
      </c>
      <c r="H32" s="27">
        <f t="shared" si="0"/>
        <v>0</v>
      </c>
      <c r="I32" s="28"/>
      <c r="J32" s="29"/>
      <c r="K32" s="26">
        <f t="shared" si="8"/>
        <v>192000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9"/>
        <v>192000</v>
      </c>
      <c r="H33" s="27">
        <f t="shared" si="0"/>
        <v>0</v>
      </c>
      <c r="I33" s="28"/>
      <c r="J33" s="29"/>
      <c r="K33" s="26">
        <f t="shared" si="8"/>
        <v>192000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9"/>
        <v>192000</v>
      </c>
      <c r="H34" s="27">
        <f t="shared" si="0"/>
        <v>0</v>
      </c>
      <c r="I34" s="28"/>
      <c r="J34" s="29"/>
      <c r="K34" s="26">
        <f t="shared" si="8"/>
        <v>192000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9"/>
        <v>192000</v>
      </c>
      <c r="H35" s="27">
        <f t="shared" si="0"/>
        <v>0</v>
      </c>
      <c r="I35" s="28"/>
      <c r="J35" s="29"/>
      <c r="K35" s="26">
        <f t="shared" si="8"/>
        <v>192000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9"/>
        <v>192000</v>
      </c>
      <c r="H36" s="27">
        <f t="shared" si="0"/>
        <v>0</v>
      </c>
      <c r="I36" s="28"/>
      <c r="J36" s="29"/>
      <c r="K36" s="26">
        <f t="shared" si="8"/>
        <v>192000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9"/>
        <v>192000</v>
      </c>
      <c r="H37" s="27">
        <f t="shared" si="0"/>
        <v>0</v>
      </c>
      <c r="I37" s="28"/>
      <c r="J37" s="29"/>
      <c r="K37" s="26">
        <f t="shared" si="8"/>
        <v>192000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1236.912</v>
      </c>
      <c r="I38" s="41"/>
      <c r="J38" s="42"/>
      <c r="K38" s="43"/>
      <c r="L38" s="40">
        <f>SUM(L21:L37)</f>
        <v>750.68598149502122</v>
      </c>
      <c r="M38" s="41"/>
      <c r="N38" s="44">
        <f t="shared" si="2"/>
        <v>-486.22601850497881</v>
      </c>
      <c r="O38" s="45">
        <f t="shared" si="3"/>
        <v>-0.3930966944333783</v>
      </c>
    </row>
    <row r="39" spans="2:15" x14ac:dyDescent="0.25">
      <c r="B39" s="46" t="s">
        <v>23</v>
      </c>
      <c r="C39" s="22"/>
      <c r="D39" s="56" t="s">
        <v>70</v>
      </c>
      <c r="E39" s="57"/>
      <c r="F39" s="29">
        <v>-0.72409999999999997</v>
      </c>
      <c r="G39" s="178">
        <f>G28</f>
        <v>455</v>
      </c>
      <c r="H39" s="27">
        <f t="shared" ref="H39:H45" si="10">G39*F39</f>
        <v>-329.46549999999996</v>
      </c>
      <c r="I39" s="28"/>
      <c r="J39" s="29">
        <f>'[4]6. Rate Rider Calculations'!$F$22</f>
        <v>0.54062580919773795</v>
      </c>
      <c r="K39" s="178">
        <f>H16</f>
        <v>455</v>
      </c>
      <c r="L39" s="27">
        <f t="shared" ref="L39:L45" si="11">K39*J39</f>
        <v>245.98474318497077</v>
      </c>
      <c r="M39" s="28"/>
      <c r="N39" s="31">
        <f t="shared" si="2"/>
        <v>575.45024318497076</v>
      </c>
      <c r="O39" s="32">
        <f t="shared" si="3"/>
        <v>-1.7466176069572408</v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455</v>
      </c>
      <c r="H40" s="27">
        <f t="shared" si="10"/>
        <v>0</v>
      </c>
      <c r="I40" s="47"/>
      <c r="J40" s="29"/>
      <c r="K40" s="178">
        <f>H16</f>
        <v>455</v>
      </c>
      <c r="L40" s="27">
        <f t="shared" si="11"/>
        <v>0</v>
      </c>
      <c r="M40" s="48"/>
      <c r="N40" s="31">
        <f t="shared" si="2"/>
        <v>0</v>
      </c>
      <c r="O40" s="32" t="str">
        <f t="shared" si="3"/>
        <v/>
      </c>
    </row>
    <row r="41" spans="2:15" hidden="1" x14ac:dyDescent="0.25">
      <c r="B41" s="46"/>
      <c r="C41" s="22"/>
      <c r="D41" s="23" t="s">
        <v>70</v>
      </c>
      <c r="E41" s="24"/>
      <c r="F41" s="25"/>
      <c r="G41" s="178">
        <f>H16</f>
        <v>455</v>
      </c>
      <c r="H41" s="27">
        <f t="shared" si="10"/>
        <v>0</v>
      </c>
      <c r="I41" s="47"/>
      <c r="J41" s="29"/>
      <c r="K41" s="178">
        <f>H16</f>
        <v>455</v>
      </c>
      <c r="L41" s="27">
        <f t="shared" si="11"/>
        <v>0</v>
      </c>
      <c r="M41" s="48"/>
      <c r="N41" s="31">
        <f t="shared" si="2"/>
        <v>0</v>
      </c>
      <c r="O41" s="32" t="str">
        <f t="shared" si="3"/>
        <v/>
      </c>
    </row>
    <row r="42" spans="2:15" ht="32.25" customHeight="1" x14ac:dyDescent="0.25">
      <c r="B42" s="46" t="s">
        <v>74</v>
      </c>
      <c r="C42" s="22"/>
      <c r="D42" s="56" t="s">
        <v>70</v>
      </c>
      <c r="E42" s="24"/>
      <c r="F42" s="29">
        <v>0.32969999999999999</v>
      </c>
      <c r="G42" s="178">
        <f>H16</f>
        <v>455</v>
      </c>
      <c r="H42" s="27">
        <f t="shared" si="10"/>
        <v>150.01349999999999</v>
      </c>
      <c r="I42" s="47"/>
      <c r="J42" s="29">
        <f>'[4]6. Rate Rider Calculations'!$F$49</f>
        <v>0.66690650450522238</v>
      </c>
      <c r="K42" s="178">
        <f>H16</f>
        <v>455</v>
      </c>
      <c r="L42" s="27">
        <f t="shared" si="11"/>
        <v>303.44245954987616</v>
      </c>
      <c r="M42" s="48"/>
      <c r="N42" s="31">
        <f t="shared" si="2"/>
        <v>153.42895954987617</v>
      </c>
      <c r="O42" s="32">
        <f t="shared" si="3"/>
        <v>1.0227676812411961</v>
      </c>
    </row>
    <row r="43" spans="2:15" x14ac:dyDescent="0.25">
      <c r="B43" s="49" t="s">
        <v>24</v>
      </c>
      <c r="C43" s="22"/>
      <c r="D43" s="23" t="s">
        <v>70</v>
      </c>
      <c r="E43" s="24"/>
      <c r="F43" s="197">
        <v>1.3899999999999999E-2</v>
      </c>
      <c r="G43" s="178">
        <f>H16</f>
        <v>455</v>
      </c>
      <c r="H43" s="27">
        <f t="shared" si="10"/>
        <v>6.3244999999999996</v>
      </c>
      <c r="I43" s="28"/>
      <c r="J43" s="29">
        <f>'[2]Rate Schedule '!$E$24</f>
        <v>2.5499999999999998E-2</v>
      </c>
      <c r="K43" s="178">
        <f>H16</f>
        <v>455</v>
      </c>
      <c r="L43" s="27">
        <f t="shared" si="11"/>
        <v>11.602499999999999</v>
      </c>
      <c r="M43" s="28"/>
      <c r="N43" s="31">
        <f t="shared" si="2"/>
        <v>5.2779999999999996</v>
      </c>
      <c r="O43" s="32">
        <f t="shared" si="3"/>
        <v>0.83453237410071945</v>
      </c>
    </row>
    <row r="44" spans="2:15" s="34" customFormat="1" x14ac:dyDescent="0.25">
      <c r="B44" s="180" t="s">
        <v>25</v>
      </c>
      <c r="C44" s="24"/>
      <c r="D44" s="181" t="s">
        <v>61</v>
      </c>
      <c r="E44" s="24"/>
      <c r="F44" s="182">
        <f>IF(ISBLANK(D14)=TRUE, 0, IF(D14="TOU", 0.64*$F$54+0.18*$F$55+0.18*$F$56, IF(AND(D14="non-TOU", G58&gt;0), F58,F57)))</f>
        <v>7.4999999999999997E-2</v>
      </c>
      <c r="G44" s="26">
        <f>$F$16*(1+$F$73)-$F$16</f>
        <v>9216</v>
      </c>
      <c r="H44" s="183">
        <f t="shared" si="10"/>
        <v>691.19999999999993</v>
      </c>
      <c r="I44" s="57"/>
      <c r="J44" s="184">
        <f>IF(ISBLANK(D14)=TRUE, 0, IF(D14="TOU", 0.64*$F$54+0.18*$F$55+0.18*$F$56, IF(AND(D14="non-TOU", K58&gt;0), J58,J57)))</f>
        <v>7.4999999999999997E-2</v>
      </c>
      <c r="K44" s="26">
        <f>$F$16*(1+$J$73)-$F$16</f>
        <v>9043.1999999999825</v>
      </c>
      <c r="L44" s="183">
        <f t="shared" si="11"/>
        <v>678.23999999999864</v>
      </c>
      <c r="M44" s="57"/>
      <c r="N44" s="185">
        <f t="shared" si="2"/>
        <v>-12.960000000001287</v>
      </c>
      <c r="O44" s="186">
        <f t="shared" si="3"/>
        <v>-1.8750000000001862E-2</v>
      </c>
    </row>
    <row r="45" spans="2:15" x14ac:dyDescent="0.25">
      <c r="B45" s="49" t="s">
        <v>26</v>
      </c>
      <c r="C45" s="22"/>
      <c r="D45" s="23" t="s">
        <v>60</v>
      </c>
      <c r="E45" s="24"/>
      <c r="F45" s="177"/>
      <c r="G45" s="26">
        <v>0</v>
      </c>
      <c r="H45" s="27">
        <f t="shared" si="10"/>
        <v>0</v>
      </c>
      <c r="I45" s="28"/>
      <c r="J45" s="177"/>
      <c r="K45" s="26">
        <v>0</v>
      </c>
      <c r="L45" s="27">
        <f t="shared" si="11"/>
        <v>0</v>
      </c>
      <c r="M45" s="28"/>
      <c r="N45" s="31">
        <f t="shared" si="2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SUM(H39:H45)+H38</f>
        <v>1754.9845</v>
      </c>
      <c r="I46" s="41"/>
      <c r="J46" s="53"/>
      <c r="K46" s="55"/>
      <c r="L46" s="54">
        <f>SUM(L39:L45)+L38</f>
        <v>1989.9556842298666</v>
      </c>
      <c r="M46" s="41"/>
      <c r="N46" s="44">
        <f t="shared" si="2"/>
        <v>234.97118422986659</v>
      </c>
      <c r="O46" s="45">
        <f t="shared" ref="O46:O64" si="12">IF((H46)=0,"",(N46/H46))</f>
        <v>0.13388789714659394</v>
      </c>
    </row>
    <row r="47" spans="2:15" x14ac:dyDescent="0.25">
      <c r="B47" s="28" t="s">
        <v>28</v>
      </c>
      <c r="C47" s="28"/>
      <c r="D47" s="56" t="s">
        <v>70</v>
      </c>
      <c r="E47" s="57"/>
      <c r="F47" s="29">
        <v>2.7265000000000001</v>
      </c>
      <c r="G47" s="58">
        <f>H16</f>
        <v>455</v>
      </c>
      <c r="H47" s="27">
        <f>G47*F47</f>
        <v>1240.5575000000001</v>
      </c>
      <c r="I47" s="28"/>
      <c r="J47" s="29">
        <f>'[5]13. Final 2015 RTS Rates'!$F$28</f>
        <v>2.8142271720183309</v>
      </c>
      <c r="K47" s="59">
        <f>H16</f>
        <v>455</v>
      </c>
      <c r="L47" s="27">
        <f>K47*J47</f>
        <v>1280.4733632683406</v>
      </c>
      <c r="M47" s="28"/>
      <c r="N47" s="31">
        <f t="shared" si="2"/>
        <v>39.915863268340445</v>
      </c>
      <c r="O47" s="32">
        <f t="shared" si="12"/>
        <v>3.2175746201478318E-2</v>
      </c>
    </row>
    <row r="48" spans="2:15" x14ac:dyDescent="0.25">
      <c r="B48" s="60" t="s">
        <v>29</v>
      </c>
      <c r="C48" s="28"/>
      <c r="D48" s="56" t="s">
        <v>70</v>
      </c>
      <c r="E48" s="57"/>
      <c r="F48" s="29">
        <v>2.0265</v>
      </c>
      <c r="G48" s="58">
        <f>G47</f>
        <v>455</v>
      </c>
      <c r="H48" s="27">
        <f>G48*F48</f>
        <v>922.0575</v>
      </c>
      <c r="I48" s="28"/>
      <c r="J48" s="29">
        <f>'[5]13. Final 2015 RTS Rates'!$H$28</f>
        <v>2.0809855933033821</v>
      </c>
      <c r="K48" s="59">
        <f>K47</f>
        <v>455</v>
      </c>
      <c r="L48" s="27">
        <f>K48*J48</f>
        <v>946.84844495303889</v>
      </c>
      <c r="M48" s="28"/>
      <c r="N48" s="31">
        <f t="shared" si="2"/>
        <v>24.790944953038888</v>
      </c>
      <c r="O48" s="32">
        <f t="shared" si="12"/>
        <v>2.6886549865967023E-2</v>
      </c>
    </row>
    <row r="49" spans="2:19" x14ac:dyDescent="0.25">
      <c r="B49" s="50" t="s">
        <v>30</v>
      </c>
      <c r="C49" s="36"/>
      <c r="D49" s="36"/>
      <c r="E49" s="36"/>
      <c r="F49" s="61"/>
      <c r="G49" s="53"/>
      <c r="H49" s="54">
        <f>SUM(H46:H48)</f>
        <v>3917.5995000000003</v>
      </c>
      <c r="I49" s="62"/>
      <c r="J49" s="63"/>
      <c r="K49" s="64"/>
      <c r="L49" s="54">
        <f>SUM(L46:L48)</f>
        <v>4217.277492451246</v>
      </c>
      <c r="M49" s="62"/>
      <c r="N49" s="44">
        <f t="shared" si="2"/>
        <v>299.6779924512457</v>
      </c>
      <c r="O49" s="45">
        <f t="shared" si="12"/>
        <v>7.6495311083035838E-2</v>
      </c>
    </row>
    <row r="50" spans="2:19" x14ac:dyDescent="0.25">
      <c r="B50" s="65" t="s">
        <v>31</v>
      </c>
      <c r="C50" s="22"/>
      <c r="D50" s="23" t="s">
        <v>61</v>
      </c>
      <c r="E50" s="24"/>
      <c r="F50" s="66">
        <v>4.4000000000000003E-3</v>
      </c>
      <c r="G50" s="58">
        <f>F16*(1+F73)</f>
        <v>201216</v>
      </c>
      <c r="H50" s="67">
        <f t="shared" ref="H50:H56" si="13">G50*F50</f>
        <v>885.35040000000004</v>
      </c>
      <c r="I50" s="28"/>
      <c r="J50" s="66">
        <v>4.4000000000000003E-3</v>
      </c>
      <c r="K50" s="59">
        <f>F16*(1+J73)</f>
        <v>201043.19999999998</v>
      </c>
      <c r="L50" s="67">
        <f t="shared" ref="L50:L56" si="14">K50*J50</f>
        <v>884.59007999999994</v>
      </c>
      <c r="M50" s="28"/>
      <c r="N50" s="31">
        <f t="shared" si="2"/>
        <v>-0.76032000000009248</v>
      </c>
      <c r="O50" s="68">
        <f t="shared" si="12"/>
        <v>-8.5877862595430286E-4</v>
      </c>
    </row>
    <row r="51" spans="2:19" x14ac:dyDescent="0.25">
      <c r="B51" s="65" t="s">
        <v>32</v>
      </c>
      <c r="C51" s="22"/>
      <c r="D51" s="23" t="s">
        <v>61</v>
      </c>
      <c r="E51" s="24"/>
      <c r="F51" s="66">
        <v>1.2999999999999999E-3</v>
      </c>
      <c r="G51" s="58">
        <f>G50</f>
        <v>201216</v>
      </c>
      <c r="H51" s="67">
        <f t="shared" si="13"/>
        <v>261.58080000000001</v>
      </c>
      <c r="I51" s="28"/>
      <c r="J51" s="66">
        <v>1.2999999999999999E-3</v>
      </c>
      <c r="K51" s="59">
        <f>K50</f>
        <v>201043.19999999998</v>
      </c>
      <c r="L51" s="67">
        <f t="shared" si="14"/>
        <v>261.35615999999999</v>
      </c>
      <c r="M51" s="28"/>
      <c r="N51" s="31">
        <f t="shared" si="2"/>
        <v>-0.22464000000002216</v>
      </c>
      <c r="O51" s="68">
        <f t="shared" si="12"/>
        <v>-8.5877862595428313E-4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7">
        <f t="shared" si="13"/>
        <v>0.25</v>
      </c>
      <c r="I52" s="28"/>
      <c r="J52" s="176">
        <v>0.25</v>
      </c>
      <c r="K52" s="30">
        <v>1</v>
      </c>
      <c r="L52" s="67">
        <f t="shared" si="14"/>
        <v>0.25</v>
      </c>
      <c r="M52" s="28"/>
      <c r="N52" s="31">
        <f t="shared" si="2"/>
        <v>0</v>
      </c>
      <c r="O52" s="68">
        <f t="shared" si="12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6">
        <v>7.0000000000000001E-3</v>
      </c>
      <c r="G53" s="69">
        <f>F16</f>
        <v>192000</v>
      </c>
      <c r="H53" s="67">
        <f t="shared" si="13"/>
        <v>1344</v>
      </c>
      <c r="I53" s="28"/>
      <c r="J53" s="66">
        <v>7.0000000000000001E-3</v>
      </c>
      <c r="K53" s="70">
        <f>F16</f>
        <v>192000</v>
      </c>
      <c r="L53" s="67">
        <f t="shared" si="14"/>
        <v>1344</v>
      </c>
      <c r="M53" s="28"/>
      <c r="N53" s="31">
        <f t="shared" si="2"/>
        <v>0</v>
      </c>
      <c r="O53" s="68">
        <f t="shared" si="12"/>
        <v>0</v>
      </c>
    </row>
    <row r="54" spans="2:19" ht="15.75" thickBot="1" x14ac:dyDescent="0.3">
      <c r="B54" s="49" t="s">
        <v>73</v>
      </c>
      <c r="C54" s="22"/>
      <c r="D54" s="23" t="s">
        <v>61</v>
      </c>
      <c r="E54" s="24"/>
      <c r="F54" s="66">
        <v>8.2699999999999996E-2</v>
      </c>
      <c r="G54" s="69">
        <f>F16</f>
        <v>192000</v>
      </c>
      <c r="H54" s="67">
        <f t="shared" si="13"/>
        <v>15878.4</v>
      </c>
      <c r="I54" s="28"/>
      <c r="J54" s="66">
        <v>8.2699999999999996E-2</v>
      </c>
      <c r="K54" s="69">
        <f>G54</f>
        <v>192000</v>
      </c>
      <c r="L54" s="67">
        <f t="shared" si="14"/>
        <v>15878.4</v>
      </c>
      <c r="M54" s="28"/>
      <c r="N54" s="31">
        <f t="shared" si="2"/>
        <v>0</v>
      </c>
      <c r="O54" s="68">
        <f t="shared" si="12"/>
        <v>0</v>
      </c>
      <c r="S54" s="72"/>
    </row>
    <row r="55" spans="2:19" ht="15.75" hidden="1" thickBot="1" x14ac:dyDescent="0.3">
      <c r="B55" s="49" t="s">
        <v>36</v>
      </c>
      <c r="C55" s="22"/>
      <c r="D55" s="23"/>
      <c r="E55" s="24"/>
      <c r="F55" s="71">
        <v>0.104</v>
      </c>
      <c r="G55" s="69">
        <v>0</v>
      </c>
      <c r="H55" s="67">
        <f t="shared" si="13"/>
        <v>0</v>
      </c>
      <c r="I55" s="28"/>
      <c r="J55" s="66">
        <v>0.104</v>
      </c>
      <c r="K55" s="69">
        <v>0</v>
      </c>
      <c r="L55" s="67">
        <f t="shared" si="14"/>
        <v>0</v>
      </c>
      <c r="M55" s="28"/>
      <c r="N55" s="31">
        <f t="shared" si="2"/>
        <v>0</v>
      </c>
      <c r="O55" s="68" t="str">
        <f t="shared" si="12"/>
        <v/>
      </c>
      <c r="S55" s="72"/>
    </row>
    <row r="56" spans="2:19" ht="15.75" hidden="1" thickBot="1" x14ac:dyDescent="0.3">
      <c r="B56" s="12" t="s">
        <v>37</v>
      </c>
      <c r="C56" s="22"/>
      <c r="D56" s="23"/>
      <c r="E56" s="24"/>
      <c r="F56" s="71">
        <v>0.124</v>
      </c>
      <c r="G56" s="69">
        <v>0</v>
      </c>
      <c r="H56" s="67">
        <f t="shared" si="13"/>
        <v>0</v>
      </c>
      <c r="I56" s="28"/>
      <c r="J56" s="66">
        <v>0.124</v>
      </c>
      <c r="K56" s="69">
        <v>0</v>
      </c>
      <c r="L56" s="67">
        <f t="shared" si="14"/>
        <v>0</v>
      </c>
      <c r="M56" s="28"/>
      <c r="N56" s="31">
        <f t="shared" si="2"/>
        <v>0</v>
      </c>
      <c r="O56" s="68" t="str">
        <f t="shared" si="12"/>
        <v/>
      </c>
      <c r="S56" s="72"/>
    </row>
    <row r="57" spans="2:19" s="73" customFormat="1" ht="15.75" hidden="1" thickBot="1" x14ac:dyDescent="0.25">
      <c r="B57" s="179" t="s">
        <v>38</v>
      </c>
      <c r="C57" s="75"/>
      <c r="D57" s="76"/>
      <c r="E57" s="77"/>
      <c r="F57" s="71">
        <v>7.4999999999999997E-2</v>
      </c>
      <c r="G57" s="78">
        <v>0</v>
      </c>
      <c r="H57" s="67">
        <f>G57*F57</f>
        <v>0</v>
      </c>
      <c r="I57" s="79"/>
      <c r="J57" s="66">
        <v>7.4999999999999997E-2</v>
      </c>
      <c r="K57" s="78">
        <f>G57</f>
        <v>0</v>
      </c>
      <c r="L57" s="67">
        <f>K57*J57</f>
        <v>0</v>
      </c>
      <c r="M57" s="79"/>
      <c r="N57" s="80">
        <f t="shared" si="2"/>
        <v>0</v>
      </c>
      <c r="O57" s="68" t="str">
        <f t="shared" si="12"/>
        <v/>
      </c>
    </row>
    <row r="58" spans="2:19" s="73" customFormat="1" ht="15.75" hidden="1" thickBot="1" x14ac:dyDescent="0.25">
      <c r="B58" s="179" t="s">
        <v>39</v>
      </c>
      <c r="C58" s="75"/>
      <c r="D58" s="76"/>
      <c r="E58" s="77"/>
      <c r="F58" s="71">
        <v>8.7999999999999995E-2</v>
      </c>
      <c r="G58" s="78">
        <v>0</v>
      </c>
      <c r="H58" s="67">
        <f>G58*F58</f>
        <v>0</v>
      </c>
      <c r="I58" s="79"/>
      <c r="J58" s="66">
        <v>8.7999999999999995E-2</v>
      </c>
      <c r="K58" s="78">
        <f>G58</f>
        <v>0</v>
      </c>
      <c r="L58" s="67">
        <f>K58*J58</f>
        <v>0</v>
      </c>
      <c r="M58" s="79"/>
      <c r="N58" s="80">
        <f t="shared" si="2"/>
        <v>0</v>
      </c>
      <c r="O58" s="68" t="str">
        <f t="shared" si="12"/>
        <v/>
      </c>
    </row>
    <row r="59" spans="2:19" ht="15.75" hidden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t="15.75" hidden="1" thickBot="1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22287.180700000001</v>
      </c>
      <c r="I60" s="95"/>
      <c r="J60" s="96"/>
      <c r="K60" s="96"/>
      <c r="L60" s="94">
        <f>SUM(L50:L56,L49)</f>
        <v>22585.873732451244</v>
      </c>
      <c r="M60" s="97"/>
      <c r="N60" s="98">
        <f>L60-H60</f>
        <v>298.6930324512432</v>
      </c>
      <c r="O60" s="99">
        <f>IF((H60)=0,"",(N60/H60))</f>
        <v>1.3402010620896666E-2</v>
      </c>
      <c r="S60" s="72"/>
    </row>
    <row r="61" spans="2:19" ht="15.75" hidden="1" thickBot="1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2897.3334910000003</v>
      </c>
      <c r="I61" s="104"/>
      <c r="J61" s="105">
        <v>0.13</v>
      </c>
      <c r="K61" s="104"/>
      <c r="L61" s="106">
        <f>L60*J61</f>
        <v>2936.1635852186619</v>
      </c>
      <c r="M61" s="107"/>
      <c r="N61" s="108">
        <f t="shared" si="2"/>
        <v>38.830094218661543</v>
      </c>
      <c r="O61" s="109">
        <f t="shared" si="12"/>
        <v>1.340201062089664E-2</v>
      </c>
      <c r="S61" s="72"/>
    </row>
    <row r="62" spans="2:19" ht="15.75" hidden="1" thickBot="1" x14ac:dyDescent="0.3">
      <c r="B62" s="110" t="s">
        <v>42</v>
      </c>
      <c r="C62" s="22"/>
      <c r="D62" s="22"/>
      <c r="E62" s="22"/>
      <c r="F62" s="111"/>
      <c r="G62" s="102"/>
      <c r="H62" s="103">
        <f>H60+H61</f>
        <v>25184.514191000002</v>
      </c>
      <c r="I62" s="104"/>
      <c r="J62" s="104"/>
      <c r="K62" s="104"/>
      <c r="L62" s="106">
        <f>L60+L61</f>
        <v>25522.037317669907</v>
      </c>
      <c r="M62" s="107"/>
      <c r="N62" s="108">
        <f t="shared" si="2"/>
        <v>337.52312666990474</v>
      </c>
      <c r="O62" s="109">
        <f t="shared" si="12"/>
        <v>1.3402010620896663E-2</v>
      </c>
      <c r="S62" s="72"/>
    </row>
    <row r="63" spans="2:19" ht="15.75" hidden="1" thickBot="1" x14ac:dyDescent="0.3">
      <c r="B63" s="248" t="s">
        <v>43</v>
      </c>
      <c r="C63" s="248"/>
      <c r="D63" s="248"/>
      <c r="E63" s="22"/>
      <c r="F63" s="111"/>
      <c r="G63" s="102"/>
      <c r="H63" s="112">
        <f>ROUND(-H62*10%,2)</f>
        <v>-2518.4499999999998</v>
      </c>
      <c r="I63" s="104"/>
      <c r="J63" s="104"/>
      <c r="K63" s="104"/>
      <c r="L63" s="113">
        <f>ROUND(-L62*10%,2)</f>
        <v>-2552.1999999999998</v>
      </c>
      <c r="M63" s="107"/>
      <c r="N63" s="114">
        <f t="shared" si="2"/>
        <v>-33.75</v>
      </c>
      <c r="O63" s="115">
        <f t="shared" si="12"/>
        <v>1.3401099882864462E-2</v>
      </c>
    </row>
    <row r="64" spans="2:19" ht="15.75" hidden="1" thickBot="1" x14ac:dyDescent="0.3">
      <c r="B64" s="240" t="s">
        <v>44</v>
      </c>
      <c r="C64" s="240"/>
      <c r="D64" s="240"/>
      <c r="E64" s="116"/>
      <c r="F64" s="117"/>
      <c r="G64" s="118"/>
      <c r="H64" s="119">
        <f>H62+H63</f>
        <v>22666.064191000001</v>
      </c>
      <c r="I64" s="120"/>
      <c r="J64" s="120"/>
      <c r="K64" s="120"/>
      <c r="L64" s="121">
        <f>L62+L63</f>
        <v>22969.837317669906</v>
      </c>
      <c r="M64" s="122"/>
      <c r="N64" s="123">
        <f t="shared" si="2"/>
        <v>303.77312666990474</v>
      </c>
      <c r="O64" s="124">
        <f t="shared" si="12"/>
        <v>1.3402111813947995E-2</v>
      </c>
    </row>
    <row r="65" spans="1:15" s="73" customFormat="1" ht="15.75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SUM(H54,H49,H50:H53)</f>
        <v>22287.180699999997</v>
      </c>
      <c r="I66" s="136"/>
      <c r="J66" s="137"/>
      <c r="K66" s="137"/>
      <c r="L66" s="188">
        <f>SUM(L54,L49,L50:L53)</f>
        <v>22585.873732451244</v>
      </c>
      <c r="M66" s="138"/>
      <c r="N66" s="139">
        <f>L66-H66</f>
        <v>298.69303245124684</v>
      </c>
      <c r="O66" s="99">
        <f>IF((H66)=0,"",(N66/H66))</f>
        <v>1.3402010620896831E-2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2897.3334909999999</v>
      </c>
      <c r="I67" s="143"/>
      <c r="J67" s="144">
        <v>0.13</v>
      </c>
      <c r="K67" s="145"/>
      <c r="L67" s="146">
        <f>L66*J67</f>
        <v>2936.1635852186619</v>
      </c>
      <c r="M67" s="147"/>
      <c r="N67" s="148">
        <f>L67-H67</f>
        <v>38.830094218661998</v>
      </c>
      <c r="O67" s="109">
        <f>IF((H67)=0,"",(N67/H67))</f>
        <v>1.3402010620896798E-2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25184.514190999998</v>
      </c>
      <c r="I68" s="143"/>
      <c r="J68" s="143"/>
      <c r="K68" s="143"/>
      <c r="L68" s="146">
        <f>L66+L67</f>
        <v>25522.037317669907</v>
      </c>
      <c r="M68" s="147"/>
      <c r="N68" s="148">
        <f>L68-H68</f>
        <v>337.52312666990838</v>
      </c>
      <c r="O68" s="109">
        <f>IF((H68)=0,"",(N68/H68))</f>
        <v>1.3402010620896809E-2</v>
      </c>
    </row>
    <row r="69" spans="1:15" s="73" customFormat="1" ht="12.75" x14ac:dyDescent="0.2">
      <c r="B69" s="249" t="s">
        <v>43</v>
      </c>
      <c r="C69" s="249"/>
      <c r="D69" s="249"/>
      <c r="E69" s="75"/>
      <c r="F69" s="150"/>
      <c r="G69" s="151"/>
      <c r="H69" s="152"/>
      <c r="I69" s="143"/>
      <c r="J69" s="143"/>
      <c r="K69" s="143"/>
      <c r="L69" s="153"/>
      <c r="M69" s="147"/>
      <c r="N69" s="154">
        <f>L69-H69</f>
        <v>0</v>
      </c>
      <c r="O69" s="115" t="str">
        <f>IF((H69)=0,"",(N69/H69))</f>
        <v/>
      </c>
    </row>
    <row r="70" spans="1:15" s="73" customFormat="1" ht="13.5" thickBot="1" x14ac:dyDescent="0.25">
      <c r="B70" s="241" t="s">
        <v>46</v>
      </c>
      <c r="C70" s="241"/>
      <c r="D70" s="241"/>
      <c r="E70" s="155"/>
      <c r="F70" s="156"/>
      <c r="G70" s="157"/>
      <c r="H70" s="158">
        <f>SUM(H68:H69)</f>
        <v>25184.514190999998</v>
      </c>
      <c r="I70" s="159"/>
      <c r="J70" s="159"/>
      <c r="K70" s="159"/>
      <c r="L70" s="160">
        <f>SUM(L68:L69)</f>
        <v>25522.037317669907</v>
      </c>
      <c r="M70" s="161"/>
      <c r="N70" s="162">
        <f>L70-H70</f>
        <v>337.52312666990838</v>
      </c>
      <c r="O70" s="163">
        <f>IF((H70)=0,"",(N70/H70))</f>
        <v>1.3402010620896809E-2</v>
      </c>
    </row>
    <row r="71" spans="1:15" s="73" customFormat="1" ht="15.75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x14ac:dyDescent="0.25">
      <c r="L72" s="72"/>
    </row>
    <row r="73" spans="1:15" x14ac:dyDescent="0.25">
      <c r="B73" s="13" t="s">
        <v>47</v>
      </c>
      <c r="F73" s="170">
        <v>4.8000000000000001E-2</v>
      </c>
      <c r="J73" s="170">
        <f>'Res (100kWh)'!$J$74</f>
        <v>4.7100000000000003E-2</v>
      </c>
    </row>
    <row r="75" spans="1:15" x14ac:dyDescent="0.25">
      <c r="A75" s="171" t="s">
        <v>48</v>
      </c>
    </row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8:O8"/>
    <mergeCell ref="N1:O1"/>
    <mergeCell ref="N2:O2"/>
    <mergeCell ref="N3:O3"/>
    <mergeCell ref="N5:O5"/>
    <mergeCell ref="B63:D63"/>
    <mergeCell ref="B64:D64"/>
    <mergeCell ref="B69:D69"/>
    <mergeCell ref="B70:D70"/>
    <mergeCell ref="B9:O9"/>
    <mergeCell ref="D12:O12"/>
    <mergeCell ref="F18:H18"/>
    <mergeCell ref="J18:L18"/>
    <mergeCell ref="N18:O18"/>
    <mergeCell ref="D19:D20"/>
    <mergeCell ref="N19:N20"/>
    <mergeCell ref="O19:O20"/>
  </mergeCells>
  <dataValidations count="3">
    <dataValidation type="list" allowBlank="1" showInputMessage="1" showErrorMessage="1" sqref="D14">
      <formula1>"TOU, non-TOU"</formula1>
    </dataValidation>
    <dataValidation type="list" allowBlank="1" showInputMessage="1" showErrorMessage="1" prompt="Select Charge Unit - monthly, per kWh, per kW" sqref="D47:D48 D39:D45 D65 D50:D59 D71 D21:D37">
      <formula1>"Monthly, per kWh, per kW"</formula1>
    </dataValidation>
    <dataValidation type="list" allowBlank="1" showInputMessage="1" showErrorMessage="1" sqref="E47:E48 E39:E45 E21:E37 E50:E59 E71 E65">
      <formula1>#REF!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0" tint="-0.14999847407452621"/>
    <pageSetUpPr fitToPage="1"/>
  </sheetPr>
  <dimension ref="A1:T88"/>
  <sheetViews>
    <sheetView showGridLines="0" topLeftCell="A13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2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3.42578125" style="7" bestFit="1" customWidth="1"/>
    <col min="13" max="13" width="2.85546875" style="7" customWidth="1"/>
    <col min="14" max="14" width="12.7109375" style="7" bestFit="1" customWidth="1"/>
    <col min="15" max="15" width="12.8554687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8-B</v>
      </c>
      <c r="O3" s="234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34">
        <f>'Res (100kWh)'!$N$5:$O$5</f>
        <v>42177</v>
      </c>
      <c r="O5" s="234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81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900000</v>
      </c>
      <c r="G16" s="13" t="s">
        <v>7</v>
      </c>
      <c r="H16" s="14">
        <v>3000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Rates'!$C$9</f>
        <v>5844.1</v>
      </c>
      <c r="G21" s="26">
        <v>1</v>
      </c>
      <c r="H21" s="27">
        <f>G21*F21</f>
        <v>5844.1</v>
      </c>
      <c r="I21" s="28"/>
      <c r="J21" s="173">
        <f>'[2]Rate Schedule '!$E$28</f>
        <v>6185.12</v>
      </c>
      <c r="K21" s="30">
        <v>1</v>
      </c>
      <c r="L21" s="27">
        <f>K21*J21</f>
        <v>6185.12</v>
      </c>
      <c r="M21" s="28"/>
      <c r="N21" s="31">
        <f>L21-H21</f>
        <v>341.01999999999953</v>
      </c>
      <c r="O21" s="32">
        <f>IF((H21)=0,"",(N21/H21))</f>
        <v>5.8352868705189763E-2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46" t="s">
        <v>65</v>
      </c>
      <c r="C25" s="22"/>
      <c r="D25" s="23" t="s">
        <v>70</v>
      </c>
      <c r="E25" s="24"/>
      <c r="F25" s="25">
        <v>-1.8700000000000001E-2</v>
      </c>
      <c r="G25" s="178">
        <f>$H$16</f>
        <v>3000</v>
      </c>
      <c r="H25" s="27">
        <f t="shared" si="0"/>
        <v>-56.1</v>
      </c>
      <c r="I25" s="28"/>
      <c r="J25" s="29"/>
      <c r="K25" s="178">
        <f>$H$16</f>
        <v>3000</v>
      </c>
      <c r="L25" s="27">
        <f t="shared" si="1"/>
        <v>0</v>
      </c>
      <c r="M25" s="28"/>
      <c r="N25" s="31">
        <f t="shared" si="2"/>
        <v>56.1</v>
      </c>
      <c r="O25" s="32">
        <f t="shared" si="3"/>
        <v>-1</v>
      </c>
    </row>
    <row r="26" spans="2:15" x14ac:dyDescent="0.25">
      <c r="B26" s="46" t="s">
        <v>66</v>
      </c>
      <c r="C26" s="22"/>
      <c r="D26" s="23" t="s">
        <v>70</v>
      </c>
      <c r="E26" s="24"/>
      <c r="F26" s="25"/>
      <c r="G26" s="178">
        <f>$H$16</f>
        <v>3000</v>
      </c>
      <c r="H26" s="27">
        <f t="shared" si="0"/>
        <v>0</v>
      </c>
      <c r="I26" s="28"/>
      <c r="J26" s="29">
        <f>'[4]6. Rate Rider Calculations'!$F$78</f>
        <v>-1.8603232441972013</v>
      </c>
      <c r="K26" s="178">
        <f>$H$16</f>
        <v>3000</v>
      </c>
      <c r="L26" s="27">
        <f t="shared" si="1"/>
        <v>-5580.969732591604</v>
      </c>
      <c r="M26" s="28"/>
      <c r="N26" s="31">
        <f t="shared" si="2"/>
        <v>-5580.969732591604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f>'[2]2014 Existing Rates'!$D$9</f>
        <v>1.115</v>
      </c>
      <c r="G27" s="178">
        <f>$H$16</f>
        <v>3000</v>
      </c>
      <c r="H27" s="27">
        <f t="shared" si="0"/>
        <v>3345</v>
      </c>
      <c r="I27" s="28"/>
      <c r="J27" s="29">
        <f>'[2]Rate Schedule '!$E$29</f>
        <v>1.1451</v>
      </c>
      <c r="K27" s="178">
        <f>$H$16</f>
        <v>3000</v>
      </c>
      <c r="L27" s="27">
        <f t="shared" si="1"/>
        <v>3435.3</v>
      </c>
      <c r="M27" s="28"/>
      <c r="N27" s="31">
        <f t="shared" si="2"/>
        <v>90.300000000000182</v>
      </c>
      <c r="O27" s="32">
        <f t="shared" si="3"/>
        <v>2.6995515695067317E-2</v>
      </c>
    </row>
    <row r="28" spans="2:15" hidden="1" x14ac:dyDescent="0.25">
      <c r="B28" s="22" t="s">
        <v>20</v>
      </c>
      <c r="C28" s="22"/>
      <c r="D28" s="23"/>
      <c r="E28" s="24"/>
      <c r="F28" s="25"/>
      <c r="G28" s="26">
        <f>$F$16</f>
        <v>900000</v>
      </c>
      <c r="H28" s="27">
        <f t="shared" si="0"/>
        <v>0</v>
      </c>
      <c r="I28" s="28"/>
      <c r="J28" s="29"/>
      <c r="K28" s="26">
        <f t="shared" ref="K28:K36" si="4">$F$16</f>
        <v>900000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25">
      <c r="B29" s="22" t="s">
        <v>21</v>
      </c>
      <c r="C29" s="22"/>
      <c r="D29" s="23"/>
      <c r="E29" s="24"/>
      <c r="F29" s="25"/>
      <c r="G29" s="26">
        <f>$F$16</f>
        <v>900000</v>
      </c>
      <c r="H29" s="27">
        <f t="shared" si="0"/>
        <v>0</v>
      </c>
      <c r="I29" s="28"/>
      <c r="J29" s="29"/>
      <c r="K29" s="26">
        <f t="shared" si="4"/>
        <v>900000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33"/>
      <c r="C30" s="22"/>
      <c r="D30" s="23"/>
      <c r="E30" s="24"/>
      <c r="F30" s="25"/>
      <c r="G30" s="26">
        <f t="shared" ref="G30:G36" si="5">$F$16</f>
        <v>900000</v>
      </c>
      <c r="H30" s="27">
        <f t="shared" si="0"/>
        <v>0</v>
      </c>
      <c r="I30" s="28"/>
      <c r="J30" s="29"/>
      <c r="K30" s="26">
        <f t="shared" si="4"/>
        <v>900000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si="5"/>
        <v>900000</v>
      </c>
      <c r="H31" s="27">
        <f t="shared" si="0"/>
        <v>0</v>
      </c>
      <c r="I31" s="28"/>
      <c r="J31" s="29"/>
      <c r="K31" s="26">
        <f t="shared" si="4"/>
        <v>900000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900000</v>
      </c>
      <c r="H32" s="27">
        <f t="shared" si="0"/>
        <v>0</v>
      </c>
      <c r="I32" s="28"/>
      <c r="J32" s="29"/>
      <c r="K32" s="26">
        <f t="shared" si="4"/>
        <v>900000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900000</v>
      </c>
      <c r="H33" s="27">
        <f t="shared" si="0"/>
        <v>0</v>
      </c>
      <c r="I33" s="28"/>
      <c r="J33" s="29"/>
      <c r="K33" s="26">
        <f t="shared" si="4"/>
        <v>900000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900000</v>
      </c>
      <c r="H34" s="27">
        <f t="shared" si="0"/>
        <v>0</v>
      </c>
      <c r="I34" s="28"/>
      <c r="J34" s="29"/>
      <c r="K34" s="26">
        <f t="shared" si="4"/>
        <v>900000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900000</v>
      </c>
      <c r="H35" s="27">
        <f t="shared" si="0"/>
        <v>0</v>
      </c>
      <c r="I35" s="28"/>
      <c r="J35" s="29"/>
      <c r="K35" s="26">
        <f t="shared" si="4"/>
        <v>900000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900000</v>
      </c>
      <c r="H36" s="27">
        <f t="shared" si="0"/>
        <v>0</v>
      </c>
      <c r="I36" s="28"/>
      <c r="J36" s="29"/>
      <c r="K36" s="26">
        <f t="shared" si="4"/>
        <v>900000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9133</v>
      </c>
      <c r="I37" s="41"/>
      <c r="J37" s="42"/>
      <c r="K37" s="43"/>
      <c r="L37" s="40">
        <f>SUM(L21:L36)</f>
        <v>4039.450267408396</v>
      </c>
      <c r="M37" s="41"/>
      <c r="N37" s="44">
        <f t="shared" si="2"/>
        <v>-5093.549732591604</v>
      </c>
      <c r="O37" s="45">
        <f t="shared" si="3"/>
        <v>-0.55770828124292171</v>
      </c>
    </row>
    <row r="38" spans="2:15" x14ac:dyDescent="0.25">
      <c r="B38" s="46" t="s">
        <v>23</v>
      </c>
      <c r="C38" s="22"/>
      <c r="D38" s="56" t="s">
        <v>70</v>
      </c>
      <c r="E38" s="57"/>
      <c r="F38" s="29">
        <v>-0.9143</v>
      </c>
      <c r="G38" s="178">
        <f>G27</f>
        <v>3000</v>
      </c>
      <c r="H38" s="27">
        <f t="shared" ref="H38:H44" si="6">G38*F38</f>
        <v>-2742.9</v>
      </c>
      <c r="I38" s="28"/>
      <c r="J38" s="29">
        <f>'[4]6. Rate Rider Calculations'!$F$23</f>
        <v>0.89069167795155479</v>
      </c>
      <c r="K38" s="178">
        <f>H16</f>
        <v>3000</v>
      </c>
      <c r="L38" s="27">
        <f t="shared" ref="L38:L44" si="7">K38*J38</f>
        <v>2672.0750338546645</v>
      </c>
      <c r="M38" s="28"/>
      <c r="N38" s="31">
        <f t="shared" ref="N38:N44" si="8">L38-H38</f>
        <v>5414.9750338546646</v>
      </c>
      <c r="O38" s="32">
        <f t="shared" ref="O38:O43" si="9">IF((H38)=0,"",(N38/H38))</f>
        <v>-1.9741788012157442</v>
      </c>
    </row>
    <row r="39" spans="2:15" hidden="1" x14ac:dyDescent="0.25">
      <c r="B39" s="46"/>
      <c r="C39" s="22"/>
      <c r="D39" s="23" t="s">
        <v>70</v>
      </c>
      <c r="E39" s="24"/>
      <c r="F39" s="25"/>
      <c r="G39" s="178">
        <f>H16</f>
        <v>3000</v>
      </c>
      <c r="H39" s="27">
        <f t="shared" si="6"/>
        <v>0</v>
      </c>
      <c r="I39" s="47"/>
      <c r="J39" s="29"/>
      <c r="K39" s="178">
        <f>H16</f>
        <v>3000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3000</v>
      </c>
      <c r="H40" s="27">
        <f t="shared" si="6"/>
        <v>0</v>
      </c>
      <c r="I40" s="47"/>
      <c r="J40" s="29"/>
      <c r="K40" s="178">
        <f>H16</f>
        <v>3000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30.75" customHeight="1" x14ac:dyDescent="0.25">
      <c r="B41" s="46" t="s">
        <v>74</v>
      </c>
      <c r="C41" s="22"/>
      <c r="D41" s="23" t="s">
        <v>70</v>
      </c>
      <c r="E41" s="24"/>
      <c r="F41" s="29">
        <v>0.41589999999999999</v>
      </c>
      <c r="G41" s="178">
        <f>H16</f>
        <v>3000</v>
      </c>
      <c r="H41" s="27">
        <f t="shared" si="6"/>
        <v>1247.7</v>
      </c>
      <c r="I41" s="47"/>
      <c r="J41" s="29">
        <f>'[4]6. Rate Rider Calculations'!$F$50</f>
        <v>0.84323777400339062</v>
      </c>
      <c r="K41" s="178">
        <f>H16</f>
        <v>3000</v>
      </c>
      <c r="L41" s="27">
        <f t="shared" si="7"/>
        <v>2529.7133220101719</v>
      </c>
      <c r="M41" s="48"/>
      <c r="N41" s="31">
        <f t="shared" si="8"/>
        <v>1282.0133220101718</v>
      </c>
      <c r="O41" s="32">
        <f t="shared" si="9"/>
        <v>1.027501259926402</v>
      </c>
    </row>
    <row r="42" spans="2:15" x14ac:dyDescent="0.25">
      <c r="B42" s="49" t="s">
        <v>24</v>
      </c>
      <c r="C42" s="22"/>
      <c r="D42" s="23" t="s">
        <v>70</v>
      </c>
      <c r="E42" s="24"/>
      <c r="F42" s="25">
        <v>1.54E-2</v>
      </c>
      <c r="G42" s="178">
        <f>H16</f>
        <v>3000</v>
      </c>
      <c r="H42" s="27">
        <f t="shared" si="6"/>
        <v>46.2</v>
      </c>
      <c r="I42" s="28"/>
      <c r="J42" s="29">
        <f>'[2]Rate Schedule '!$E$30</f>
        <v>2.8199999999999999E-2</v>
      </c>
      <c r="K42" s="178">
        <f>H16</f>
        <v>3000</v>
      </c>
      <c r="L42" s="27">
        <f t="shared" si="7"/>
        <v>84.6</v>
      </c>
      <c r="M42" s="28"/>
      <c r="N42" s="31">
        <f t="shared" si="8"/>
        <v>38.399999999999991</v>
      </c>
      <c r="O42" s="32">
        <f t="shared" si="9"/>
        <v>0.83116883116883089</v>
      </c>
    </row>
    <row r="43" spans="2:15" s="34" customFormat="1" x14ac:dyDescent="0.25">
      <c r="B43" s="180" t="s">
        <v>25</v>
      </c>
      <c r="C43" s="24"/>
      <c r="D43" s="181" t="s">
        <v>61</v>
      </c>
      <c r="E43" s="24"/>
      <c r="F43" s="182">
        <f>IF(ISBLANK(D14)=TRUE, 0, IF(D14="TOU", 0.64*$F$53+0.18*$F$54+0.18*$F$55, IF(AND(D14="non-TOU", G57&gt;0), F57,F56)))</f>
        <v>8.7999999999999995E-2</v>
      </c>
      <c r="G43" s="26">
        <f>$F$16*(1+$F$72)-$F$16</f>
        <v>43200</v>
      </c>
      <c r="H43" s="183">
        <f t="shared" si="6"/>
        <v>3801.6</v>
      </c>
      <c r="I43" s="57"/>
      <c r="J43" s="184">
        <f>IF(ISBLANK(D14)=TRUE, 0, IF(D14="TOU", 0.64*$F$53+0.18*$F$54+0.18*$F$55, IF(AND(D14="non-TOU", K57&gt;0), J57,J56)))</f>
        <v>8.7999999999999995E-2</v>
      </c>
      <c r="K43" s="26">
        <f>$F$16*(1+$J$72)-$F$16</f>
        <v>42389.999999999884</v>
      </c>
      <c r="L43" s="183">
        <f t="shared" si="7"/>
        <v>3730.3199999999897</v>
      </c>
      <c r="M43" s="57"/>
      <c r="N43" s="185">
        <f t="shared" si="8"/>
        <v>-71.280000000010205</v>
      </c>
      <c r="O43" s="186">
        <f t="shared" si="9"/>
        <v>-1.8750000000002685E-2</v>
      </c>
    </row>
    <row r="44" spans="2:15" x14ac:dyDescent="0.25">
      <c r="B44" s="49" t="s">
        <v>26</v>
      </c>
      <c r="C44" s="22"/>
      <c r="D44" s="23" t="s">
        <v>60</v>
      </c>
      <c r="E44" s="24"/>
      <c r="F44" s="177"/>
      <c r="G44" s="26">
        <v>0</v>
      </c>
      <c r="H44" s="27">
        <f t="shared" si="6"/>
        <v>0</v>
      </c>
      <c r="I44" s="28"/>
      <c r="J44" s="177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11485.6</v>
      </c>
      <c r="I45" s="41"/>
      <c r="J45" s="53"/>
      <c r="K45" s="55"/>
      <c r="L45" s="54">
        <f>SUM(L38:L44)+L37</f>
        <v>13056.158623273222</v>
      </c>
      <c r="M45" s="41"/>
      <c r="N45" s="44">
        <f t="shared" ref="N45:N63" si="10">L45-H45</f>
        <v>1570.5586232732221</v>
      </c>
      <c r="O45" s="45">
        <f t="shared" ref="O45:O63" si="11">IF((H45)=0,"",(N45/H45))</f>
        <v>0.13674153925552188</v>
      </c>
    </row>
    <row r="46" spans="2:15" x14ac:dyDescent="0.25">
      <c r="B46" s="28" t="s">
        <v>28</v>
      </c>
      <c r="C46" s="28"/>
      <c r="D46" s="56" t="s">
        <v>70</v>
      </c>
      <c r="E46" s="57"/>
      <c r="F46" s="29">
        <v>2.8921000000000001</v>
      </c>
      <c r="G46" s="58">
        <f>H16*(1+F72)</f>
        <v>3144</v>
      </c>
      <c r="H46" s="27">
        <f>G46*F46</f>
        <v>9092.7623999999996</v>
      </c>
      <c r="I46" s="28"/>
      <c r="J46" s="29">
        <f>'[5]13. Final 2015 RTS Rates'!$F$29</f>
        <v>2.9851768689754885</v>
      </c>
      <c r="K46" s="59">
        <f>H16*(1+J72)</f>
        <v>3141.2999999999997</v>
      </c>
      <c r="L46" s="27">
        <f>K46*J46</f>
        <v>9377.3360985127019</v>
      </c>
      <c r="M46" s="28"/>
      <c r="N46" s="31">
        <f t="shared" si="10"/>
        <v>284.57369851270232</v>
      </c>
      <c r="O46" s="32">
        <f t="shared" si="11"/>
        <v>3.1296726560533721E-2</v>
      </c>
    </row>
    <row r="47" spans="2:15" x14ac:dyDescent="0.25">
      <c r="B47" s="60" t="s">
        <v>29</v>
      </c>
      <c r="C47" s="28"/>
      <c r="D47" s="56" t="s">
        <v>70</v>
      </c>
      <c r="E47" s="57"/>
      <c r="F47" s="29">
        <v>2.2395999999999998</v>
      </c>
      <c r="G47" s="58">
        <f>G46</f>
        <v>3144</v>
      </c>
      <c r="H47" s="27">
        <f>G47*F47</f>
        <v>7041.3023999999996</v>
      </c>
      <c r="I47" s="28"/>
      <c r="J47" s="29">
        <f>'[5]13. Final 2015 RTS Rates'!$H$29</f>
        <v>2.2998272904958981</v>
      </c>
      <c r="K47" s="59">
        <f>K46</f>
        <v>3141.2999999999997</v>
      </c>
      <c r="L47" s="27">
        <f>K47*J47</f>
        <v>7224.4474676347636</v>
      </c>
      <c r="M47" s="28"/>
      <c r="N47" s="31">
        <f t="shared" si="10"/>
        <v>183.14506763476402</v>
      </c>
      <c r="O47" s="32">
        <f t="shared" si="11"/>
        <v>2.6010112509123884E-2</v>
      </c>
    </row>
    <row r="48" spans="2:15" x14ac:dyDescent="0.25">
      <c r="B48" s="50" t="s">
        <v>30</v>
      </c>
      <c r="C48" s="36"/>
      <c r="D48" s="36"/>
      <c r="E48" s="36"/>
      <c r="F48" s="61"/>
      <c r="G48" s="53"/>
      <c r="H48" s="54">
        <f>SUM(H45:H47)</f>
        <v>27619.664799999999</v>
      </c>
      <c r="I48" s="62"/>
      <c r="J48" s="63"/>
      <c r="K48" s="64"/>
      <c r="L48" s="54">
        <f>SUM(L45:L47)</f>
        <v>29657.942189420686</v>
      </c>
      <c r="M48" s="62"/>
      <c r="N48" s="44">
        <f t="shared" si="10"/>
        <v>2038.2773894206875</v>
      </c>
      <c r="O48" s="45">
        <f t="shared" si="11"/>
        <v>7.3798049475991015E-2</v>
      </c>
    </row>
    <row r="49" spans="2:19" x14ac:dyDescent="0.25">
      <c r="B49" s="65" t="s">
        <v>31</v>
      </c>
      <c r="C49" s="22"/>
      <c r="D49" s="23" t="s">
        <v>61</v>
      </c>
      <c r="E49" s="24"/>
      <c r="F49" s="66">
        <v>4.4000000000000003E-3</v>
      </c>
      <c r="G49" s="58">
        <f>F16*(F72)</f>
        <v>43200</v>
      </c>
      <c r="H49" s="67">
        <f t="shared" ref="H49:H55" si="12">G49*F49</f>
        <v>190.08</v>
      </c>
      <c r="I49" s="28"/>
      <c r="J49" s="66">
        <v>4.4000000000000003E-3</v>
      </c>
      <c r="K49" s="59">
        <f>F16*(J72)</f>
        <v>42390</v>
      </c>
      <c r="L49" s="67">
        <f t="shared" ref="L49:L55" si="13">K49*J49</f>
        <v>186.51600000000002</v>
      </c>
      <c r="M49" s="28"/>
      <c r="N49" s="31">
        <f t="shared" si="10"/>
        <v>-3.563999999999993</v>
      </c>
      <c r="O49" s="68">
        <f t="shared" si="11"/>
        <v>-1.8749999999999961E-2</v>
      </c>
    </row>
    <row r="50" spans="2:19" x14ac:dyDescent="0.25">
      <c r="B50" s="65" t="s">
        <v>32</v>
      </c>
      <c r="C50" s="22"/>
      <c r="D50" s="23" t="s">
        <v>61</v>
      </c>
      <c r="E50" s="24"/>
      <c r="F50" s="66">
        <v>1.2999999999999999E-3</v>
      </c>
      <c r="G50" s="58">
        <f>G49</f>
        <v>43200</v>
      </c>
      <c r="H50" s="67">
        <f t="shared" si="12"/>
        <v>56.16</v>
      </c>
      <c r="I50" s="28"/>
      <c r="J50" s="66">
        <v>1.2999999999999999E-3</v>
      </c>
      <c r="K50" s="59">
        <f>K49</f>
        <v>42390</v>
      </c>
      <c r="L50" s="67">
        <f t="shared" si="13"/>
        <v>55.106999999999999</v>
      </c>
      <c r="M50" s="28"/>
      <c r="N50" s="31">
        <f t="shared" si="10"/>
        <v>-1.0529999999999973</v>
      </c>
      <c r="O50" s="68">
        <f t="shared" si="11"/>
        <v>-1.8749999999999954E-2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7">
        <f t="shared" si="12"/>
        <v>0.25</v>
      </c>
      <c r="I51" s="28"/>
      <c r="J51" s="176">
        <v>0.25</v>
      </c>
      <c r="K51" s="30">
        <v>1</v>
      </c>
      <c r="L51" s="67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6">
        <v>7.0000000000000001E-3</v>
      </c>
      <c r="G52" s="69">
        <f>F16</f>
        <v>900000</v>
      </c>
      <c r="H52" s="67">
        <f t="shared" si="12"/>
        <v>6300</v>
      </c>
      <c r="I52" s="28"/>
      <c r="J52" s="66">
        <v>7.0000000000000001E-3</v>
      </c>
      <c r="K52" s="70">
        <f>F16</f>
        <v>900000</v>
      </c>
      <c r="L52" s="67">
        <f t="shared" si="13"/>
        <v>6300</v>
      </c>
      <c r="M52" s="28"/>
      <c r="N52" s="31">
        <f t="shared" si="10"/>
        <v>0</v>
      </c>
      <c r="O52" s="68">
        <f t="shared" si="11"/>
        <v>0</v>
      </c>
    </row>
    <row r="53" spans="2:19" ht="15.75" thickBot="1" x14ac:dyDescent="0.3">
      <c r="B53" s="49" t="s">
        <v>73</v>
      </c>
      <c r="C53" s="22"/>
      <c r="D53" s="23" t="s">
        <v>61</v>
      </c>
      <c r="E53" s="24"/>
      <c r="F53" s="66">
        <v>8.2699999999999996E-2</v>
      </c>
      <c r="G53" s="69">
        <f>F16</f>
        <v>900000</v>
      </c>
      <c r="H53" s="187">
        <f t="shared" si="12"/>
        <v>74430</v>
      </c>
      <c r="I53" s="57"/>
      <c r="J53" s="66">
        <v>8.2699999999999996E-2</v>
      </c>
      <c r="K53" s="69">
        <f>G53</f>
        <v>900000</v>
      </c>
      <c r="L53" s="67">
        <f t="shared" si="13"/>
        <v>74430</v>
      </c>
      <c r="M53" s="28"/>
      <c r="N53" s="31">
        <f t="shared" si="10"/>
        <v>0</v>
      </c>
      <c r="O53" s="68">
        <f t="shared" si="11"/>
        <v>0</v>
      </c>
      <c r="S53" s="72"/>
    </row>
    <row r="54" spans="2:19" hidden="1" x14ac:dyDescent="0.25">
      <c r="B54" s="49" t="s">
        <v>36</v>
      </c>
      <c r="C54" s="22"/>
      <c r="D54" s="23"/>
      <c r="E54" s="24"/>
      <c r="F54" s="71">
        <v>0.104</v>
      </c>
      <c r="G54" s="58">
        <v>0</v>
      </c>
      <c r="H54" s="67">
        <f t="shared" si="12"/>
        <v>0</v>
      </c>
      <c r="I54" s="28"/>
      <c r="J54" s="66">
        <v>0.104</v>
      </c>
      <c r="K54" s="58">
        <v>0</v>
      </c>
      <c r="L54" s="67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idden="1" x14ac:dyDescent="0.25">
      <c r="B55" s="12" t="s">
        <v>37</v>
      </c>
      <c r="C55" s="22"/>
      <c r="D55" s="23"/>
      <c r="E55" s="24"/>
      <c r="F55" s="71">
        <v>0.124</v>
      </c>
      <c r="G55" s="58">
        <v>0</v>
      </c>
      <c r="H55" s="67">
        <f t="shared" si="12"/>
        <v>0</v>
      </c>
      <c r="I55" s="28"/>
      <c r="J55" s="66">
        <v>0.124</v>
      </c>
      <c r="K55" s="58">
        <v>0</v>
      </c>
      <c r="L55" s="67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idden="1" x14ac:dyDescent="0.2">
      <c r="B56" s="179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600</v>
      </c>
      <c r="H56" s="67">
        <f>G56*F56</f>
        <v>45</v>
      </c>
      <c r="I56" s="79"/>
      <c r="J56" s="66">
        <v>7.4999999999999997E-2</v>
      </c>
      <c r="K56" s="78">
        <f>G56</f>
        <v>600</v>
      </c>
      <c r="L56" s="67">
        <f>K56*J56</f>
        <v>45</v>
      </c>
      <c r="M56" s="79"/>
      <c r="N56" s="80">
        <f t="shared" si="10"/>
        <v>0</v>
      </c>
      <c r="O56" s="68">
        <f t="shared" si="11"/>
        <v>0</v>
      </c>
    </row>
    <row r="57" spans="2:19" s="73" customFormat="1" ht="15.75" hidden="1" thickBot="1" x14ac:dyDescent="0.25">
      <c r="B57" s="179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899400</v>
      </c>
      <c r="H57" s="67">
        <f>G57*F57</f>
        <v>79147.199999999997</v>
      </c>
      <c r="I57" s="79"/>
      <c r="J57" s="66">
        <v>8.7999999999999995E-2</v>
      </c>
      <c r="K57" s="78">
        <f>G57</f>
        <v>899400</v>
      </c>
      <c r="L57" s="67">
        <f>K57*J57</f>
        <v>79147.199999999997</v>
      </c>
      <c r="M57" s="79"/>
      <c r="N57" s="80">
        <f t="shared" si="10"/>
        <v>0</v>
      </c>
      <c r="O57" s="68">
        <f t="shared" si="11"/>
        <v>0</v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108596.1548</v>
      </c>
      <c r="I59" s="95"/>
      <c r="J59" s="96"/>
      <c r="K59" s="96"/>
      <c r="L59" s="94">
        <f>SUM(L49:L55,L48)</f>
        <v>110629.81518942068</v>
      </c>
      <c r="M59" s="97"/>
      <c r="N59" s="98">
        <f>L59-H59</f>
        <v>2033.6603894206783</v>
      </c>
      <c r="O59" s="99">
        <f>IF((H59)=0,"",(N59/H59))</f>
        <v>1.8726817659115477E-2</v>
      </c>
      <c r="S59" s="72"/>
    </row>
    <row r="60" spans="2:19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14117.500124</v>
      </c>
      <c r="I60" s="104"/>
      <c r="J60" s="105">
        <v>0.13</v>
      </c>
      <c r="K60" s="104"/>
      <c r="L60" s="106">
        <f>L59*J60</f>
        <v>14381.875974624689</v>
      </c>
      <c r="M60" s="107"/>
      <c r="N60" s="108">
        <f t="shared" si="10"/>
        <v>264.37585062468861</v>
      </c>
      <c r="O60" s="109">
        <f t="shared" si="11"/>
        <v>1.8726817659115512E-2</v>
      </c>
      <c r="S60" s="72"/>
    </row>
    <row r="61" spans="2:19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122713.654924</v>
      </c>
      <c r="I61" s="104"/>
      <c r="J61" s="104"/>
      <c r="K61" s="104"/>
      <c r="L61" s="106">
        <f>L59+L60</f>
        <v>125011.69116404538</v>
      </c>
      <c r="M61" s="107"/>
      <c r="N61" s="108">
        <f t="shared" si="10"/>
        <v>2298.0362400453741</v>
      </c>
      <c r="O61" s="109">
        <f t="shared" si="11"/>
        <v>1.8726817659115543E-2</v>
      </c>
      <c r="S61" s="72"/>
    </row>
    <row r="62" spans="2:19" ht="15.75" hidden="1" customHeight="1" x14ac:dyDescent="0.25">
      <c r="B62" s="248" t="s">
        <v>43</v>
      </c>
      <c r="C62" s="248"/>
      <c r="D62" s="248"/>
      <c r="E62" s="22"/>
      <c r="F62" s="111"/>
      <c r="G62" s="102"/>
      <c r="H62" s="112">
        <f>ROUND(-H61*10%,2)</f>
        <v>-12271.37</v>
      </c>
      <c r="I62" s="104"/>
      <c r="J62" s="104"/>
      <c r="K62" s="104"/>
      <c r="L62" s="113">
        <f>ROUND(-L61*10%,2)</f>
        <v>-12501.17</v>
      </c>
      <c r="M62" s="107"/>
      <c r="N62" s="114">
        <f t="shared" si="10"/>
        <v>-229.79999999999927</v>
      </c>
      <c r="O62" s="115">
        <f t="shared" si="11"/>
        <v>1.8726515458339147E-2</v>
      </c>
    </row>
    <row r="63" spans="2:19" hidden="1" x14ac:dyDescent="0.25">
      <c r="B63" s="240" t="s">
        <v>44</v>
      </c>
      <c r="C63" s="240"/>
      <c r="D63" s="240"/>
      <c r="E63" s="116"/>
      <c r="F63" s="117"/>
      <c r="G63" s="118"/>
      <c r="H63" s="119">
        <f>H61+H62</f>
        <v>110442.28492400001</v>
      </c>
      <c r="I63" s="120"/>
      <c r="J63" s="120"/>
      <c r="K63" s="120"/>
      <c r="L63" s="121">
        <f>L61+L62</f>
        <v>112510.52116404538</v>
      </c>
      <c r="M63" s="122"/>
      <c r="N63" s="123">
        <f t="shared" si="10"/>
        <v>2068.2362400453712</v>
      </c>
      <c r="O63" s="124">
        <f t="shared" si="11"/>
        <v>1.8726851236993258E-2</v>
      </c>
    </row>
    <row r="64" spans="2:19" s="73" customFormat="1" ht="8.25" hidden="1" customHeight="1" x14ac:dyDescent="0.2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108596.1548</v>
      </c>
      <c r="I65" s="136"/>
      <c r="J65" s="137"/>
      <c r="K65" s="137"/>
      <c r="L65" s="188">
        <f>SUM(L53,L48,L49:L52)</f>
        <v>110629.8151894207</v>
      </c>
      <c r="M65" s="138"/>
      <c r="N65" s="139">
        <f>L65-H65</f>
        <v>2033.6603894206928</v>
      </c>
      <c r="O65" s="99">
        <f>IF((H65)=0,"",(N65/H65))</f>
        <v>1.8726817659115613E-2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14117.500124</v>
      </c>
      <c r="I66" s="143"/>
      <c r="J66" s="144">
        <v>0.13</v>
      </c>
      <c r="K66" s="145"/>
      <c r="L66" s="146">
        <f>L65*J66</f>
        <v>14381.875974624691</v>
      </c>
      <c r="M66" s="147"/>
      <c r="N66" s="148">
        <f>L66-H66</f>
        <v>264.37585062469043</v>
      </c>
      <c r="O66" s="109">
        <f>IF((H66)=0,"",(N66/H66))</f>
        <v>1.872681765911564E-2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122713.654924</v>
      </c>
      <c r="I67" s="143"/>
      <c r="J67" s="143"/>
      <c r="K67" s="143"/>
      <c r="L67" s="146">
        <f>L65+L66</f>
        <v>125011.69116404539</v>
      </c>
      <c r="M67" s="147"/>
      <c r="N67" s="148">
        <f>L67-H67</f>
        <v>2298.0362400453887</v>
      </c>
      <c r="O67" s="109">
        <f>IF((H67)=0,"",(N67/H67))</f>
        <v>1.8726817659115661E-2</v>
      </c>
    </row>
    <row r="68" spans="1:15" s="73" customFormat="1" ht="15.75" customHeight="1" x14ac:dyDescent="0.2">
      <c r="B68" s="249" t="s">
        <v>43</v>
      </c>
      <c r="C68" s="249"/>
      <c r="D68" s="249"/>
      <c r="E68" s="75"/>
      <c r="F68" s="150"/>
      <c r="G68" s="151"/>
      <c r="H68" s="152">
        <f>ROUND(-H67*10%,2)</f>
        <v>-12271.37</v>
      </c>
      <c r="I68" s="143"/>
      <c r="J68" s="143"/>
      <c r="K68" s="143"/>
      <c r="L68" s="153">
        <f>ROUND(-L67*10%,2)</f>
        <v>-12501.17</v>
      </c>
      <c r="M68" s="147"/>
      <c r="N68" s="154">
        <f>L68-H68</f>
        <v>-229.79999999999927</v>
      </c>
      <c r="O68" s="115">
        <f>IF((H68)=0,"",(N68/H68))</f>
        <v>1.8726515458339147E-2</v>
      </c>
    </row>
    <row r="69" spans="1:15" s="73" customFormat="1" ht="13.5" thickBot="1" x14ac:dyDescent="0.25">
      <c r="B69" s="241" t="s">
        <v>46</v>
      </c>
      <c r="C69" s="241"/>
      <c r="D69" s="241"/>
      <c r="E69" s="155"/>
      <c r="F69" s="156"/>
      <c r="G69" s="157"/>
      <c r="H69" s="158">
        <f>SUM(H67:H68)</f>
        <v>110442.28492400001</v>
      </c>
      <c r="I69" s="159"/>
      <c r="J69" s="159"/>
      <c r="K69" s="159"/>
      <c r="L69" s="160">
        <f>SUM(L67:L68)</f>
        <v>112510.52116404539</v>
      </c>
      <c r="M69" s="161"/>
      <c r="N69" s="162">
        <f>L69-H69</f>
        <v>2068.2362400453858</v>
      </c>
      <c r="O69" s="163">
        <f>IF((H69)=0,"",(N69/H69))</f>
        <v>1.8726851236993389E-2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v>4.8000000000000001E-2</v>
      </c>
      <c r="J72" s="170">
        <f>'Res (100kWh)'!$J$74</f>
        <v>4.7100000000000003E-2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3:D63"/>
    <mergeCell ref="B68:D68"/>
    <mergeCell ref="N18:O18"/>
    <mergeCell ref="N3:O3"/>
    <mergeCell ref="N5:O5"/>
    <mergeCell ref="N1:O1"/>
    <mergeCell ref="N2:O2"/>
    <mergeCell ref="B8:O8"/>
    <mergeCell ref="B9:O9"/>
    <mergeCell ref="D12:O12"/>
    <mergeCell ref="F18:H18"/>
    <mergeCell ref="J18:L18"/>
  </mergeCells>
  <dataValidations count="4">
    <dataValidation type="list" allowBlank="1" showInputMessage="1" showErrorMessage="1" sqref="E46:E47 E38:E44 E58 E49:E55 E21:E36">
      <formula1>#REF!</formula1>
    </dataValidation>
    <dataValidation type="list" allowBlank="1" showInputMessage="1" showErrorMessage="1" prompt="Select Charge Unit - monthly, per kWh, per kW" sqref="D46:D47 D38:D44 D64 D49:D58 D70 D21:D36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>
    <tabColor theme="0" tint="-0.14999847407452621"/>
    <pageSetUpPr fitToPage="1"/>
  </sheetPr>
  <dimension ref="A1:T88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11.5703125" style="7" customWidth="1"/>
    <col min="8" max="8" width="12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3.42578125" style="7" bestFit="1" customWidth="1"/>
    <col min="13" max="13" width="2.85546875" style="7" customWidth="1"/>
    <col min="14" max="14" width="12.7109375" style="7" bestFit="1" customWidth="1"/>
    <col min="15" max="15" width="12.8554687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8-B</v>
      </c>
      <c r="O3" s="234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34">
        <f>'Res (100kWh)'!$N$5:$O$5</f>
        <v>42177</v>
      </c>
      <c r="O5" s="234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81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1720000</v>
      </c>
      <c r="G16" s="13" t="s">
        <v>7</v>
      </c>
      <c r="H16" s="14">
        <v>3290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Rates'!$C$9</f>
        <v>5844.1</v>
      </c>
      <c r="G21" s="26">
        <v>1</v>
      </c>
      <c r="H21" s="27">
        <f>G21*F21</f>
        <v>5844.1</v>
      </c>
      <c r="I21" s="28"/>
      <c r="J21" s="173">
        <f>'[2]Rate Schedule '!$E$28</f>
        <v>6185.12</v>
      </c>
      <c r="K21" s="30">
        <v>1</v>
      </c>
      <c r="L21" s="27">
        <f>K21*J21</f>
        <v>6185.12</v>
      </c>
      <c r="M21" s="28"/>
      <c r="N21" s="31">
        <f>L21-H21</f>
        <v>341.01999999999953</v>
      </c>
      <c r="O21" s="32">
        <f>IF((H21)=0,"",(N21/H21))</f>
        <v>5.8352868705189763E-2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46" t="s">
        <v>65</v>
      </c>
      <c r="C25" s="22"/>
      <c r="D25" s="23" t="s">
        <v>70</v>
      </c>
      <c r="E25" s="24"/>
      <c r="F25" s="25">
        <v>-1.8700000000000001E-2</v>
      </c>
      <c r="G25" s="178">
        <f>$H$16</f>
        <v>3290</v>
      </c>
      <c r="H25" s="27">
        <f t="shared" si="0"/>
        <v>-61.523000000000003</v>
      </c>
      <c r="I25" s="28"/>
      <c r="J25" s="29"/>
      <c r="K25" s="178">
        <f>$H$16</f>
        <v>3290</v>
      </c>
      <c r="L25" s="27">
        <f t="shared" si="1"/>
        <v>0</v>
      </c>
      <c r="M25" s="28"/>
      <c r="N25" s="31">
        <f t="shared" si="2"/>
        <v>61.523000000000003</v>
      </c>
      <c r="O25" s="32">
        <f t="shared" si="3"/>
        <v>-1</v>
      </c>
    </row>
    <row r="26" spans="2:15" x14ac:dyDescent="0.25">
      <c r="B26" s="46" t="s">
        <v>66</v>
      </c>
      <c r="C26" s="22"/>
      <c r="D26" s="23" t="s">
        <v>70</v>
      </c>
      <c r="E26" s="24"/>
      <c r="F26" s="25"/>
      <c r="G26" s="178">
        <f>$H$16</f>
        <v>3290</v>
      </c>
      <c r="H26" s="27">
        <f t="shared" si="0"/>
        <v>0</v>
      </c>
      <c r="I26" s="28"/>
      <c r="J26" s="29">
        <f>'[4]6. Rate Rider Calculations'!$F$78</f>
        <v>-1.8603232441972013</v>
      </c>
      <c r="K26" s="178">
        <f>$H$16</f>
        <v>3290</v>
      </c>
      <c r="L26" s="27">
        <f t="shared" si="1"/>
        <v>-6120.4634734087922</v>
      </c>
      <c r="M26" s="28"/>
      <c r="N26" s="31">
        <f t="shared" si="2"/>
        <v>-6120.4634734087922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f>'[2]2014 Existing Rates'!$D$9</f>
        <v>1.115</v>
      </c>
      <c r="G27" s="178">
        <f>$H$16</f>
        <v>3290</v>
      </c>
      <c r="H27" s="27">
        <f t="shared" si="0"/>
        <v>3668.35</v>
      </c>
      <c r="I27" s="28"/>
      <c r="J27" s="29">
        <f>'[2]Rate Schedule '!$E$29</f>
        <v>1.1451</v>
      </c>
      <c r="K27" s="178">
        <f>$H$16</f>
        <v>3290</v>
      </c>
      <c r="L27" s="27">
        <f t="shared" si="1"/>
        <v>3767.3789999999999</v>
      </c>
      <c r="M27" s="28"/>
      <c r="N27" s="31">
        <f t="shared" si="2"/>
        <v>99.028999999999996</v>
      </c>
      <c r="O27" s="32">
        <f t="shared" si="3"/>
        <v>2.6995515695067265E-2</v>
      </c>
    </row>
    <row r="28" spans="2:15" hidden="1" x14ac:dyDescent="0.25">
      <c r="B28" s="22" t="s">
        <v>20</v>
      </c>
      <c r="C28" s="22"/>
      <c r="D28" s="23"/>
      <c r="E28" s="24"/>
      <c r="F28" s="25"/>
      <c r="G28" s="26">
        <f>$F$16</f>
        <v>1720000</v>
      </c>
      <c r="H28" s="27">
        <f t="shared" si="0"/>
        <v>0</v>
      </c>
      <c r="I28" s="28"/>
      <c r="J28" s="29"/>
      <c r="K28" s="26">
        <f t="shared" ref="K28:K36" si="4">$F$16</f>
        <v>1720000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25">
      <c r="B29" s="22" t="s">
        <v>21</v>
      </c>
      <c r="C29" s="22"/>
      <c r="D29" s="23"/>
      <c r="E29" s="24"/>
      <c r="F29" s="25"/>
      <c r="G29" s="26">
        <f>$F$16</f>
        <v>1720000</v>
      </c>
      <c r="H29" s="27">
        <f t="shared" si="0"/>
        <v>0</v>
      </c>
      <c r="I29" s="28"/>
      <c r="J29" s="29"/>
      <c r="K29" s="26">
        <f t="shared" si="4"/>
        <v>1720000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33"/>
      <c r="C30" s="22"/>
      <c r="D30" s="23"/>
      <c r="E30" s="24"/>
      <c r="F30" s="25"/>
      <c r="G30" s="26">
        <f t="shared" ref="G30:G36" si="5">$F$16</f>
        <v>1720000</v>
      </c>
      <c r="H30" s="27">
        <f t="shared" si="0"/>
        <v>0</v>
      </c>
      <c r="I30" s="28"/>
      <c r="J30" s="29"/>
      <c r="K30" s="26">
        <f t="shared" si="4"/>
        <v>1720000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si="5"/>
        <v>1720000</v>
      </c>
      <c r="H31" s="27">
        <f t="shared" si="0"/>
        <v>0</v>
      </c>
      <c r="I31" s="28"/>
      <c r="J31" s="29"/>
      <c r="K31" s="26">
        <f t="shared" si="4"/>
        <v>1720000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1720000</v>
      </c>
      <c r="H32" s="27">
        <f t="shared" si="0"/>
        <v>0</v>
      </c>
      <c r="I32" s="28"/>
      <c r="J32" s="29"/>
      <c r="K32" s="26">
        <f t="shared" si="4"/>
        <v>1720000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1720000</v>
      </c>
      <c r="H33" s="27">
        <f t="shared" si="0"/>
        <v>0</v>
      </c>
      <c r="I33" s="28"/>
      <c r="J33" s="29"/>
      <c r="K33" s="26">
        <f t="shared" si="4"/>
        <v>1720000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1720000</v>
      </c>
      <c r="H34" s="27">
        <f t="shared" si="0"/>
        <v>0</v>
      </c>
      <c r="I34" s="28"/>
      <c r="J34" s="29"/>
      <c r="K34" s="26">
        <f t="shared" si="4"/>
        <v>1720000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1720000</v>
      </c>
      <c r="H35" s="27">
        <f t="shared" si="0"/>
        <v>0</v>
      </c>
      <c r="I35" s="28"/>
      <c r="J35" s="29"/>
      <c r="K35" s="26">
        <f t="shared" si="4"/>
        <v>1720000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1720000</v>
      </c>
      <c r="H36" s="27">
        <f t="shared" si="0"/>
        <v>0</v>
      </c>
      <c r="I36" s="28"/>
      <c r="J36" s="29"/>
      <c r="K36" s="26">
        <f t="shared" si="4"/>
        <v>1720000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9450.9269999999997</v>
      </c>
      <c r="I37" s="41"/>
      <c r="J37" s="42"/>
      <c r="K37" s="43"/>
      <c r="L37" s="40">
        <f>SUM(L21:L36)</f>
        <v>3832.0355265912076</v>
      </c>
      <c r="M37" s="41"/>
      <c r="N37" s="44">
        <f t="shared" si="2"/>
        <v>-5618.8914734087921</v>
      </c>
      <c r="O37" s="45">
        <f t="shared" si="3"/>
        <v>-0.59453336941538037</v>
      </c>
    </row>
    <row r="38" spans="2:15" x14ac:dyDescent="0.25">
      <c r="B38" s="46" t="s">
        <v>23</v>
      </c>
      <c r="C38" s="22"/>
      <c r="D38" s="56" t="s">
        <v>70</v>
      </c>
      <c r="E38" s="57"/>
      <c r="F38" s="29">
        <v>-0.9143</v>
      </c>
      <c r="G38" s="178">
        <f>G27</f>
        <v>3290</v>
      </c>
      <c r="H38" s="27">
        <f t="shared" ref="H38:H44" si="6">G38*F38</f>
        <v>-3008.047</v>
      </c>
      <c r="I38" s="28"/>
      <c r="J38" s="29">
        <f>'[4]6. Rate Rider Calculations'!$F$23</f>
        <v>0.89069167795155479</v>
      </c>
      <c r="K38" s="178">
        <f>H16</f>
        <v>3290</v>
      </c>
      <c r="L38" s="27">
        <f t="shared" ref="L38:L44" si="7">K38*J38</f>
        <v>2930.3756204606152</v>
      </c>
      <c r="M38" s="28"/>
      <c r="N38" s="31">
        <f t="shared" si="2"/>
        <v>5938.4226204606148</v>
      </c>
      <c r="O38" s="32">
        <f t="shared" si="3"/>
        <v>-1.974178801215744</v>
      </c>
    </row>
    <row r="39" spans="2:15" hidden="1" x14ac:dyDescent="0.25">
      <c r="B39" s="46"/>
      <c r="C39" s="22"/>
      <c r="D39" s="23" t="s">
        <v>70</v>
      </c>
      <c r="E39" s="24"/>
      <c r="F39" s="25"/>
      <c r="G39" s="178">
        <f>H16</f>
        <v>3290</v>
      </c>
      <c r="H39" s="27">
        <f t="shared" si="6"/>
        <v>0</v>
      </c>
      <c r="I39" s="47"/>
      <c r="J39" s="29"/>
      <c r="K39" s="178">
        <f>H16</f>
        <v>3290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3290</v>
      </c>
      <c r="H40" s="27">
        <f t="shared" si="6"/>
        <v>0</v>
      </c>
      <c r="I40" s="47"/>
      <c r="J40" s="29"/>
      <c r="K40" s="178">
        <f>H16</f>
        <v>3290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.75" customHeight="1" x14ac:dyDescent="0.25">
      <c r="B41" s="46" t="s">
        <v>74</v>
      </c>
      <c r="C41" s="22"/>
      <c r="D41" s="23" t="s">
        <v>70</v>
      </c>
      <c r="E41" s="24"/>
      <c r="F41" s="29">
        <v>0.41589999999999999</v>
      </c>
      <c r="G41" s="178">
        <f>H16</f>
        <v>3290</v>
      </c>
      <c r="H41" s="27">
        <f t="shared" si="6"/>
        <v>1368.3109999999999</v>
      </c>
      <c r="I41" s="47"/>
      <c r="J41" s="29">
        <f>'[4]6. Rate Rider Calculations'!$F$50</f>
        <v>0.84323777400339062</v>
      </c>
      <c r="K41" s="178">
        <f>H16</f>
        <v>3290</v>
      </c>
      <c r="L41" s="27">
        <f t="shared" si="7"/>
        <v>2774.2522764711553</v>
      </c>
      <c r="M41" s="48"/>
      <c r="N41" s="31">
        <f t="shared" si="2"/>
        <v>1405.9412764711553</v>
      </c>
      <c r="O41" s="32">
        <f t="shared" si="3"/>
        <v>1.0275012599264022</v>
      </c>
    </row>
    <row r="42" spans="2:15" x14ac:dyDescent="0.25">
      <c r="B42" s="49" t="s">
        <v>24</v>
      </c>
      <c r="C42" s="22"/>
      <c r="D42" s="23" t="s">
        <v>70</v>
      </c>
      <c r="E42" s="24"/>
      <c r="F42" s="25">
        <v>1.54E-2</v>
      </c>
      <c r="G42" s="178">
        <f>H16</f>
        <v>3290</v>
      </c>
      <c r="H42" s="27">
        <f t="shared" si="6"/>
        <v>50.666000000000004</v>
      </c>
      <c r="I42" s="28"/>
      <c r="J42" s="29">
        <f>'[2]Rate Schedule '!$E$30</f>
        <v>2.8199999999999999E-2</v>
      </c>
      <c r="K42" s="178">
        <f>H16</f>
        <v>3290</v>
      </c>
      <c r="L42" s="27">
        <f t="shared" si="7"/>
        <v>92.777999999999992</v>
      </c>
      <c r="M42" s="28"/>
      <c r="N42" s="31">
        <f t="shared" si="2"/>
        <v>42.111999999999988</v>
      </c>
      <c r="O42" s="32">
        <f t="shared" si="3"/>
        <v>0.83116883116883089</v>
      </c>
    </row>
    <row r="43" spans="2:15" s="34" customFormat="1" x14ac:dyDescent="0.25">
      <c r="B43" s="180" t="s">
        <v>25</v>
      </c>
      <c r="C43" s="24"/>
      <c r="D43" s="181" t="s">
        <v>61</v>
      </c>
      <c r="E43" s="24"/>
      <c r="F43" s="182">
        <f>IF(ISBLANK(D14)=TRUE, 0, IF(D14="TOU", 0.64*$F$53+0.18*$F$54+0.18*$F$55, IF(AND(D14="non-TOU", G57&gt;0), F57,F56)))</f>
        <v>8.7999999999999995E-2</v>
      </c>
      <c r="G43" s="200">
        <f>$F$16*(1+$F$72)-$F$16</f>
        <v>64500.000000000233</v>
      </c>
      <c r="H43" s="183">
        <f t="shared" si="6"/>
        <v>5676.00000000002</v>
      </c>
      <c r="I43" s="57"/>
      <c r="J43" s="184">
        <f>IF(ISBLANK(D14)=TRUE, 0, IF(D14="TOU", 0.64*$F$53+0.18*$F$54+0.18*$F$55, IF(AND(D14="non-TOU", K57&gt;0), J57,J56)))</f>
        <v>8.7999999999999995E-2</v>
      </c>
      <c r="K43" s="26">
        <f>$F$16*(1+$J$72)-$F$16</f>
        <v>62952</v>
      </c>
      <c r="L43" s="183">
        <f t="shared" si="7"/>
        <v>5539.7759999999998</v>
      </c>
      <c r="M43" s="57"/>
      <c r="N43" s="185">
        <f t="shared" si="2"/>
        <v>-136.22400000002017</v>
      </c>
      <c r="O43" s="186">
        <f t="shared" si="3"/>
        <v>-2.400000000000347E-2</v>
      </c>
    </row>
    <row r="44" spans="2:15" x14ac:dyDescent="0.25">
      <c r="B44" s="49" t="s">
        <v>26</v>
      </c>
      <c r="C44" s="22"/>
      <c r="D44" s="23" t="s">
        <v>60</v>
      </c>
      <c r="E44" s="24"/>
      <c r="F44" s="177"/>
      <c r="G44" s="26">
        <v>0</v>
      </c>
      <c r="H44" s="27">
        <f t="shared" si="6"/>
        <v>0</v>
      </c>
      <c r="I44" s="28"/>
      <c r="J44" s="177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13537.85700000002</v>
      </c>
      <c r="I45" s="41"/>
      <c r="J45" s="53"/>
      <c r="K45" s="55"/>
      <c r="L45" s="54">
        <f>SUM(L38:L44)+L37</f>
        <v>15169.217423522978</v>
      </c>
      <c r="M45" s="41"/>
      <c r="N45" s="44">
        <f t="shared" si="2"/>
        <v>1631.3604235229577</v>
      </c>
      <c r="O45" s="45">
        <f t="shared" ref="O45:O63" si="8">IF((H45)=0,"",(N45/H45))</f>
        <v>0.12050359399740707</v>
      </c>
    </row>
    <row r="46" spans="2:15" x14ac:dyDescent="0.25">
      <c r="B46" s="28" t="s">
        <v>28</v>
      </c>
      <c r="C46" s="28"/>
      <c r="D46" s="56" t="s">
        <v>70</v>
      </c>
      <c r="E46" s="57"/>
      <c r="F46" s="29">
        <v>2.8921000000000001</v>
      </c>
      <c r="G46" s="58">
        <f>H16</f>
        <v>3290</v>
      </c>
      <c r="H46" s="27">
        <f>G46*F46</f>
        <v>9515.009</v>
      </c>
      <c r="I46" s="28"/>
      <c r="J46" s="29">
        <f>'[5]13. Final 2015 RTS Rates'!$F$29</f>
        <v>2.9851768689754885</v>
      </c>
      <c r="K46" s="59">
        <f>H16</f>
        <v>3290</v>
      </c>
      <c r="L46" s="27">
        <f>K46*J46</f>
        <v>9821.2318989293581</v>
      </c>
      <c r="M46" s="28"/>
      <c r="N46" s="31">
        <f t="shared" si="2"/>
        <v>306.22289892935805</v>
      </c>
      <c r="O46" s="32">
        <f t="shared" si="8"/>
        <v>3.218314338214058E-2</v>
      </c>
    </row>
    <row r="47" spans="2:15" x14ac:dyDescent="0.25">
      <c r="B47" s="60" t="s">
        <v>29</v>
      </c>
      <c r="C47" s="28"/>
      <c r="D47" s="56" t="s">
        <v>70</v>
      </c>
      <c r="E47" s="57"/>
      <c r="F47" s="29">
        <v>2.2395999999999998</v>
      </c>
      <c r="G47" s="58">
        <f>G46</f>
        <v>3290</v>
      </c>
      <c r="H47" s="27">
        <f>G47*F47</f>
        <v>7368.2839999999997</v>
      </c>
      <c r="I47" s="28"/>
      <c r="J47" s="29">
        <f>'[5]13. Final 2015 RTS Rates'!$H$29</f>
        <v>2.2998272904958981</v>
      </c>
      <c r="K47" s="59">
        <f>K46</f>
        <v>3290</v>
      </c>
      <c r="L47" s="27">
        <f>K47*J47</f>
        <v>7566.4317857315045</v>
      </c>
      <c r="M47" s="28"/>
      <c r="N47" s="31">
        <f t="shared" si="2"/>
        <v>198.14778573150488</v>
      </c>
      <c r="O47" s="32">
        <f t="shared" si="8"/>
        <v>2.6891985397346913E-2</v>
      </c>
    </row>
    <row r="48" spans="2:15" x14ac:dyDescent="0.25">
      <c r="B48" s="50" t="s">
        <v>30</v>
      </c>
      <c r="C48" s="36"/>
      <c r="D48" s="36"/>
      <c r="E48" s="36"/>
      <c r="F48" s="61"/>
      <c r="G48" s="53"/>
      <c r="H48" s="54">
        <f>SUM(H45:H47)</f>
        <v>30421.15000000002</v>
      </c>
      <c r="I48" s="62"/>
      <c r="J48" s="63"/>
      <c r="K48" s="64"/>
      <c r="L48" s="54">
        <f>SUM(L45:L47)</f>
        <v>32556.881108183839</v>
      </c>
      <c r="M48" s="62"/>
      <c r="N48" s="44">
        <f t="shared" si="2"/>
        <v>2135.7311081838197</v>
      </c>
      <c r="O48" s="45">
        <f t="shared" si="8"/>
        <v>7.0205469161547754E-2</v>
      </c>
    </row>
    <row r="49" spans="2:19" x14ac:dyDescent="0.25">
      <c r="B49" s="65" t="s">
        <v>31</v>
      </c>
      <c r="C49" s="22"/>
      <c r="D49" s="23" t="s">
        <v>61</v>
      </c>
      <c r="E49" s="24"/>
      <c r="F49" s="66">
        <v>4.4000000000000003E-3</v>
      </c>
      <c r="G49" s="58">
        <f>F16*(F72)</f>
        <v>64500</v>
      </c>
      <c r="H49" s="67">
        <f t="shared" ref="H49:H55" si="9">G49*F49</f>
        <v>283.8</v>
      </c>
      <c r="I49" s="28"/>
      <c r="J49" s="66">
        <v>4.4000000000000003E-3</v>
      </c>
      <c r="K49" s="59">
        <f>F16*(J72)</f>
        <v>62952</v>
      </c>
      <c r="L49" s="67">
        <f t="shared" ref="L49:L55" si="10">K49*J49</f>
        <v>276.98880000000003</v>
      </c>
      <c r="M49" s="28"/>
      <c r="N49" s="31">
        <f t="shared" si="2"/>
        <v>-6.8111999999999853</v>
      </c>
      <c r="O49" s="68">
        <f t="shared" si="8"/>
        <v>-2.3999999999999948E-2</v>
      </c>
    </row>
    <row r="50" spans="2:19" x14ac:dyDescent="0.25">
      <c r="B50" s="65" t="s">
        <v>32</v>
      </c>
      <c r="C50" s="22"/>
      <c r="D50" s="23" t="s">
        <v>61</v>
      </c>
      <c r="E50" s="24"/>
      <c r="F50" s="66">
        <v>1.2999999999999999E-3</v>
      </c>
      <c r="G50" s="58">
        <f>G49</f>
        <v>64500</v>
      </c>
      <c r="H50" s="67">
        <f t="shared" si="9"/>
        <v>83.85</v>
      </c>
      <c r="I50" s="28"/>
      <c r="J50" s="66">
        <v>1.2999999999999999E-3</v>
      </c>
      <c r="K50" s="59">
        <f>K49</f>
        <v>62952</v>
      </c>
      <c r="L50" s="67">
        <f t="shared" si="10"/>
        <v>81.837599999999995</v>
      </c>
      <c r="M50" s="28"/>
      <c r="N50" s="31">
        <f t="shared" si="2"/>
        <v>-2.0123999999999995</v>
      </c>
      <c r="O50" s="68">
        <f t="shared" si="8"/>
        <v>-2.3999999999999997E-2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7">
        <f t="shared" si="9"/>
        <v>0.25</v>
      </c>
      <c r="I51" s="28"/>
      <c r="J51" s="176">
        <v>0.25</v>
      </c>
      <c r="K51" s="30">
        <v>1</v>
      </c>
      <c r="L51" s="67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6">
        <v>7.0000000000000001E-3</v>
      </c>
      <c r="G52" s="69">
        <f>F16</f>
        <v>1720000</v>
      </c>
      <c r="H52" s="67">
        <f t="shared" si="9"/>
        <v>12040</v>
      </c>
      <c r="I52" s="28"/>
      <c r="J52" s="66">
        <v>7.0000000000000001E-3</v>
      </c>
      <c r="K52" s="70">
        <f>F16</f>
        <v>1720000</v>
      </c>
      <c r="L52" s="67">
        <f t="shared" si="10"/>
        <v>12040</v>
      </c>
      <c r="M52" s="28"/>
      <c r="N52" s="31">
        <f t="shared" si="2"/>
        <v>0</v>
      </c>
      <c r="O52" s="68">
        <f t="shared" si="8"/>
        <v>0</v>
      </c>
    </row>
    <row r="53" spans="2:19" ht="15.75" thickBot="1" x14ac:dyDescent="0.3">
      <c r="B53" s="49" t="s">
        <v>73</v>
      </c>
      <c r="C53" s="22"/>
      <c r="D53" s="23" t="s">
        <v>61</v>
      </c>
      <c r="E53" s="24"/>
      <c r="F53" s="66">
        <v>8.2699999999999996E-2</v>
      </c>
      <c r="G53" s="69">
        <f>F16</f>
        <v>1720000</v>
      </c>
      <c r="H53" s="187">
        <f t="shared" si="9"/>
        <v>142244</v>
      </c>
      <c r="I53" s="57"/>
      <c r="J53" s="66">
        <v>8.2699999999999996E-2</v>
      </c>
      <c r="K53" s="69">
        <f>G53</f>
        <v>1720000</v>
      </c>
      <c r="L53" s="67">
        <f t="shared" si="10"/>
        <v>142244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.75" hidden="1" thickBot="1" x14ac:dyDescent="0.3">
      <c r="B54" s="49" t="s">
        <v>36</v>
      </c>
      <c r="C54" s="22"/>
      <c r="D54" s="23"/>
      <c r="E54" s="24"/>
      <c r="F54" s="71">
        <v>0.104</v>
      </c>
      <c r="G54" s="58">
        <v>0</v>
      </c>
      <c r="H54" s="67">
        <f t="shared" si="9"/>
        <v>0</v>
      </c>
      <c r="I54" s="28"/>
      <c r="J54" s="66">
        <v>0.104</v>
      </c>
      <c r="K54" s="58">
        <v>0</v>
      </c>
      <c r="L54" s="67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.75" hidden="1" thickBot="1" x14ac:dyDescent="0.3">
      <c r="B55" s="12" t="s">
        <v>37</v>
      </c>
      <c r="C55" s="22"/>
      <c r="D55" s="23"/>
      <c r="E55" s="24"/>
      <c r="F55" s="71">
        <v>0.124</v>
      </c>
      <c r="G55" s="58">
        <v>0</v>
      </c>
      <c r="H55" s="67">
        <f t="shared" si="9"/>
        <v>0</v>
      </c>
      <c r="I55" s="28"/>
      <c r="J55" s="66">
        <v>0.124</v>
      </c>
      <c r="K55" s="58">
        <v>0</v>
      </c>
      <c r="L55" s="67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.75" hidden="1" thickBot="1" x14ac:dyDescent="0.25">
      <c r="B56" s="179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600</v>
      </c>
      <c r="H56" s="67">
        <f>G56*F56</f>
        <v>45</v>
      </c>
      <c r="I56" s="79"/>
      <c r="J56" s="66">
        <v>7.4999999999999997E-2</v>
      </c>
      <c r="K56" s="78">
        <f>G56</f>
        <v>600</v>
      </c>
      <c r="L56" s="67">
        <f>K56*J56</f>
        <v>45</v>
      </c>
      <c r="M56" s="79"/>
      <c r="N56" s="80">
        <f t="shared" si="2"/>
        <v>0</v>
      </c>
      <c r="O56" s="68">
        <f t="shared" si="8"/>
        <v>0</v>
      </c>
    </row>
    <row r="57" spans="2:19" s="73" customFormat="1" ht="15.75" hidden="1" thickBot="1" x14ac:dyDescent="0.25">
      <c r="B57" s="179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1719400</v>
      </c>
      <c r="H57" s="67">
        <f>G57*F57</f>
        <v>151307.19999999998</v>
      </c>
      <c r="I57" s="79"/>
      <c r="J57" s="66">
        <v>8.7999999999999995E-2</v>
      </c>
      <c r="K57" s="78">
        <f>G57</f>
        <v>1719400</v>
      </c>
      <c r="L57" s="67">
        <f>K57*J57</f>
        <v>151307.19999999998</v>
      </c>
      <c r="M57" s="79"/>
      <c r="N57" s="80">
        <f t="shared" si="2"/>
        <v>0</v>
      </c>
      <c r="O57" s="68">
        <f t="shared" si="8"/>
        <v>0</v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.75" hidden="1" thickBot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185073.05000000002</v>
      </c>
      <c r="I59" s="95"/>
      <c r="J59" s="96"/>
      <c r="K59" s="96"/>
      <c r="L59" s="94">
        <f>SUM(L49:L55,L48)</f>
        <v>187199.95750818384</v>
      </c>
      <c r="M59" s="97"/>
      <c r="N59" s="98">
        <f>L59-H59</f>
        <v>2126.9075081838237</v>
      </c>
      <c r="O59" s="99">
        <f>IF((H59)=0,"",(N59/H59))</f>
        <v>1.1492259452058652E-2</v>
      </c>
      <c r="S59" s="72"/>
    </row>
    <row r="60" spans="2:19" ht="15.75" hidden="1" thickBot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24059.496500000005</v>
      </c>
      <c r="I60" s="104"/>
      <c r="J60" s="105">
        <v>0.13</v>
      </c>
      <c r="K60" s="104"/>
      <c r="L60" s="106">
        <f>L59*J60</f>
        <v>24335.994476063901</v>
      </c>
      <c r="M60" s="107"/>
      <c r="N60" s="108">
        <f t="shared" si="2"/>
        <v>276.4979760638962</v>
      </c>
      <c r="O60" s="109">
        <f t="shared" si="8"/>
        <v>1.1492259452058614E-2</v>
      </c>
      <c r="S60" s="72"/>
    </row>
    <row r="61" spans="2:19" ht="15.75" hidden="1" thickBot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209132.54650000003</v>
      </c>
      <c r="I61" s="104"/>
      <c r="J61" s="104"/>
      <c r="K61" s="104"/>
      <c r="L61" s="106">
        <f>L59+L60</f>
        <v>211535.95198424775</v>
      </c>
      <c r="M61" s="107"/>
      <c r="N61" s="108">
        <f t="shared" si="2"/>
        <v>2403.4054842477199</v>
      </c>
      <c r="O61" s="109">
        <f t="shared" si="8"/>
        <v>1.1492259452058647E-2</v>
      </c>
      <c r="S61" s="72"/>
    </row>
    <row r="62" spans="2:19" ht="15.75" hidden="1" customHeight="1" x14ac:dyDescent="0.3">
      <c r="B62" s="248" t="s">
        <v>43</v>
      </c>
      <c r="C62" s="248"/>
      <c r="D62" s="248"/>
      <c r="E62" s="22"/>
      <c r="F62" s="111"/>
      <c r="G62" s="102"/>
      <c r="H62" s="112">
        <f>ROUND(-H61*10%,2)</f>
        <v>-20913.25</v>
      </c>
      <c r="I62" s="104"/>
      <c r="J62" s="104"/>
      <c r="K62" s="104"/>
      <c r="L62" s="113">
        <f>ROUND(-L61*10%,2)</f>
        <v>-21153.599999999999</v>
      </c>
      <c r="M62" s="107"/>
      <c r="N62" s="114">
        <f t="shared" si="2"/>
        <v>-240.34999999999854</v>
      </c>
      <c r="O62" s="115">
        <f t="shared" si="8"/>
        <v>1.1492713949290452E-2</v>
      </c>
    </row>
    <row r="63" spans="2:19" ht="15.75" hidden="1" thickBot="1" x14ac:dyDescent="0.3">
      <c r="B63" s="240" t="s">
        <v>44</v>
      </c>
      <c r="C63" s="240"/>
      <c r="D63" s="240"/>
      <c r="E63" s="116"/>
      <c r="F63" s="117"/>
      <c r="G63" s="118"/>
      <c r="H63" s="119">
        <f>H61+H62</f>
        <v>188219.29650000003</v>
      </c>
      <c r="I63" s="120"/>
      <c r="J63" s="120"/>
      <c r="K63" s="120"/>
      <c r="L63" s="121">
        <f>L61+L62</f>
        <v>190382.35198424774</v>
      </c>
      <c r="M63" s="122"/>
      <c r="N63" s="123">
        <f t="shared" si="2"/>
        <v>2163.055484247714</v>
      </c>
      <c r="O63" s="124">
        <f t="shared" si="8"/>
        <v>1.1492208952378662E-2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185073.05000000002</v>
      </c>
      <c r="I65" s="136"/>
      <c r="J65" s="137"/>
      <c r="K65" s="137"/>
      <c r="L65" s="188">
        <f>SUM(L53,L48,L49:L52)</f>
        <v>187199.95750818384</v>
      </c>
      <c r="M65" s="138"/>
      <c r="N65" s="139">
        <f>L65-H65</f>
        <v>2126.9075081838237</v>
      </c>
      <c r="O65" s="99">
        <f>IF((H65)=0,"",(N65/H65))</f>
        <v>1.1492259452058652E-2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24059.496500000005</v>
      </c>
      <c r="I66" s="143"/>
      <c r="J66" s="144">
        <v>0.13</v>
      </c>
      <c r="K66" s="145"/>
      <c r="L66" s="146">
        <f>L65*J66</f>
        <v>24335.994476063901</v>
      </c>
      <c r="M66" s="147"/>
      <c r="N66" s="148">
        <f>L66-H66</f>
        <v>276.4979760638962</v>
      </c>
      <c r="O66" s="109">
        <f>IF((H66)=0,"",(N66/H66))</f>
        <v>1.1492259452058614E-2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209132.54650000003</v>
      </c>
      <c r="I67" s="143"/>
      <c r="J67" s="143"/>
      <c r="K67" s="143"/>
      <c r="L67" s="146">
        <f>L65+L66</f>
        <v>211535.95198424775</v>
      </c>
      <c r="M67" s="147"/>
      <c r="N67" s="148">
        <f>L67-H67</f>
        <v>2403.4054842477199</v>
      </c>
      <c r="O67" s="109">
        <f>IF((H67)=0,"",(N67/H67))</f>
        <v>1.1492259452058647E-2</v>
      </c>
    </row>
    <row r="68" spans="1:15" s="73" customFormat="1" ht="15.75" customHeight="1" x14ac:dyDescent="0.2">
      <c r="B68" s="249" t="s">
        <v>43</v>
      </c>
      <c r="C68" s="249"/>
      <c r="D68" s="249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241" t="s">
        <v>46</v>
      </c>
      <c r="C69" s="241"/>
      <c r="D69" s="241"/>
      <c r="E69" s="155"/>
      <c r="F69" s="156"/>
      <c r="G69" s="157"/>
      <c r="H69" s="158">
        <f>SUM(H67:H68)</f>
        <v>209132.54650000003</v>
      </c>
      <c r="I69" s="159"/>
      <c r="J69" s="159"/>
      <c r="K69" s="159"/>
      <c r="L69" s="160">
        <f>SUM(L67:L68)</f>
        <v>211535.95198424775</v>
      </c>
      <c r="M69" s="161"/>
      <c r="N69" s="162">
        <f>L69-H69</f>
        <v>2403.4054842477199</v>
      </c>
      <c r="O69" s="163">
        <f>IF((H69)=0,"",(N69/H69))</f>
        <v>1.1492259452058647E-2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99">
        <v>3.7499999999999999E-2</v>
      </c>
      <c r="J72" s="199">
        <v>3.6600000000000001E-2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theme="0" tint="-0.14999847407452621"/>
    <pageSetUpPr fitToPage="1"/>
  </sheetPr>
  <dimension ref="A1:T88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2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3.42578125" style="7" bestFit="1" customWidth="1"/>
    <col min="13" max="13" width="2.85546875" style="7" customWidth="1"/>
    <col min="14" max="14" width="12.7109375" style="7" bestFit="1" customWidth="1"/>
    <col min="15" max="15" width="12.8554687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8-B</v>
      </c>
      <c r="O3" s="234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34">
        <f>'Res (100kWh)'!$N$5:$O$5</f>
        <v>42177</v>
      </c>
      <c r="O5" s="234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81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1800000</v>
      </c>
      <c r="G16" s="13" t="s">
        <v>7</v>
      </c>
      <c r="H16" s="14">
        <v>5000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Rates'!$C$9</f>
        <v>5844.1</v>
      </c>
      <c r="G21" s="26">
        <v>1</v>
      </c>
      <c r="H21" s="27">
        <f>G21*F21</f>
        <v>5844.1</v>
      </c>
      <c r="I21" s="28"/>
      <c r="J21" s="173">
        <f>'[2]Rate Schedule '!$E$28</f>
        <v>6185.12</v>
      </c>
      <c r="K21" s="30">
        <v>1</v>
      </c>
      <c r="L21" s="27">
        <f>K21*J21</f>
        <v>6185.12</v>
      </c>
      <c r="M21" s="28"/>
      <c r="N21" s="31">
        <f>L21-H21</f>
        <v>341.01999999999953</v>
      </c>
      <c r="O21" s="32">
        <f>IF((H21)=0,"",(N21/H21))</f>
        <v>5.8352868705189763E-2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46" t="s">
        <v>65</v>
      </c>
      <c r="C25" s="22"/>
      <c r="D25" s="23" t="s">
        <v>70</v>
      </c>
      <c r="E25" s="24"/>
      <c r="F25" s="25">
        <v>-1.8700000000000001E-2</v>
      </c>
      <c r="G25" s="178">
        <f>$H$16</f>
        <v>5000</v>
      </c>
      <c r="H25" s="27">
        <f t="shared" si="0"/>
        <v>-93.5</v>
      </c>
      <c r="I25" s="28"/>
      <c r="J25" s="29"/>
      <c r="K25" s="178">
        <f>$H$16</f>
        <v>5000</v>
      </c>
      <c r="L25" s="27">
        <f t="shared" si="1"/>
        <v>0</v>
      </c>
      <c r="M25" s="28"/>
      <c r="N25" s="31">
        <f t="shared" si="2"/>
        <v>93.5</v>
      </c>
      <c r="O25" s="32">
        <f t="shared" si="3"/>
        <v>-1</v>
      </c>
    </row>
    <row r="26" spans="2:15" x14ac:dyDescent="0.25">
      <c r="B26" s="46" t="s">
        <v>66</v>
      </c>
      <c r="C26" s="22"/>
      <c r="D26" s="23" t="s">
        <v>70</v>
      </c>
      <c r="E26" s="24"/>
      <c r="F26" s="25"/>
      <c r="G26" s="178">
        <f>$H$16</f>
        <v>5000</v>
      </c>
      <c r="H26" s="27">
        <f t="shared" si="0"/>
        <v>0</v>
      </c>
      <c r="I26" s="28"/>
      <c r="J26" s="29">
        <f>'[4]6. Rate Rider Calculations'!$F$78</f>
        <v>-1.8603232441972013</v>
      </c>
      <c r="K26" s="178">
        <f>$H$16</f>
        <v>5000</v>
      </c>
      <c r="L26" s="27">
        <f t="shared" si="1"/>
        <v>-9301.6162209860067</v>
      </c>
      <c r="M26" s="28"/>
      <c r="N26" s="31">
        <f t="shared" si="2"/>
        <v>-9301.6162209860067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f>'[2]2014 Existing Rates'!$D$9</f>
        <v>1.115</v>
      </c>
      <c r="G27" s="178">
        <f>$H$16</f>
        <v>5000</v>
      </c>
      <c r="H27" s="27">
        <f t="shared" si="0"/>
        <v>5575</v>
      </c>
      <c r="I27" s="28"/>
      <c r="J27" s="29">
        <f>'[2]Rate Schedule '!$E$29</f>
        <v>1.1451</v>
      </c>
      <c r="K27" s="178">
        <f>$H$16</f>
        <v>5000</v>
      </c>
      <c r="L27" s="27">
        <f t="shared" si="1"/>
        <v>5725.5</v>
      </c>
      <c r="M27" s="28"/>
      <c r="N27" s="31">
        <f t="shared" si="2"/>
        <v>150.5</v>
      </c>
      <c r="O27" s="32">
        <f t="shared" si="3"/>
        <v>2.6995515695067265E-2</v>
      </c>
    </row>
    <row r="28" spans="2:15" hidden="1" x14ac:dyDescent="0.25">
      <c r="B28" s="22" t="s">
        <v>20</v>
      </c>
      <c r="C28" s="22"/>
      <c r="D28" s="23"/>
      <c r="E28" s="24"/>
      <c r="F28" s="25"/>
      <c r="G28" s="26">
        <f>$F$16</f>
        <v>1800000</v>
      </c>
      <c r="H28" s="27">
        <f t="shared" si="0"/>
        <v>0</v>
      </c>
      <c r="I28" s="28"/>
      <c r="J28" s="29"/>
      <c r="K28" s="26">
        <f t="shared" ref="K28:K36" si="4">$F$16</f>
        <v>1800000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25">
      <c r="B29" s="22" t="s">
        <v>21</v>
      </c>
      <c r="C29" s="22"/>
      <c r="D29" s="23"/>
      <c r="E29" s="24"/>
      <c r="F29" s="25"/>
      <c r="G29" s="26">
        <f>$F$16</f>
        <v>1800000</v>
      </c>
      <c r="H29" s="27">
        <f t="shared" si="0"/>
        <v>0</v>
      </c>
      <c r="I29" s="28"/>
      <c r="J29" s="29"/>
      <c r="K29" s="26">
        <f t="shared" si="4"/>
        <v>1800000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33"/>
      <c r="C30" s="22"/>
      <c r="D30" s="23"/>
      <c r="E30" s="24"/>
      <c r="F30" s="25"/>
      <c r="G30" s="26">
        <f t="shared" ref="G30:G36" si="5">$F$16</f>
        <v>1800000</v>
      </c>
      <c r="H30" s="27">
        <f t="shared" si="0"/>
        <v>0</v>
      </c>
      <c r="I30" s="28"/>
      <c r="J30" s="29"/>
      <c r="K30" s="26">
        <f t="shared" si="4"/>
        <v>1800000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si="5"/>
        <v>1800000</v>
      </c>
      <c r="H31" s="27">
        <f t="shared" si="0"/>
        <v>0</v>
      </c>
      <c r="I31" s="28"/>
      <c r="J31" s="29"/>
      <c r="K31" s="26">
        <f t="shared" si="4"/>
        <v>1800000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1800000</v>
      </c>
      <c r="H32" s="27">
        <f t="shared" si="0"/>
        <v>0</v>
      </c>
      <c r="I32" s="28"/>
      <c r="J32" s="29"/>
      <c r="K32" s="26">
        <f t="shared" si="4"/>
        <v>1800000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1800000</v>
      </c>
      <c r="H33" s="27">
        <f t="shared" si="0"/>
        <v>0</v>
      </c>
      <c r="I33" s="28"/>
      <c r="J33" s="29"/>
      <c r="K33" s="26">
        <f t="shared" si="4"/>
        <v>1800000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1800000</v>
      </c>
      <c r="H34" s="27">
        <f t="shared" si="0"/>
        <v>0</v>
      </c>
      <c r="I34" s="28"/>
      <c r="J34" s="29"/>
      <c r="K34" s="26">
        <f t="shared" si="4"/>
        <v>1800000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1800000</v>
      </c>
      <c r="H35" s="27">
        <f t="shared" si="0"/>
        <v>0</v>
      </c>
      <c r="I35" s="28"/>
      <c r="J35" s="29"/>
      <c r="K35" s="26">
        <f t="shared" si="4"/>
        <v>1800000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1800000</v>
      </c>
      <c r="H36" s="27">
        <f t="shared" si="0"/>
        <v>0</v>
      </c>
      <c r="I36" s="28"/>
      <c r="J36" s="29"/>
      <c r="K36" s="26">
        <f t="shared" si="4"/>
        <v>1800000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11325.6</v>
      </c>
      <c r="I37" s="41"/>
      <c r="J37" s="42"/>
      <c r="K37" s="43"/>
      <c r="L37" s="40">
        <f>SUM(L21:L36)</f>
        <v>2609.0037790139932</v>
      </c>
      <c r="M37" s="41"/>
      <c r="N37" s="44">
        <f t="shared" si="2"/>
        <v>-8716.5962209860081</v>
      </c>
      <c r="O37" s="45">
        <f t="shared" si="3"/>
        <v>-0.76963659505774595</v>
      </c>
    </row>
    <row r="38" spans="2:15" x14ac:dyDescent="0.25">
      <c r="B38" s="46" t="s">
        <v>23</v>
      </c>
      <c r="C38" s="22"/>
      <c r="D38" s="56" t="s">
        <v>70</v>
      </c>
      <c r="E38" s="57"/>
      <c r="F38" s="29">
        <v>-0.9143</v>
      </c>
      <c r="G38" s="178">
        <f>G27</f>
        <v>5000</v>
      </c>
      <c r="H38" s="27">
        <f t="shared" ref="H38:H44" si="6">G38*F38</f>
        <v>-4571.5</v>
      </c>
      <c r="I38" s="28"/>
      <c r="J38" s="29">
        <f>'[4]6. Rate Rider Calculations'!$F$23</f>
        <v>0.89069167795155479</v>
      </c>
      <c r="K38" s="178">
        <f>H16</f>
        <v>5000</v>
      </c>
      <c r="L38" s="27">
        <f t="shared" ref="L38:L44" si="7">K38*J38</f>
        <v>4453.4583897577741</v>
      </c>
      <c r="M38" s="28"/>
      <c r="N38" s="31">
        <f t="shared" si="2"/>
        <v>9024.9583897577741</v>
      </c>
      <c r="O38" s="32">
        <f t="shared" si="3"/>
        <v>-1.9741788012157442</v>
      </c>
    </row>
    <row r="39" spans="2:15" hidden="1" x14ac:dyDescent="0.25">
      <c r="B39" s="46"/>
      <c r="C39" s="22"/>
      <c r="D39" s="23" t="s">
        <v>70</v>
      </c>
      <c r="E39" s="24"/>
      <c r="F39" s="25"/>
      <c r="G39" s="178">
        <f>H16</f>
        <v>5000</v>
      </c>
      <c r="H39" s="27">
        <f t="shared" si="6"/>
        <v>0</v>
      </c>
      <c r="I39" s="47"/>
      <c r="J39" s="29"/>
      <c r="K39" s="178">
        <f>H16</f>
        <v>5000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5000</v>
      </c>
      <c r="H40" s="27">
        <f t="shared" si="6"/>
        <v>0</v>
      </c>
      <c r="I40" s="47"/>
      <c r="J40" s="29"/>
      <c r="K40" s="178">
        <f>H16</f>
        <v>5000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.75" customHeight="1" x14ac:dyDescent="0.25">
      <c r="B41" s="46" t="s">
        <v>74</v>
      </c>
      <c r="C41" s="22"/>
      <c r="D41" s="23" t="s">
        <v>70</v>
      </c>
      <c r="E41" s="24"/>
      <c r="F41" s="29">
        <v>0.41589999999999999</v>
      </c>
      <c r="G41" s="178">
        <f>H16</f>
        <v>5000</v>
      </c>
      <c r="H41" s="27">
        <f t="shared" si="6"/>
        <v>2079.5</v>
      </c>
      <c r="I41" s="47"/>
      <c r="J41" s="29">
        <f>'[4]6. Rate Rider Calculations'!$F$50</f>
        <v>0.84323777400339062</v>
      </c>
      <c r="K41" s="178">
        <f>H16</f>
        <v>5000</v>
      </c>
      <c r="L41" s="27">
        <f t="shared" si="7"/>
        <v>4216.1888700169529</v>
      </c>
      <c r="M41" s="48"/>
      <c r="N41" s="31">
        <f t="shared" si="2"/>
        <v>2136.6888700169529</v>
      </c>
      <c r="O41" s="32">
        <f t="shared" si="3"/>
        <v>1.027501259926402</v>
      </c>
    </row>
    <row r="42" spans="2:15" x14ac:dyDescent="0.25">
      <c r="B42" s="49" t="s">
        <v>24</v>
      </c>
      <c r="C42" s="22"/>
      <c r="D42" s="23" t="s">
        <v>70</v>
      </c>
      <c r="E42" s="24"/>
      <c r="F42" s="25">
        <v>1.54E-2</v>
      </c>
      <c r="G42" s="178">
        <f>H16</f>
        <v>5000</v>
      </c>
      <c r="H42" s="27">
        <f t="shared" si="6"/>
        <v>77</v>
      </c>
      <c r="I42" s="28"/>
      <c r="J42" s="29">
        <f>'[2]Rate Schedule '!$E$30</f>
        <v>2.8199999999999999E-2</v>
      </c>
      <c r="K42" s="178">
        <f>H16</f>
        <v>5000</v>
      </c>
      <c r="L42" s="27">
        <f t="shared" si="7"/>
        <v>141</v>
      </c>
      <c r="M42" s="28"/>
      <c r="N42" s="31">
        <f t="shared" si="2"/>
        <v>64</v>
      </c>
      <c r="O42" s="32">
        <f t="shared" si="3"/>
        <v>0.83116883116883122</v>
      </c>
    </row>
    <row r="43" spans="2:15" s="34" customFormat="1" x14ac:dyDescent="0.25">
      <c r="B43" s="180" t="s">
        <v>25</v>
      </c>
      <c r="C43" s="24"/>
      <c r="D43" s="181" t="s">
        <v>61</v>
      </c>
      <c r="E43" s="24"/>
      <c r="F43" s="182">
        <f>IF(ISBLANK(D14)=TRUE, 0, IF(D14="TOU", 0.64*$F$53+0.18*$F$54+0.18*$F$55, IF(AND(D14="non-TOU", G57&gt;0), F57,F56)))</f>
        <v>8.7999999999999995E-2</v>
      </c>
      <c r="G43" s="26">
        <f>$F$16*(1+$F$72)-$F$16</f>
        <v>86400</v>
      </c>
      <c r="H43" s="183">
        <f t="shared" si="6"/>
        <v>7603.2</v>
      </c>
      <c r="I43" s="57"/>
      <c r="J43" s="184">
        <f>IF(ISBLANK(D14)=TRUE, 0, IF(D14="TOU", 0.64*$F$53+0.18*$F$54+0.18*$F$55, IF(AND(D14="non-TOU", K57&gt;0), J57,J56)))</f>
        <v>8.7999999999999995E-2</v>
      </c>
      <c r="K43" s="26">
        <f>$F$16*(1+$J$72)-$F$16</f>
        <v>84779.999999999767</v>
      </c>
      <c r="L43" s="183">
        <f t="shared" si="7"/>
        <v>7460.6399999999794</v>
      </c>
      <c r="M43" s="57"/>
      <c r="N43" s="185">
        <f t="shared" si="2"/>
        <v>-142.56000000002041</v>
      </c>
      <c r="O43" s="186">
        <f t="shared" si="3"/>
        <v>-1.8750000000002685E-2</v>
      </c>
    </row>
    <row r="44" spans="2:15" x14ac:dyDescent="0.25">
      <c r="B44" s="49" t="s">
        <v>26</v>
      </c>
      <c r="C44" s="22"/>
      <c r="D44" s="23" t="s">
        <v>60</v>
      </c>
      <c r="E44" s="24"/>
      <c r="F44" s="177"/>
      <c r="G44" s="26">
        <v>0</v>
      </c>
      <c r="H44" s="27">
        <f t="shared" si="6"/>
        <v>0</v>
      </c>
      <c r="I44" s="28"/>
      <c r="J44" s="177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16513.8</v>
      </c>
      <c r="I45" s="41"/>
      <c r="J45" s="53"/>
      <c r="K45" s="55"/>
      <c r="L45" s="54">
        <f>SUM(L38:L44)+L37</f>
        <v>18880.291038788699</v>
      </c>
      <c r="M45" s="41"/>
      <c r="N45" s="44">
        <f t="shared" si="2"/>
        <v>2366.4910387886994</v>
      </c>
      <c r="O45" s="45">
        <f t="shared" ref="O45:O63" si="8">IF((H45)=0,"",(N45/H45))</f>
        <v>0.14330384519545467</v>
      </c>
    </row>
    <row r="46" spans="2:15" x14ac:dyDescent="0.25">
      <c r="B46" s="28" t="s">
        <v>28</v>
      </c>
      <c r="C46" s="28"/>
      <c r="D46" s="56" t="s">
        <v>70</v>
      </c>
      <c r="E46" s="57"/>
      <c r="F46" s="29">
        <v>2.8921000000000001</v>
      </c>
      <c r="G46" s="58">
        <f>H16*(1+F72)</f>
        <v>5240</v>
      </c>
      <c r="H46" s="27">
        <f>G46*F46</f>
        <v>15154.604000000001</v>
      </c>
      <c r="I46" s="28"/>
      <c r="J46" s="29">
        <f>'[5]13. Final 2015 RTS Rates'!$F$29</f>
        <v>2.9851768689754885</v>
      </c>
      <c r="K46" s="59">
        <f>H16*(1+J72)</f>
        <v>5235.5</v>
      </c>
      <c r="L46" s="27">
        <f>K46*J46</f>
        <v>15628.893497521171</v>
      </c>
      <c r="M46" s="28"/>
      <c r="N46" s="31">
        <f t="shared" si="2"/>
        <v>474.28949752116932</v>
      </c>
      <c r="O46" s="32">
        <f t="shared" si="8"/>
        <v>3.1296726560533637E-2</v>
      </c>
    </row>
    <row r="47" spans="2:15" x14ac:dyDescent="0.25">
      <c r="B47" s="60" t="s">
        <v>29</v>
      </c>
      <c r="C47" s="28"/>
      <c r="D47" s="56" t="s">
        <v>70</v>
      </c>
      <c r="E47" s="57"/>
      <c r="F47" s="29">
        <v>2.2395999999999998</v>
      </c>
      <c r="G47" s="58">
        <f>G46</f>
        <v>5240</v>
      </c>
      <c r="H47" s="27">
        <f>G47*F47</f>
        <v>11735.503999999999</v>
      </c>
      <c r="I47" s="28"/>
      <c r="J47" s="29">
        <f>'[5]13. Final 2015 RTS Rates'!$H$29</f>
        <v>2.2998272904958981</v>
      </c>
      <c r="K47" s="59">
        <f>K46</f>
        <v>5235.5</v>
      </c>
      <c r="L47" s="27">
        <f>K47*J47</f>
        <v>12040.745779391274</v>
      </c>
      <c r="M47" s="28"/>
      <c r="N47" s="31">
        <f t="shared" si="2"/>
        <v>305.24177939127549</v>
      </c>
      <c r="O47" s="32">
        <f t="shared" si="8"/>
        <v>2.6010112509124064E-2</v>
      </c>
    </row>
    <row r="48" spans="2:15" x14ac:dyDescent="0.25">
      <c r="B48" s="50" t="s">
        <v>30</v>
      </c>
      <c r="C48" s="36"/>
      <c r="D48" s="36"/>
      <c r="E48" s="36"/>
      <c r="F48" s="61"/>
      <c r="G48" s="53"/>
      <c r="H48" s="54">
        <f>SUM(H45:H47)</f>
        <v>43403.908000000003</v>
      </c>
      <c r="I48" s="62"/>
      <c r="J48" s="63"/>
      <c r="K48" s="64"/>
      <c r="L48" s="54">
        <f>SUM(L45:L47)</f>
        <v>46549.930315701145</v>
      </c>
      <c r="M48" s="62"/>
      <c r="N48" s="44">
        <f t="shared" si="2"/>
        <v>3146.0223157011424</v>
      </c>
      <c r="O48" s="45">
        <f t="shared" si="8"/>
        <v>7.2482466687127392E-2</v>
      </c>
    </row>
    <row r="49" spans="2:19" x14ac:dyDescent="0.25">
      <c r="B49" s="65" t="s">
        <v>31</v>
      </c>
      <c r="C49" s="22"/>
      <c r="D49" s="23" t="s">
        <v>61</v>
      </c>
      <c r="E49" s="24"/>
      <c r="F49" s="66">
        <v>4.4000000000000003E-3</v>
      </c>
      <c r="G49" s="58">
        <f>F16*(F72)</f>
        <v>86400</v>
      </c>
      <c r="H49" s="67">
        <f t="shared" ref="H49:H55" si="9">G49*F49</f>
        <v>380.16</v>
      </c>
      <c r="I49" s="28"/>
      <c r="J49" s="66">
        <v>4.4000000000000003E-3</v>
      </c>
      <c r="K49" s="59">
        <f>F16*(J72)</f>
        <v>84780</v>
      </c>
      <c r="L49" s="67">
        <f t="shared" ref="L49:L55" si="10">K49*J49</f>
        <v>373.03200000000004</v>
      </c>
      <c r="M49" s="28"/>
      <c r="N49" s="31">
        <f t="shared" si="2"/>
        <v>-7.1279999999999859</v>
      </c>
      <c r="O49" s="68">
        <f t="shared" si="8"/>
        <v>-1.8749999999999961E-2</v>
      </c>
    </row>
    <row r="50" spans="2:19" x14ac:dyDescent="0.25">
      <c r="B50" s="65" t="s">
        <v>32</v>
      </c>
      <c r="C50" s="22"/>
      <c r="D50" s="23" t="s">
        <v>61</v>
      </c>
      <c r="E50" s="24"/>
      <c r="F50" s="66">
        <v>1.2999999999999999E-3</v>
      </c>
      <c r="G50" s="58">
        <f>G49</f>
        <v>86400</v>
      </c>
      <c r="H50" s="67">
        <f t="shared" si="9"/>
        <v>112.32</v>
      </c>
      <c r="I50" s="28"/>
      <c r="J50" s="66">
        <v>1.2999999999999999E-3</v>
      </c>
      <c r="K50" s="59">
        <f>K49</f>
        <v>84780</v>
      </c>
      <c r="L50" s="67">
        <f t="shared" si="10"/>
        <v>110.214</v>
      </c>
      <c r="M50" s="28"/>
      <c r="N50" s="31">
        <f t="shared" si="2"/>
        <v>-2.1059999999999945</v>
      </c>
      <c r="O50" s="68">
        <f t="shared" si="8"/>
        <v>-1.8749999999999954E-2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7">
        <f t="shared" si="9"/>
        <v>0.25</v>
      </c>
      <c r="I51" s="28"/>
      <c r="J51" s="176">
        <v>0.25</v>
      </c>
      <c r="K51" s="30">
        <v>1</v>
      </c>
      <c r="L51" s="67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6">
        <v>7.0000000000000001E-3</v>
      </c>
      <c r="G52" s="69">
        <f>F16</f>
        <v>1800000</v>
      </c>
      <c r="H52" s="67">
        <f t="shared" si="9"/>
        <v>12600</v>
      </c>
      <c r="I52" s="28"/>
      <c r="J52" s="66">
        <v>7.0000000000000001E-3</v>
      </c>
      <c r="K52" s="70">
        <f>F16</f>
        <v>1800000</v>
      </c>
      <c r="L52" s="67">
        <f t="shared" si="10"/>
        <v>12600</v>
      </c>
      <c r="M52" s="28"/>
      <c r="N52" s="31">
        <f t="shared" si="2"/>
        <v>0</v>
      </c>
      <c r="O52" s="68">
        <f t="shared" si="8"/>
        <v>0</v>
      </c>
    </row>
    <row r="53" spans="2:19" ht="15.75" thickBot="1" x14ac:dyDescent="0.3">
      <c r="B53" s="49" t="s">
        <v>73</v>
      </c>
      <c r="C53" s="22"/>
      <c r="D53" s="23" t="s">
        <v>61</v>
      </c>
      <c r="E53" s="24"/>
      <c r="F53" s="66">
        <v>8.2699999999999996E-2</v>
      </c>
      <c r="G53" s="69">
        <f>F16</f>
        <v>1800000</v>
      </c>
      <c r="H53" s="187">
        <f t="shared" si="9"/>
        <v>148860</v>
      </c>
      <c r="I53" s="57"/>
      <c r="J53" s="66">
        <v>8.2699999999999996E-2</v>
      </c>
      <c r="K53" s="69">
        <f>G53</f>
        <v>1800000</v>
      </c>
      <c r="L53" s="67">
        <f t="shared" si="10"/>
        <v>148860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.75" hidden="1" thickBot="1" x14ac:dyDescent="0.3">
      <c r="B54" s="49" t="s">
        <v>36</v>
      </c>
      <c r="C54" s="22"/>
      <c r="D54" s="23"/>
      <c r="E54" s="24"/>
      <c r="F54" s="71">
        <v>0.104</v>
      </c>
      <c r="G54" s="58">
        <v>0</v>
      </c>
      <c r="H54" s="67">
        <f t="shared" si="9"/>
        <v>0</v>
      </c>
      <c r="I54" s="28"/>
      <c r="J54" s="66">
        <v>0.104</v>
      </c>
      <c r="K54" s="58">
        <v>0</v>
      </c>
      <c r="L54" s="67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.75" hidden="1" thickBot="1" x14ac:dyDescent="0.3">
      <c r="B55" s="12" t="s">
        <v>37</v>
      </c>
      <c r="C55" s="22"/>
      <c r="D55" s="23"/>
      <c r="E55" s="24"/>
      <c r="F55" s="71">
        <v>0.124</v>
      </c>
      <c r="G55" s="58">
        <v>0</v>
      </c>
      <c r="H55" s="67">
        <f t="shared" si="9"/>
        <v>0</v>
      </c>
      <c r="I55" s="28"/>
      <c r="J55" s="66">
        <v>0.124</v>
      </c>
      <c r="K55" s="58">
        <v>0</v>
      </c>
      <c r="L55" s="67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.75" hidden="1" thickBot="1" x14ac:dyDescent="0.25">
      <c r="B56" s="179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600</v>
      </c>
      <c r="H56" s="67">
        <f>G56*F56</f>
        <v>45</v>
      </c>
      <c r="I56" s="79"/>
      <c r="J56" s="66">
        <v>7.4999999999999997E-2</v>
      </c>
      <c r="K56" s="78">
        <f>G56</f>
        <v>600</v>
      </c>
      <c r="L56" s="67">
        <f>K56*J56</f>
        <v>45</v>
      </c>
      <c r="M56" s="79"/>
      <c r="N56" s="80">
        <f t="shared" si="2"/>
        <v>0</v>
      </c>
      <c r="O56" s="68">
        <f t="shared" si="8"/>
        <v>0</v>
      </c>
    </row>
    <row r="57" spans="2:19" s="73" customFormat="1" ht="15.75" hidden="1" thickBot="1" x14ac:dyDescent="0.25">
      <c r="B57" s="179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1799400</v>
      </c>
      <c r="H57" s="67">
        <f>G57*F57</f>
        <v>158347.19999999998</v>
      </c>
      <c r="I57" s="79"/>
      <c r="J57" s="66">
        <v>8.7999999999999995E-2</v>
      </c>
      <c r="K57" s="78">
        <f>G57</f>
        <v>1799400</v>
      </c>
      <c r="L57" s="67">
        <f>K57*J57</f>
        <v>158347.19999999998</v>
      </c>
      <c r="M57" s="79"/>
      <c r="N57" s="80">
        <f t="shared" si="2"/>
        <v>0</v>
      </c>
      <c r="O57" s="68">
        <f t="shared" si="8"/>
        <v>0</v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.75" hidden="1" thickBot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205356.63800000001</v>
      </c>
      <c r="I59" s="95"/>
      <c r="J59" s="96"/>
      <c r="K59" s="96"/>
      <c r="L59" s="94">
        <f>SUM(L49:L55,L48)</f>
        <v>208493.42631570113</v>
      </c>
      <c r="M59" s="97"/>
      <c r="N59" s="98">
        <f>L59-H59</f>
        <v>3136.7883157011238</v>
      </c>
      <c r="O59" s="99">
        <f>IF((H59)=0,"",(N59/H59))</f>
        <v>1.5274832828637971E-2</v>
      </c>
      <c r="S59" s="72"/>
    </row>
    <row r="60" spans="2:19" ht="15.75" hidden="1" thickBot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26696.362940000003</v>
      </c>
      <c r="I60" s="104"/>
      <c r="J60" s="105">
        <v>0.13</v>
      </c>
      <c r="K60" s="104"/>
      <c r="L60" s="106">
        <f>L59*J60</f>
        <v>27104.145421041147</v>
      </c>
      <c r="M60" s="107"/>
      <c r="N60" s="108">
        <f t="shared" si="2"/>
        <v>407.78248104114391</v>
      </c>
      <c r="O60" s="109">
        <f t="shared" si="8"/>
        <v>1.5274832828637888E-2</v>
      </c>
      <c r="S60" s="72"/>
    </row>
    <row r="61" spans="2:19" ht="15.75" hidden="1" thickBot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232053.00094</v>
      </c>
      <c r="I61" s="104"/>
      <c r="J61" s="104"/>
      <c r="K61" s="104"/>
      <c r="L61" s="106">
        <f>L59+L60</f>
        <v>235597.57173674228</v>
      </c>
      <c r="M61" s="107"/>
      <c r="N61" s="108">
        <f t="shared" si="2"/>
        <v>3544.5707967422786</v>
      </c>
      <c r="O61" s="109">
        <f t="shared" si="8"/>
        <v>1.5274832828638009E-2</v>
      </c>
      <c r="S61" s="72"/>
    </row>
    <row r="62" spans="2:19" ht="15.75" hidden="1" customHeight="1" x14ac:dyDescent="0.3">
      <c r="B62" s="248" t="s">
        <v>43</v>
      </c>
      <c r="C62" s="248"/>
      <c r="D62" s="248"/>
      <c r="E62" s="22"/>
      <c r="F62" s="111"/>
      <c r="G62" s="102"/>
      <c r="H62" s="112">
        <f>ROUND(-H61*10%,2)</f>
        <v>-23205.3</v>
      </c>
      <c r="I62" s="104"/>
      <c r="J62" s="104"/>
      <c r="K62" s="104"/>
      <c r="L62" s="113">
        <f>ROUND(-L61*10%,2)</f>
        <v>-23559.759999999998</v>
      </c>
      <c r="M62" s="107"/>
      <c r="N62" s="114">
        <f t="shared" si="2"/>
        <v>-354.45999999999913</v>
      </c>
      <c r="O62" s="115">
        <f t="shared" si="8"/>
        <v>1.5274958737874499E-2</v>
      </c>
    </row>
    <row r="63" spans="2:19" ht="15.75" hidden="1" thickBot="1" x14ac:dyDescent="0.3">
      <c r="B63" s="240" t="s">
        <v>44</v>
      </c>
      <c r="C63" s="240"/>
      <c r="D63" s="240"/>
      <c r="E63" s="116"/>
      <c r="F63" s="117"/>
      <c r="G63" s="118"/>
      <c r="H63" s="119">
        <f>H61+H62</f>
        <v>208847.70094000001</v>
      </c>
      <c r="I63" s="120"/>
      <c r="J63" s="120"/>
      <c r="K63" s="120"/>
      <c r="L63" s="121">
        <f>L61+L62</f>
        <v>212037.81173674227</v>
      </c>
      <c r="M63" s="122"/>
      <c r="N63" s="123">
        <f t="shared" si="2"/>
        <v>3190.1107967422577</v>
      </c>
      <c r="O63" s="124">
        <f t="shared" si="8"/>
        <v>1.52748188387228E-2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205356.63800000001</v>
      </c>
      <c r="I65" s="136"/>
      <c r="J65" s="137"/>
      <c r="K65" s="137"/>
      <c r="L65" s="188">
        <f>SUM(L53,L48,L49:L52)</f>
        <v>208493.42631570116</v>
      </c>
      <c r="M65" s="138"/>
      <c r="N65" s="139">
        <f>L65-H65</f>
        <v>3136.7883157011529</v>
      </c>
      <c r="O65" s="99">
        <f>IF((H65)=0,"",(N65/H65))</f>
        <v>1.5274832828638112E-2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26696.362940000003</v>
      </c>
      <c r="I66" s="143"/>
      <c r="J66" s="144">
        <v>0.13</v>
      </c>
      <c r="K66" s="145"/>
      <c r="L66" s="146">
        <f>L65*J66</f>
        <v>27104.14542104115</v>
      </c>
      <c r="M66" s="147"/>
      <c r="N66" s="148">
        <f>L66-H66</f>
        <v>407.78248104114755</v>
      </c>
      <c r="O66" s="109">
        <f>IF((H66)=0,"",(N66/H66))</f>
        <v>1.5274832828638023E-2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232053.00094</v>
      </c>
      <c r="I67" s="143"/>
      <c r="J67" s="143"/>
      <c r="K67" s="143"/>
      <c r="L67" s="146">
        <f>L65+L66</f>
        <v>235597.57173674231</v>
      </c>
      <c r="M67" s="147"/>
      <c r="N67" s="148">
        <f>L67-H67</f>
        <v>3544.5707967423077</v>
      </c>
      <c r="O67" s="109">
        <f>IF((H67)=0,"",(N67/H67))</f>
        <v>1.5274832828638134E-2</v>
      </c>
    </row>
    <row r="68" spans="1:15" s="73" customFormat="1" ht="15.75" customHeight="1" x14ac:dyDescent="0.2">
      <c r="B68" s="249" t="s">
        <v>43</v>
      </c>
      <c r="C68" s="249"/>
      <c r="D68" s="249"/>
      <c r="E68" s="75"/>
      <c r="F68" s="150"/>
      <c r="G68" s="151"/>
      <c r="H68" s="152">
        <f>ROUND(-H67*10%,2)</f>
        <v>-23205.3</v>
      </c>
      <c r="I68" s="143"/>
      <c r="J68" s="143"/>
      <c r="K68" s="143"/>
      <c r="L68" s="153">
        <f>ROUND(-L67*10%,2)</f>
        <v>-23559.759999999998</v>
      </c>
      <c r="M68" s="147"/>
      <c r="N68" s="154">
        <f>L68-H68</f>
        <v>-354.45999999999913</v>
      </c>
      <c r="O68" s="115">
        <f>IF((H68)=0,"",(N68/H68))</f>
        <v>1.5274958737874499E-2</v>
      </c>
    </row>
    <row r="69" spans="1:15" s="73" customFormat="1" ht="13.5" thickBot="1" x14ac:dyDescent="0.25">
      <c r="B69" s="241" t="s">
        <v>46</v>
      </c>
      <c r="C69" s="241"/>
      <c r="D69" s="241"/>
      <c r="E69" s="155"/>
      <c r="F69" s="156"/>
      <c r="G69" s="157"/>
      <c r="H69" s="158">
        <f>SUM(H67:H68)</f>
        <v>208847.70094000001</v>
      </c>
      <c r="I69" s="159"/>
      <c r="J69" s="159"/>
      <c r="K69" s="159"/>
      <c r="L69" s="160">
        <f>SUM(L67:L68)</f>
        <v>212037.8117367423</v>
      </c>
      <c r="M69" s="161"/>
      <c r="N69" s="162">
        <f>L69-H69</f>
        <v>3190.1107967422868</v>
      </c>
      <c r="O69" s="163">
        <f>IF((H69)=0,"",(N69/H69))</f>
        <v>1.5274818838722939E-2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v>4.8000000000000001E-2</v>
      </c>
      <c r="J72" s="170">
        <f>'Res (100kWh)'!$J$74</f>
        <v>4.7100000000000003E-2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</mergeCells>
  <dataValidations count="3">
    <dataValidation type="list" allowBlank="1" showInputMessage="1" showErrorMessage="1" sqref="D14">
      <formula1>"TOU, non-TOU"</formula1>
    </dataValidation>
    <dataValidation type="list" allowBlank="1" showInputMessage="1" showErrorMessage="1" sqref="E70 E64 E46:E47 E38:E44 E49:E58 E21:E36">
      <formula1>#REF!</formula1>
    </dataValidation>
    <dataValidation type="list" allowBlank="1" showInputMessage="1" showErrorMessage="1" prompt="Select Charge Unit - monthly, per kWh, per kW" sqref="D46:D47 D38:D44 D64 D49:D58 D70 D21:D36">
      <formula1>"Monthly, per kWh, per kW"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theme="0" tint="-0.14999847407452621"/>
    <pageSetUpPr fitToPage="1"/>
  </sheetPr>
  <dimension ref="A1:T89"/>
  <sheetViews>
    <sheetView showGridLines="0" topLeftCell="A9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8-B</v>
      </c>
      <c r="O3" s="234"/>
      <c r="P3"/>
    </row>
    <row r="4" spans="1:20" s="2" customFormat="1" ht="9" customHeight="1" x14ac:dyDescent="0.25">
      <c r="L4" s="3"/>
      <c r="N4" s="232"/>
      <c r="O4"/>
      <c r="P4"/>
    </row>
    <row r="5" spans="1:20" s="2" customFormat="1" x14ac:dyDescent="0.25">
      <c r="L5" s="3" t="s">
        <v>75</v>
      </c>
      <c r="N5" s="234">
        <f>'Res (100kWh)'!$N$5:$O$5</f>
        <v>42177</v>
      </c>
      <c r="O5" s="234"/>
      <c r="P5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71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150</v>
      </c>
      <c r="G16" s="13" t="s">
        <v>7</v>
      </c>
      <c r="H16" s="14">
        <v>1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Rates'!$B$10</f>
        <v>4.88</v>
      </c>
      <c r="G21" s="26">
        <v>1</v>
      </c>
      <c r="H21" s="27">
        <f>G21*F21</f>
        <v>4.88</v>
      </c>
      <c r="I21" s="28"/>
      <c r="J21" s="173">
        <f>'[2]Rate Schedule '!$E$34</f>
        <v>4.6500000000000004</v>
      </c>
      <c r="K21" s="30">
        <v>1</v>
      </c>
      <c r="L21" s="27">
        <f>K21*J21</f>
        <v>4.6500000000000004</v>
      </c>
      <c r="M21" s="28"/>
      <c r="N21" s="31">
        <f>L21-H21</f>
        <v>-0.22999999999999954</v>
      </c>
      <c r="O21" s="32">
        <f>IF((H21)=0,"",(N21/H21))</f>
        <v>-4.7131147540983513E-2</v>
      </c>
    </row>
    <row r="22" spans="2:15" ht="36.75" customHeight="1" x14ac:dyDescent="0.25">
      <c r="B22" s="65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7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0</v>
      </c>
      <c r="O23" s="32" t="str">
        <f t="shared" ref="O23:O38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70</v>
      </c>
      <c r="E25" s="24"/>
      <c r="F25" s="25"/>
      <c r="G25" s="178">
        <f>$H$16</f>
        <v>1</v>
      </c>
      <c r="H25" s="27">
        <f t="shared" si="0"/>
        <v>0</v>
      </c>
      <c r="I25" s="28"/>
      <c r="J25" s="29">
        <f>'[4]6. Rate Rider Calculations'!$F$109</f>
        <v>13.032701418722425</v>
      </c>
      <c r="K25" s="178">
        <f>$H$16</f>
        <v>1</v>
      </c>
      <c r="L25" s="27">
        <f t="shared" si="1"/>
        <v>13.032701418722425</v>
      </c>
      <c r="M25" s="28"/>
      <c r="N25" s="31">
        <f t="shared" si="2"/>
        <v>13.032701418722425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70</v>
      </c>
      <c r="E26" s="24"/>
      <c r="F26" s="25">
        <v>-0.45660000000000001</v>
      </c>
      <c r="G26" s="178">
        <f>$H$16</f>
        <v>1</v>
      </c>
      <c r="H26" s="27">
        <f t="shared" si="0"/>
        <v>-0.45660000000000001</v>
      </c>
      <c r="I26" s="28"/>
      <c r="J26" s="29"/>
      <c r="K26" s="178">
        <f>$H$16</f>
        <v>1</v>
      </c>
      <c r="L26" s="27">
        <f t="shared" si="1"/>
        <v>0</v>
      </c>
      <c r="M26" s="28"/>
      <c r="N26" s="31">
        <f t="shared" si="2"/>
        <v>0.45660000000000001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70</v>
      </c>
      <c r="E27" s="24"/>
      <c r="F27" s="25"/>
      <c r="G27" s="178">
        <f>$H$16</f>
        <v>1</v>
      </c>
      <c r="H27" s="27">
        <f t="shared" si="0"/>
        <v>0</v>
      </c>
      <c r="I27" s="28"/>
      <c r="J27" s="29">
        <f>'[4]6. Rate Rider Calculations'!$F$81</f>
        <v>-1.3041759146002594</v>
      </c>
      <c r="K27" s="178">
        <f>$H$16</f>
        <v>1</v>
      </c>
      <c r="L27" s="27">
        <f t="shared" si="1"/>
        <v>-1.3041759146002594</v>
      </c>
      <c r="M27" s="28"/>
      <c r="N27" s="31">
        <f t="shared" si="2"/>
        <v>-1.3041759146002594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70</v>
      </c>
      <c r="E28" s="24"/>
      <c r="F28" s="25">
        <f>'[2]2014 Existing Rates'!$D$10</f>
        <v>26.125499999999999</v>
      </c>
      <c r="G28" s="178">
        <f>$H$16</f>
        <v>1</v>
      </c>
      <c r="H28" s="27">
        <f t="shared" si="0"/>
        <v>26.125499999999999</v>
      </c>
      <c r="I28" s="28"/>
      <c r="J28" s="29">
        <f>'[2]Rate Schedule '!$E$35</f>
        <v>24.876999999999999</v>
      </c>
      <c r="K28" s="178">
        <f>$H$16</f>
        <v>1</v>
      </c>
      <c r="L28" s="27">
        <f t="shared" si="1"/>
        <v>24.876999999999999</v>
      </c>
      <c r="M28" s="28"/>
      <c r="N28" s="31">
        <f t="shared" si="2"/>
        <v>-1.2484999999999999</v>
      </c>
      <c r="O28" s="32">
        <f t="shared" si="3"/>
        <v>-4.7788559070639794E-2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ref="K29:K37" si="4">$F$16</f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5">$F$16</f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5"/>
        <v>150</v>
      </c>
      <c r="H37" s="27">
        <f t="shared" si="0"/>
        <v>0</v>
      </c>
      <c r="I37" s="28"/>
      <c r="J37" s="29"/>
      <c r="K37" s="26">
        <f t="shared" si="4"/>
        <v>150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30.5489</v>
      </c>
      <c r="I38" s="41"/>
      <c r="J38" s="42"/>
      <c r="K38" s="43"/>
      <c r="L38" s="40">
        <f>SUM(L21:L37)</f>
        <v>41.255525504122161</v>
      </c>
      <c r="M38" s="41"/>
      <c r="N38" s="44">
        <f t="shared" si="2"/>
        <v>10.706625504122162</v>
      </c>
      <c r="O38" s="45">
        <f t="shared" si="3"/>
        <v>0.35047499268785987</v>
      </c>
    </row>
    <row r="39" spans="2:15" x14ac:dyDescent="0.25">
      <c r="B39" s="46" t="s">
        <v>23</v>
      </c>
      <c r="C39" s="22"/>
      <c r="D39" s="56" t="s">
        <v>70</v>
      </c>
      <c r="E39" s="57"/>
      <c r="F39" s="29">
        <v>-0.62739999999999996</v>
      </c>
      <c r="G39" s="178">
        <f>G28</f>
        <v>1</v>
      </c>
      <c r="H39" s="27">
        <f t="shared" ref="H39:H45" si="6">G39*F39</f>
        <v>-0.62739999999999996</v>
      </c>
      <c r="I39" s="28"/>
      <c r="J39" s="29">
        <f>'[4]6. Rate Rider Calculations'!$F$26</f>
        <v>-12.194111949067624</v>
      </c>
      <c r="K39" s="178">
        <f>H16</f>
        <v>1</v>
      </c>
      <c r="L39" s="27">
        <f t="shared" ref="L39:L45" si="7">K39*J39</f>
        <v>-12.194111949067624</v>
      </c>
      <c r="M39" s="28"/>
      <c r="N39" s="31">
        <f t="shared" ref="N39:N45" si="8">L39-H39</f>
        <v>-11.566711949067624</v>
      </c>
      <c r="O39" s="32">
        <f t="shared" ref="O39:O44" si="9">IF((H39)=0,"",(N39/H39))</f>
        <v>18.435945089365038</v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1</v>
      </c>
      <c r="H40" s="27">
        <f t="shared" si="6"/>
        <v>0</v>
      </c>
      <c r="I40" s="47"/>
      <c r="J40" s="29"/>
      <c r="K40" s="178">
        <f>H16</f>
        <v>1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idden="1" x14ac:dyDescent="0.25">
      <c r="B41" s="46"/>
      <c r="C41" s="22"/>
      <c r="D41" s="23" t="s">
        <v>70</v>
      </c>
      <c r="E41" s="24"/>
      <c r="F41" s="25"/>
      <c r="G41" s="178">
        <f>H16</f>
        <v>1</v>
      </c>
      <c r="H41" s="27">
        <f t="shared" si="6"/>
        <v>0</v>
      </c>
      <c r="I41" s="47"/>
      <c r="J41" s="29"/>
      <c r="K41" s="178">
        <f>H16</f>
        <v>1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t="30" customHeight="1" x14ac:dyDescent="0.25">
      <c r="B42" s="46" t="s">
        <v>74</v>
      </c>
      <c r="C42" s="22"/>
      <c r="D42" s="23" t="s">
        <v>70</v>
      </c>
      <c r="E42" s="24"/>
      <c r="F42" s="29">
        <v>0.28560000000000002</v>
      </c>
      <c r="G42" s="178">
        <f>H16</f>
        <v>1</v>
      </c>
      <c r="H42" s="27">
        <f t="shared" si="6"/>
        <v>0.28560000000000002</v>
      </c>
      <c r="I42" s="47"/>
      <c r="J42" s="29">
        <f>'[4]6. Rate Rider Calculations'!$F$53</f>
        <v>0.5911501662771157</v>
      </c>
      <c r="K42" s="178">
        <f>H16</f>
        <v>1</v>
      </c>
      <c r="L42" s="27">
        <f t="shared" si="7"/>
        <v>0.5911501662771157</v>
      </c>
      <c r="M42" s="48"/>
      <c r="N42" s="31">
        <f t="shared" si="8"/>
        <v>0.30555016627711568</v>
      </c>
      <c r="O42" s="32">
        <f t="shared" si="9"/>
        <v>1.0698535233792565</v>
      </c>
    </row>
    <row r="43" spans="2:15" x14ac:dyDescent="0.25">
      <c r="B43" s="49" t="s">
        <v>24</v>
      </c>
      <c r="C43" s="22"/>
      <c r="D43" s="23" t="s">
        <v>70</v>
      </c>
      <c r="E43" s="24"/>
      <c r="F43" s="25">
        <v>1.0800000000000001E-2</v>
      </c>
      <c r="G43" s="178">
        <f>H16</f>
        <v>1</v>
      </c>
      <c r="H43" s="27">
        <f t="shared" si="6"/>
        <v>1.0800000000000001E-2</v>
      </c>
      <c r="I43" s="28"/>
      <c r="J43" s="29">
        <f>'[2]Rate Schedule '!$E$36</f>
        <v>1.9699999999999999E-2</v>
      </c>
      <c r="K43" s="178">
        <f>H16</f>
        <v>1</v>
      </c>
      <c r="L43" s="27">
        <f t="shared" si="7"/>
        <v>1.9699999999999999E-2</v>
      </c>
      <c r="M43" s="28"/>
      <c r="N43" s="31">
        <f t="shared" si="8"/>
        <v>8.8999999999999982E-3</v>
      </c>
      <c r="O43" s="32">
        <f t="shared" si="9"/>
        <v>0.82407407407407385</v>
      </c>
    </row>
    <row r="44" spans="2:15" s="34" customFormat="1" x14ac:dyDescent="0.25">
      <c r="B44" s="180" t="s">
        <v>25</v>
      </c>
      <c r="C44" s="24"/>
      <c r="D44" s="181" t="s">
        <v>61</v>
      </c>
      <c r="E44" s="24"/>
      <c r="F44" s="182">
        <f>IF(ISBLANK(D14)=TRUE, 0, IF(D14="TOU", 0.64*$F$54+0.18*$F$55+0.18*$F$56, IF(AND(D14="non-TOU", G58&gt;0), F58,F57)))</f>
        <v>7.4999999999999997E-2</v>
      </c>
      <c r="G44" s="26">
        <f>$F$16*(1+$F$73)-$F$16</f>
        <v>7.2000000000000171</v>
      </c>
      <c r="H44" s="183">
        <f t="shared" si="6"/>
        <v>0.54000000000000126</v>
      </c>
      <c r="I44" s="57"/>
      <c r="J44" s="184">
        <f>IF(ISBLANK(D14)=TRUE, 0, IF(D14="TOU", 0.64*$F$54+0.18*$F$55+0.18*$F$56, IF(AND(D14="non-TOU", K58&gt;0), J58,J57)))</f>
        <v>7.4999999999999997E-2</v>
      </c>
      <c r="K44" s="26">
        <f>$F$16*(1+$J$73)-$F$16</f>
        <v>7.0649999999999977</v>
      </c>
      <c r="L44" s="183">
        <f t="shared" si="7"/>
        <v>0.52987499999999976</v>
      </c>
      <c r="M44" s="57"/>
      <c r="N44" s="185">
        <f t="shared" si="8"/>
        <v>-1.0125000000001494E-2</v>
      </c>
      <c r="O44" s="186">
        <f t="shared" si="9"/>
        <v>-1.8750000000002723E-2</v>
      </c>
    </row>
    <row r="45" spans="2:15" x14ac:dyDescent="0.25">
      <c r="B45" s="49" t="s">
        <v>26</v>
      </c>
      <c r="C45" s="22"/>
      <c r="D45" s="23" t="s">
        <v>60</v>
      </c>
      <c r="E45" s="24"/>
      <c r="F45" s="177"/>
      <c r="G45" s="26">
        <v>0</v>
      </c>
      <c r="H45" s="27">
        <f t="shared" si="6"/>
        <v>0</v>
      </c>
      <c r="I45" s="28"/>
      <c r="J45" s="177"/>
      <c r="K45" s="26">
        <v>0</v>
      </c>
      <c r="L45" s="27">
        <f t="shared" si="7"/>
        <v>0</v>
      </c>
      <c r="M45" s="28"/>
      <c r="N45" s="31">
        <f t="shared" si="8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SUM(H39:H45)+H38</f>
        <v>30.757899999999999</v>
      </c>
      <c r="I46" s="41"/>
      <c r="J46" s="53"/>
      <c r="K46" s="55"/>
      <c r="L46" s="54">
        <f>SUM(L39:L45)+L38</f>
        <v>30.202138721331654</v>
      </c>
      <c r="M46" s="41"/>
      <c r="N46" s="44">
        <f t="shared" ref="N46:N64" si="10">L46-H46</f>
        <v>-0.55576127866834568</v>
      </c>
      <c r="O46" s="45">
        <f t="shared" ref="O46:O64" si="11">IF((H46)=0,"",(N46/H46))</f>
        <v>-1.8068895427462397E-2</v>
      </c>
    </row>
    <row r="47" spans="2:15" x14ac:dyDescent="0.25">
      <c r="B47" s="28" t="s">
        <v>28</v>
      </c>
      <c r="C47" s="28"/>
      <c r="D47" s="56" t="s">
        <v>70</v>
      </c>
      <c r="E47" s="57"/>
      <c r="F47" s="29">
        <v>2.0562</v>
      </c>
      <c r="G47" s="58">
        <f>H16*(1+F73)</f>
        <v>1.048</v>
      </c>
      <c r="H47" s="27">
        <f>G47*F47</f>
        <v>2.1548976</v>
      </c>
      <c r="I47" s="28"/>
      <c r="J47" s="29">
        <f>'[5]13. Final 2015 RTS Rates'!$F$32</f>
        <v>2.122374849471242</v>
      </c>
      <c r="K47" s="59">
        <f>H16*(1+J73)</f>
        <v>1.0470999999999999</v>
      </c>
      <c r="L47" s="27">
        <f>K47*J47</f>
        <v>2.2223387048813374</v>
      </c>
      <c r="M47" s="28"/>
      <c r="N47" s="31">
        <f t="shared" si="10"/>
        <v>6.7441104881337477E-2</v>
      </c>
      <c r="O47" s="32">
        <f t="shared" si="11"/>
        <v>3.1296663415160644E-2</v>
      </c>
    </row>
    <row r="48" spans="2:15" x14ac:dyDescent="0.25">
      <c r="B48" s="60" t="s">
        <v>29</v>
      </c>
      <c r="C48" s="28"/>
      <c r="D48" s="56" t="s">
        <v>70</v>
      </c>
      <c r="E48" s="57"/>
      <c r="F48" s="29">
        <v>1.5665</v>
      </c>
      <c r="G48" s="58">
        <f>G47</f>
        <v>1.048</v>
      </c>
      <c r="H48" s="27">
        <f>G48*F48</f>
        <v>1.6416920000000002</v>
      </c>
      <c r="I48" s="28"/>
      <c r="J48" s="29">
        <f>'[5]13. Final 2015 RTS Rates'!$H$32</f>
        <v>1.6085970004746879</v>
      </c>
      <c r="K48" s="59">
        <f>K47</f>
        <v>1.0470999999999999</v>
      </c>
      <c r="L48" s="27">
        <f>K48*J48</f>
        <v>1.6843619191970456</v>
      </c>
      <c r="M48" s="28"/>
      <c r="N48" s="31">
        <f t="shared" si="10"/>
        <v>4.2669919197045436E-2</v>
      </c>
      <c r="O48" s="32">
        <f t="shared" si="11"/>
        <v>2.5991427866521512E-2</v>
      </c>
    </row>
    <row r="49" spans="2:19" x14ac:dyDescent="0.25">
      <c r="B49" s="50" t="s">
        <v>30</v>
      </c>
      <c r="C49" s="36"/>
      <c r="D49" s="36"/>
      <c r="E49" s="36"/>
      <c r="F49" s="61"/>
      <c r="G49" s="53"/>
      <c r="H49" s="54">
        <f>SUM(H46:H48)</f>
        <v>34.554489599999997</v>
      </c>
      <c r="I49" s="62"/>
      <c r="J49" s="63"/>
      <c r="K49" s="64"/>
      <c r="L49" s="54">
        <f>SUM(L46:L48)</f>
        <v>34.108839345410033</v>
      </c>
      <c r="M49" s="62"/>
      <c r="N49" s="44">
        <f t="shared" si="10"/>
        <v>-0.44565025458996388</v>
      </c>
      <c r="O49" s="45">
        <f t="shared" si="11"/>
        <v>-1.2897029004010059E-2</v>
      </c>
    </row>
    <row r="50" spans="2:19" x14ac:dyDescent="0.25">
      <c r="B50" s="65" t="s">
        <v>31</v>
      </c>
      <c r="C50" s="22"/>
      <c r="D50" s="23" t="s">
        <v>61</v>
      </c>
      <c r="E50" s="24"/>
      <c r="F50" s="66">
        <v>4.4000000000000003E-3</v>
      </c>
      <c r="G50" s="58">
        <f>F16*(1+F73)</f>
        <v>157.20000000000002</v>
      </c>
      <c r="H50" s="67">
        <f t="shared" ref="H50:H56" si="12">G50*F50</f>
        <v>0.69168000000000007</v>
      </c>
      <c r="I50" s="28"/>
      <c r="J50" s="66">
        <v>4.4000000000000003E-3</v>
      </c>
      <c r="K50" s="59">
        <f>F16*(1+J73)</f>
        <v>157.065</v>
      </c>
      <c r="L50" s="67">
        <f t="shared" ref="L50:L56" si="13">K50*J50</f>
        <v>0.69108599999999998</v>
      </c>
      <c r="M50" s="28"/>
      <c r="N50" s="31">
        <f t="shared" si="10"/>
        <v>-5.9400000000009445E-4</v>
      </c>
      <c r="O50" s="68">
        <f t="shared" si="11"/>
        <v>-8.5877862595433495E-4</v>
      </c>
    </row>
    <row r="51" spans="2:19" x14ac:dyDescent="0.25">
      <c r="B51" s="65" t="s">
        <v>32</v>
      </c>
      <c r="C51" s="22"/>
      <c r="D51" s="23" t="s">
        <v>61</v>
      </c>
      <c r="E51" s="24"/>
      <c r="F51" s="66">
        <v>1.2999999999999999E-3</v>
      </c>
      <c r="G51" s="58">
        <f>G50</f>
        <v>157.20000000000002</v>
      </c>
      <c r="H51" s="67">
        <f t="shared" si="12"/>
        <v>0.20436000000000001</v>
      </c>
      <c r="I51" s="28"/>
      <c r="J51" s="66">
        <v>1.2999999999999999E-3</v>
      </c>
      <c r="K51" s="59">
        <f>K50</f>
        <v>157.065</v>
      </c>
      <c r="L51" s="67">
        <f t="shared" si="13"/>
        <v>0.20418449999999999</v>
      </c>
      <c r="M51" s="28"/>
      <c r="N51" s="31">
        <f t="shared" si="10"/>
        <v>-1.7550000000002286E-4</v>
      </c>
      <c r="O51" s="68">
        <f t="shared" si="11"/>
        <v>-8.5877862595431023E-4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7">
        <f t="shared" si="12"/>
        <v>0.25</v>
      </c>
      <c r="I52" s="28"/>
      <c r="J52" s="176">
        <v>0.25</v>
      </c>
      <c r="K52" s="30">
        <v>1</v>
      </c>
      <c r="L52" s="67">
        <f t="shared" si="13"/>
        <v>0.25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6">
        <v>7.0000000000000001E-3</v>
      </c>
      <c r="G53" s="69">
        <f>F16</f>
        <v>150</v>
      </c>
      <c r="H53" s="67">
        <f t="shared" si="12"/>
        <v>1.05</v>
      </c>
      <c r="I53" s="28"/>
      <c r="J53" s="66">
        <v>7.0000000000000001E-3</v>
      </c>
      <c r="K53" s="70">
        <f>F16</f>
        <v>150</v>
      </c>
      <c r="L53" s="67">
        <f t="shared" si="13"/>
        <v>1.05</v>
      </c>
      <c r="M53" s="28"/>
      <c r="N53" s="31">
        <f t="shared" si="10"/>
        <v>0</v>
      </c>
      <c r="O53" s="68">
        <f t="shared" si="11"/>
        <v>0</v>
      </c>
    </row>
    <row r="54" spans="2:19" ht="15.75" thickBot="1" x14ac:dyDescent="0.3">
      <c r="B54" s="49" t="s">
        <v>73</v>
      </c>
      <c r="C54" s="22"/>
      <c r="D54" s="23" t="s">
        <v>61</v>
      </c>
      <c r="E54" s="24"/>
      <c r="F54" s="66">
        <v>8.2699999999999996E-2</v>
      </c>
      <c r="G54" s="69">
        <f>F16</f>
        <v>150</v>
      </c>
      <c r="H54" s="67">
        <f t="shared" si="12"/>
        <v>12.404999999999999</v>
      </c>
      <c r="I54" s="28"/>
      <c r="J54" s="66">
        <v>8.2699999999999996E-2</v>
      </c>
      <c r="K54" s="69">
        <f>F16</f>
        <v>150</v>
      </c>
      <c r="L54" s="67">
        <f t="shared" si="13"/>
        <v>12.404999999999999</v>
      </c>
      <c r="M54" s="28"/>
      <c r="N54" s="31">
        <f t="shared" si="10"/>
        <v>0</v>
      </c>
      <c r="O54" s="68">
        <f t="shared" si="11"/>
        <v>0</v>
      </c>
      <c r="S54" s="72"/>
    </row>
    <row r="55" spans="2:19" hidden="1" x14ac:dyDescent="0.25">
      <c r="B55" s="49" t="s">
        <v>36</v>
      </c>
      <c r="C55" s="22"/>
      <c r="D55" s="23"/>
      <c r="E55" s="24"/>
      <c r="F55" s="71">
        <v>0.104</v>
      </c>
      <c r="G55" s="69">
        <v>0</v>
      </c>
      <c r="H55" s="67">
        <f t="shared" si="12"/>
        <v>0</v>
      </c>
      <c r="I55" s="28"/>
      <c r="J55" s="66">
        <v>0.104</v>
      </c>
      <c r="K55" s="69">
        <v>0</v>
      </c>
      <c r="L55" s="67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hidden="1" x14ac:dyDescent="0.25">
      <c r="B56" s="12" t="s">
        <v>37</v>
      </c>
      <c r="C56" s="22"/>
      <c r="D56" s="23"/>
      <c r="E56" s="24"/>
      <c r="F56" s="71">
        <v>0.124</v>
      </c>
      <c r="G56" s="69">
        <v>0</v>
      </c>
      <c r="H56" s="67">
        <f t="shared" si="12"/>
        <v>0</v>
      </c>
      <c r="I56" s="28"/>
      <c r="J56" s="66">
        <v>0.124</v>
      </c>
      <c r="K56" s="69">
        <v>0</v>
      </c>
      <c r="L56" s="67">
        <f t="shared" si="13"/>
        <v>0</v>
      </c>
      <c r="M56" s="28"/>
      <c r="N56" s="31">
        <f t="shared" si="10"/>
        <v>0</v>
      </c>
      <c r="O56" s="68" t="str">
        <f t="shared" si="11"/>
        <v/>
      </c>
      <c r="S56" s="72"/>
    </row>
    <row r="57" spans="2:19" s="73" customFormat="1" hidden="1" x14ac:dyDescent="0.2">
      <c r="B57" s="179" t="s">
        <v>38</v>
      </c>
      <c r="C57" s="75"/>
      <c r="D57" s="76"/>
      <c r="E57" s="77"/>
      <c r="F57" s="71">
        <v>7.4999999999999997E-2</v>
      </c>
      <c r="G57" s="78">
        <f>IF(AND($T$1=1, F16&gt;=600), 600, IF(AND($T$1=1, AND(F16&lt;600, F16&gt;=0)), F16, IF(AND($T$1=2, F16&gt;=1000), 1000, IF(AND($T$1=2, AND(F16&lt;1000, F16&gt;=0)), F16))))</f>
        <v>150</v>
      </c>
      <c r="H57" s="67">
        <f>G57*F57</f>
        <v>11.25</v>
      </c>
      <c r="I57" s="79"/>
      <c r="J57" s="66">
        <v>7.4999999999999997E-2</v>
      </c>
      <c r="K57" s="78">
        <f>G57</f>
        <v>150</v>
      </c>
      <c r="L57" s="67">
        <f>K57*J57</f>
        <v>11.25</v>
      </c>
      <c r="M57" s="79"/>
      <c r="N57" s="80">
        <f t="shared" si="10"/>
        <v>0</v>
      </c>
      <c r="O57" s="68">
        <f t="shared" si="11"/>
        <v>0</v>
      </c>
    </row>
    <row r="58" spans="2:19" s="73" customFormat="1" ht="15.75" hidden="1" thickBot="1" x14ac:dyDescent="0.25">
      <c r="B58" s="179" t="s">
        <v>39</v>
      </c>
      <c r="C58" s="75"/>
      <c r="D58" s="76"/>
      <c r="E58" s="77"/>
      <c r="F58" s="71">
        <v>8.7999999999999995E-2</v>
      </c>
      <c r="G58" s="78">
        <f>IF(AND($T$1=1, F16&gt;=600), F16-600, IF(AND($T$1=1, AND(F16&lt;600, F16&gt;=0)), 0, IF(AND($T$1=2, F16&gt;=1000), F16-1000, IF(AND($T$1=2, AND(F16&lt;1000, F16&gt;=0)), 0))))</f>
        <v>0</v>
      </c>
      <c r="H58" s="67">
        <f>G58*F58</f>
        <v>0</v>
      </c>
      <c r="I58" s="79"/>
      <c r="J58" s="66">
        <v>8.7999999999999995E-2</v>
      </c>
      <c r="K58" s="78">
        <f>G58</f>
        <v>0</v>
      </c>
      <c r="L58" s="67">
        <f>K58*J58</f>
        <v>0</v>
      </c>
      <c r="M58" s="79"/>
      <c r="N58" s="80">
        <f t="shared" si="10"/>
        <v>0</v>
      </c>
      <c r="O58" s="68" t="str">
        <f t="shared" si="11"/>
        <v/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idden="1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49.155529599999994</v>
      </c>
      <c r="I60" s="95"/>
      <c r="J60" s="96"/>
      <c r="K60" s="96"/>
      <c r="L60" s="94">
        <f>SUM(L50:L56,L49)</f>
        <v>48.709109845410033</v>
      </c>
      <c r="M60" s="97"/>
      <c r="N60" s="98">
        <f>L60-H60</f>
        <v>-0.44641975458996086</v>
      </c>
      <c r="O60" s="99">
        <f>IF((H60)=0,"",(N60/H60))</f>
        <v>-9.0817809964143063E-3</v>
      </c>
      <c r="S60" s="72"/>
    </row>
    <row r="61" spans="2:19" hidden="1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6.3902188479999991</v>
      </c>
      <c r="I61" s="104"/>
      <c r="J61" s="105">
        <v>0.13</v>
      </c>
      <c r="K61" s="104"/>
      <c r="L61" s="106">
        <f>L60*J61</f>
        <v>6.3321842799033048</v>
      </c>
      <c r="M61" s="107"/>
      <c r="N61" s="108">
        <f t="shared" si="10"/>
        <v>-5.8034568096694272E-2</v>
      </c>
      <c r="O61" s="109">
        <f t="shared" si="11"/>
        <v>-9.0817809964142057E-3</v>
      </c>
      <c r="S61" s="72"/>
    </row>
    <row r="62" spans="2:19" hidden="1" x14ac:dyDescent="0.25">
      <c r="B62" s="110" t="s">
        <v>42</v>
      </c>
      <c r="C62" s="22"/>
      <c r="D62" s="22"/>
      <c r="E62" s="22"/>
      <c r="F62" s="111"/>
      <c r="G62" s="102"/>
      <c r="H62" s="103">
        <f>H60+H61</f>
        <v>55.545748447999991</v>
      </c>
      <c r="I62" s="104"/>
      <c r="J62" s="104"/>
      <c r="K62" s="104"/>
      <c r="L62" s="106">
        <f>L60+L61</f>
        <v>55.041294125313335</v>
      </c>
      <c r="M62" s="107"/>
      <c r="N62" s="108">
        <f t="shared" si="10"/>
        <v>-0.50445432268665513</v>
      </c>
      <c r="O62" s="109">
        <f t="shared" si="11"/>
        <v>-9.0817809964142942E-3</v>
      </c>
      <c r="S62" s="72"/>
    </row>
    <row r="63" spans="2:19" ht="15.75" hidden="1" customHeight="1" x14ac:dyDescent="0.25">
      <c r="B63" s="248" t="s">
        <v>43</v>
      </c>
      <c r="C63" s="248"/>
      <c r="D63" s="248"/>
      <c r="E63" s="22"/>
      <c r="F63" s="111"/>
      <c r="G63" s="102"/>
      <c r="H63" s="112">
        <f>ROUND(-H62*10%,2)</f>
        <v>-5.55</v>
      </c>
      <c r="I63" s="104"/>
      <c r="J63" s="104"/>
      <c r="K63" s="104"/>
      <c r="L63" s="113">
        <f>ROUND(-L62*10%,2)</f>
        <v>-5.5</v>
      </c>
      <c r="M63" s="107"/>
      <c r="N63" s="114">
        <f t="shared" si="10"/>
        <v>4.9999999999999822E-2</v>
      </c>
      <c r="O63" s="115">
        <f t="shared" si="11"/>
        <v>-9.0090090090089777E-3</v>
      </c>
    </row>
    <row r="64" spans="2:19" hidden="1" x14ac:dyDescent="0.25">
      <c r="B64" s="240" t="s">
        <v>44</v>
      </c>
      <c r="C64" s="240"/>
      <c r="D64" s="240"/>
      <c r="E64" s="116"/>
      <c r="F64" s="117"/>
      <c r="G64" s="118"/>
      <c r="H64" s="119">
        <f>H62+H63</f>
        <v>49.995748447999993</v>
      </c>
      <c r="I64" s="120"/>
      <c r="J64" s="120"/>
      <c r="K64" s="120"/>
      <c r="L64" s="121">
        <f>L62+L63</f>
        <v>49.541294125313335</v>
      </c>
      <c r="M64" s="122"/>
      <c r="N64" s="123">
        <f t="shared" si="10"/>
        <v>-0.45445432268665797</v>
      </c>
      <c r="O64" s="124">
        <f t="shared" si="11"/>
        <v>-9.0898593739291798E-3</v>
      </c>
    </row>
    <row r="65" spans="1:15" s="73" customFormat="1" ht="8.25" hidden="1" customHeight="1" x14ac:dyDescent="0.2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SUM(H54,H49,H50:H53)</f>
        <v>49.155529599999994</v>
      </c>
      <c r="I66" s="136"/>
      <c r="J66" s="137"/>
      <c r="K66" s="137"/>
      <c r="L66" s="188">
        <f>SUM(L54,L49,L50:L53)</f>
        <v>48.709109845410026</v>
      </c>
      <c r="M66" s="138"/>
      <c r="N66" s="139">
        <f>L66-H66</f>
        <v>-0.44641975458996797</v>
      </c>
      <c r="O66" s="99">
        <f>IF((H66)=0,"",(N66/H66))</f>
        <v>-9.0817809964144503E-3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6.3902188479999991</v>
      </c>
      <c r="I67" s="143"/>
      <c r="J67" s="144">
        <v>0.13</v>
      </c>
      <c r="K67" s="145"/>
      <c r="L67" s="146">
        <f>L66*J67</f>
        <v>6.3321842799033039</v>
      </c>
      <c r="M67" s="147"/>
      <c r="N67" s="148">
        <f>L67-H67</f>
        <v>-5.803456809669516E-2</v>
      </c>
      <c r="O67" s="109">
        <f>IF((H67)=0,"",(N67/H67))</f>
        <v>-9.0817809964143445E-3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55.545748447999991</v>
      </c>
      <c r="I68" s="143"/>
      <c r="J68" s="143"/>
      <c r="K68" s="143"/>
      <c r="L68" s="146">
        <f>L66+L67</f>
        <v>55.041294125313328</v>
      </c>
      <c r="M68" s="147"/>
      <c r="N68" s="148">
        <f>L68-H68</f>
        <v>-0.50445432268666224</v>
      </c>
      <c r="O68" s="109">
        <f>IF((H68)=0,"",(N68/H68))</f>
        <v>-9.0817809964144226E-3</v>
      </c>
    </row>
    <row r="69" spans="1:15" s="73" customFormat="1" ht="15.75" customHeight="1" x14ac:dyDescent="0.2">
      <c r="B69" s="249" t="s">
        <v>43</v>
      </c>
      <c r="C69" s="249"/>
      <c r="D69" s="249"/>
      <c r="E69" s="75"/>
      <c r="F69" s="150"/>
      <c r="G69" s="151"/>
      <c r="H69" s="152">
        <f>ROUND(-H68*10%,2)</f>
        <v>-5.55</v>
      </c>
      <c r="I69" s="143"/>
      <c r="J69" s="143"/>
      <c r="K69" s="143"/>
      <c r="L69" s="153">
        <f>ROUND(-L68*10%,2)</f>
        <v>-5.5</v>
      </c>
      <c r="M69" s="147"/>
      <c r="N69" s="154">
        <f>L69-H69</f>
        <v>4.9999999999999822E-2</v>
      </c>
      <c r="O69" s="115">
        <f>IF((H69)=0,"",(N69/H69))</f>
        <v>-9.0090090090089777E-3</v>
      </c>
    </row>
    <row r="70" spans="1:15" s="73" customFormat="1" ht="13.5" thickBot="1" x14ac:dyDescent="0.25">
      <c r="B70" s="241" t="s">
        <v>46</v>
      </c>
      <c r="C70" s="241"/>
      <c r="D70" s="241"/>
      <c r="E70" s="155"/>
      <c r="F70" s="156"/>
      <c r="G70" s="157"/>
      <c r="H70" s="158">
        <f>SUM(H68:H69)</f>
        <v>49.995748447999993</v>
      </c>
      <c r="I70" s="159"/>
      <c r="J70" s="159"/>
      <c r="K70" s="159"/>
      <c r="L70" s="160">
        <f>SUM(L68:L69)</f>
        <v>49.541294125313328</v>
      </c>
      <c r="M70" s="161"/>
      <c r="N70" s="162">
        <f>L70-H70</f>
        <v>-0.45445432268666508</v>
      </c>
      <c r="O70" s="163">
        <f>IF((H70)=0,"",(N70/H70))</f>
        <v>-9.089859373929322E-3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v>4.8000000000000001E-2</v>
      </c>
      <c r="J73" s="170">
        <f>'Res (100kWh)'!$J$74</f>
        <v>4.7100000000000003E-2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N18:O18"/>
    <mergeCell ref="N1:O1"/>
    <mergeCell ref="N2:O2"/>
    <mergeCell ref="N3:O3"/>
    <mergeCell ref="N5:O5"/>
    <mergeCell ref="B8:O8"/>
    <mergeCell ref="B9:O9"/>
    <mergeCell ref="D12:O12"/>
    <mergeCell ref="F18:H18"/>
    <mergeCell ref="J18:L18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47:E48 E39:E45 E50:E59 E21:E24 E26:E37">
      <formula1>#REF!</formula1>
    </dataValidation>
    <dataValidation type="list" allowBlank="1" showInputMessage="1" showErrorMessage="1" prompt="Select Charge Unit - monthly, per kWh, per kW" sqref="D47:D48 D39:D45 D65 D50:D59 D71 D21:D37">
      <formula1>"Monthly, per kWh, per kW"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6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0" tint="-0.14999847407452621"/>
    <pageSetUpPr fitToPage="1"/>
  </sheetPr>
  <dimension ref="A1:T90"/>
  <sheetViews>
    <sheetView showGridLines="0" workbookViewId="0">
      <selection activeCell="B8" sqref="B8:O8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8-B</v>
      </c>
      <c r="O3" s="234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34">
        <f>'Res (100kWh)'!$N$5:$O$5</f>
        <v>42177</v>
      </c>
      <c r="O5" s="234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59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250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Rates'!$C$6</f>
        <v>14.64</v>
      </c>
      <c r="G21" s="26">
        <v>1</v>
      </c>
      <c r="H21" s="27">
        <f>G21*F21</f>
        <v>14.64</v>
      </c>
      <c r="I21" s="28"/>
      <c r="J21" s="173">
        <f>'[2]Rate Schedule '!$E$10</f>
        <v>15.49</v>
      </c>
      <c r="K21" s="30">
        <v>1</v>
      </c>
      <c r="L21" s="27">
        <f>K21*J21</f>
        <v>15.49</v>
      </c>
      <c r="M21" s="28"/>
      <c r="N21" s="31">
        <f>L21-H21</f>
        <v>0.84999999999999964</v>
      </c>
      <c r="O21" s="32">
        <f>IF((H21)=0,"",(N21/H21))</f>
        <v>5.8060109289617461E-2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Calc'!$B$103</f>
        <v>0.85</v>
      </c>
      <c r="K24" s="30">
        <v>1</v>
      </c>
      <c r="L24" s="27">
        <f t="shared" si="1"/>
        <v>0.85</v>
      </c>
      <c r="M24" s="28"/>
      <c r="N24" s="31">
        <f t="shared" si="2"/>
        <v>0.85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v>100</v>
      </c>
      <c r="H25" s="27">
        <v>0</v>
      </c>
      <c r="I25" s="28"/>
      <c r="J25" s="29">
        <v>1.9720869946651326E-4</v>
      </c>
      <c r="K25" s="30">
        <v>100</v>
      </c>
      <c r="L25" s="27">
        <v>1.9720869946651325E-2</v>
      </c>
      <c r="M25" s="28"/>
      <c r="N25" s="31">
        <v>1.9720869946651325E-2</v>
      </c>
      <c r="O25" s="32" t="s">
        <v>92</v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250</v>
      </c>
      <c r="H26" s="27">
        <f t="shared" si="0"/>
        <v>-0.05</v>
      </c>
      <c r="I26" s="28"/>
      <c r="J26" s="173"/>
      <c r="K26" s="26">
        <f>$F$16</f>
        <v>250</v>
      </c>
      <c r="L26" s="27">
        <f t="shared" si="1"/>
        <v>0</v>
      </c>
      <c r="M26" s="28"/>
      <c r="N26" s="31">
        <f t="shared" si="2"/>
        <v>0.05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250</v>
      </c>
      <c r="H27" s="27">
        <f t="shared" si="0"/>
        <v>0</v>
      </c>
      <c r="I27" s="28"/>
      <c r="J27" s="29">
        <f>'[4]6. Rate Rider Calculations'!$F$75</f>
        <v>-3.6442926228316881E-3</v>
      </c>
      <c r="K27" s="26">
        <f>$F$16</f>
        <v>250</v>
      </c>
      <c r="L27" s="27">
        <f t="shared" si="1"/>
        <v>-0.91107315570792202</v>
      </c>
      <c r="M27" s="28"/>
      <c r="N27" s="31">
        <f t="shared" si="2"/>
        <v>-0.91107315570792202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Rates'!$E$6</f>
        <v>1.3100000000000001E-2</v>
      </c>
      <c r="G28" s="26">
        <f>$F$16</f>
        <v>250</v>
      </c>
      <c r="H28" s="27">
        <f t="shared" si="0"/>
        <v>3.2750000000000004</v>
      </c>
      <c r="I28" s="28"/>
      <c r="J28" s="29">
        <f>'[2]Rate Schedule '!$E$11</f>
        <v>1.3899999999999999E-2</v>
      </c>
      <c r="K28" s="26">
        <f>$F$16</f>
        <v>250</v>
      </c>
      <c r="L28" s="27">
        <f t="shared" si="1"/>
        <v>3.4749999999999996</v>
      </c>
      <c r="M28" s="28"/>
      <c r="N28" s="31">
        <f t="shared" si="2"/>
        <v>0.19999999999999929</v>
      </c>
      <c r="O28" s="32">
        <f t="shared" si="3"/>
        <v>6.1068702290076111E-2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250</v>
      </c>
      <c r="H29" s="27">
        <f t="shared" si="0"/>
        <v>0</v>
      </c>
      <c r="I29" s="28"/>
      <c r="J29" s="29"/>
      <c r="K29" s="26">
        <f t="shared" ref="K29:K37" si="4">$F$16</f>
        <v>250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250</v>
      </c>
      <c r="H30" s="27">
        <f t="shared" si="0"/>
        <v>0</v>
      </c>
      <c r="I30" s="28"/>
      <c r="J30" s="29"/>
      <c r="K30" s="26">
        <f t="shared" si="4"/>
        <v>250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5">$F$16</f>
        <v>250</v>
      </c>
      <c r="H31" s="27">
        <f t="shared" si="0"/>
        <v>0</v>
      </c>
      <c r="I31" s="28"/>
      <c r="J31" s="29"/>
      <c r="K31" s="26">
        <f t="shared" si="4"/>
        <v>250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250</v>
      </c>
      <c r="H32" s="27">
        <f t="shared" si="0"/>
        <v>0</v>
      </c>
      <c r="I32" s="28"/>
      <c r="J32" s="29"/>
      <c r="K32" s="26">
        <f t="shared" si="4"/>
        <v>250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250</v>
      </c>
      <c r="H33" s="27">
        <f t="shared" si="0"/>
        <v>0</v>
      </c>
      <c r="I33" s="28"/>
      <c r="J33" s="29"/>
      <c r="K33" s="26">
        <f t="shared" si="4"/>
        <v>250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250</v>
      </c>
      <c r="H34" s="27">
        <f t="shared" si="0"/>
        <v>0</v>
      </c>
      <c r="I34" s="28"/>
      <c r="J34" s="29"/>
      <c r="K34" s="26">
        <f t="shared" si="4"/>
        <v>250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250</v>
      </c>
      <c r="H35" s="27">
        <f t="shared" si="0"/>
        <v>0</v>
      </c>
      <c r="I35" s="28"/>
      <c r="J35" s="29"/>
      <c r="K35" s="26">
        <f t="shared" si="4"/>
        <v>250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250</v>
      </c>
      <c r="H36" s="27">
        <f t="shared" si="0"/>
        <v>0</v>
      </c>
      <c r="I36" s="28"/>
      <c r="J36" s="29"/>
      <c r="K36" s="26">
        <f t="shared" si="4"/>
        <v>250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5"/>
        <v>250</v>
      </c>
      <c r="H37" s="27">
        <f t="shared" si="0"/>
        <v>0</v>
      </c>
      <c r="I37" s="28"/>
      <c r="J37" s="29"/>
      <c r="K37" s="26">
        <f t="shared" si="4"/>
        <v>250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20.564999999999998</v>
      </c>
      <c r="I38" s="41"/>
      <c r="J38" s="42"/>
      <c r="K38" s="43"/>
      <c r="L38" s="40">
        <f>SUM(L21:L37)</f>
        <v>18.923647714238733</v>
      </c>
      <c r="M38" s="41"/>
      <c r="N38" s="44">
        <f t="shared" si="2"/>
        <v>-1.6413522857612648</v>
      </c>
      <c r="O38" s="45">
        <f t="shared" si="3"/>
        <v>-7.9812899866825424E-2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250</v>
      </c>
      <c r="H40" s="27">
        <f t="shared" ref="H40:H46" si="6">G40*F40</f>
        <v>-0.45</v>
      </c>
      <c r="I40" s="28"/>
      <c r="J40" s="29">
        <f>'[4]6. Rate Rider Calculations'!$F$20</f>
        <v>-1.0318837523400292E-3</v>
      </c>
      <c r="K40" s="26">
        <f>$F$16</f>
        <v>250</v>
      </c>
      <c r="L40" s="27">
        <f t="shared" ref="L40:L46" si="7">K40*J40</f>
        <v>-0.25797093808500732</v>
      </c>
      <c r="M40" s="28"/>
      <c r="N40" s="31">
        <f t="shared" ref="N40:N65" si="8">L40-H40</f>
        <v>0.19202906191499269</v>
      </c>
      <c r="O40" s="32">
        <f t="shared" ref="O40:O45" si="9">IF((H40)=0,"",(N40/H40))</f>
        <v>-0.42673124869998375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250</v>
      </c>
      <c r="H41" s="27">
        <f t="shared" si="6"/>
        <v>0</v>
      </c>
      <c r="I41" s="47"/>
      <c r="J41" s="29"/>
      <c r="K41" s="26">
        <f>$F$16</f>
        <v>250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250</v>
      </c>
      <c r="H42" s="27">
        <f t="shared" si="6"/>
        <v>0</v>
      </c>
      <c r="I42" s="47"/>
      <c r="J42" s="29"/>
      <c r="K42" s="26">
        <f>$F$16</f>
        <v>250</v>
      </c>
      <c r="L42" s="27">
        <f t="shared" si="7"/>
        <v>0</v>
      </c>
      <c r="M42" s="48"/>
      <c r="N42" s="31">
        <f t="shared" si="8"/>
        <v>0</v>
      </c>
      <c r="O42" s="32" t="str">
        <f t="shared" si="9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250</v>
      </c>
      <c r="H43" s="27">
        <f t="shared" si="6"/>
        <v>0</v>
      </c>
      <c r="I43" s="47"/>
      <c r="J43" s="29"/>
      <c r="K43" s="26">
        <f>$F$16</f>
        <v>250</v>
      </c>
      <c r="L43" s="27">
        <f t="shared" si="7"/>
        <v>0</v>
      </c>
      <c r="M43" s="48"/>
      <c r="N43" s="31">
        <f t="shared" si="8"/>
        <v>0</v>
      </c>
      <c r="O43" s="32" t="str">
        <f t="shared" si="9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250</v>
      </c>
      <c r="H44" s="27">
        <f t="shared" si="6"/>
        <v>0.01</v>
      </c>
      <c r="I44" s="28"/>
      <c r="J44" s="195">
        <f>'[2]Rate Schedule '!$E$12</f>
        <v>6.9999999999999994E-5</v>
      </c>
      <c r="K44" s="26">
        <f>$F$16</f>
        <v>250</v>
      </c>
      <c r="L44" s="27">
        <f t="shared" si="7"/>
        <v>1.7499999999999998E-2</v>
      </c>
      <c r="M44" s="28"/>
      <c r="N44" s="31">
        <f t="shared" si="8"/>
        <v>7.499999999999998E-3</v>
      </c>
      <c r="O44" s="32">
        <f t="shared" si="9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12</v>
      </c>
      <c r="H45" s="183">
        <f t="shared" si="6"/>
        <v>1.1095200000000001</v>
      </c>
      <c r="I45" s="57"/>
      <c r="J45" s="184">
        <f>0.64*$F$55+0.18*$F$56+0.18*$F$57</f>
        <v>9.2460000000000001E-2</v>
      </c>
      <c r="K45" s="26">
        <f>$F$16*(1+$J$74)-$F$16</f>
        <v>11.774999999999977</v>
      </c>
      <c r="L45" s="183">
        <f t="shared" si="7"/>
        <v>1.0887164999999979</v>
      </c>
      <c r="M45" s="57"/>
      <c r="N45" s="185">
        <f t="shared" si="8"/>
        <v>-2.0803500000002195E-2</v>
      </c>
      <c r="O45" s="186">
        <f t="shared" si="9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6"/>
        <v>0.79</v>
      </c>
      <c r="I46" s="28"/>
      <c r="J46" s="177">
        <v>0.79</v>
      </c>
      <c r="K46" s="26">
        <v>1</v>
      </c>
      <c r="L46" s="27">
        <f t="shared" si="7"/>
        <v>0.79</v>
      </c>
      <c r="M46" s="28"/>
      <c r="N46" s="31">
        <f t="shared" si="8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22.024519999999999</v>
      </c>
      <c r="I47" s="41"/>
      <c r="J47" s="53"/>
      <c r="K47" s="55"/>
      <c r="L47" s="54">
        <f>SUM(L39:L46)+L38</f>
        <v>20.561893276153725</v>
      </c>
      <c r="M47" s="41"/>
      <c r="N47" s="44">
        <f t="shared" si="8"/>
        <v>-1.4626267238462738</v>
      </c>
      <c r="O47" s="45">
        <f t="shared" ref="O47:O65" si="10">IF((H47)=0,"",(N47/H47))</f>
        <v>-6.6409017034027254E-2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262</v>
      </c>
      <c r="H48" s="27">
        <f>G48*F48</f>
        <v>1.9126000000000001</v>
      </c>
      <c r="I48" s="28"/>
      <c r="J48" s="29">
        <f>'[5]13. Final 2015 RTS Rates'!$F$26</f>
        <v>7.5166324038951132E-3</v>
      </c>
      <c r="K48" s="59">
        <f>F16*(1+J74)</f>
        <v>261.77499999999998</v>
      </c>
      <c r="L48" s="27">
        <f>K48*J48</f>
        <v>1.967666447529643</v>
      </c>
      <c r="M48" s="28"/>
      <c r="N48" s="31">
        <f t="shared" si="8"/>
        <v>5.5066447529642959E-2</v>
      </c>
      <c r="O48" s="32">
        <f t="shared" si="10"/>
        <v>2.8791408307875643E-2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262</v>
      </c>
      <c r="H49" s="27">
        <f>G49*F49</f>
        <v>1.4934000000000001</v>
      </c>
      <c r="I49" s="28"/>
      <c r="J49" s="29">
        <f>'[5]13. Final 2015 RTS Rates'!$H$26</f>
        <v>5.857883813739073E-3</v>
      </c>
      <c r="K49" s="59">
        <f>K48</f>
        <v>261.77499999999998</v>
      </c>
      <c r="L49" s="27">
        <f>K49*J49</f>
        <v>1.5334475353415458</v>
      </c>
      <c r="M49" s="28"/>
      <c r="N49" s="31">
        <f t="shared" si="8"/>
        <v>4.0047535341545704E-2</v>
      </c>
      <c r="O49" s="32">
        <f t="shared" si="10"/>
        <v>2.6816348829212334E-2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25.430520000000001</v>
      </c>
      <c r="I50" s="62"/>
      <c r="J50" s="63"/>
      <c r="K50" s="64"/>
      <c r="L50" s="54">
        <f>SUM(L47:L49)</f>
        <v>24.063007259024914</v>
      </c>
      <c r="M50" s="62"/>
      <c r="N50" s="44">
        <f t="shared" si="8"/>
        <v>-1.3675127409750871</v>
      </c>
      <c r="O50" s="45">
        <f t="shared" si="10"/>
        <v>-5.3774470241862417E-2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262</v>
      </c>
      <c r="H51" s="67">
        <f t="shared" ref="H51:H57" si="11">G51*F51</f>
        <v>1.1528</v>
      </c>
      <c r="I51" s="28"/>
      <c r="J51" s="66">
        <v>4.4000000000000003E-3</v>
      </c>
      <c r="K51" s="59">
        <f>K49</f>
        <v>261.77499999999998</v>
      </c>
      <c r="L51" s="67">
        <f t="shared" ref="L51:L57" si="12">K51*J51</f>
        <v>1.15181</v>
      </c>
      <c r="M51" s="28"/>
      <c r="N51" s="31">
        <f t="shared" si="8"/>
        <v>-9.900000000000464E-4</v>
      </c>
      <c r="O51" s="68">
        <f t="shared" si="10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262</v>
      </c>
      <c r="H52" s="67">
        <f t="shared" si="11"/>
        <v>0.34059999999999996</v>
      </c>
      <c r="I52" s="28"/>
      <c r="J52" s="66">
        <v>1.2999999999999999E-3</v>
      </c>
      <c r="K52" s="59">
        <f>K49</f>
        <v>261.77499999999998</v>
      </c>
      <c r="L52" s="67">
        <f t="shared" si="12"/>
        <v>0.34030749999999993</v>
      </c>
      <c r="M52" s="28"/>
      <c r="N52" s="31">
        <f t="shared" si="8"/>
        <v>-2.9250000000002885E-4</v>
      </c>
      <c r="O52" s="68">
        <f t="shared" si="10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1"/>
        <v>0.25</v>
      </c>
      <c r="I53" s="28"/>
      <c r="J53" s="176">
        <v>0.25</v>
      </c>
      <c r="K53" s="30">
        <v>1</v>
      </c>
      <c r="L53" s="67">
        <f t="shared" si="12"/>
        <v>0.25</v>
      </c>
      <c r="M53" s="28"/>
      <c r="N53" s="31">
        <f t="shared" si="8"/>
        <v>0</v>
      </c>
      <c r="O53" s="68">
        <f t="shared" si="10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250</v>
      </c>
      <c r="H54" s="67">
        <f t="shared" si="11"/>
        <v>1.75</v>
      </c>
      <c r="I54" s="28"/>
      <c r="J54" s="66">
        <v>7.0000000000000001E-3</v>
      </c>
      <c r="K54" s="70">
        <f>F16</f>
        <v>250</v>
      </c>
      <c r="L54" s="67">
        <f t="shared" si="12"/>
        <v>1.75</v>
      </c>
      <c r="M54" s="28"/>
      <c r="N54" s="31">
        <f t="shared" si="8"/>
        <v>0</v>
      </c>
      <c r="O54" s="68">
        <f t="shared" si="10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160</v>
      </c>
      <c r="H55" s="67">
        <f t="shared" si="11"/>
        <v>12</v>
      </c>
      <c r="I55" s="28"/>
      <c r="J55" s="66">
        <v>7.4999999999999997E-2</v>
      </c>
      <c r="K55" s="69">
        <f>G55</f>
        <v>160</v>
      </c>
      <c r="L55" s="67">
        <f t="shared" si="12"/>
        <v>12</v>
      </c>
      <c r="M55" s="28"/>
      <c r="N55" s="31">
        <f t="shared" si="8"/>
        <v>0</v>
      </c>
      <c r="O55" s="68">
        <f t="shared" si="10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45</v>
      </c>
      <c r="H56" s="67">
        <f t="shared" si="11"/>
        <v>5.04</v>
      </c>
      <c r="I56" s="28"/>
      <c r="J56" s="66">
        <v>0.112</v>
      </c>
      <c r="K56" s="69">
        <f>G56</f>
        <v>45</v>
      </c>
      <c r="L56" s="67">
        <f t="shared" si="12"/>
        <v>5.04</v>
      </c>
      <c r="M56" s="28"/>
      <c r="N56" s="31">
        <f t="shared" si="8"/>
        <v>0</v>
      </c>
      <c r="O56" s="68">
        <f t="shared" si="10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45</v>
      </c>
      <c r="H57" s="67">
        <f t="shared" si="11"/>
        <v>6.0750000000000002</v>
      </c>
      <c r="I57" s="28"/>
      <c r="J57" s="66">
        <v>0.13500000000000001</v>
      </c>
      <c r="K57" s="69">
        <f>G57</f>
        <v>45</v>
      </c>
      <c r="L57" s="67">
        <f t="shared" si="12"/>
        <v>6.0750000000000002</v>
      </c>
      <c r="M57" s="28"/>
      <c r="N57" s="31">
        <f t="shared" si="8"/>
        <v>0</v>
      </c>
      <c r="O57" s="68">
        <f t="shared" si="10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250</v>
      </c>
      <c r="H58" s="67">
        <f>G58*F58</f>
        <v>21.5</v>
      </c>
      <c r="I58" s="79"/>
      <c r="J58" s="66">
        <v>8.5999999999999993E-2</v>
      </c>
      <c r="K58" s="78">
        <f>G58</f>
        <v>250</v>
      </c>
      <c r="L58" s="67">
        <f>K58*J58</f>
        <v>21.5</v>
      </c>
      <c r="M58" s="79"/>
      <c r="N58" s="80">
        <f t="shared" si="8"/>
        <v>0</v>
      </c>
      <c r="O58" s="68">
        <f t="shared" si="10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0</v>
      </c>
      <c r="H59" s="67">
        <f>G59*F59</f>
        <v>0</v>
      </c>
      <c r="I59" s="79"/>
      <c r="J59" s="66">
        <v>0.10100000000000001</v>
      </c>
      <c r="K59" s="78">
        <f>G59</f>
        <v>0</v>
      </c>
      <c r="L59" s="67">
        <f>K59*J59</f>
        <v>0</v>
      </c>
      <c r="M59" s="79"/>
      <c r="N59" s="80">
        <f t="shared" si="8"/>
        <v>0</v>
      </c>
      <c r="O59" s="68" t="str">
        <f t="shared" si="10"/>
        <v/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52.038920000000005</v>
      </c>
      <c r="I61" s="95"/>
      <c r="J61" s="96"/>
      <c r="K61" s="96"/>
      <c r="L61" s="189">
        <f>SUM(L51:L57,L50)</f>
        <v>50.670124759024915</v>
      </c>
      <c r="M61" s="97"/>
      <c r="N61" s="98">
        <f>L61-H61</f>
        <v>-1.3687952409750892</v>
      </c>
      <c r="O61" s="99">
        <f>IF((H61)=0,"",(N61/H61))</f>
        <v>-2.6303298396182877E-2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6.7650596000000007</v>
      </c>
      <c r="I62" s="104"/>
      <c r="J62" s="105">
        <v>0.13</v>
      </c>
      <c r="K62" s="104"/>
      <c r="L62" s="106">
        <f>L61*J62</f>
        <v>6.5871162186732395</v>
      </c>
      <c r="M62" s="107"/>
      <c r="N62" s="108">
        <f t="shared" si="8"/>
        <v>-0.17794338132676124</v>
      </c>
      <c r="O62" s="109">
        <f t="shared" si="10"/>
        <v>-2.6303298396182825E-2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58.803979600000005</v>
      </c>
      <c r="I63" s="104"/>
      <c r="J63" s="104"/>
      <c r="K63" s="104"/>
      <c r="L63" s="106">
        <f>L61+L62</f>
        <v>57.257240977698153</v>
      </c>
      <c r="M63" s="107"/>
      <c r="N63" s="108">
        <f t="shared" si="8"/>
        <v>-1.5467386223018522</v>
      </c>
      <c r="O63" s="109">
        <f t="shared" si="10"/>
        <v>-2.6303298396182902E-2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-5.88</v>
      </c>
      <c r="I64" s="104"/>
      <c r="J64" s="104"/>
      <c r="K64" s="104"/>
      <c r="L64" s="113">
        <f>ROUND(-L63*10%,2)</f>
        <v>-5.73</v>
      </c>
      <c r="M64" s="107"/>
      <c r="N64" s="114">
        <f t="shared" si="8"/>
        <v>0.14999999999999947</v>
      </c>
      <c r="O64" s="115">
        <f t="shared" si="10"/>
        <v>-2.5510204081632563E-2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52.923979600000003</v>
      </c>
      <c r="I65" s="120"/>
      <c r="J65" s="120"/>
      <c r="K65" s="120"/>
      <c r="L65" s="121">
        <f>L63+L64</f>
        <v>51.527240977698156</v>
      </c>
      <c r="M65" s="122"/>
      <c r="N65" s="123">
        <f t="shared" si="8"/>
        <v>-1.3967386223018465</v>
      </c>
      <c r="O65" s="124">
        <f t="shared" si="10"/>
        <v>-2.6391413360416428E-2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50.423920000000003</v>
      </c>
      <c r="I67" s="136"/>
      <c r="J67" s="137"/>
      <c r="K67" s="137"/>
      <c r="L67" s="188">
        <f>SUM(L58:L59,L50,L51:L54)</f>
        <v>49.055124759024913</v>
      </c>
      <c r="M67" s="138"/>
      <c r="N67" s="139">
        <f>L67-H67</f>
        <v>-1.3687952409750892</v>
      </c>
      <c r="O67" s="99">
        <f>IF((H67)=0,"",(N67/H67))</f>
        <v>-2.7145752273426763E-2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6.5551096000000006</v>
      </c>
      <c r="I68" s="143"/>
      <c r="J68" s="144">
        <v>0.13</v>
      </c>
      <c r="K68" s="145"/>
      <c r="L68" s="146">
        <f>L67*J68</f>
        <v>6.3771662186732385</v>
      </c>
      <c r="M68" s="147"/>
      <c r="N68" s="148">
        <f>L68-H68</f>
        <v>-0.17794338132676213</v>
      </c>
      <c r="O68" s="109">
        <f>IF((H68)=0,"",(N68/H68))</f>
        <v>-2.7145752273426842E-2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56.979029600000004</v>
      </c>
      <c r="I69" s="143"/>
      <c r="J69" s="143"/>
      <c r="K69" s="143"/>
      <c r="L69" s="146">
        <f>L67+L68</f>
        <v>55.432290977698152</v>
      </c>
      <c r="M69" s="147"/>
      <c r="N69" s="148">
        <f>L69-H69</f>
        <v>-1.5467386223018522</v>
      </c>
      <c r="O69" s="109">
        <f>IF((H69)=0,"",(N69/H69))</f>
        <v>-2.7145752273426787E-2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-5.7</v>
      </c>
      <c r="I70" s="143"/>
      <c r="J70" s="143"/>
      <c r="K70" s="143"/>
      <c r="L70" s="153">
        <f>ROUND(-L69*10%,2)</f>
        <v>-5.54</v>
      </c>
      <c r="M70" s="147"/>
      <c r="N70" s="154">
        <f>L70-H70</f>
        <v>0.16000000000000014</v>
      </c>
      <c r="O70" s="115">
        <f>IF((H70)=0,"",(N70/H70))</f>
        <v>-2.8070175438596516E-2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51.279029600000001</v>
      </c>
      <c r="I71" s="159"/>
      <c r="J71" s="159"/>
      <c r="K71" s="159"/>
      <c r="L71" s="160">
        <f>SUM(L69:L70)</f>
        <v>49.892290977698153</v>
      </c>
      <c r="M71" s="161"/>
      <c r="N71" s="162">
        <f>L71-H71</f>
        <v>-1.3867386223018485</v>
      </c>
      <c r="O71" s="163">
        <f>IF((H71)=0,"",(N71/H71))</f>
        <v>-2.7042996583965164E-2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</mergeCells>
  <dataValidations count="3">
    <dataValidation type="list" allowBlank="1" showInputMessage="1" showErrorMessage="1" sqref="E48:E49 E51:E60 E39:E46 E21:E37 E72 E66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>
    <tabColor theme="0" tint="-0.14999847407452621"/>
    <pageSetUpPr fitToPage="1"/>
  </sheetPr>
  <dimension ref="A1:T89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8-B</v>
      </c>
      <c r="O3" s="234"/>
      <c r="P3"/>
    </row>
    <row r="4" spans="1:20" s="2" customFormat="1" ht="9" customHeight="1" x14ac:dyDescent="0.25">
      <c r="L4" s="3"/>
      <c r="N4" s="232"/>
      <c r="O4"/>
      <c r="P4"/>
    </row>
    <row r="5" spans="1:20" s="2" customFormat="1" x14ac:dyDescent="0.25">
      <c r="L5" s="3" t="s">
        <v>75</v>
      </c>
      <c r="N5" s="234">
        <f>'Res (100kWh)'!$N$5:$O$5</f>
        <v>42177</v>
      </c>
      <c r="O5" s="234"/>
      <c r="P5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71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168200</v>
      </c>
      <c r="G16" s="13" t="s">
        <v>7</v>
      </c>
      <c r="H16" s="14">
        <v>470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Rates'!$B$10</f>
        <v>4.88</v>
      </c>
      <c r="G21" s="58">
        <v>5419</v>
      </c>
      <c r="H21" s="27">
        <f>G21*F21</f>
        <v>26444.720000000001</v>
      </c>
      <c r="I21" s="28"/>
      <c r="J21" s="173">
        <f>'[2]Rate Schedule '!$E$34</f>
        <v>4.6500000000000004</v>
      </c>
      <c r="K21" s="58">
        <v>5419</v>
      </c>
      <c r="L21" s="27">
        <f>K21*J21</f>
        <v>25198.350000000002</v>
      </c>
      <c r="M21" s="28"/>
      <c r="N21" s="31">
        <f>L21-H21</f>
        <v>-1246.369999999999</v>
      </c>
      <c r="O21" s="32">
        <f>IF((H21)=0,"",(N21/H21))</f>
        <v>-4.7131147540983569E-2</v>
      </c>
    </row>
    <row r="22" spans="2:15" ht="36.75" customHeight="1" x14ac:dyDescent="0.25">
      <c r="B22" s="65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7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64" si="2">L23-H23</f>
        <v>0</v>
      </c>
      <c r="O23" s="32" t="str">
        <f t="shared" ref="O23:O44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70</v>
      </c>
      <c r="E25" s="24"/>
      <c r="F25" s="25"/>
      <c r="G25" s="178">
        <f>$H$16</f>
        <v>470</v>
      </c>
      <c r="H25" s="27">
        <f t="shared" ref="H25" si="4">G25*F25</f>
        <v>0</v>
      </c>
      <c r="I25" s="28"/>
      <c r="J25" s="29">
        <f>'[4]6. Rate Rider Calculations'!$F$109</f>
        <v>13.032701418722425</v>
      </c>
      <c r="K25" s="178">
        <f>$H$16</f>
        <v>470</v>
      </c>
      <c r="L25" s="27">
        <f t="shared" ref="L25" si="5">K25*J25</f>
        <v>6125.36966679954</v>
      </c>
      <c r="M25" s="28"/>
      <c r="N25" s="31">
        <f t="shared" ref="N25" si="6">L25-H25</f>
        <v>6125.36966679954</v>
      </c>
      <c r="O25" s="32" t="str">
        <f t="shared" ref="O25" si="7">IF((H25)=0,"",(N25/H25))</f>
        <v/>
      </c>
    </row>
    <row r="26" spans="2:15" x14ac:dyDescent="0.25">
      <c r="B26" s="46" t="s">
        <v>65</v>
      </c>
      <c r="C26" s="22"/>
      <c r="D26" s="23" t="s">
        <v>70</v>
      </c>
      <c r="E26" s="24"/>
      <c r="F26" s="25">
        <v>-0.45660000000000001</v>
      </c>
      <c r="G26" s="178">
        <f>$H$16</f>
        <v>470</v>
      </c>
      <c r="H26" s="27">
        <f t="shared" si="0"/>
        <v>-214.602</v>
      </c>
      <c r="I26" s="28"/>
      <c r="J26" s="29"/>
      <c r="K26" s="178">
        <f>$H$16</f>
        <v>470</v>
      </c>
      <c r="L26" s="27">
        <f t="shared" si="1"/>
        <v>0</v>
      </c>
      <c r="M26" s="28"/>
      <c r="N26" s="31">
        <f t="shared" si="2"/>
        <v>214.602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70</v>
      </c>
      <c r="E27" s="24"/>
      <c r="F27" s="25"/>
      <c r="G27" s="178">
        <f>$H$16</f>
        <v>470</v>
      </c>
      <c r="H27" s="27">
        <f t="shared" si="0"/>
        <v>0</v>
      </c>
      <c r="I27" s="28"/>
      <c r="J27" s="29">
        <f>'[4]6. Rate Rider Calculations'!$F$81</f>
        <v>-1.3041759146002594</v>
      </c>
      <c r="K27" s="178">
        <f>$H$16</f>
        <v>470</v>
      </c>
      <c r="L27" s="27">
        <f t="shared" si="1"/>
        <v>-612.96267986212195</v>
      </c>
      <c r="M27" s="28"/>
      <c r="N27" s="31">
        <f t="shared" si="2"/>
        <v>-612.96267986212195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70</v>
      </c>
      <c r="E28" s="24"/>
      <c r="F28" s="25">
        <f>'[2]2014 Existing Rates'!$D$10</f>
        <v>26.125499999999999</v>
      </c>
      <c r="G28" s="178">
        <f>$H$16</f>
        <v>470</v>
      </c>
      <c r="H28" s="27">
        <f t="shared" si="0"/>
        <v>12278.984999999999</v>
      </c>
      <c r="I28" s="28"/>
      <c r="J28" s="29">
        <f>'[2]Rate Schedule '!$E$35</f>
        <v>24.876999999999999</v>
      </c>
      <c r="K28" s="178">
        <f>$H$16</f>
        <v>470</v>
      </c>
      <c r="L28" s="27">
        <f t="shared" si="1"/>
        <v>11692.189999999999</v>
      </c>
      <c r="M28" s="28"/>
      <c r="N28" s="31">
        <f t="shared" si="2"/>
        <v>-586.79500000000007</v>
      </c>
      <c r="O28" s="32">
        <f t="shared" si="3"/>
        <v>-4.7788559070639808E-2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168200</v>
      </c>
      <c r="H29" s="27">
        <f t="shared" si="0"/>
        <v>0</v>
      </c>
      <c r="I29" s="28"/>
      <c r="J29" s="29"/>
      <c r="K29" s="26">
        <f t="shared" ref="K29:K37" si="8">$F$16</f>
        <v>168200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168200</v>
      </c>
      <c r="H30" s="27">
        <f t="shared" si="0"/>
        <v>0</v>
      </c>
      <c r="I30" s="28"/>
      <c r="J30" s="29"/>
      <c r="K30" s="26">
        <f t="shared" si="8"/>
        <v>168200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9">$F$16</f>
        <v>168200</v>
      </c>
      <c r="H31" s="27">
        <f t="shared" si="0"/>
        <v>0</v>
      </c>
      <c r="I31" s="28"/>
      <c r="J31" s="29"/>
      <c r="K31" s="26">
        <f t="shared" si="8"/>
        <v>168200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9"/>
        <v>168200</v>
      </c>
      <c r="H32" s="27">
        <f t="shared" si="0"/>
        <v>0</v>
      </c>
      <c r="I32" s="28"/>
      <c r="J32" s="29"/>
      <c r="K32" s="26">
        <f t="shared" si="8"/>
        <v>168200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9"/>
        <v>168200</v>
      </c>
      <c r="H33" s="27">
        <f t="shared" si="0"/>
        <v>0</v>
      </c>
      <c r="I33" s="28"/>
      <c r="J33" s="29"/>
      <c r="K33" s="26">
        <f t="shared" si="8"/>
        <v>168200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9"/>
        <v>168200</v>
      </c>
      <c r="H34" s="27">
        <f t="shared" si="0"/>
        <v>0</v>
      </c>
      <c r="I34" s="28"/>
      <c r="J34" s="29"/>
      <c r="K34" s="26">
        <f t="shared" si="8"/>
        <v>168200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9"/>
        <v>168200</v>
      </c>
      <c r="H35" s="27">
        <f t="shared" si="0"/>
        <v>0</v>
      </c>
      <c r="I35" s="28"/>
      <c r="J35" s="29"/>
      <c r="K35" s="26">
        <f t="shared" si="8"/>
        <v>168200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9"/>
        <v>168200</v>
      </c>
      <c r="H36" s="27">
        <f t="shared" si="0"/>
        <v>0</v>
      </c>
      <c r="I36" s="28"/>
      <c r="J36" s="29"/>
      <c r="K36" s="26">
        <f t="shared" si="8"/>
        <v>168200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9"/>
        <v>168200</v>
      </c>
      <c r="H37" s="27">
        <f t="shared" si="0"/>
        <v>0</v>
      </c>
      <c r="I37" s="28"/>
      <c r="J37" s="29"/>
      <c r="K37" s="26">
        <f t="shared" si="8"/>
        <v>168200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38509.103000000003</v>
      </c>
      <c r="I38" s="41"/>
      <c r="J38" s="42"/>
      <c r="K38" s="43"/>
      <c r="L38" s="40">
        <f>SUM(L21:L37)</f>
        <v>42402.946986937415</v>
      </c>
      <c r="M38" s="41"/>
      <c r="N38" s="44">
        <f t="shared" si="2"/>
        <v>3893.8439869374124</v>
      </c>
      <c r="O38" s="45">
        <f t="shared" si="3"/>
        <v>0.10111489709166718</v>
      </c>
    </row>
    <row r="39" spans="2:15" x14ac:dyDescent="0.25">
      <c r="B39" s="46" t="s">
        <v>23</v>
      </c>
      <c r="C39" s="22"/>
      <c r="D39" s="56" t="s">
        <v>70</v>
      </c>
      <c r="E39" s="57"/>
      <c r="F39" s="29">
        <v>-0.62739999999999996</v>
      </c>
      <c r="G39" s="178">
        <f>G28</f>
        <v>470</v>
      </c>
      <c r="H39" s="27">
        <f t="shared" ref="H39:H45" si="10">G39*F39</f>
        <v>-294.87799999999999</v>
      </c>
      <c r="I39" s="28"/>
      <c r="J39" s="29">
        <f>'[4]6. Rate Rider Calculations'!$F$26</f>
        <v>-12.194111949067624</v>
      </c>
      <c r="K39" s="178">
        <f>H16</f>
        <v>470</v>
      </c>
      <c r="L39" s="27">
        <f t="shared" ref="L39:L45" si="11">K39*J39</f>
        <v>-5731.2326160617831</v>
      </c>
      <c r="M39" s="28"/>
      <c r="N39" s="31">
        <f t="shared" si="2"/>
        <v>-5436.3546160617834</v>
      </c>
      <c r="O39" s="32">
        <f t="shared" si="3"/>
        <v>18.435945089365038</v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470</v>
      </c>
      <c r="H40" s="27">
        <f t="shared" si="10"/>
        <v>0</v>
      </c>
      <c r="I40" s="47"/>
      <c r="J40" s="29"/>
      <c r="K40" s="178">
        <f>H16</f>
        <v>470</v>
      </c>
      <c r="L40" s="27">
        <f t="shared" si="11"/>
        <v>0</v>
      </c>
      <c r="M40" s="48"/>
      <c r="N40" s="31">
        <f t="shared" si="2"/>
        <v>0</v>
      </c>
      <c r="O40" s="32" t="str">
        <f t="shared" si="3"/>
        <v/>
      </c>
    </row>
    <row r="41" spans="2:15" hidden="1" x14ac:dyDescent="0.25">
      <c r="B41" s="46"/>
      <c r="C41" s="22"/>
      <c r="D41" s="23" t="s">
        <v>70</v>
      </c>
      <c r="E41" s="24"/>
      <c r="F41" s="25"/>
      <c r="G41" s="178">
        <f>H16</f>
        <v>470</v>
      </c>
      <c r="H41" s="27">
        <f t="shared" si="10"/>
        <v>0</v>
      </c>
      <c r="I41" s="47"/>
      <c r="J41" s="29"/>
      <c r="K41" s="178">
        <f>H16</f>
        <v>470</v>
      </c>
      <c r="L41" s="27">
        <f t="shared" si="11"/>
        <v>0</v>
      </c>
      <c r="M41" s="48"/>
      <c r="N41" s="31">
        <f t="shared" si="2"/>
        <v>0</v>
      </c>
      <c r="O41" s="32" t="str">
        <f t="shared" si="3"/>
        <v/>
      </c>
    </row>
    <row r="42" spans="2:15" ht="30" customHeight="1" x14ac:dyDescent="0.25">
      <c r="B42" s="46" t="s">
        <v>74</v>
      </c>
      <c r="C42" s="22"/>
      <c r="D42" s="23" t="s">
        <v>70</v>
      </c>
      <c r="E42" s="24"/>
      <c r="F42" s="29">
        <v>0.28560000000000002</v>
      </c>
      <c r="G42" s="178">
        <f>H16</f>
        <v>470</v>
      </c>
      <c r="H42" s="27">
        <f t="shared" si="10"/>
        <v>134.232</v>
      </c>
      <c r="I42" s="47"/>
      <c r="J42" s="29">
        <f>'[4]6. Rate Rider Calculations'!$F$53</f>
        <v>0.5911501662771157</v>
      </c>
      <c r="K42" s="178">
        <f>H16</f>
        <v>470</v>
      </c>
      <c r="L42" s="27">
        <f t="shared" si="11"/>
        <v>277.84057815024437</v>
      </c>
      <c r="M42" s="48"/>
      <c r="N42" s="31">
        <f t="shared" si="2"/>
        <v>143.60857815024437</v>
      </c>
      <c r="O42" s="32">
        <f t="shared" si="3"/>
        <v>1.0698535233792565</v>
      </c>
    </row>
    <row r="43" spans="2:15" x14ac:dyDescent="0.25">
      <c r="B43" s="49" t="s">
        <v>24</v>
      </c>
      <c r="C43" s="22"/>
      <c r="D43" s="23" t="s">
        <v>70</v>
      </c>
      <c r="E43" s="24"/>
      <c r="F43" s="25">
        <v>1.0800000000000001E-2</v>
      </c>
      <c r="G43" s="178">
        <f>H16</f>
        <v>470</v>
      </c>
      <c r="H43" s="27">
        <f t="shared" si="10"/>
        <v>5.0760000000000005</v>
      </c>
      <c r="I43" s="28"/>
      <c r="J43" s="29">
        <f>'[2]Rate Schedule '!$E$36</f>
        <v>1.9699999999999999E-2</v>
      </c>
      <c r="K43" s="178">
        <f>H16</f>
        <v>470</v>
      </c>
      <c r="L43" s="27">
        <f t="shared" si="11"/>
        <v>9.2589999999999986</v>
      </c>
      <c r="M43" s="28"/>
      <c r="N43" s="31">
        <f t="shared" si="2"/>
        <v>4.1829999999999981</v>
      </c>
      <c r="O43" s="32">
        <f t="shared" si="3"/>
        <v>0.82407407407407363</v>
      </c>
    </row>
    <row r="44" spans="2:15" s="34" customFormat="1" x14ac:dyDescent="0.25">
      <c r="B44" s="180" t="s">
        <v>25</v>
      </c>
      <c r="C44" s="24"/>
      <c r="D44" s="181" t="s">
        <v>61</v>
      </c>
      <c r="E44" s="24"/>
      <c r="F44" s="182">
        <f>IF(ISBLANK(D14)=TRUE, 0, IF(D14="TOU", 0.64*$F$54+0.18*$F$55+0.18*$F$56, IF(AND(D14="non-TOU", G58&gt;0), F58,F57)))</f>
        <v>8.7999999999999995E-2</v>
      </c>
      <c r="G44" s="26">
        <f>$F$16*(1+$F$73)-$F$16</f>
        <v>8073.6000000000058</v>
      </c>
      <c r="H44" s="183">
        <f t="shared" si="10"/>
        <v>710.47680000000048</v>
      </c>
      <c r="I44" s="57"/>
      <c r="J44" s="184">
        <f>IF(ISBLANK(D14)=TRUE, 0, IF(D14="TOU", 0.64*$F$54+0.18*$F$55+0.18*$F$56, IF(AND(D14="non-TOU", K58&gt;0), J58,J57)))</f>
        <v>8.7999999999999995E-2</v>
      </c>
      <c r="K44" s="26">
        <f>$F$16*(1+$J$73)-$F$16</f>
        <v>7922.2199999999721</v>
      </c>
      <c r="L44" s="183">
        <f t="shared" si="11"/>
        <v>697.15535999999747</v>
      </c>
      <c r="M44" s="57"/>
      <c r="N44" s="185">
        <f t="shared" si="2"/>
        <v>-13.321440000003008</v>
      </c>
      <c r="O44" s="186">
        <f t="shared" si="3"/>
        <v>-1.8750000000004222E-2</v>
      </c>
    </row>
    <row r="45" spans="2:15" x14ac:dyDescent="0.25">
      <c r="B45" s="49" t="s">
        <v>26</v>
      </c>
      <c r="C45" s="22"/>
      <c r="D45" s="23" t="s">
        <v>60</v>
      </c>
      <c r="E45" s="24"/>
      <c r="F45" s="177"/>
      <c r="G45" s="26">
        <v>0</v>
      </c>
      <c r="H45" s="27">
        <f t="shared" si="10"/>
        <v>0</v>
      </c>
      <c r="I45" s="28"/>
      <c r="J45" s="177"/>
      <c r="K45" s="26">
        <v>0</v>
      </c>
      <c r="L45" s="27">
        <f t="shared" si="11"/>
        <v>0</v>
      </c>
      <c r="M45" s="28"/>
      <c r="N45" s="31">
        <f t="shared" si="2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SUM(H39:H45)+H38</f>
        <v>39064.0098</v>
      </c>
      <c r="I46" s="41"/>
      <c r="J46" s="53"/>
      <c r="K46" s="55"/>
      <c r="L46" s="54">
        <f>SUM(L39:L45)+L38</f>
        <v>37655.969309025873</v>
      </c>
      <c r="M46" s="41"/>
      <c r="N46" s="44">
        <f t="shared" si="2"/>
        <v>-1408.0404909741264</v>
      </c>
      <c r="O46" s="45">
        <f t="shared" ref="O46:O64" si="12">IF((H46)=0,"",(N46/H46))</f>
        <v>-3.6044443419480363E-2</v>
      </c>
    </row>
    <row r="47" spans="2:15" x14ac:dyDescent="0.25">
      <c r="B47" s="28" t="s">
        <v>28</v>
      </c>
      <c r="C47" s="28"/>
      <c r="D47" s="56" t="s">
        <v>70</v>
      </c>
      <c r="E47" s="57"/>
      <c r="F47" s="29">
        <v>2.0562</v>
      </c>
      <c r="G47" s="58">
        <f>H16</f>
        <v>470</v>
      </c>
      <c r="H47" s="27">
        <f>G47*F47</f>
        <v>966.41399999999999</v>
      </c>
      <c r="I47" s="28"/>
      <c r="J47" s="29">
        <f>'[5]13. Final 2015 RTS Rates'!$F$32</f>
        <v>2.122374849471242</v>
      </c>
      <c r="K47" s="59">
        <f>H16</f>
        <v>470</v>
      </c>
      <c r="L47" s="27">
        <f>K47*J47</f>
        <v>997.51617925148378</v>
      </c>
      <c r="M47" s="28"/>
      <c r="N47" s="31">
        <f t="shared" si="2"/>
        <v>31.10217925148379</v>
      </c>
      <c r="O47" s="32">
        <f t="shared" si="12"/>
        <v>3.2183080182493003E-2</v>
      </c>
    </row>
    <row r="48" spans="2:15" x14ac:dyDescent="0.25">
      <c r="B48" s="60" t="s">
        <v>29</v>
      </c>
      <c r="C48" s="28"/>
      <c r="D48" s="56" t="s">
        <v>70</v>
      </c>
      <c r="E48" s="57"/>
      <c r="F48" s="29">
        <v>1.5665</v>
      </c>
      <c r="G48" s="58">
        <f>G47</f>
        <v>470</v>
      </c>
      <c r="H48" s="27">
        <f>G48*F48</f>
        <v>736.255</v>
      </c>
      <c r="I48" s="28"/>
      <c r="J48" s="29">
        <f>'[5]13. Final 2015 RTS Rates'!$H$32</f>
        <v>1.6085970004746879</v>
      </c>
      <c r="K48" s="59">
        <f>K47</f>
        <v>470</v>
      </c>
      <c r="L48" s="27">
        <f>K48*J48</f>
        <v>756.04059022310332</v>
      </c>
      <c r="M48" s="28"/>
      <c r="N48" s="31">
        <f t="shared" si="2"/>
        <v>19.785590223103327</v>
      </c>
      <c r="O48" s="32">
        <f t="shared" si="12"/>
        <v>2.6873284694981122E-2</v>
      </c>
    </row>
    <row r="49" spans="2:19" x14ac:dyDescent="0.25">
      <c r="B49" s="50" t="s">
        <v>30</v>
      </c>
      <c r="C49" s="36"/>
      <c r="D49" s="36"/>
      <c r="E49" s="36"/>
      <c r="F49" s="61"/>
      <c r="G49" s="53"/>
      <c r="H49" s="54">
        <f>SUM(H46:H48)</f>
        <v>40766.678799999994</v>
      </c>
      <c r="I49" s="62"/>
      <c r="J49" s="63"/>
      <c r="K49" s="64"/>
      <c r="L49" s="54">
        <f>SUM(L46:L48)</f>
        <v>39409.526078500465</v>
      </c>
      <c r="M49" s="62"/>
      <c r="N49" s="44">
        <f t="shared" si="2"/>
        <v>-1357.1527214995294</v>
      </c>
      <c r="O49" s="45">
        <f t="shared" si="12"/>
        <v>-3.3290735508714767E-2</v>
      </c>
    </row>
    <row r="50" spans="2:19" x14ac:dyDescent="0.25">
      <c r="B50" s="65" t="s">
        <v>31</v>
      </c>
      <c r="C50" s="22"/>
      <c r="D50" s="23" t="s">
        <v>61</v>
      </c>
      <c r="E50" s="24"/>
      <c r="F50" s="66">
        <v>4.4000000000000003E-3</v>
      </c>
      <c r="G50" s="58">
        <f>F16*(1+F73)</f>
        <v>176273.6</v>
      </c>
      <c r="H50" s="67">
        <f t="shared" ref="H50:H56" si="13">G50*F50</f>
        <v>775.6038400000001</v>
      </c>
      <c r="I50" s="28"/>
      <c r="J50" s="66">
        <v>4.4000000000000003E-3</v>
      </c>
      <c r="K50" s="59">
        <f>F16*(1+J73)</f>
        <v>176122.21999999997</v>
      </c>
      <c r="L50" s="67">
        <f t="shared" ref="L50:L56" si="14">K50*J50</f>
        <v>774.93776799999989</v>
      </c>
      <c r="M50" s="28"/>
      <c r="N50" s="31">
        <f t="shared" si="2"/>
        <v>-0.66607200000021294</v>
      </c>
      <c r="O50" s="68">
        <f t="shared" si="12"/>
        <v>-8.5877862595447286E-4</v>
      </c>
    </row>
    <row r="51" spans="2:19" x14ac:dyDescent="0.25">
      <c r="B51" s="65" t="s">
        <v>32</v>
      </c>
      <c r="C51" s="22"/>
      <c r="D51" s="23" t="s">
        <v>61</v>
      </c>
      <c r="E51" s="24"/>
      <c r="F51" s="66">
        <v>1.2999999999999999E-3</v>
      </c>
      <c r="G51" s="58">
        <f>G50</f>
        <v>176273.6</v>
      </c>
      <c r="H51" s="67">
        <f t="shared" si="13"/>
        <v>229.15567999999999</v>
      </c>
      <c r="I51" s="28"/>
      <c r="J51" s="66">
        <v>1.2999999999999999E-3</v>
      </c>
      <c r="K51" s="59">
        <f>K50</f>
        <v>176122.21999999997</v>
      </c>
      <c r="L51" s="67">
        <f t="shared" si="14"/>
        <v>228.95888599999995</v>
      </c>
      <c r="M51" s="28"/>
      <c r="N51" s="31">
        <f t="shared" si="2"/>
        <v>-0.19679400000003966</v>
      </c>
      <c r="O51" s="68">
        <f t="shared" si="12"/>
        <v>-8.587786259543716E-4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69">
        <f>G21</f>
        <v>5419</v>
      </c>
      <c r="H52" s="67">
        <f t="shared" si="13"/>
        <v>1354.75</v>
      </c>
      <c r="I52" s="28"/>
      <c r="J52" s="176">
        <v>0.25</v>
      </c>
      <c r="K52" s="69">
        <f>K21</f>
        <v>5419</v>
      </c>
      <c r="L52" s="67">
        <f t="shared" si="14"/>
        <v>1354.75</v>
      </c>
      <c r="M52" s="28"/>
      <c r="N52" s="31">
        <f t="shared" si="2"/>
        <v>0</v>
      </c>
      <c r="O52" s="68">
        <f t="shared" si="12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6">
        <v>7.0000000000000001E-3</v>
      </c>
      <c r="G53" s="69">
        <f>F16</f>
        <v>168200</v>
      </c>
      <c r="H53" s="67">
        <f t="shared" si="13"/>
        <v>1177.4000000000001</v>
      </c>
      <c r="I53" s="28"/>
      <c r="J53" s="66">
        <v>7.0000000000000001E-3</v>
      </c>
      <c r="K53" s="70">
        <f>F16</f>
        <v>168200</v>
      </c>
      <c r="L53" s="67">
        <f t="shared" si="14"/>
        <v>1177.4000000000001</v>
      </c>
      <c r="M53" s="28"/>
      <c r="N53" s="31">
        <f t="shared" si="2"/>
        <v>0</v>
      </c>
      <c r="O53" s="68">
        <f t="shared" si="12"/>
        <v>0</v>
      </c>
    </row>
    <row r="54" spans="2:19" ht="15.75" thickBot="1" x14ac:dyDescent="0.3">
      <c r="B54" s="49" t="s">
        <v>73</v>
      </c>
      <c r="C54" s="22"/>
      <c r="D54" s="23" t="s">
        <v>61</v>
      </c>
      <c r="E54" s="24"/>
      <c r="F54" s="66">
        <v>8.2699999999999996E-2</v>
      </c>
      <c r="G54" s="69">
        <f>F16</f>
        <v>168200</v>
      </c>
      <c r="H54" s="67">
        <f t="shared" si="13"/>
        <v>13910.14</v>
      </c>
      <c r="I54" s="28"/>
      <c r="J54" s="66">
        <v>8.2699999999999996E-2</v>
      </c>
      <c r="K54" s="69">
        <f>F16</f>
        <v>168200</v>
      </c>
      <c r="L54" s="67">
        <f t="shared" si="14"/>
        <v>13910.14</v>
      </c>
      <c r="M54" s="28"/>
      <c r="N54" s="31">
        <f t="shared" si="2"/>
        <v>0</v>
      </c>
      <c r="O54" s="68">
        <f t="shared" si="12"/>
        <v>0</v>
      </c>
      <c r="S54" s="72"/>
    </row>
    <row r="55" spans="2:19" ht="15.75" hidden="1" thickBot="1" x14ac:dyDescent="0.3">
      <c r="B55" s="49" t="s">
        <v>36</v>
      </c>
      <c r="C55" s="22"/>
      <c r="D55" s="23"/>
      <c r="E55" s="24"/>
      <c r="F55" s="71">
        <v>0.104</v>
      </c>
      <c r="G55" s="69">
        <v>0</v>
      </c>
      <c r="H55" s="67">
        <f t="shared" si="13"/>
        <v>0</v>
      </c>
      <c r="I55" s="28"/>
      <c r="J55" s="66">
        <v>0.104</v>
      </c>
      <c r="K55" s="69">
        <v>0</v>
      </c>
      <c r="L55" s="67">
        <f t="shared" si="14"/>
        <v>0</v>
      </c>
      <c r="M55" s="28"/>
      <c r="N55" s="31">
        <f t="shared" si="2"/>
        <v>0</v>
      </c>
      <c r="O55" s="68" t="str">
        <f t="shared" si="12"/>
        <v/>
      </c>
      <c r="S55" s="72"/>
    </row>
    <row r="56" spans="2:19" ht="15.75" hidden="1" thickBot="1" x14ac:dyDescent="0.3">
      <c r="B56" s="12" t="s">
        <v>37</v>
      </c>
      <c r="C56" s="22"/>
      <c r="D56" s="23"/>
      <c r="E56" s="24"/>
      <c r="F56" s="71">
        <v>0.124</v>
      </c>
      <c r="G56" s="69">
        <v>0</v>
      </c>
      <c r="H56" s="67">
        <f t="shared" si="13"/>
        <v>0</v>
      </c>
      <c r="I56" s="28"/>
      <c r="J56" s="66">
        <v>0.124</v>
      </c>
      <c r="K56" s="69">
        <v>0</v>
      </c>
      <c r="L56" s="67">
        <f t="shared" si="14"/>
        <v>0</v>
      </c>
      <c r="M56" s="28"/>
      <c r="N56" s="31">
        <f t="shared" si="2"/>
        <v>0</v>
      </c>
      <c r="O56" s="68" t="str">
        <f t="shared" si="12"/>
        <v/>
      </c>
      <c r="S56" s="72"/>
    </row>
    <row r="57" spans="2:19" s="73" customFormat="1" ht="15.75" hidden="1" thickBot="1" x14ac:dyDescent="0.25">
      <c r="B57" s="179" t="s">
        <v>38</v>
      </c>
      <c r="C57" s="75"/>
      <c r="D57" s="76"/>
      <c r="E57" s="77"/>
      <c r="F57" s="71">
        <v>7.4999999999999997E-2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7">
        <f>G57*F57</f>
        <v>45</v>
      </c>
      <c r="I57" s="79"/>
      <c r="J57" s="66">
        <v>7.4999999999999997E-2</v>
      </c>
      <c r="K57" s="78">
        <f>G57</f>
        <v>600</v>
      </c>
      <c r="L57" s="67">
        <f>K57*J57</f>
        <v>45</v>
      </c>
      <c r="M57" s="79"/>
      <c r="N57" s="80">
        <f t="shared" si="2"/>
        <v>0</v>
      </c>
      <c r="O57" s="68">
        <f t="shared" si="12"/>
        <v>0</v>
      </c>
    </row>
    <row r="58" spans="2:19" s="73" customFormat="1" ht="15.75" hidden="1" thickBot="1" x14ac:dyDescent="0.25">
      <c r="B58" s="179" t="s">
        <v>39</v>
      </c>
      <c r="C58" s="75"/>
      <c r="D58" s="76"/>
      <c r="E58" s="77"/>
      <c r="F58" s="71">
        <v>8.7999999999999995E-2</v>
      </c>
      <c r="G58" s="78">
        <f>IF(AND($T$1=1, F16&gt;=600), F16-600, IF(AND($T$1=1, AND(F16&lt;600, F16&gt;=0)), 0, IF(AND($T$1=2, F16&gt;=1000), F16-1000, IF(AND($T$1=2, AND(F16&lt;1000, F16&gt;=0)), 0))))</f>
        <v>167600</v>
      </c>
      <c r="H58" s="67">
        <f>G58*F58</f>
        <v>14748.8</v>
      </c>
      <c r="I58" s="79"/>
      <c r="J58" s="66">
        <v>8.7999999999999995E-2</v>
      </c>
      <c r="K58" s="78">
        <f>G58</f>
        <v>167600</v>
      </c>
      <c r="L58" s="67">
        <f>K58*J58</f>
        <v>14748.8</v>
      </c>
      <c r="M58" s="79"/>
      <c r="N58" s="80">
        <f t="shared" si="2"/>
        <v>0</v>
      </c>
      <c r="O58" s="68">
        <f t="shared" si="12"/>
        <v>0</v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t="15.75" hidden="1" thickBot="1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58213.728319999995</v>
      </c>
      <c r="I60" s="95"/>
      <c r="J60" s="96"/>
      <c r="K60" s="96"/>
      <c r="L60" s="94">
        <f>SUM(L50:L56,L49)</f>
        <v>56855.712732500469</v>
      </c>
      <c r="M60" s="97"/>
      <c r="N60" s="98">
        <f>L60-H60</f>
        <v>-1358.0155874995253</v>
      </c>
      <c r="O60" s="99">
        <f>IF((H60)=0,"",(N60/H60))</f>
        <v>-2.3328098486228778E-2</v>
      </c>
      <c r="S60" s="72"/>
    </row>
    <row r="61" spans="2:19" ht="15.75" hidden="1" thickBot="1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7567.7846815999992</v>
      </c>
      <c r="I61" s="104"/>
      <c r="J61" s="105">
        <v>0.13</v>
      </c>
      <c r="K61" s="104"/>
      <c r="L61" s="106">
        <f>L60*J61</f>
        <v>7391.2426552250608</v>
      </c>
      <c r="M61" s="107"/>
      <c r="N61" s="108">
        <f t="shared" si="2"/>
        <v>-176.54202637493836</v>
      </c>
      <c r="O61" s="109">
        <f t="shared" si="12"/>
        <v>-2.3328098486228788E-2</v>
      </c>
      <c r="S61" s="72"/>
    </row>
    <row r="62" spans="2:19" ht="15.75" hidden="1" thickBot="1" x14ac:dyDescent="0.3">
      <c r="B62" s="110" t="s">
        <v>42</v>
      </c>
      <c r="C62" s="22"/>
      <c r="D62" s="22"/>
      <c r="E62" s="22"/>
      <c r="F62" s="111"/>
      <c r="G62" s="102"/>
      <c r="H62" s="103">
        <f>H60+H61</f>
        <v>65781.513001599989</v>
      </c>
      <c r="I62" s="104"/>
      <c r="J62" s="104"/>
      <c r="K62" s="104"/>
      <c r="L62" s="106">
        <f>L60+L61</f>
        <v>64246.955387725531</v>
      </c>
      <c r="M62" s="107"/>
      <c r="N62" s="108">
        <f t="shared" si="2"/>
        <v>-1534.5576138744582</v>
      </c>
      <c r="O62" s="109">
        <f t="shared" si="12"/>
        <v>-2.3328098486228698E-2</v>
      </c>
      <c r="S62" s="72"/>
    </row>
    <row r="63" spans="2:19" ht="15.75" hidden="1" customHeight="1" x14ac:dyDescent="0.3">
      <c r="B63" s="248" t="s">
        <v>43</v>
      </c>
      <c r="C63" s="248"/>
      <c r="D63" s="248"/>
      <c r="E63" s="22"/>
      <c r="F63" s="111"/>
      <c r="G63" s="102"/>
      <c r="H63" s="112">
        <f>ROUND(-H62*10%,2)</f>
        <v>-6578.15</v>
      </c>
      <c r="I63" s="104"/>
      <c r="J63" s="104"/>
      <c r="K63" s="104"/>
      <c r="L63" s="113">
        <f>ROUND(-L62*10%,2)</f>
        <v>-6424.7</v>
      </c>
      <c r="M63" s="107"/>
      <c r="N63" s="114">
        <f t="shared" si="2"/>
        <v>153.44999999999982</v>
      </c>
      <c r="O63" s="115">
        <f t="shared" si="12"/>
        <v>-2.3327227259943878E-2</v>
      </c>
    </row>
    <row r="64" spans="2:19" ht="15.75" hidden="1" thickBot="1" x14ac:dyDescent="0.3">
      <c r="B64" s="240" t="s">
        <v>44</v>
      </c>
      <c r="C64" s="240"/>
      <c r="D64" s="240"/>
      <c r="E64" s="116"/>
      <c r="F64" s="117"/>
      <c r="G64" s="118"/>
      <c r="H64" s="119">
        <f>H62+H63</f>
        <v>59203.363001599988</v>
      </c>
      <c r="I64" s="120"/>
      <c r="J64" s="120"/>
      <c r="K64" s="120"/>
      <c r="L64" s="121">
        <f>L62+L63</f>
        <v>57822.255387725534</v>
      </c>
      <c r="M64" s="122"/>
      <c r="N64" s="123">
        <f t="shared" si="2"/>
        <v>-1381.1076138744538</v>
      </c>
      <c r="O64" s="124">
        <f t="shared" si="12"/>
        <v>-2.3328195289127898E-2</v>
      </c>
    </row>
    <row r="65" spans="1:15" s="73" customFormat="1" ht="8.25" hidden="1" customHeigh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SUM(H54,H49,H50:H53)</f>
        <v>58213.728320000002</v>
      </c>
      <c r="I66" s="136"/>
      <c r="J66" s="137"/>
      <c r="K66" s="137"/>
      <c r="L66" s="188">
        <f>SUM(L54,L49,L50:L53)</f>
        <v>56855.712732500469</v>
      </c>
      <c r="M66" s="138"/>
      <c r="N66" s="139">
        <f>L66-H66</f>
        <v>-1358.0155874995326</v>
      </c>
      <c r="O66" s="99">
        <f>IF((H66)=0,"",(N66/H66))</f>
        <v>-2.3328098486228899E-2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7567.7846816000001</v>
      </c>
      <c r="I67" s="143"/>
      <c r="J67" s="144">
        <v>0.13</v>
      </c>
      <c r="K67" s="145"/>
      <c r="L67" s="146">
        <f>L66*J67</f>
        <v>7391.2426552250608</v>
      </c>
      <c r="M67" s="147"/>
      <c r="N67" s="148">
        <f>L67-H67</f>
        <v>-176.54202637493927</v>
      </c>
      <c r="O67" s="109">
        <f>IF((H67)=0,"",(N67/H67))</f>
        <v>-2.3328098486228906E-2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65781.513001600004</v>
      </c>
      <c r="I68" s="143"/>
      <c r="J68" s="143"/>
      <c r="K68" s="143"/>
      <c r="L68" s="146">
        <f>L66+L67</f>
        <v>64246.955387725531</v>
      </c>
      <c r="M68" s="147"/>
      <c r="N68" s="148">
        <f>L68-H68</f>
        <v>-1534.5576138744727</v>
      </c>
      <c r="O68" s="109">
        <f>IF((H68)=0,"",(N68/H68))</f>
        <v>-2.3328098486228913E-2</v>
      </c>
    </row>
    <row r="69" spans="1:15" s="73" customFormat="1" ht="15.75" customHeight="1" x14ac:dyDescent="0.2">
      <c r="B69" s="249" t="s">
        <v>43</v>
      </c>
      <c r="C69" s="249"/>
      <c r="D69" s="249"/>
      <c r="E69" s="75"/>
      <c r="F69" s="150"/>
      <c r="G69" s="151"/>
      <c r="H69" s="152"/>
      <c r="I69" s="143"/>
      <c r="J69" s="143"/>
      <c r="K69" s="143"/>
      <c r="L69" s="153"/>
      <c r="M69" s="147"/>
      <c r="N69" s="154">
        <f>L69-H69</f>
        <v>0</v>
      </c>
      <c r="O69" s="115" t="str">
        <f>IF((H69)=0,"",(N69/H69))</f>
        <v/>
      </c>
    </row>
    <row r="70" spans="1:15" s="73" customFormat="1" ht="13.5" thickBot="1" x14ac:dyDescent="0.25">
      <c r="B70" s="241" t="s">
        <v>46</v>
      </c>
      <c r="C70" s="241"/>
      <c r="D70" s="241"/>
      <c r="E70" s="155"/>
      <c r="F70" s="156"/>
      <c r="G70" s="157"/>
      <c r="H70" s="158">
        <f>SUM(H68:H69)</f>
        <v>65781.513001600004</v>
      </c>
      <c r="I70" s="159"/>
      <c r="J70" s="159"/>
      <c r="K70" s="159"/>
      <c r="L70" s="160">
        <f>SUM(L68:L69)</f>
        <v>64246.955387725531</v>
      </c>
      <c r="M70" s="161"/>
      <c r="N70" s="162">
        <f>L70-H70</f>
        <v>-1534.5576138744727</v>
      </c>
      <c r="O70" s="163">
        <f>IF((H70)=0,"",(N70/H70))</f>
        <v>-2.3328098486228913E-2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v>4.8000000000000001E-2</v>
      </c>
      <c r="J73" s="170">
        <f>'Res (100kWh)'!$J$74</f>
        <v>4.7100000000000003E-2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B63:D63"/>
    <mergeCell ref="B64:D64"/>
    <mergeCell ref="B69:D69"/>
    <mergeCell ref="B70:D70"/>
    <mergeCell ref="D12:O12"/>
    <mergeCell ref="F18:H18"/>
    <mergeCell ref="J18:L18"/>
    <mergeCell ref="N18:O18"/>
    <mergeCell ref="D19:D20"/>
    <mergeCell ref="N19:N20"/>
    <mergeCell ref="O19:O20"/>
  </mergeCells>
  <dataValidations count="3">
    <dataValidation type="list" allowBlank="1" showInputMessage="1" showErrorMessage="1" sqref="E47:E48 E39:E45 E21:E37 E50:E59 E71 E65">
      <formula1>#REF!</formula1>
    </dataValidation>
    <dataValidation type="list" allowBlank="1" showInputMessage="1" showErrorMessage="1" prompt="Select Charge Unit - monthly, per kWh, per kW" sqref="D47:D48 D39:D45 D65 D50:D59 D71 D21:D37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fitToHeight="0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theme="0" tint="-0.14999847407452621"/>
    <pageSetUpPr fitToPage="1"/>
  </sheetPr>
  <dimension ref="A1:T88"/>
  <sheetViews>
    <sheetView showGridLines="0" topLeftCell="A1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8-B</v>
      </c>
      <c r="O3" s="234"/>
      <c r="P3"/>
    </row>
    <row r="4" spans="1:20" s="2" customFormat="1" ht="9" customHeight="1" x14ac:dyDescent="0.25">
      <c r="L4" s="3"/>
      <c r="N4" s="232"/>
      <c r="O4"/>
      <c r="P4"/>
    </row>
    <row r="5" spans="1:20" s="2" customFormat="1" x14ac:dyDescent="0.25">
      <c r="L5" s="3" t="s">
        <v>75</v>
      </c>
      <c r="N5" s="234">
        <f>'Res (100kWh)'!$N$5:$O$5</f>
        <v>42177</v>
      </c>
      <c r="O5" s="234"/>
      <c r="P5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82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150</v>
      </c>
      <c r="G16" s="13" t="s">
        <v>7</v>
      </c>
      <c r="H16" s="14">
        <v>1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Rates'!$B$11</f>
        <v>4.42</v>
      </c>
      <c r="G21" s="26">
        <v>1</v>
      </c>
      <c r="H21" s="27">
        <f>G21*F21</f>
        <v>4.42</v>
      </c>
      <c r="I21" s="28"/>
      <c r="J21" s="173">
        <f>'[2]Rate Schedule '!$E$41</f>
        <v>4.6779000000000002</v>
      </c>
      <c r="K21" s="30">
        <v>1</v>
      </c>
      <c r="L21" s="27">
        <f>K21*J21</f>
        <v>4.6779000000000002</v>
      </c>
      <c r="M21" s="28"/>
      <c r="N21" s="31">
        <f>L21-H21</f>
        <v>0.25790000000000024</v>
      </c>
      <c r="O21" s="32">
        <f>IF((H21)=0,"",(N21/H21))</f>
        <v>5.8348416289592815E-2</v>
      </c>
    </row>
    <row r="22" spans="2:15" ht="36.75" customHeight="1" x14ac:dyDescent="0.25">
      <c r="B22" s="65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46" t="s">
        <v>65</v>
      </c>
      <c r="C25" s="22"/>
      <c r="D25" s="23" t="s">
        <v>70</v>
      </c>
      <c r="E25" s="24"/>
      <c r="F25" s="25">
        <v>-0.22969999999999999</v>
      </c>
      <c r="G25" s="178">
        <f>$H$16</f>
        <v>1</v>
      </c>
      <c r="H25" s="27">
        <f t="shared" si="0"/>
        <v>-0.22969999999999999</v>
      </c>
      <c r="I25" s="28"/>
      <c r="J25" s="29"/>
      <c r="K25" s="178">
        <f>$H$16</f>
        <v>1</v>
      </c>
      <c r="L25" s="27">
        <f t="shared" si="1"/>
        <v>0</v>
      </c>
      <c r="M25" s="28"/>
      <c r="N25" s="31">
        <f t="shared" si="2"/>
        <v>0.22969999999999999</v>
      </c>
      <c r="O25" s="32">
        <f t="shared" si="3"/>
        <v>-1</v>
      </c>
    </row>
    <row r="26" spans="2:15" x14ac:dyDescent="0.25">
      <c r="B26" s="46" t="s">
        <v>66</v>
      </c>
      <c r="C26" s="22"/>
      <c r="D26" s="23" t="s">
        <v>70</v>
      </c>
      <c r="E26" s="24"/>
      <c r="F26" s="25"/>
      <c r="G26" s="178">
        <f>$H$16</f>
        <v>1</v>
      </c>
      <c r="H26" s="27">
        <f t="shared" si="0"/>
        <v>0</v>
      </c>
      <c r="I26" s="28"/>
      <c r="J26" s="29">
        <f>'[4]6. Rate Rider Calculations'!$F$80</f>
        <v>-1.2396445219851648</v>
      </c>
      <c r="K26" s="178">
        <f>$H$16</f>
        <v>1</v>
      </c>
      <c r="L26" s="27">
        <f t="shared" si="1"/>
        <v>-1.2396445219851648</v>
      </c>
      <c r="M26" s="28"/>
      <c r="N26" s="31">
        <f t="shared" si="2"/>
        <v>-1.2396445219851648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f>'[2]2014 Existing Rates'!$D$11</f>
        <v>15.436999999999999</v>
      </c>
      <c r="G27" s="178">
        <f>$H$16</f>
        <v>1</v>
      </c>
      <c r="H27" s="27">
        <f t="shared" si="0"/>
        <v>15.436999999999999</v>
      </c>
      <c r="I27" s="28"/>
      <c r="J27" s="29">
        <f>'[2]Rate Schedule '!$E$42</f>
        <v>16.337800000000001</v>
      </c>
      <c r="K27" s="178">
        <f>$H$16</f>
        <v>1</v>
      </c>
      <c r="L27" s="27">
        <f t="shared" si="1"/>
        <v>16.337800000000001</v>
      </c>
      <c r="M27" s="28"/>
      <c r="N27" s="31">
        <f t="shared" si="2"/>
        <v>0.90080000000000204</v>
      </c>
      <c r="O27" s="32">
        <f t="shared" si="3"/>
        <v>5.8353306989700204E-2</v>
      </c>
    </row>
    <row r="28" spans="2:15" hidden="1" x14ac:dyDescent="0.25">
      <c r="B28" s="22" t="s">
        <v>20</v>
      </c>
      <c r="C28" s="22"/>
      <c r="D28" s="23"/>
      <c r="E28" s="24"/>
      <c r="F28" s="25"/>
      <c r="G28" s="26">
        <f>$F$16</f>
        <v>150</v>
      </c>
      <c r="H28" s="27">
        <f t="shared" si="0"/>
        <v>0</v>
      </c>
      <c r="I28" s="28"/>
      <c r="J28" s="29"/>
      <c r="K28" s="26">
        <f t="shared" ref="K28:K36" si="4">$F$16</f>
        <v>150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25">
      <c r="B29" s="22" t="s">
        <v>21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si="4"/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33"/>
      <c r="C30" s="22"/>
      <c r="D30" s="23"/>
      <c r="E30" s="24"/>
      <c r="F30" s="25"/>
      <c r="G30" s="26">
        <f t="shared" ref="G30:G36" si="5"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si="5"/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19.627299999999998</v>
      </c>
      <c r="I37" s="41"/>
      <c r="J37" s="42"/>
      <c r="K37" s="43"/>
      <c r="L37" s="40">
        <f>SUM(L21:L36)</f>
        <v>19.776055478014836</v>
      </c>
      <c r="M37" s="41"/>
      <c r="N37" s="44">
        <f t="shared" si="2"/>
        <v>0.14875547801483791</v>
      </c>
      <c r="O37" s="45">
        <f t="shared" si="3"/>
        <v>7.5790087283955469E-3</v>
      </c>
    </row>
    <row r="38" spans="2:15" x14ac:dyDescent="0.25">
      <c r="B38" s="46" t="s">
        <v>23</v>
      </c>
      <c r="C38" s="22"/>
      <c r="D38" s="56" t="s">
        <v>70</v>
      </c>
      <c r="E38" s="57"/>
      <c r="F38" s="29">
        <v>-0.36430000000000001</v>
      </c>
      <c r="G38" s="178">
        <f>G27</f>
        <v>1</v>
      </c>
      <c r="H38" s="27">
        <f t="shared" ref="H38:H44" si="6">G38*F38</f>
        <v>-0.36430000000000001</v>
      </c>
      <c r="I38" s="28"/>
      <c r="J38" s="29">
        <f>'[4]6. Rate Rider Calculations'!$F$25</f>
        <v>-4.3414482560416445</v>
      </c>
      <c r="K38" s="178">
        <f>H16</f>
        <v>1</v>
      </c>
      <c r="L38" s="27">
        <f t="shared" ref="L38:L44" si="7">K38*J38</f>
        <v>-4.3414482560416445</v>
      </c>
      <c r="M38" s="28"/>
      <c r="N38" s="31">
        <f t="shared" si="2"/>
        <v>-3.9771482560416445</v>
      </c>
      <c r="O38" s="32">
        <f t="shared" si="3"/>
        <v>10.91723375251618</v>
      </c>
    </row>
    <row r="39" spans="2:15" hidden="1" x14ac:dyDescent="0.25">
      <c r="B39" s="46"/>
      <c r="C39" s="22"/>
      <c r="D39" s="23" t="s">
        <v>70</v>
      </c>
      <c r="E39" s="24"/>
      <c r="F39" s="25"/>
      <c r="G39" s="178">
        <f>H16</f>
        <v>1</v>
      </c>
      <c r="H39" s="27">
        <f t="shared" si="6"/>
        <v>0</v>
      </c>
      <c r="I39" s="47"/>
      <c r="J39" s="29"/>
      <c r="K39" s="178">
        <f>H16</f>
        <v>1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1</v>
      </c>
      <c r="H40" s="27">
        <f t="shared" si="6"/>
        <v>0</v>
      </c>
      <c r="I40" s="47"/>
      <c r="J40" s="29"/>
      <c r="K40" s="178">
        <f>H16</f>
        <v>1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" customHeight="1" x14ac:dyDescent="0.25">
      <c r="B41" s="46" t="s">
        <v>74</v>
      </c>
      <c r="C41" s="22"/>
      <c r="D41" s="23" t="s">
        <v>70</v>
      </c>
      <c r="E41" s="24"/>
      <c r="F41" s="29">
        <v>0.1658</v>
      </c>
      <c r="G41" s="178">
        <f>H16</f>
        <v>1</v>
      </c>
      <c r="H41" s="27">
        <f t="shared" si="6"/>
        <v>0.1658</v>
      </c>
      <c r="I41" s="47"/>
      <c r="J41" s="29">
        <f>'[4]6. Rate Rider Calculations'!$F$52</f>
        <v>0.56189970777114051</v>
      </c>
      <c r="K41" s="178">
        <f>H16</f>
        <v>1</v>
      </c>
      <c r="L41" s="27">
        <f t="shared" si="7"/>
        <v>0.56189970777114051</v>
      </c>
      <c r="M41" s="48"/>
      <c r="N41" s="31">
        <f t="shared" si="2"/>
        <v>0.39609970777114051</v>
      </c>
      <c r="O41" s="32">
        <f t="shared" si="3"/>
        <v>2.3890211566413782</v>
      </c>
    </row>
    <row r="42" spans="2:15" x14ac:dyDescent="0.25">
      <c r="B42" s="49" t="s">
        <v>24</v>
      </c>
      <c r="C42" s="22"/>
      <c r="D42" s="23" t="s">
        <v>70</v>
      </c>
      <c r="E42" s="24"/>
      <c r="F42" s="25">
        <v>1.0999999999999999E-2</v>
      </c>
      <c r="G42" s="178">
        <f>H16</f>
        <v>1</v>
      </c>
      <c r="H42" s="27">
        <f t="shared" si="6"/>
        <v>1.0999999999999999E-2</v>
      </c>
      <c r="I42" s="28"/>
      <c r="J42" s="29">
        <f>'[2]Rate Schedule '!$E$43</f>
        <v>2.01E-2</v>
      </c>
      <c r="K42" s="178">
        <f>H16</f>
        <v>1</v>
      </c>
      <c r="L42" s="27">
        <f t="shared" si="7"/>
        <v>2.01E-2</v>
      </c>
      <c r="M42" s="28"/>
      <c r="N42" s="31">
        <f t="shared" si="2"/>
        <v>9.1000000000000004E-3</v>
      </c>
      <c r="O42" s="32">
        <f t="shared" si="3"/>
        <v>0.82727272727272738</v>
      </c>
    </row>
    <row r="43" spans="2:15" s="34" customFormat="1" x14ac:dyDescent="0.25">
      <c r="B43" s="180" t="s">
        <v>25</v>
      </c>
      <c r="C43" s="24"/>
      <c r="D43" s="181" t="s">
        <v>61</v>
      </c>
      <c r="E43" s="24"/>
      <c r="F43" s="182">
        <f>IF(ISBLANK(D14)=TRUE, 0, IF(D14="TOU", 0.64*$F$53+0.18*$F$54+0.18*$F$55, IF(AND(D14="non-TOU", G57&gt;0), F57,F56)))</f>
        <v>7.4999999999999997E-2</v>
      </c>
      <c r="G43" s="26">
        <f>$F$16*(1+$F$72)-$F$16</f>
        <v>7.2000000000000171</v>
      </c>
      <c r="H43" s="183">
        <f t="shared" si="6"/>
        <v>0.54000000000000126</v>
      </c>
      <c r="I43" s="57"/>
      <c r="J43" s="184">
        <f>IF(ISBLANK(D14)=TRUE, 0, IF(D14="TOU", 0.64*$F$53+0.18*$F$54+0.18*$F$55, IF(AND(D14="non-TOU", K57&gt;0), J57,J56)))</f>
        <v>7.4999999999999997E-2</v>
      </c>
      <c r="K43" s="26">
        <f>$F$16*(1+$J$72)-$F$16</f>
        <v>7.0649999999999977</v>
      </c>
      <c r="L43" s="183">
        <f t="shared" si="7"/>
        <v>0.52987499999999976</v>
      </c>
      <c r="M43" s="57"/>
      <c r="N43" s="185">
        <f t="shared" si="2"/>
        <v>-1.0125000000001494E-2</v>
      </c>
      <c r="O43" s="186">
        <f t="shared" si="3"/>
        <v>-1.8750000000002723E-2</v>
      </c>
    </row>
    <row r="44" spans="2:15" x14ac:dyDescent="0.25">
      <c r="B44" s="49" t="s">
        <v>26</v>
      </c>
      <c r="C44" s="22"/>
      <c r="D44" s="23" t="s">
        <v>60</v>
      </c>
      <c r="E44" s="24"/>
      <c r="F44" s="177"/>
      <c r="G44" s="26">
        <v>0</v>
      </c>
      <c r="H44" s="27">
        <f t="shared" si="6"/>
        <v>0</v>
      </c>
      <c r="I44" s="28"/>
      <c r="J44" s="177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19.979800000000001</v>
      </c>
      <c r="I45" s="41"/>
      <c r="J45" s="53"/>
      <c r="K45" s="55"/>
      <c r="L45" s="54">
        <f>SUM(L38:L44)+L37</f>
        <v>16.546481929744331</v>
      </c>
      <c r="M45" s="41"/>
      <c r="N45" s="44">
        <f t="shared" si="2"/>
        <v>-3.4333180702556696</v>
      </c>
      <c r="O45" s="45">
        <f t="shared" ref="O45:O63" si="8">IF((H45)=0,"",(N45/H45))</f>
        <v>-0.17183946136876593</v>
      </c>
    </row>
    <row r="46" spans="2:15" x14ac:dyDescent="0.25">
      <c r="B46" s="28" t="s">
        <v>28</v>
      </c>
      <c r="C46" s="28"/>
      <c r="D46" s="56" t="s">
        <v>70</v>
      </c>
      <c r="E46" s="57"/>
      <c r="F46" s="29">
        <v>2.0665</v>
      </c>
      <c r="G46" s="58">
        <f>H16</f>
        <v>1</v>
      </c>
      <c r="H46" s="27">
        <f>G46*F46</f>
        <v>2.0665</v>
      </c>
      <c r="I46" s="28"/>
      <c r="J46" s="29">
        <f>'[5]13. Final 2015 RTS Rates'!$F$31</f>
        <v>2.1330055152996077</v>
      </c>
      <c r="K46" s="59">
        <f>H16</f>
        <v>1</v>
      </c>
      <c r="L46" s="27">
        <f>K46*J46</f>
        <v>2.1330055152996077</v>
      </c>
      <c r="M46" s="28"/>
      <c r="N46" s="31">
        <f t="shared" si="2"/>
        <v>6.6505515299607687E-2</v>
      </c>
      <c r="O46" s="32">
        <f t="shared" si="8"/>
        <v>3.2182683425892901E-2</v>
      </c>
    </row>
    <row r="47" spans="2:15" x14ac:dyDescent="0.25">
      <c r="B47" s="60" t="s">
        <v>29</v>
      </c>
      <c r="C47" s="28"/>
      <c r="D47" s="56" t="s">
        <v>70</v>
      </c>
      <c r="E47" s="57"/>
      <c r="F47" s="29">
        <v>1.5992999999999999</v>
      </c>
      <c r="G47" s="58">
        <f>G46</f>
        <v>1</v>
      </c>
      <c r="H47" s="27">
        <f>G47*F47</f>
        <v>1.5992999999999999</v>
      </c>
      <c r="I47" s="28"/>
      <c r="J47" s="29">
        <f>'[5]13. Final 2015 RTS Rates'!$H$31</f>
        <v>1.6423074639311108</v>
      </c>
      <c r="K47" s="59">
        <f>K46</f>
        <v>1</v>
      </c>
      <c r="L47" s="27">
        <f>K47*J47</f>
        <v>1.6423074639311108</v>
      </c>
      <c r="M47" s="28"/>
      <c r="N47" s="31">
        <f t="shared" si="2"/>
        <v>4.3007463931110879E-2</v>
      </c>
      <c r="O47" s="32">
        <f t="shared" si="8"/>
        <v>2.6891429957550728E-2</v>
      </c>
    </row>
    <row r="48" spans="2:15" x14ac:dyDescent="0.25">
      <c r="B48" s="50" t="s">
        <v>30</v>
      </c>
      <c r="C48" s="36"/>
      <c r="D48" s="36"/>
      <c r="E48" s="36"/>
      <c r="F48" s="61"/>
      <c r="G48" s="53"/>
      <c r="H48" s="54">
        <f>SUM(H45:H47)</f>
        <v>23.645600000000002</v>
      </c>
      <c r="I48" s="62"/>
      <c r="J48" s="63"/>
      <c r="K48" s="64"/>
      <c r="L48" s="54">
        <f>SUM(L45:L47)</f>
        <v>20.32179490897505</v>
      </c>
      <c r="M48" s="62"/>
      <c r="N48" s="44">
        <f t="shared" si="2"/>
        <v>-3.3238050910249513</v>
      </c>
      <c r="O48" s="45">
        <f t="shared" si="8"/>
        <v>-0.14056759359140605</v>
      </c>
    </row>
    <row r="49" spans="2:19" x14ac:dyDescent="0.25">
      <c r="B49" s="65" t="s">
        <v>31</v>
      </c>
      <c r="C49" s="22"/>
      <c r="D49" s="23" t="s">
        <v>61</v>
      </c>
      <c r="E49" s="24"/>
      <c r="F49" s="66">
        <v>4.4000000000000003E-3</v>
      </c>
      <c r="G49" s="58">
        <f>F16*(1+F72)</f>
        <v>157.20000000000002</v>
      </c>
      <c r="H49" s="67">
        <f t="shared" ref="H49:H55" si="9">G49*F49</f>
        <v>0.69168000000000007</v>
      </c>
      <c r="I49" s="28"/>
      <c r="J49" s="66">
        <v>4.4000000000000003E-3</v>
      </c>
      <c r="K49" s="59">
        <f>F16*(1+J72)</f>
        <v>157.065</v>
      </c>
      <c r="L49" s="67">
        <f t="shared" ref="L49:L55" si="10">K49*J49</f>
        <v>0.69108599999999998</v>
      </c>
      <c r="M49" s="28"/>
      <c r="N49" s="31">
        <f t="shared" si="2"/>
        <v>-5.9400000000009445E-4</v>
      </c>
      <c r="O49" s="68">
        <f t="shared" si="8"/>
        <v>-8.5877862595433495E-4</v>
      </c>
    </row>
    <row r="50" spans="2:19" x14ac:dyDescent="0.25">
      <c r="B50" s="65" t="s">
        <v>32</v>
      </c>
      <c r="C50" s="22"/>
      <c r="D50" s="23" t="s">
        <v>61</v>
      </c>
      <c r="E50" s="24"/>
      <c r="F50" s="66">
        <v>1.2999999999999999E-3</v>
      </c>
      <c r="G50" s="58">
        <f>G49</f>
        <v>157.20000000000002</v>
      </c>
      <c r="H50" s="67">
        <f t="shared" si="9"/>
        <v>0.20436000000000001</v>
      </c>
      <c r="I50" s="28"/>
      <c r="J50" s="66">
        <v>1.2999999999999999E-3</v>
      </c>
      <c r="K50" s="59">
        <f>K49</f>
        <v>157.065</v>
      </c>
      <c r="L50" s="67">
        <f t="shared" si="10"/>
        <v>0.20418449999999999</v>
      </c>
      <c r="M50" s="28"/>
      <c r="N50" s="31">
        <f t="shared" si="2"/>
        <v>-1.7550000000002286E-4</v>
      </c>
      <c r="O50" s="68">
        <f t="shared" si="8"/>
        <v>-8.5877862595431023E-4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7">
        <f t="shared" si="9"/>
        <v>0.25</v>
      </c>
      <c r="I51" s="28"/>
      <c r="J51" s="176">
        <v>0.25</v>
      </c>
      <c r="K51" s="30">
        <v>1</v>
      </c>
      <c r="L51" s="67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6">
        <v>7.0000000000000001E-3</v>
      </c>
      <c r="G52" s="69">
        <f>F16</f>
        <v>150</v>
      </c>
      <c r="H52" s="67">
        <f t="shared" si="9"/>
        <v>1.05</v>
      </c>
      <c r="I52" s="28"/>
      <c r="J52" s="66">
        <v>7.0000000000000001E-3</v>
      </c>
      <c r="K52" s="70">
        <f>F16</f>
        <v>150</v>
      </c>
      <c r="L52" s="67">
        <f t="shared" si="10"/>
        <v>1.05</v>
      </c>
      <c r="M52" s="28"/>
      <c r="N52" s="31">
        <f t="shared" si="2"/>
        <v>0</v>
      </c>
      <c r="O52" s="68">
        <f t="shared" si="8"/>
        <v>0</v>
      </c>
    </row>
    <row r="53" spans="2:19" ht="15.75" thickBot="1" x14ac:dyDescent="0.3">
      <c r="B53" s="49" t="s">
        <v>73</v>
      </c>
      <c r="C53" s="22"/>
      <c r="D53" s="23" t="s">
        <v>61</v>
      </c>
      <c r="E53" s="24"/>
      <c r="F53" s="66">
        <v>8.2699999999999996E-2</v>
      </c>
      <c r="G53" s="69">
        <f>F16</f>
        <v>150</v>
      </c>
      <c r="H53" s="67">
        <f t="shared" si="9"/>
        <v>12.404999999999999</v>
      </c>
      <c r="I53" s="28"/>
      <c r="J53" s="66">
        <v>8.2699999999999996E-2</v>
      </c>
      <c r="K53" s="69">
        <f>F16</f>
        <v>150</v>
      </c>
      <c r="L53" s="67">
        <f t="shared" si="10"/>
        <v>12.404999999999999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.75" hidden="1" thickBot="1" x14ac:dyDescent="0.3">
      <c r="B54" s="49" t="s">
        <v>36</v>
      </c>
      <c r="C54" s="22"/>
      <c r="D54" s="23"/>
      <c r="E54" s="24"/>
      <c r="F54" s="71">
        <v>0.104</v>
      </c>
      <c r="G54" s="69">
        <v>0</v>
      </c>
      <c r="H54" s="67">
        <f t="shared" si="9"/>
        <v>0</v>
      </c>
      <c r="I54" s="28"/>
      <c r="J54" s="66">
        <v>0.104</v>
      </c>
      <c r="K54" s="69">
        <v>0</v>
      </c>
      <c r="L54" s="67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.75" hidden="1" thickBot="1" x14ac:dyDescent="0.3">
      <c r="B55" s="12" t="s">
        <v>37</v>
      </c>
      <c r="C55" s="22"/>
      <c r="D55" s="23"/>
      <c r="E55" s="24"/>
      <c r="F55" s="71">
        <v>0.124</v>
      </c>
      <c r="G55" s="69">
        <v>0</v>
      </c>
      <c r="H55" s="67">
        <f t="shared" si="9"/>
        <v>0</v>
      </c>
      <c r="I55" s="28"/>
      <c r="J55" s="66">
        <v>0.124</v>
      </c>
      <c r="K55" s="69">
        <v>0</v>
      </c>
      <c r="L55" s="67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.75" hidden="1" thickBot="1" x14ac:dyDescent="0.25">
      <c r="B56" s="179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150</v>
      </c>
      <c r="H56" s="67">
        <f>G56*F56</f>
        <v>11.25</v>
      </c>
      <c r="I56" s="79"/>
      <c r="J56" s="66">
        <v>7.4999999999999997E-2</v>
      </c>
      <c r="K56" s="78">
        <f>G56</f>
        <v>150</v>
      </c>
      <c r="L56" s="67">
        <f>K56*J56</f>
        <v>11.25</v>
      </c>
      <c r="M56" s="79"/>
      <c r="N56" s="80">
        <f t="shared" si="2"/>
        <v>0</v>
      </c>
      <c r="O56" s="68">
        <f t="shared" si="8"/>
        <v>0</v>
      </c>
    </row>
    <row r="57" spans="2:19" s="73" customFormat="1" ht="15.75" hidden="1" thickBot="1" x14ac:dyDescent="0.25">
      <c r="B57" s="179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0</v>
      </c>
      <c r="H57" s="67">
        <f>G57*F57</f>
        <v>0</v>
      </c>
      <c r="I57" s="79"/>
      <c r="J57" s="66">
        <v>8.7999999999999995E-2</v>
      </c>
      <c r="K57" s="78">
        <f>G57</f>
        <v>0</v>
      </c>
      <c r="L57" s="67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.75" hidden="1" thickBot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38.246639999999999</v>
      </c>
      <c r="I59" s="95"/>
      <c r="J59" s="96"/>
      <c r="K59" s="96"/>
      <c r="L59" s="94">
        <f>SUM(L49:L55,L48)</f>
        <v>34.922065408975051</v>
      </c>
      <c r="M59" s="97"/>
      <c r="N59" s="98">
        <f>L59-H59</f>
        <v>-3.3245745910249482</v>
      </c>
      <c r="O59" s="99">
        <f>IF((H59)=0,"",(N59/H59))</f>
        <v>-8.6924618503088066E-2</v>
      </c>
      <c r="S59" s="72"/>
    </row>
    <row r="60" spans="2:19" ht="15.75" hidden="1" thickBot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4.9720632</v>
      </c>
      <c r="I60" s="104"/>
      <c r="J60" s="105">
        <v>0.13</v>
      </c>
      <c r="K60" s="104"/>
      <c r="L60" s="106">
        <f>L59*J60</f>
        <v>4.5398685031667565</v>
      </c>
      <c r="M60" s="107"/>
      <c r="N60" s="108">
        <f t="shared" si="2"/>
        <v>-0.43219469683324352</v>
      </c>
      <c r="O60" s="109">
        <f t="shared" si="8"/>
        <v>-8.6924618503088122E-2</v>
      </c>
      <c r="S60" s="72"/>
    </row>
    <row r="61" spans="2:19" ht="15.75" hidden="1" thickBot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43.2187032</v>
      </c>
      <c r="I61" s="104"/>
      <c r="J61" s="104"/>
      <c r="K61" s="104"/>
      <c r="L61" s="106">
        <f>L59+L60</f>
        <v>39.461933912141809</v>
      </c>
      <c r="M61" s="107"/>
      <c r="N61" s="108">
        <f t="shared" si="2"/>
        <v>-3.7567692878581909</v>
      </c>
      <c r="O61" s="109">
        <f t="shared" si="8"/>
        <v>-8.6924618503088052E-2</v>
      </c>
      <c r="S61" s="72"/>
    </row>
    <row r="62" spans="2:19" ht="15.75" hidden="1" customHeight="1" x14ac:dyDescent="0.3">
      <c r="B62" s="248" t="s">
        <v>43</v>
      </c>
      <c r="C62" s="248"/>
      <c r="D62" s="248"/>
      <c r="E62" s="22"/>
      <c r="F62" s="111"/>
      <c r="G62" s="102"/>
      <c r="H62" s="112">
        <f>ROUND(-H61*10%,2)</f>
        <v>-4.32</v>
      </c>
      <c r="I62" s="104"/>
      <c r="J62" s="104"/>
      <c r="K62" s="104"/>
      <c r="L62" s="113">
        <f>ROUND(-L61*10%,2)</f>
        <v>-3.95</v>
      </c>
      <c r="M62" s="107"/>
      <c r="N62" s="114">
        <f t="shared" si="2"/>
        <v>0.37000000000000011</v>
      </c>
      <c r="O62" s="115">
        <f t="shared" si="8"/>
        <v>-8.5648148148148168E-2</v>
      </c>
    </row>
    <row r="63" spans="2:19" ht="15.75" hidden="1" thickBot="1" x14ac:dyDescent="0.3">
      <c r="B63" s="240" t="s">
        <v>44</v>
      </c>
      <c r="C63" s="240"/>
      <c r="D63" s="240"/>
      <c r="E63" s="116"/>
      <c r="F63" s="117"/>
      <c r="G63" s="118"/>
      <c r="H63" s="119">
        <f>H61+H62</f>
        <v>38.8987032</v>
      </c>
      <c r="I63" s="120"/>
      <c r="J63" s="120"/>
      <c r="K63" s="120"/>
      <c r="L63" s="121">
        <f>L61+L62</f>
        <v>35.511933912141807</v>
      </c>
      <c r="M63" s="122"/>
      <c r="N63" s="123">
        <f t="shared" si="2"/>
        <v>-3.3867692878581934</v>
      </c>
      <c r="O63" s="124">
        <f t="shared" si="8"/>
        <v>-8.7066380348077857E-2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38.246639999999999</v>
      </c>
      <c r="I65" s="136"/>
      <c r="J65" s="137"/>
      <c r="K65" s="137"/>
      <c r="L65" s="188">
        <f>SUM(L53,L48,L49:L52)</f>
        <v>34.922065408975044</v>
      </c>
      <c r="M65" s="138"/>
      <c r="N65" s="139">
        <f>L65-H65</f>
        <v>-3.3245745910249553</v>
      </c>
      <c r="O65" s="99">
        <f>IF((H65)=0,"",(N65/H65))</f>
        <v>-8.6924618503088261E-2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4.9720632</v>
      </c>
      <c r="I66" s="143"/>
      <c r="J66" s="144">
        <v>0.13</v>
      </c>
      <c r="K66" s="145"/>
      <c r="L66" s="146">
        <f>L65*J66</f>
        <v>4.5398685031667556</v>
      </c>
      <c r="M66" s="147"/>
      <c r="N66" s="148">
        <f>L66-H66</f>
        <v>-0.43219469683324441</v>
      </c>
      <c r="O66" s="109">
        <f>IF((H66)=0,"",(N66/H66))</f>
        <v>-8.6924618503088302E-2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43.2187032</v>
      </c>
      <c r="I67" s="143"/>
      <c r="J67" s="143"/>
      <c r="K67" s="143"/>
      <c r="L67" s="146">
        <f>L65+L66</f>
        <v>39.461933912141802</v>
      </c>
      <c r="M67" s="147"/>
      <c r="N67" s="148">
        <f>L67-H67</f>
        <v>-3.756769287858198</v>
      </c>
      <c r="O67" s="109">
        <f>IF((H67)=0,"",(N67/H67))</f>
        <v>-8.6924618503088219E-2</v>
      </c>
    </row>
    <row r="68" spans="1:15" s="73" customFormat="1" ht="15.75" customHeight="1" x14ac:dyDescent="0.2">
      <c r="B68" s="249" t="s">
        <v>43</v>
      </c>
      <c r="C68" s="249"/>
      <c r="D68" s="249"/>
      <c r="E68" s="75"/>
      <c r="F68" s="150"/>
      <c r="G68" s="151"/>
      <c r="H68" s="152">
        <f>ROUND(-H67*10%,2)</f>
        <v>-4.32</v>
      </c>
      <c r="I68" s="143"/>
      <c r="J68" s="143"/>
      <c r="K68" s="143"/>
      <c r="L68" s="153">
        <f>ROUND(-L67*10%,2)</f>
        <v>-3.95</v>
      </c>
      <c r="M68" s="147"/>
      <c r="N68" s="154">
        <f>L68-H68</f>
        <v>0.37000000000000011</v>
      </c>
      <c r="O68" s="115">
        <f>IF((H68)=0,"",(N68/H68))</f>
        <v>-8.5648148148148168E-2</v>
      </c>
    </row>
    <row r="69" spans="1:15" s="73" customFormat="1" ht="13.5" thickBot="1" x14ac:dyDescent="0.25">
      <c r="B69" s="241" t="s">
        <v>46</v>
      </c>
      <c r="C69" s="241"/>
      <c r="D69" s="241"/>
      <c r="E69" s="155"/>
      <c r="F69" s="156"/>
      <c r="G69" s="157"/>
      <c r="H69" s="158">
        <f>SUM(H67:H68)</f>
        <v>38.8987032</v>
      </c>
      <c r="I69" s="159"/>
      <c r="J69" s="159"/>
      <c r="K69" s="159"/>
      <c r="L69" s="160">
        <f>SUM(L67:L68)</f>
        <v>35.511933912141799</v>
      </c>
      <c r="M69" s="161"/>
      <c r="N69" s="162">
        <f>L69-H69</f>
        <v>-3.3867692878582005</v>
      </c>
      <c r="O69" s="163">
        <f>IF((H69)=0,"",(N69/H69))</f>
        <v>-8.7066380348078037E-2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v>4.8000000000000001E-2</v>
      </c>
      <c r="J72" s="170">
        <f>'Res (100kWh)'!$J$74</f>
        <v>4.7100000000000003E-2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</mergeCells>
  <dataValidations count="3">
    <dataValidation type="list" allowBlank="1" showInputMessage="1" showErrorMessage="1" sqref="E46:E47 E38:E44 E21:E36 E49:E58 E70 E64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fitToHeight="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tabColor theme="0" tint="-0.14999847407452621"/>
    <pageSetUpPr fitToPage="1"/>
  </sheetPr>
  <dimension ref="A1:T88"/>
  <sheetViews>
    <sheetView showGridLines="0" workbookViewId="0">
      <selection activeCell="B9" sqref="B9:O9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8-B</v>
      </c>
      <c r="O3" s="234"/>
      <c r="P3"/>
    </row>
    <row r="4" spans="1:20" s="2" customFormat="1" ht="9" customHeight="1" x14ac:dyDescent="0.25">
      <c r="L4" s="3"/>
      <c r="N4" s="232"/>
      <c r="O4"/>
      <c r="P4"/>
    </row>
    <row r="5" spans="1:20" s="2" customFormat="1" x14ac:dyDescent="0.25">
      <c r="L5" s="3" t="s">
        <v>75</v>
      </c>
      <c r="N5" s="234">
        <f>'Res (100kWh)'!$N$5:$O$5</f>
        <v>42177</v>
      </c>
      <c r="O5" s="234"/>
      <c r="P5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72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150</v>
      </c>
      <c r="G16" s="13" t="s">
        <v>7</v>
      </c>
      <c r="H16" s="14"/>
      <c r="I16" s="13"/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Rates'!$B$12</f>
        <v>7.03</v>
      </c>
      <c r="G21" s="26">
        <v>1</v>
      </c>
      <c r="H21" s="27">
        <f>G21*F21</f>
        <v>7.03</v>
      </c>
      <c r="I21" s="28"/>
      <c r="J21" s="173">
        <f>'[2]Rate Schedule '!$E$47</f>
        <v>5.0915999999999997</v>
      </c>
      <c r="K21" s="30">
        <v>1</v>
      </c>
      <c r="L21" s="27">
        <f>K21*J21</f>
        <v>5.0915999999999997</v>
      </c>
      <c r="M21" s="28"/>
      <c r="N21" s="31">
        <f>L21-H21</f>
        <v>-1.9384000000000006</v>
      </c>
      <c r="O21" s="32">
        <f>IF((H21)=0,"",(N21/H21))</f>
        <v>-0.27573257467994317</v>
      </c>
    </row>
    <row r="22" spans="2:15" ht="36.75" customHeight="1" x14ac:dyDescent="0.25">
      <c r="B22" s="65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46" t="s">
        <v>65</v>
      </c>
      <c r="C25" s="22"/>
      <c r="D25" s="23" t="s">
        <v>61</v>
      </c>
      <c r="E25" s="24"/>
      <c r="F25" s="25">
        <v>-2.0000000000000001E-4</v>
      </c>
      <c r="G25" s="178">
        <f>$F$16</f>
        <v>150</v>
      </c>
      <c r="H25" s="27">
        <f t="shared" si="0"/>
        <v>-3.0000000000000002E-2</v>
      </c>
      <c r="I25" s="28"/>
      <c r="J25" s="29"/>
      <c r="K25" s="178">
        <f>$F$16</f>
        <v>150</v>
      </c>
      <c r="L25" s="27">
        <f t="shared" si="1"/>
        <v>0</v>
      </c>
      <c r="M25" s="28"/>
      <c r="N25" s="31">
        <f t="shared" si="2"/>
        <v>3.0000000000000002E-2</v>
      </c>
      <c r="O25" s="32">
        <f t="shared" si="3"/>
        <v>-1</v>
      </c>
    </row>
    <row r="26" spans="2:15" x14ac:dyDescent="0.25">
      <c r="B26" s="46" t="s">
        <v>66</v>
      </c>
      <c r="C26" s="22"/>
      <c r="D26" s="23" t="s">
        <v>61</v>
      </c>
      <c r="E26" s="24"/>
      <c r="F26" s="25"/>
      <c r="G26" s="178">
        <f>$F$16</f>
        <v>150</v>
      </c>
      <c r="H26" s="27">
        <f t="shared" si="0"/>
        <v>0</v>
      </c>
      <c r="I26" s="28"/>
      <c r="J26" s="29">
        <f>'[4]6. Rate Rider Calculations'!$F$79</f>
        <v>-3.6442926228316876E-3</v>
      </c>
      <c r="K26" s="178">
        <f>$F$16</f>
        <v>150</v>
      </c>
      <c r="L26" s="27">
        <f t="shared" si="1"/>
        <v>-0.54664389342475317</v>
      </c>
      <c r="M26" s="28"/>
      <c r="N26" s="31">
        <f t="shared" si="2"/>
        <v>-0.54664389342475317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61</v>
      </c>
      <c r="E27" s="24"/>
      <c r="F27" s="25">
        <f>'[2]2014 Existing Rates'!$E$12</f>
        <v>1.6199999999999999E-2</v>
      </c>
      <c r="G27" s="178">
        <f>$F$16</f>
        <v>150</v>
      </c>
      <c r="H27" s="27">
        <f t="shared" si="0"/>
        <v>2.4299999999999997</v>
      </c>
      <c r="I27" s="28"/>
      <c r="J27" s="29">
        <f>'[2]Rate Schedule '!$E$48</f>
        <v>1.17E-2</v>
      </c>
      <c r="K27" s="178">
        <f>$F$16</f>
        <v>150</v>
      </c>
      <c r="L27" s="27">
        <f t="shared" si="1"/>
        <v>1.7550000000000001</v>
      </c>
      <c r="M27" s="28"/>
      <c r="N27" s="31">
        <f t="shared" si="2"/>
        <v>-0.6749999999999996</v>
      </c>
      <c r="O27" s="32">
        <f t="shared" si="3"/>
        <v>-0.27777777777777762</v>
      </c>
    </row>
    <row r="28" spans="2:15" hidden="1" x14ac:dyDescent="0.25">
      <c r="B28" s="22" t="s">
        <v>20</v>
      </c>
      <c r="C28" s="22"/>
      <c r="D28" s="23"/>
      <c r="E28" s="24"/>
      <c r="F28" s="25"/>
      <c r="G28" s="26">
        <f>$F$16</f>
        <v>150</v>
      </c>
      <c r="H28" s="27">
        <f t="shared" si="0"/>
        <v>0</v>
      </c>
      <c r="I28" s="28"/>
      <c r="J28" s="29"/>
      <c r="K28" s="26">
        <f t="shared" ref="K28:K36" si="4">$F$16</f>
        <v>150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25">
      <c r="B29" s="22" t="s">
        <v>21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si="4"/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33"/>
      <c r="C30" s="22"/>
      <c r="D30" s="23"/>
      <c r="E30" s="24"/>
      <c r="F30" s="25"/>
      <c r="G30" s="26">
        <f t="shared" ref="G30:G36" si="5"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si="5"/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9.43</v>
      </c>
      <c r="I37" s="41"/>
      <c r="J37" s="42"/>
      <c r="K37" s="43"/>
      <c r="L37" s="40">
        <f>SUM(L21:L36)</f>
        <v>6.2999561065752463</v>
      </c>
      <c r="M37" s="41"/>
      <c r="N37" s="44">
        <f t="shared" si="2"/>
        <v>-3.1300438934247534</v>
      </c>
      <c r="O37" s="45">
        <f t="shared" si="3"/>
        <v>-0.33192406080856346</v>
      </c>
    </row>
    <row r="38" spans="2:15" x14ac:dyDescent="0.25">
      <c r="B38" s="46" t="s">
        <v>23</v>
      </c>
      <c r="C38" s="22"/>
      <c r="D38" s="56" t="s">
        <v>61</v>
      </c>
      <c r="E38" s="57"/>
      <c r="F38" s="29">
        <v>-1.8E-3</v>
      </c>
      <c r="G38" s="178">
        <f>F16</f>
        <v>150</v>
      </c>
      <c r="H38" s="27">
        <f t="shared" ref="H38:H44" si="6">G38*F38</f>
        <v>-0.27</v>
      </c>
      <c r="I38" s="28"/>
      <c r="J38" s="29">
        <f>'[4]6. Rate Rider Calculations'!$F$24</f>
        <v>-3.1131541843236444E-3</v>
      </c>
      <c r="K38" s="178">
        <f>F16</f>
        <v>150</v>
      </c>
      <c r="L38" s="27">
        <f t="shared" ref="L38:L44" si="7">K38*J38</f>
        <v>-0.46697312764854665</v>
      </c>
      <c r="M38" s="28"/>
      <c r="N38" s="31">
        <f t="shared" ref="N38:N44" si="8">L38-H38</f>
        <v>-0.19697312764854663</v>
      </c>
      <c r="O38" s="32">
        <f t="shared" ref="O38:O43" si="9">IF((H38)=0,"",(N38/H38))</f>
        <v>0.72953010240202454</v>
      </c>
    </row>
    <row r="39" spans="2:15" hidden="1" x14ac:dyDescent="0.25">
      <c r="B39" s="46"/>
      <c r="C39" s="22"/>
      <c r="D39" s="23" t="s">
        <v>61</v>
      </c>
      <c r="E39" s="24"/>
      <c r="F39" s="25"/>
      <c r="G39" s="178">
        <f>F16</f>
        <v>150</v>
      </c>
      <c r="H39" s="27">
        <f t="shared" si="6"/>
        <v>0</v>
      </c>
      <c r="I39" s="47"/>
      <c r="J39" s="29"/>
      <c r="K39" s="178">
        <f>F16</f>
        <v>150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idden="1" x14ac:dyDescent="0.25">
      <c r="B40" s="46"/>
      <c r="C40" s="22"/>
      <c r="D40" s="23" t="s">
        <v>61</v>
      </c>
      <c r="E40" s="24"/>
      <c r="F40" s="25"/>
      <c r="G40" s="178">
        <f>F16</f>
        <v>150</v>
      </c>
      <c r="H40" s="27">
        <f t="shared" si="6"/>
        <v>0</v>
      </c>
      <c r="I40" s="47"/>
      <c r="J40" s="29"/>
      <c r="K40" s="178">
        <f>F16</f>
        <v>150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27.75" customHeight="1" x14ac:dyDescent="0.25">
      <c r="B41" s="46" t="s">
        <v>74</v>
      </c>
      <c r="C41" s="22"/>
      <c r="D41" s="23" t="s">
        <v>61</v>
      </c>
      <c r="E41" s="24"/>
      <c r="F41" s="29"/>
      <c r="G41" s="26">
        <f>$F$16</f>
        <v>150</v>
      </c>
      <c r="H41" s="27">
        <f t="shared" si="6"/>
        <v>0</v>
      </c>
      <c r="I41" s="47"/>
      <c r="J41" s="29">
        <f>'[4]6. Rate Rider Calculations'!$F$51</f>
        <v>0</v>
      </c>
      <c r="K41" s="26">
        <f>$F$16</f>
        <v>150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x14ac:dyDescent="0.25">
      <c r="B42" s="49" t="s">
        <v>24</v>
      </c>
      <c r="C42" s="22"/>
      <c r="D42" s="23" t="s">
        <v>61</v>
      </c>
      <c r="E42" s="24"/>
      <c r="F42" s="195">
        <v>4.0000000000000003E-5</v>
      </c>
      <c r="G42" s="178">
        <f>F16</f>
        <v>150</v>
      </c>
      <c r="H42" s="27">
        <f t="shared" si="6"/>
        <v>6.0000000000000001E-3</v>
      </c>
      <c r="I42" s="28"/>
      <c r="J42" s="196">
        <f>'[2]Rate Schedule '!$E$49</f>
        <v>6.9999999999999994E-5</v>
      </c>
      <c r="K42" s="178">
        <f>F16</f>
        <v>150</v>
      </c>
      <c r="L42" s="27">
        <f t="shared" si="7"/>
        <v>1.0499999999999999E-2</v>
      </c>
      <c r="M42" s="28"/>
      <c r="N42" s="31">
        <f t="shared" si="8"/>
        <v>4.4999999999999988E-3</v>
      </c>
      <c r="O42" s="32">
        <f t="shared" si="9"/>
        <v>0.74999999999999978</v>
      </c>
    </row>
    <row r="43" spans="2:15" s="34" customFormat="1" x14ac:dyDescent="0.25">
      <c r="B43" s="180" t="s">
        <v>25</v>
      </c>
      <c r="C43" s="24"/>
      <c r="D43" s="181" t="s">
        <v>61</v>
      </c>
      <c r="E43" s="24"/>
      <c r="F43" s="182">
        <f>IF(ISBLANK(D14)=TRUE, 0, IF(D14="TOU", 0.64*$F$53+0.18*$F$54+0.18*$F$55, IF(AND(D14="non-TOU", G57&gt;0), F57,F56)))</f>
        <v>7.4999999999999997E-2</v>
      </c>
      <c r="G43" s="26">
        <f>$F$16*(1+$F$72)-$F$16</f>
        <v>7.2000000000000171</v>
      </c>
      <c r="H43" s="183">
        <f t="shared" si="6"/>
        <v>0.54000000000000126</v>
      </c>
      <c r="I43" s="57"/>
      <c r="J43" s="184">
        <f>IF(ISBLANK(D14)=TRUE, 0, IF(D14="TOU", 0.64*$F$53+0.18*$F$54+0.18*$F$55, IF(AND(D14="non-TOU", K57&gt;0), J57,J56)))</f>
        <v>7.4999999999999997E-2</v>
      </c>
      <c r="K43" s="26">
        <f>$F$16*(1+$J$72)-$F$16</f>
        <v>7.0649999999999977</v>
      </c>
      <c r="L43" s="183">
        <f t="shared" si="7"/>
        <v>0.52987499999999976</v>
      </c>
      <c r="M43" s="57"/>
      <c r="N43" s="185">
        <f t="shared" si="8"/>
        <v>-1.0125000000001494E-2</v>
      </c>
      <c r="O43" s="186">
        <f t="shared" si="9"/>
        <v>-1.8750000000002723E-2</v>
      </c>
    </row>
    <row r="44" spans="2:15" x14ac:dyDescent="0.25">
      <c r="B44" s="49" t="s">
        <v>26</v>
      </c>
      <c r="C44" s="22"/>
      <c r="D44" s="23" t="s">
        <v>60</v>
      </c>
      <c r="E44" s="24"/>
      <c r="F44" s="177"/>
      <c r="G44" s="26">
        <v>0</v>
      </c>
      <c r="H44" s="27">
        <f t="shared" si="6"/>
        <v>0</v>
      </c>
      <c r="I44" s="28"/>
      <c r="J44" s="177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9.7060000000000013</v>
      </c>
      <c r="I45" s="41"/>
      <c r="J45" s="53"/>
      <c r="K45" s="55"/>
      <c r="L45" s="54">
        <f>SUM(L38:L44)+L37</f>
        <v>6.3733579789266992</v>
      </c>
      <c r="M45" s="41"/>
      <c r="N45" s="44">
        <f t="shared" ref="N45:N63" si="10">L45-H45</f>
        <v>-3.3326420210733021</v>
      </c>
      <c r="O45" s="45">
        <f t="shared" ref="O45:O63" si="11">IF((H45)=0,"",(N45/H45))</f>
        <v>-0.34335895539597172</v>
      </c>
    </row>
    <row r="46" spans="2:15" x14ac:dyDescent="0.25">
      <c r="B46" s="28" t="s">
        <v>28</v>
      </c>
      <c r="C46" s="28"/>
      <c r="D46" s="56" t="s">
        <v>61</v>
      </c>
      <c r="E46" s="57"/>
      <c r="F46" s="29">
        <v>6.8999999999999999E-3</v>
      </c>
      <c r="G46" s="58">
        <f>F16*(1+F72)</f>
        <v>157.20000000000002</v>
      </c>
      <c r="H46" s="27">
        <f>G46*F46</f>
        <v>1.0846800000000001</v>
      </c>
      <c r="I46" s="28"/>
      <c r="J46" s="29">
        <f>'[5]13. Final 2015 RTS Rates'!$F$30</f>
        <v>7.0871105522439639E-3</v>
      </c>
      <c r="K46" s="59">
        <f>F16*(1+J72)</f>
        <v>157.065</v>
      </c>
      <c r="L46" s="27">
        <f>K46*J46</f>
        <v>1.1131370188881982</v>
      </c>
      <c r="M46" s="28"/>
      <c r="N46" s="31">
        <f t="shared" si="10"/>
        <v>2.8457018888198071E-2</v>
      </c>
      <c r="O46" s="32">
        <f t="shared" si="11"/>
        <v>2.6235404808974138E-2</v>
      </c>
    </row>
    <row r="47" spans="2:15" x14ac:dyDescent="0.25">
      <c r="B47" s="60" t="s">
        <v>29</v>
      </c>
      <c r="C47" s="28"/>
      <c r="D47" s="56" t="s">
        <v>61</v>
      </c>
      <c r="E47" s="57"/>
      <c r="F47" s="29">
        <v>5.1999999999999998E-3</v>
      </c>
      <c r="G47" s="58">
        <f>G46</f>
        <v>157.20000000000002</v>
      </c>
      <c r="H47" s="27">
        <f>G47*F47</f>
        <v>0.81744000000000006</v>
      </c>
      <c r="I47" s="28"/>
      <c r="J47" s="29">
        <f>'[5]13. Final 2015 RTS Rates'!$H$30</f>
        <v>5.3052532652731205E-3</v>
      </c>
      <c r="K47" s="59">
        <f>K46</f>
        <v>157.065</v>
      </c>
      <c r="L47" s="27">
        <f>K47*J47</f>
        <v>0.83326960411012263</v>
      </c>
      <c r="M47" s="28"/>
      <c r="N47" s="31">
        <f t="shared" si="10"/>
        <v>1.5829604110122575E-2</v>
      </c>
      <c r="O47" s="32">
        <f t="shared" si="11"/>
        <v>1.9364851377621079E-2</v>
      </c>
    </row>
    <row r="48" spans="2:15" x14ac:dyDescent="0.25">
      <c r="B48" s="50" t="s">
        <v>30</v>
      </c>
      <c r="C48" s="36"/>
      <c r="D48" s="36"/>
      <c r="E48" s="36"/>
      <c r="F48" s="61"/>
      <c r="G48" s="53"/>
      <c r="H48" s="54">
        <f>SUM(H45:H47)</f>
        <v>11.608120000000001</v>
      </c>
      <c r="I48" s="62"/>
      <c r="J48" s="63"/>
      <c r="K48" s="64"/>
      <c r="L48" s="54">
        <f>SUM(L45:L47)</f>
        <v>8.3197646019250211</v>
      </c>
      <c r="M48" s="62"/>
      <c r="N48" s="44">
        <f t="shared" si="10"/>
        <v>-3.2883553980749802</v>
      </c>
      <c r="O48" s="45">
        <f t="shared" si="11"/>
        <v>-0.28328061719511688</v>
      </c>
    </row>
    <row r="49" spans="2:19" x14ac:dyDescent="0.25">
      <c r="B49" s="65" t="s">
        <v>31</v>
      </c>
      <c r="C49" s="22"/>
      <c r="D49" s="23" t="s">
        <v>61</v>
      </c>
      <c r="E49" s="24"/>
      <c r="F49" s="66">
        <v>4.4000000000000003E-3</v>
      </c>
      <c r="G49" s="58">
        <f>F16*(1+F72)</f>
        <v>157.20000000000002</v>
      </c>
      <c r="H49" s="67">
        <f t="shared" ref="H49:H55" si="12">G49*F49</f>
        <v>0.69168000000000007</v>
      </c>
      <c r="I49" s="28"/>
      <c r="J49" s="66">
        <v>4.4000000000000003E-3</v>
      </c>
      <c r="K49" s="59">
        <f>F16*(1+J72)</f>
        <v>157.065</v>
      </c>
      <c r="L49" s="67">
        <f t="shared" ref="L49:L55" si="13">K49*J49</f>
        <v>0.69108599999999998</v>
      </c>
      <c r="M49" s="28"/>
      <c r="N49" s="31">
        <f t="shared" si="10"/>
        <v>-5.9400000000009445E-4</v>
      </c>
      <c r="O49" s="68">
        <f t="shared" si="11"/>
        <v>-8.5877862595433495E-4</v>
      </c>
    </row>
    <row r="50" spans="2:19" x14ac:dyDescent="0.25">
      <c r="B50" s="65" t="s">
        <v>32</v>
      </c>
      <c r="C50" s="22"/>
      <c r="D50" s="23" t="s">
        <v>61</v>
      </c>
      <c r="E50" s="24"/>
      <c r="F50" s="66">
        <v>1.2999999999999999E-3</v>
      </c>
      <c r="G50" s="58">
        <f>G49</f>
        <v>157.20000000000002</v>
      </c>
      <c r="H50" s="67">
        <f t="shared" si="12"/>
        <v>0.20436000000000001</v>
      </c>
      <c r="I50" s="28"/>
      <c r="J50" s="66">
        <v>1.2999999999999999E-3</v>
      </c>
      <c r="K50" s="59">
        <f>K49</f>
        <v>157.065</v>
      </c>
      <c r="L50" s="67">
        <f t="shared" si="13"/>
        <v>0.20418449999999999</v>
      </c>
      <c r="M50" s="28"/>
      <c r="N50" s="31">
        <f t="shared" si="10"/>
        <v>-1.7550000000002286E-4</v>
      </c>
      <c r="O50" s="68">
        <f t="shared" si="11"/>
        <v>-8.5877862595431023E-4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7">
        <f t="shared" si="12"/>
        <v>0.25</v>
      </c>
      <c r="I51" s="28"/>
      <c r="J51" s="176">
        <v>0.25</v>
      </c>
      <c r="K51" s="30">
        <v>1</v>
      </c>
      <c r="L51" s="67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6">
        <v>7.0000000000000001E-3</v>
      </c>
      <c r="G52" s="69">
        <f>F16</f>
        <v>150</v>
      </c>
      <c r="H52" s="67">
        <f t="shared" si="12"/>
        <v>1.05</v>
      </c>
      <c r="I52" s="28"/>
      <c r="J52" s="66">
        <v>7.0000000000000001E-3</v>
      </c>
      <c r="K52" s="70">
        <f>F16</f>
        <v>150</v>
      </c>
      <c r="L52" s="67">
        <f t="shared" si="13"/>
        <v>1.05</v>
      </c>
      <c r="M52" s="28"/>
      <c r="N52" s="31">
        <f t="shared" si="10"/>
        <v>0</v>
      </c>
      <c r="O52" s="68">
        <f t="shared" si="11"/>
        <v>0</v>
      </c>
    </row>
    <row r="53" spans="2:19" ht="15.75" thickBot="1" x14ac:dyDescent="0.3">
      <c r="B53" s="49" t="s">
        <v>73</v>
      </c>
      <c r="C53" s="22"/>
      <c r="D53" s="23" t="s">
        <v>61</v>
      </c>
      <c r="E53" s="24"/>
      <c r="F53" s="66">
        <v>8.2699999999999996E-2</v>
      </c>
      <c r="G53" s="69">
        <f>F16</f>
        <v>150</v>
      </c>
      <c r="H53" s="67">
        <f t="shared" si="12"/>
        <v>12.404999999999999</v>
      </c>
      <c r="I53" s="28"/>
      <c r="J53" s="66">
        <v>8.2699999999999996E-2</v>
      </c>
      <c r="K53" s="69">
        <f>F16</f>
        <v>150</v>
      </c>
      <c r="L53" s="67">
        <f t="shared" si="13"/>
        <v>12.404999999999999</v>
      </c>
      <c r="M53" s="28"/>
      <c r="N53" s="31">
        <f t="shared" si="10"/>
        <v>0</v>
      </c>
      <c r="O53" s="68">
        <f t="shared" si="11"/>
        <v>0</v>
      </c>
      <c r="S53" s="72"/>
    </row>
    <row r="54" spans="2:19" hidden="1" x14ac:dyDescent="0.25">
      <c r="B54" s="49" t="s">
        <v>36</v>
      </c>
      <c r="C54" s="22"/>
      <c r="D54" s="23"/>
      <c r="E54" s="24"/>
      <c r="F54" s="71">
        <v>0.104</v>
      </c>
      <c r="G54" s="58">
        <v>0</v>
      </c>
      <c r="H54" s="67">
        <f t="shared" si="12"/>
        <v>0</v>
      </c>
      <c r="I54" s="28"/>
      <c r="J54" s="66">
        <v>0.104</v>
      </c>
      <c r="K54" s="58">
        <v>0</v>
      </c>
      <c r="L54" s="67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idden="1" x14ac:dyDescent="0.25">
      <c r="B55" s="12" t="s">
        <v>37</v>
      </c>
      <c r="C55" s="22"/>
      <c r="D55" s="23"/>
      <c r="E55" s="24"/>
      <c r="F55" s="71">
        <v>0.124</v>
      </c>
      <c r="G55" s="58">
        <v>0</v>
      </c>
      <c r="H55" s="67">
        <f t="shared" si="12"/>
        <v>0</v>
      </c>
      <c r="I55" s="28"/>
      <c r="J55" s="66">
        <v>0.124</v>
      </c>
      <c r="K55" s="58">
        <v>0</v>
      </c>
      <c r="L55" s="67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idden="1" x14ac:dyDescent="0.2">
      <c r="B56" s="179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150</v>
      </c>
      <c r="H56" s="67">
        <f>G56*F56</f>
        <v>11.25</v>
      </c>
      <c r="I56" s="79"/>
      <c r="J56" s="66">
        <v>7.4999999999999997E-2</v>
      </c>
      <c r="K56" s="78">
        <f>G56</f>
        <v>150</v>
      </c>
      <c r="L56" s="67">
        <f>K56*J56</f>
        <v>11.25</v>
      </c>
      <c r="M56" s="79"/>
      <c r="N56" s="80">
        <f t="shared" si="10"/>
        <v>0</v>
      </c>
      <c r="O56" s="68">
        <f t="shared" si="11"/>
        <v>0</v>
      </c>
    </row>
    <row r="57" spans="2:19" s="73" customFormat="1" ht="15.75" hidden="1" thickBot="1" x14ac:dyDescent="0.25">
      <c r="B57" s="179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0</v>
      </c>
      <c r="H57" s="67">
        <f>G57*F57</f>
        <v>0</v>
      </c>
      <c r="I57" s="79"/>
      <c r="J57" s="66">
        <v>8.7999999999999995E-2</v>
      </c>
      <c r="K57" s="78">
        <f>G57</f>
        <v>0</v>
      </c>
      <c r="L57" s="67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26.209160000000001</v>
      </c>
      <c r="I59" s="95"/>
      <c r="J59" s="96"/>
      <c r="K59" s="96"/>
      <c r="L59" s="94">
        <f>SUM(L49:L55,L48)</f>
        <v>22.920035101925023</v>
      </c>
      <c r="M59" s="97"/>
      <c r="N59" s="98">
        <f>L59-H59</f>
        <v>-3.2891248980749772</v>
      </c>
      <c r="O59" s="99">
        <f>IF((H59)=0,"",(N59/H59))</f>
        <v>-0.12549524281110028</v>
      </c>
      <c r="S59" s="72"/>
    </row>
    <row r="60" spans="2:19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3.4071908000000004</v>
      </c>
      <c r="I60" s="104"/>
      <c r="J60" s="105">
        <v>0.13</v>
      </c>
      <c r="K60" s="104"/>
      <c r="L60" s="106">
        <f>L59*J60</f>
        <v>2.9796045632502532</v>
      </c>
      <c r="M60" s="107"/>
      <c r="N60" s="108">
        <f t="shared" si="10"/>
        <v>-0.42758623674974716</v>
      </c>
      <c r="O60" s="109">
        <f t="shared" si="11"/>
        <v>-0.1254952428111003</v>
      </c>
      <c r="S60" s="72"/>
    </row>
    <row r="61" spans="2:19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29.616350799999999</v>
      </c>
      <c r="I61" s="104"/>
      <c r="J61" s="104"/>
      <c r="K61" s="104"/>
      <c r="L61" s="106">
        <f>L59+L60</f>
        <v>25.899639665175275</v>
      </c>
      <c r="M61" s="107"/>
      <c r="N61" s="108">
        <f t="shared" si="10"/>
        <v>-3.7167111348247239</v>
      </c>
      <c r="O61" s="109">
        <f t="shared" si="11"/>
        <v>-0.12549524281110028</v>
      </c>
      <c r="S61" s="72"/>
    </row>
    <row r="62" spans="2:19" ht="15.75" hidden="1" customHeight="1" x14ac:dyDescent="0.25">
      <c r="B62" s="248" t="s">
        <v>43</v>
      </c>
      <c r="C62" s="248"/>
      <c r="D62" s="248"/>
      <c r="E62" s="22"/>
      <c r="F62" s="111"/>
      <c r="G62" s="102"/>
      <c r="H62" s="112">
        <f>ROUND(-H61*10%,2)</f>
        <v>-2.96</v>
      </c>
      <c r="I62" s="104"/>
      <c r="J62" s="104"/>
      <c r="K62" s="104"/>
      <c r="L62" s="113">
        <f>ROUND(-L61*10%,2)</f>
        <v>-2.59</v>
      </c>
      <c r="M62" s="107"/>
      <c r="N62" s="114">
        <f t="shared" si="10"/>
        <v>0.37000000000000011</v>
      </c>
      <c r="O62" s="115">
        <f t="shared" si="11"/>
        <v>-0.12500000000000003</v>
      </c>
    </row>
    <row r="63" spans="2:19" hidden="1" x14ac:dyDescent="0.25">
      <c r="B63" s="240" t="s">
        <v>44</v>
      </c>
      <c r="C63" s="240"/>
      <c r="D63" s="240"/>
      <c r="E63" s="116"/>
      <c r="F63" s="117"/>
      <c r="G63" s="118"/>
      <c r="H63" s="119">
        <f>H61+H62</f>
        <v>26.656350799999998</v>
      </c>
      <c r="I63" s="120"/>
      <c r="J63" s="120"/>
      <c r="K63" s="120"/>
      <c r="L63" s="121">
        <f>L61+L62</f>
        <v>23.309639665175276</v>
      </c>
      <c r="M63" s="122"/>
      <c r="N63" s="123">
        <f t="shared" si="10"/>
        <v>-3.3467111348247229</v>
      </c>
      <c r="O63" s="124">
        <f t="shared" si="11"/>
        <v>-0.12555023603698684</v>
      </c>
    </row>
    <row r="64" spans="2:19" s="73" customFormat="1" ht="8.25" hidden="1" customHeight="1" x14ac:dyDescent="0.2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26.209160000000004</v>
      </c>
      <c r="I65" s="136"/>
      <c r="J65" s="137"/>
      <c r="K65" s="137"/>
      <c r="L65" s="188">
        <f>SUM(L53,L48,L49:L52)</f>
        <v>22.92003510192502</v>
      </c>
      <c r="M65" s="138"/>
      <c r="N65" s="139">
        <f>L65-H65</f>
        <v>-3.2891248980749843</v>
      </c>
      <c r="O65" s="99">
        <f>IF((H65)=0,"",(N65/H65))</f>
        <v>-0.12549524281110053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3.4071908000000009</v>
      </c>
      <c r="I66" s="143"/>
      <c r="J66" s="144">
        <v>0.13</v>
      </c>
      <c r="K66" s="145"/>
      <c r="L66" s="146">
        <f>L65*J66</f>
        <v>2.9796045632502528</v>
      </c>
      <c r="M66" s="147"/>
      <c r="N66" s="148">
        <f>L66-H66</f>
        <v>-0.42758623674974805</v>
      </c>
      <c r="O66" s="109">
        <f>IF((H66)=0,"",(N66/H66))</f>
        <v>-0.12549524281110055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29.616350800000006</v>
      </c>
      <c r="I67" s="143"/>
      <c r="J67" s="143"/>
      <c r="K67" s="143"/>
      <c r="L67" s="146">
        <f>L65+L66</f>
        <v>25.899639665175272</v>
      </c>
      <c r="M67" s="147"/>
      <c r="N67" s="148">
        <f>L67-H67</f>
        <v>-3.7167111348247346</v>
      </c>
      <c r="O67" s="109">
        <f>IF((H67)=0,"",(N67/H67))</f>
        <v>-0.12549524281110061</v>
      </c>
    </row>
    <row r="68" spans="1:15" s="73" customFormat="1" ht="15.75" customHeight="1" x14ac:dyDescent="0.2">
      <c r="B68" s="249" t="s">
        <v>43</v>
      </c>
      <c r="C68" s="249"/>
      <c r="D68" s="249"/>
      <c r="E68" s="75"/>
      <c r="F68" s="150"/>
      <c r="G68" s="151"/>
      <c r="H68" s="152">
        <f>ROUND(-H67*10%,2)</f>
        <v>-2.96</v>
      </c>
      <c r="I68" s="143"/>
      <c r="J68" s="143"/>
      <c r="K68" s="143"/>
      <c r="L68" s="153">
        <f>ROUND(-L67*10%,2)</f>
        <v>-2.59</v>
      </c>
      <c r="M68" s="147"/>
      <c r="N68" s="154">
        <f>L68-H68</f>
        <v>0.37000000000000011</v>
      </c>
      <c r="O68" s="115">
        <f>IF((H68)=0,"",(N68/H68))</f>
        <v>-0.12500000000000003</v>
      </c>
    </row>
    <row r="69" spans="1:15" s="73" customFormat="1" ht="13.5" thickBot="1" x14ac:dyDescent="0.25">
      <c r="B69" s="241" t="s">
        <v>46</v>
      </c>
      <c r="C69" s="241"/>
      <c r="D69" s="241"/>
      <c r="E69" s="155"/>
      <c r="F69" s="156"/>
      <c r="G69" s="157"/>
      <c r="H69" s="158">
        <f>SUM(H67:H68)</f>
        <v>26.656350800000006</v>
      </c>
      <c r="I69" s="159"/>
      <c r="J69" s="159"/>
      <c r="K69" s="159"/>
      <c r="L69" s="160">
        <f>SUM(L67:L68)</f>
        <v>23.309639665175272</v>
      </c>
      <c r="M69" s="161"/>
      <c r="N69" s="162">
        <f>L69-H69</f>
        <v>-3.3467111348247336</v>
      </c>
      <c r="O69" s="163">
        <f>IF((H69)=0,"",(N69/H69))</f>
        <v>-0.1255502360369872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v>4.8000000000000001E-2</v>
      </c>
      <c r="J72" s="170">
        <f>'Res (100kWh)'!$J$74</f>
        <v>4.7100000000000003E-2</v>
      </c>
    </row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3:D63"/>
    <mergeCell ref="B68:D68"/>
    <mergeCell ref="N18:O18"/>
    <mergeCell ref="N1:O1"/>
    <mergeCell ref="N2:O2"/>
    <mergeCell ref="N3:O3"/>
    <mergeCell ref="N5:O5"/>
    <mergeCell ref="B8:O8"/>
    <mergeCell ref="B9:O9"/>
    <mergeCell ref="D12:O12"/>
    <mergeCell ref="F18:H18"/>
    <mergeCell ref="J18:L18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fitToHeight="0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T27"/>
  <sheetViews>
    <sheetView zoomScaleNormal="100" workbookViewId="0">
      <selection activeCell="M15" sqref="M15"/>
    </sheetView>
  </sheetViews>
  <sheetFormatPr defaultRowHeight="15" x14ac:dyDescent="0.25"/>
  <cols>
    <col min="1" max="1" width="1.7109375" customWidth="1"/>
    <col min="2" max="2" width="7.5703125" customWidth="1"/>
    <col min="3" max="3" width="4.7109375" customWidth="1"/>
    <col min="4" max="4" width="9.140625" bestFit="1" customWidth="1"/>
    <col min="5" max="5" width="5.5703125" bestFit="1" customWidth="1"/>
    <col min="6" max="6" width="10.140625" style="198" bestFit="1" customWidth="1"/>
    <col min="7" max="7" width="11.5703125" style="198" customWidth="1"/>
    <col min="8" max="8" width="11.85546875" style="198" bestFit="1" customWidth="1"/>
    <col min="9" max="9" width="12.7109375" style="198" bestFit="1" customWidth="1"/>
    <col min="10" max="11" width="11.140625" style="198" bestFit="1" customWidth="1"/>
    <col min="12" max="12" width="10.5703125" style="198" bestFit="1" customWidth="1"/>
    <col min="13" max="13" width="9.85546875" style="198" customWidth="1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/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8-B</v>
      </c>
      <c r="O3" s="234"/>
      <c r="P3"/>
    </row>
    <row r="4" spans="1:20" s="2" customFormat="1" ht="9" customHeight="1" x14ac:dyDescent="0.25">
      <c r="L4" s="3"/>
      <c r="N4" s="232"/>
      <c r="O4"/>
      <c r="P4"/>
    </row>
    <row r="5" spans="1:20" s="2" customFormat="1" x14ac:dyDescent="0.25">
      <c r="L5" s="3" t="s">
        <v>75</v>
      </c>
      <c r="N5" s="234">
        <f>'Res (100kWh)'!$N$5:$O$5</f>
        <v>42177</v>
      </c>
      <c r="O5" s="234"/>
      <c r="P5"/>
    </row>
    <row r="6" spans="1:20" ht="21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0" ht="22.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0" ht="26.25" customHeight="1" thickBot="1" x14ac:dyDescent="0.3">
      <c r="B8" s="252" t="s">
        <v>76</v>
      </c>
      <c r="C8" s="253"/>
      <c r="D8" s="201" t="s">
        <v>77</v>
      </c>
      <c r="E8" s="201" t="s">
        <v>69</v>
      </c>
      <c r="F8" s="201" t="s">
        <v>85</v>
      </c>
      <c r="G8" s="201" t="s">
        <v>86</v>
      </c>
      <c r="H8" s="201" t="s">
        <v>78</v>
      </c>
      <c r="I8" s="201" t="s">
        <v>79</v>
      </c>
      <c r="J8" s="201" t="s">
        <v>83</v>
      </c>
      <c r="K8" s="201" t="s">
        <v>84</v>
      </c>
      <c r="L8" s="201" t="s">
        <v>89</v>
      </c>
      <c r="M8" s="202" t="s">
        <v>79</v>
      </c>
    </row>
    <row r="9" spans="1:20" x14ac:dyDescent="0.25">
      <c r="B9" s="265" t="s">
        <v>90</v>
      </c>
      <c r="C9" s="266"/>
      <c r="D9" s="229">
        <v>100</v>
      </c>
      <c r="E9" s="262"/>
      <c r="F9" s="211">
        <f>'Res (100kWh)'!$H$38</f>
        <v>18.63</v>
      </c>
      <c r="G9" s="211">
        <f>'Res (100kWh)'!$L$38</f>
        <v>17.386058334301563</v>
      </c>
      <c r="H9" s="211">
        <f>G9-F9</f>
        <v>-1.2439416656984363</v>
      </c>
      <c r="I9" s="212">
        <f>H9/F9</f>
        <v>-6.6770889194763094E-2</v>
      </c>
      <c r="J9" s="211">
        <f>'Res (100kWh)'!$H$65</f>
        <v>32.383231839999993</v>
      </c>
      <c r="K9" s="211">
        <f>'Res (100kWh)'!$L$65</f>
        <v>31.230773542004115</v>
      </c>
      <c r="L9" s="211">
        <f>K9-J9</f>
        <v>-1.152458297995878</v>
      </c>
      <c r="M9" s="213">
        <f>L9/J9</f>
        <v>-3.5588118680988275E-2</v>
      </c>
    </row>
    <row r="10" spans="1:20" x14ac:dyDescent="0.25">
      <c r="B10" s="267"/>
      <c r="C10" s="268"/>
      <c r="D10" s="230">
        <v>250</v>
      </c>
      <c r="E10" s="263"/>
      <c r="F10" s="214">
        <f>'Res (250kWh)'!$H$38</f>
        <v>20.564999999999998</v>
      </c>
      <c r="G10" s="214">
        <f>'Res (250kWh)'!$L$38</f>
        <v>18.923647714238733</v>
      </c>
      <c r="H10" s="214">
        <f t="shared" ref="H10:H15" si="0">G10-F10</f>
        <v>-1.6413522857612648</v>
      </c>
      <c r="I10" s="215">
        <f t="shared" ref="I10:I15" si="1">H10/F10</f>
        <v>-7.9812899866825424E-2</v>
      </c>
      <c r="J10" s="214">
        <f>'Res (250kWh)'!$H$65</f>
        <v>52.923979600000003</v>
      </c>
      <c r="K10" s="214">
        <f>'Res (250kWh)'!$L$65</f>
        <v>51.527240977698156</v>
      </c>
      <c r="L10" s="214">
        <f t="shared" ref="L10:L15" si="2">K10-J10</f>
        <v>-1.3967386223018465</v>
      </c>
      <c r="M10" s="216">
        <f t="shared" ref="M10:M15" si="3">L10/J10</f>
        <v>-2.6391413360416428E-2</v>
      </c>
    </row>
    <row r="11" spans="1:20" x14ac:dyDescent="0.25">
      <c r="B11" s="267"/>
      <c r="C11" s="268"/>
      <c r="D11" s="230">
        <v>500</v>
      </c>
      <c r="E11" s="263"/>
      <c r="F11" s="214">
        <f>'Res (500kWh)'!$H$38</f>
        <v>23.79</v>
      </c>
      <c r="G11" s="214">
        <f>'Res (500kWh)'!$L$38</f>
        <v>21.48757455853081</v>
      </c>
      <c r="H11" s="214">
        <f t="shared" si="0"/>
        <v>-2.3024254414691896</v>
      </c>
      <c r="I11" s="215">
        <f t="shared" si="1"/>
        <v>-9.6781229149608641E-2</v>
      </c>
      <c r="J11" s="214">
        <f>'Res (500kWh)'!$H$65</f>
        <v>87.158559199999985</v>
      </c>
      <c r="K11" s="214">
        <f>'Res (500kWh)'!$L$65</f>
        <v>85.362797372356582</v>
      </c>
      <c r="L11" s="214">
        <f t="shared" si="2"/>
        <v>-1.7957618276434033</v>
      </c>
      <c r="M11" s="216">
        <f t="shared" si="3"/>
        <v>-2.0603390465906229E-2</v>
      </c>
      <c r="P11" s="194"/>
    </row>
    <row r="12" spans="1:20" s="192" customFormat="1" x14ac:dyDescent="0.25">
      <c r="B12" s="267"/>
      <c r="C12" s="268"/>
      <c r="D12" s="217">
        <v>800</v>
      </c>
      <c r="E12" s="263"/>
      <c r="F12" s="218">
        <f>'Res (800kWh)'!$H$38</f>
        <v>27.66</v>
      </c>
      <c r="G12" s="218">
        <f>'Res (800kWh)'!$L$38</f>
        <v>24.70846667441252</v>
      </c>
      <c r="H12" s="218">
        <f t="shared" si="0"/>
        <v>-2.95153332558748</v>
      </c>
      <c r="I12" s="219">
        <f t="shared" si="1"/>
        <v>-0.1067076401152379</v>
      </c>
      <c r="J12" s="218">
        <f>'Res (800kWh)'!$H$65</f>
        <v>128.23005472000003</v>
      </c>
      <c r="K12" s="218">
        <f>'Res (800kWh)'!$L$65</f>
        <v>126.12038833603297</v>
      </c>
      <c r="L12" s="218">
        <f t="shared" si="2"/>
        <v>-2.1096663839670526</v>
      </c>
      <c r="M12" s="220">
        <f t="shared" si="3"/>
        <v>-1.6452199046266245E-2</v>
      </c>
      <c r="Q12"/>
      <c r="R12"/>
      <c r="S12"/>
      <c r="T12"/>
    </row>
    <row r="13" spans="1:20" x14ac:dyDescent="0.25">
      <c r="B13" s="267"/>
      <c r="C13" s="268"/>
      <c r="D13" s="221">
        <v>1000</v>
      </c>
      <c r="E13" s="263"/>
      <c r="F13" s="214">
        <f>'Res (1000kWh)'!$H$38</f>
        <v>30.240000000000002</v>
      </c>
      <c r="G13" s="214">
        <f>'Res (1000kWh)'!$L$38</f>
        <v>26.800583343015649</v>
      </c>
      <c r="H13" s="214">
        <f t="shared" si="0"/>
        <v>-3.4394166569843527</v>
      </c>
      <c r="I13" s="215">
        <f t="shared" si="1"/>
        <v>-0.11373732331297462</v>
      </c>
      <c r="J13" s="214">
        <f>'Res (1000kWh)'!$H$65</f>
        <v>155.6177184</v>
      </c>
      <c r="K13" s="214">
        <f>'Res (1000kWh)'!$L$65</f>
        <v>153.22313542004119</v>
      </c>
      <c r="L13" s="214">
        <f t="shared" si="2"/>
        <v>-2.3945829799588125</v>
      </c>
      <c r="M13" s="216">
        <f t="shared" si="3"/>
        <v>-1.5387598562547827E-2</v>
      </c>
    </row>
    <row r="14" spans="1:20" x14ac:dyDescent="0.25">
      <c r="B14" s="267"/>
      <c r="C14" s="268"/>
      <c r="D14" s="221">
        <v>1500</v>
      </c>
      <c r="E14" s="263"/>
      <c r="F14" s="214">
        <f>'Res (1500kWh)'!$H$38</f>
        <v>36.69</v>
      </c>
      <c r="G14" s="214">
        <f>'Res (1500kWh)'!$L$38</f>
        <v>32.030875014523474</v>
      </c>
      <c r="H14" s="214">
        <f t="shared" si="0"/>
        <v>-4.6591249854765238</v>
      </c>
      <c r="I14" s="215">
        <f t="shared" si="1"/>
        <v>-0.12698623563577335</v>
      </c>
      <c r="J14" s="214">
        <f>'Res (1500kWh)'!$H$65</f>
        <v>224.07687759999999</v>
      </c>
      <c r="K14" s="214">
        <f>'Res (1500kWh)'!$L$65</f>
        <v>221.00000313006188</v>
      </c>
      <c r="L14" s="214">
        <f t="shared" si="2"/>
        <v>-3.0768744699381045</v>
      </c>
      <c r="M14" s="216">
        <f t="shared" si="3"/>
        <v>-1.3731334097892236E-2</v>
      </c>
    </row>
    <row r="15" spans="1:20" ht="15.75" thickBot="1" x14ac:dyDescent="0.3">
      <c r="B15" s="269"/>
      <c r="C15" s="270"/>
      <c r="D15" s="222">
        <v>2000</v>
      </c>
      <c r="E15" s="264"/>
      <c r="F15" s="223">
        <f>'Res (2000kWh)'!$H$38</f>
        <v>43.14</v>
      </c>
      <c r="G15" s="223">
        <f>'Res (2000kWh)'!$L$38</f>
        <v>37.261166686031295</v>
      </c>
      <c r="H15" s="223">
        <f t="shared" si="0"/>
        <v>-5.8788333139687055</v>
      </c>
      <c r="I15" s="224">
        <f t="shared" si="1"/>
        <v>-0.13627337306371592</v>
      </c>
      <c r="J15" s="223">
        <f>'Res (2000kWh)'!$H$65</f>
        <v>292.54603680000002</v>
      </c>
      <c r="K15" s="223">
        <f>'Res (2000kWh)'!$L$65</f>
        <v>288.77687084008244</v>
      </c>
      <c r="L15" s="223">
        <f t="shared" si="2"/>
        <v>-3.7691659599175864</v>
      </c>
      <c r="M15" s="225">
        <f t="shared" si="3"/>
        <v>-1.2884009645614813E-2</v>
      </c>
    </row>
    <row r="16" spans="1:20" x14ac:dyDescent="0.25">
      <c r="B16" s="256" t="s">
        <v>91</v>
      </c>
      <c r="C16" s="257"/>
      <c r="D16" s="226">
        <v>1000</v>
      </c>
      <c r="E16" s="262"/>
      <c r="F16" s="211">
        <f>'GS&lt;50 (1,000kWh)'!$H$38</f>
        <v>49.239999999999995</v>
      </c>
      <c r="G16" s="211">
        <f>'GS&lt;50 (1,000kWh)'!$L$38</f>
        <v>39.831216547802995</v>
      </c>
      <c r="H16" s="211">
        <f>G16-F16</f>
        <v>-9.4087834521969995</v>
      </c>
      <c r="I16" s="212">
        <f>H16/F16</f>
        <v>-0.19108008635655971</v>
      </c>
      <c r="J16" s="211">
        <f>'GS&lt;50 (1,000kWh)'!$H$65</f>
        <v>173.98190239999997</v>
      </c>
      <c r="K16" s="211">
        <f>'GS&lt;50 (1,000kWh)'!$L$65</f>
        <v>166.60828004753876</v>
      </c>
      <c r="L16" s="211">
        <f>K16-J16</f>
        <v>-7.3736223524612114</v>
      </c>
      <c r="M16" s="213">
        <f>L16/J16</f>
        <v>-4.2381548027383871E-2</v>
      </c>
    </row>
    <row r="17" spans="2:20" s="192" customFormat="1" x14ac:dyDescent="0.25">
      <c r="B17" s="258"/>
      <c r="C17" s="259"/>
      <c r="D17" s="227">
        <v>2000</v>
      </c>
      <c r="E17" s="263"/>
      <c r="F17" s="218">
        <f>'GS&lt;50 (2,000kWh)'!$H$38</f>
        <v>65.740000000000009</v>
      </c>
      <c r="G17" s="218">
        <f>'GS&lt;50 (2,000kWh)'!$L$38</f>
        <v>54.782433095605981</v>
      </c>
      <c r="H17" s="218">
        <f t="shared" ref="H17:H19" si="4">G17-F17</f>
        <v>-10.957566904394028</v>
      </c>
      <c r="I17" s="219">
        <f t="shared" ref="I17:I19" si="5">H17/F17</f>
        <v>-0.1666803605779438</v>
      </c>
      <c r="J17" s="218">
        <f>'GS&lt;50 (2,000kWh)'!$H$65</f>
        <v>313.60240479999999</v>
      </c>
      <c r="K17" s="218">
        <f>'GS&lt;50 (2,000kWh)'!$L$65</f>
        <v>306.85696009507751</v>
      </c>
      <c r="L17" s="218">
        <f t="shared" ref="L17:L19" si="6">K17-J17</f>
        <v>-6.7454447049224768</v>
      </c>
      <c r="M17" s="220">
        <f t="shared" ref="M17:M19" si="7">L17/J17</f>
        <v>-2.1509543937408216E-2</v>
      </c>
      <c r="Q17"/>
      <c r="R17"/>
      <c r="S17"/>
      <c r="T17"/>
    </row>
    <row r="18" spans="2:20" x14ac:dyDescent="0.25">
      <c r="B18" s="258"/>
      <c r="C18" s="259"/>
      <c r="D18" s="221">
        <v>5000</v>
      </c>
      <c r="E18" s="263"/>
      <c r="F18" s="214">
        <f>'GS&lt;50 (5,000kWh)'!$H$38</f>
        <v>115.24000000000001</v>
      </c>
      <c r="G18" s="214">
        <f>'GS&lt;50 (5,000kWh)'!$L$38</f>
        <v>99.636082739014967</v>
      </c>
      <c r="H18" s="214">
        <f t="shared" si="4"/>
        <v>-15.603917260985043</v>
      </c>
      <c r="I18" s="215">
        <f t="shared" si="5"/>
        <v>-0.13540365551010969</v>
      </c>
      <c r="J18" s="214">
        <f>'GS&lt;50 (5,000kWh)'!$H$65</f>
        <v>732.48391200000003</v>
      </c>
      <c r="K18" s="214">
        <f>'GS&lt;50 (5,000kWh)'!$L$65</f>
        <v>727.5930002376939</v>
      </c>
      <c r="L18" s="214">
        <f t="shared" si="6"/>
        <v>-4.890911762306132</v>
      </c>
      <c r="M18" s="216">
        <f t="shared" si="7"/>
        <v>-6.6771592961704963E-3</v>
      </c>
    </row>
    <row r="19" spans="2:20" x14ac:dyDescent="0.25">
      <c r="B19" s="258"/>
      <c r="C19" s="259"/>
      <c r="D19" s="221">
        <v>10000</v>
      </c>
      <c r="E19" s="263"/>
      <c r="F19" s="214">
        <f>'GS&lt;50 (10,000kWh)'!$H$38</f>
        <v>197.74</v>
      </c>
      <c r="G19" s="214">
        <f>'GS&lt;50 (10,000kWh)'!$L$38</f>
        <v>174.39216547802994</v>
      </c>
      <c r="H19" s="214">
        <f t="shared" si="4"/>
        <v>-23.347834521970071</v>
      </c>
      <c r="I19" s="215">
        <f t="shared" si="5"/>
        <v>-0.11807340205304981</v>
      </c>
      <c r="J19" s="214">
        <f>'GS&lt;50 (10,000kWh)'!$H$65</f>
        <v>1430.6164239999998</v>
      </c>
      <c r="K19" s="214">
        <f>'GS&lt;50 (10,000kWh)'!$L$65</f>
        <v>1428.816400475388</v>
      </c>
      <c r="L19" s="214">
        <f t="shared" si="6"/>
        <v>-1.8000235246117882</v>
      </c>
      <c r="M19" s="216">
        <f t="shared" si="7"/>
        <v>-1.2582153360010553E-3</v>
      </c>
    </row>
    <row r="20" spans="2:20" ht="15.75" thickBot="1" x14ac:dyDescent="0.3">
      <c r="B20" s="260"/>
      <c r="C20" s="261"/>
      <c r="D20" s="222">
        <v>15000</v>
      </c>
      <c r="E20" s="264"/>
      <c r="F20" s="223">
        <f>'GS&lt;50 (15,000kWh)'!$H$38</f>
        <v>280.24</v>
      </c>
      <c r="G20" s="223">
        <f>'GS&lt;50 (15,000kWh)'!$L$38</f>
        <v>249.14824821704488</v>
      </c>
      <c r="H20" s="223">
        <f t="shared" ref="H20:H27" si="8">G20-F20</f>
        <v>-31.091751782955129</v>
      </c>
      <c r="I20" s="224">
        <f t="shared" ref="I20:I27" si="9">H20/F20</f>
        <v>-0.11094687333341111</v>
      </c>
      <c r="J20" s="223">
        <f>'GS&lt;50 (15,000kWh)'!$H$65</f>
        <v>2128.7489360000004</v>
      </c>
      <c r="K20" s="223">
        <f>'GS&lt;50 (15,000kWh)'!$L$65</f>
        <v>2130.0498007130814</v>
      </c>
      <c r="L20" s="223">
        <f t="shared" ref="L20:L27" si="10">K20-J20</f>
        <v>1.300864713080955</v>
      </c>
      <c r="M20" s="225">
        <f t="shared" ref="M20:M27" si="11">L20/J20</f>
        <v>6.1109353530685911E-4</v>
      </c>
    </row>
    <row r="21" spans="2:20" x14ac:dyDescent="0.25">
      <c r="B21" s="256" t="s">
        <v>87</v>
      </c>
      <c r="C21" s="257"/>
      <c r="D21" s="226">
        <v>20000</v>
      </c>
      <c r="E21" s="229">
        <v>60</v>
      </c>
      <c r="F21" s="211">
        <f>'GS 50-2999 (60kW)'!$H$38</f>
        <v>418.31400000000002</v>
      </c>
      <c r="G21" s="211">
        <f>'GS 50-2999 (60kW)'!$L$38</f>
        <v>354.19628327406878</v>
      </c>
      <c r="H21" s="211">
        <f t="shared" si="8"/>
        <v>-64.117716725931245</v>
      </c>
      <c r="I21" s="212">
        <f t="shared" si="9"/>
        <v>-0.15327652606876949</v>
      </c>
      <c r="J21" s="211">
        <f>'GS 50-2999 (60kW)'!$H$70</f>
        <v>2711.7161800000003</v>
      </c>
      <c r="K21" s="211">
        <f>'GS 50-2999 (60kW)'!$L$70</f>
        <v>2752.1612384575706</v>
      </c>
      <c r="L21" s="211">
        <f t="shared" si="10"/>
        <v>40.445058457570212</v>
      </c>
      <c r="M21" s="213">
        <f t="shared" si="11"/>
        <v>1.4914930535824072E-2</v>
      </c>
      <c r="P21" s="194"/>
    </row>
    <row r="22" spans="2:20" ht="15.75" thickBot="1" x14ac:dyDescent="0.3">
      <c r="B22" s="260"/>
      <c r="C22" s="261"/>
      <c r="D22" s="222">
        <v>40000</v>
      </c>
      <c r="E22" s="231">
        <v>100</v>
      </c>
      <c r="F22" s="223">
        <f>'GS 50-2999 (100kW)'!$H$38</f>
        <v>501.21000000000004</v>
      </c>
      <c r="G22" s="223">
        <f>'GS 50-2999 (100kW)'!$L$38</f>
        <v>394.34713879011451</v>
      </c>
      <c r="H22" s="223">
        <f t="shared" si="8"/>
        <v>-106.86286120988552</v>
      </c>
      <c r="I22" s="224">
        <f t="shared" si="9"/>
        <v>-0.21320975481312326</v>
      </c>
      <c r="J22" s="223">
        <f>'GS 50-2999 (100kW)'!$H$70</f>
        <v>4993.119020000001</v>
      </c>
      <c r="K22" s="223">
        <f>'GS 50-2999 (100kW)'!$L$70</f>
        <v>5060.0403047626187</v>
      </c>
      <c r="L22" s="223">
        <f t="shared" si="10"/>
        <v>66.921284762617688</v>
      </c>
      <c r="M22" s="225">
        <f t="shared" si="11"/>
        <v>1.3402701696988123E-2</v>
      </c>
    </row>
    <row r="23" spans="2:20" x14ac:dyDescent="0.25">
      <c r="B23" s="256" t="s">
        <v>81</v>
      </c>
      <c r="C23" s="257"/>
      <c r="D23" s="226">
        <v>900000</v>
      </c>
      <c r="E23" s="226">
        <v>3000</v>
      </c>
      <c r="F23" s="211">
        <f>'GS 3000-4999 (3,000kW)'!$H$37</f>
        <v>9133</v>
      </c>
      <c r="G23" s="211">
        <f>'GS 3000-4999 (3,000kW)'!$L$37</f>
        <v>4039.450267408396</v>
      </c>
      <c r="H23" s="211">
        <f t="shared" si="8"/>
        <v>-5093.549732591604</v>
      </c>
      <c r="I23" s="212">
        <f t="shared" si="9"/>
        <v>-0.55770828124292171</v>
      </c>
      <c r="J23" s="211">
        <f>'GS 3000-4999 (3,000kW)'!$H$69</f>
        <v>110442.28492400001</v>
      </c>
      <c r="K23" s="211">
        <f>'GS 3000-4999 (3,000kW)'!$L$69</f>
        <v>112510.52116404539</v>
      </c>
      <c r="L23" s="211">
        <f t="shared" si="10"/>
        <v>2068.2362400453858</v>
      </c>
      <c r="M23" s="213">
        <f t="shared" si="11"/>
        <v>1.8726851236993389E-2</v>
      </c>
      <c r="P23" s="194"/>
    </row>
    <row r="24" spans="2:20" ht="15.75" thickBot="1" x14ac:dyDescent="0.3">
      <c r="B24" s="260"/>
      <c r="C24" s="261"/>
      <c r="D24" s="222">
        <v>1800000</v>
      </c>
      <c r="E24" s="222">
        <v>5000</v>
      </c>
      <c r="F24" s="223">
        <f>'GS 3000-4999 (5,000kW)'!$H$37</f>
        <v>11325.6</v>
      </c>
      <c r="G24" s="223">
        <f>'GS 3000-4999 (5,000kW)'!$L$37</f>
        <v>2609.0037790139932</v>
      </c>
      <c r="H24" s="223">
        <f t="shared" si="8"/>
        <v>-8716.5962209860081</v>
      </c>
      <c r="I24" s="224">
        <f t="shared" si="9"/>
        <v>-0.76963659505774595</v>
      </c>
      <c r="J24" s="223">
        <f>'GS 3000-4999 (5,000kW)'!$H$69</f>
        <v>208847.70094000001</v>
      </c>
      <c r="K24" s="223">
        <f>'GS 3000-4999 (5,000kW)'!$L$69</f>
        <v>212037.8117367423</v>
      </c>
      <c r="L24" s="223">
        <f t="shared" si="10"/>
        <v>3190.1107967422868</v>
      </c>
      <c r="M24" s="225">
        <f t="shared" si="11"/>
        <v>1.5274818838722939E-2</v>
      </c>
    </row>
    <row r="25" spans="2:20" ht="40.5" customHeight="1" thickBot="1" x14ac:dyDescent="0.3">
      <c r="B25" s="254" t="s">
        <v>72</v>
      </c>
      <c r="C25" s="255"/>
      <c r="D25" s="228">
        <v>150</v>
      </c>
      <c r="E25" s="203"/>
      <c r="F25" s="204">
        <f>'USL (150kWh)'!H37</f>
        <v>9.43</v>
      </c>
      <c r="G25" s="204">
        <f>'USL (150kWh)'!L37</f>
        <v>6.2999561065752463</v>
      </c>
      <c r="H25" s="204">
        <f t="shared" si="8"/>
        <v>-3.1300438934247534</v>
      </c>
      <c r="I25" s="205">
        <f t="shared" si="9"/>
        <v>-0.33192406080856346</v>
      </c>
      <c r="J25" s="204">
        <f>'USL (150kWh)'!H69</f>
        <v>26.656350800000006</v>
      </c>
      <c r="K25" s="204">
        <f>'USL (150kWh)'!L69</f>
        <v>23.309639665175272</v>
      </c>
      <c r="L25" s="204">
        <f t="shared" si="10"/>
        <v>-3.3467111348247336</v>
      </c>
      <c r="M25" s="206">
        <f t="shared" si="11"/>
        <v>-0.1255502360369872</v>
      </c>
    </row>
    <row r="26" spans="2:20" ht="32.25" customHeight="1" thickBot="1" x14ac:dyDescent="0.3">
      <c r="B26" s="254" t="s">
        <v>71</v>
      </c>
      <c r="C26" s="255"/>
      <c r="D26" s="203">
        <v>150</v>
      </c>
      <c r="E26" s="203">
        <v>1</v>
      </c>
      <c r="F26" s="204">
        <f>'ST (1kW)'!H38</f>
        <v>30.5489</v>
      </c>
      <c r="G26" s="204">
        <f>'ST (1kW)'!L38</f>
        <v>41.255525504122161</v>
      </c>
      <c r="H26" s="204">
        <f t="shared" si="8"/>
        <v>10.706625504122162</v>
      </c>
      <c r="I26" s="205">
        <f t="shared" si="9"/>
        <v>0.35047499268785987</v>
      </c>
      <c r="J26" s="204">
        <f>'ST (1kW)'!H70</f>
        <v>49.995748447999993</v>
      </c>
      <c r="K26" s="204">
        <f>'ST (1kW)'!L70</f>
        <v>49.541294125313328</v>
      </c>
      <c r="L26" s="204">
        <f t="shared" si="10"/>
        <v>-0.45445432268666508</v>
      </c>
      <c r="M26" s="206">
        <f t="shared" si="11"/>
        <v>-9.089859373929322E-3</v>
      </c>
    </row>
    <row r="27" spans="2:20" ht="30.75" customHeight="1" thickBot="1" x14ac:dyDescent="0.3">
      <c r="B27" s="250" t="s">
        <v>82</v>
      </c>
      <c r="C27" s="251"/>
      <c r="D27" s="207">
        <v>150</v>
      </c>
      <c r="E27" s="207">
        <v>1</v>
      </c>
      <c r="F27" s="208">
        <f>'SL (1kW)'!H45</f>
        <v>19.979800000000001</v>
      </c>
      <c r="G27" s="208">
        <f>'SL (1kW)'!L45</f>
        <v>16.546481929744331</v>
      </c>
      <c r="H27" s="208">
        <f t="shared" si="8"/>
        <v>-3.4333180702556696</v>
      </c>
      <c r="I27" s="209">
        <f t="shared" si="9"/>
        <v>-0.17183946136876593</v>
      </c>
      <c r="J27" s="208">
        <f>'SL (1kW)'!H69</f>
        <v>38.8987032</v>
      </c>
      <c r="K27" s="208">
        <f>'SL (1kW)'!L69</f>
        <v>35.511933912141799</v>
      </c>
      <c r="L27" s="208">
        <f t="shared" si="10"/>
        <v>-3.3867692878582005</v>
      </c>
      <c r="M27" s="210">
        <f t="shared" si="11"/>
        <v>-8.7066380348078037E-2</v>
      </c>
    </row>
  </sheetData>
  <mergeCells count="14">
    <mergeCell ref="N1:O1"/>
    <mergeCell ref="N2:O2"/>
    <mergeCell ref="N3:O3"/>
    <mergeCell ref="N5:O5"/>
    <mergeCell ref="B27:C27"/>
    <mergeCell ref="B8:C8"/>
    <mergeCell ref="B26:C26"/>
    <mergeCell ref="B25:C25"/>
    <mergeCell ref="B16:C20"/>
    <mergeCell ref="E16:E20"/>
    <mergeCell ref="B21:C22"/>
    <mergeCell ref="B23:C24"/>
    <mergeCell ref="E9:E15"/>
    <mergeCell ref="B9:C15"/>
  </mergeCells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0" tint="-0.14999847407452621"/>
    <pageSetUpPr fitToPage="1"/>
  </sheetPr>
  <dimension ref="A1:T90"/>
  <sheetViews>
    <sheetView showGridLines="0" topLeftCell="A20" workbookViewId="0">
      <selection activeCell="L76" sqref="L76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8-B</v>
      </c>
      <c r="O3" s="234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34">
        <f>'Res (100kWh)'!$N$5:$O$5</f>
        <v>42177</v>
      </c>
      <c r="O5" s="234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59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800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Rates'!$C$6</f>
        <v>14.64</v>
      </c>
      <c r="G21" s="26">
        <v>1</v>
      </c>
      <c r="H21" s="27">
        <f>G21*F21</f>
        <v>14.64</v>
      </c>
      <c r="I21" s="28"/>
      <c r="J21" s="173">
        <f>'[2]Rate Schedule '!$E$10</f>
        <v>15.49</v>
      </c>
      <c r="K21" s="30">
        <v>1</v>
      </c>
      <c r="L21" s="27">
        <f>K21*J21</f>
        <v>15.49</v>
      </c>
      <c r="M21" s="28"/>
      <c r="N21" s="31">
        <f>L21-H21</f>
        <v>0.84999999999999964</v>
      </c>
      <c r="O21" s="32">
        <f>IF((H21)=0,"",(N21/H21))</f>
        <v>5.8060109289617461E-2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Calc'!$B$103</f>
        <v>0.85</v>
      </c>
      <c r="K24" s="30">
        <v>1</v>
      </c>
      <c r="L24" s="27">
        <f t="shared" si="1"/>
        <v>0.85</v>
      </c>
      <c r="M24" s="28"/>
      <c r="N24" s="31">
        <f t="shared" si="2"/>
        <v>0.85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:G30" si="4">$F$16</f>
        <v>800</v>
      </c>
      <c r="H25" s="27">
        <f t="shared" si="0"/>
        <v>0</v>
      </c>
      <c r="I25" s="28"/>
      <c r="J25" s="29">
        <f>'[4]6. Rate Rider Calculations'!$F$103</f>
        <v>2.0487596584733804E-4</v>
      </c>
      <c r="K25" s="26">
        <f>$F$16</f>
        <v>800</v>
      </c>
      <c r="L25" s="27">
        <f t="shared" ref="L25" si="5">K25*J25</f>
        <v>0.16390077267787043</v>
      </c>
      <c r="M25" s="28"/>
      <c r="N25" s="31">
        <f t="shared" ref="N25" si="6">L25-H25</f>
        <v>0.16390077267787043</v>
      </c>
      <c r="O25" s="32" t="str">
        <f t="shared" ref="O25" si="7">IF((H25)=0,"",(N25/H25))</f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 t="shared" si="4"/>
        <v>800</v>
      </c>
      <c r="H26" s="27">
        <f t="shared" si="0"/>
        <v>-0.16</v>
      </c>
      <c r="I26" s="28"/>
      <c r="J26" s="173"/>
      <c r="K26" s="26">
        <f>$F$16</f>
        <v>800</v>
      </c>
      <c r="L26" s="27">
        <f t="shared" si="1"/>
        <v>0</v>
      </c>
      <c r="M26" s="28"/>
      <c r="N26" s="31">
        <f t="shared" si="2"/>
        <v>0.16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 t="shared" si="4"/>
        <v>800</v>
      </c>
      <c r="H27" s="27">
        <f t="shared" si="0"/>
        <v>0</v>
      </c>
      <c r="I27" s="28"/>
      <c r="J27" s="29">
        <f>'[4]6. Rate Rider Calculations'!$F$75</f>
        <v>-3.6442926228316881E-3</v>
      </c>
      <c r="K27" s="26">
        <f>$F$16</f>
        <v>800</v>
      </c>
      <c r="L27" s="27">
        <f t="shared" si="1"/>
        <v>-2.9154340982653504</v>
      </c>
      <c r="M27" s="28"/>
      <c r="N27" s="31">
        <f t="shared" si="2"/>
        <v>-2.9154340982653504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Rates'!$E$6</f>
        <v>1.3100000000000001E-2</v>
      </c>
      <c r="G28" s="26">
        <f t="shared" si="4"/>
        <v>800</v>
      </c>
      <c r="H28" s="27">
        <f t="shared" si="0"/>
        <v>10.48</v>
      </c>
      <c r="I28" s="28"/>
      <c r="J28" s="29">
        <f>'[2]Rate Schedule '!$E$11</f>
        <v>1.3899999999999999E-2</v>
      </c>
      <c r="K28" s="26">
        <f>$F$16</f>
        <v>800</v>
      </c>
      <c r="L28" s="27">
        <f t="shared" si="1"/>
        <v>11.12</v>
      </c>
      <c r="M28" s="28"/>
      <c r="N28" s="31">
        <f t="shared" si="2"/>
        <v>0.63999999999999879</v>
      </c>
      <c r="O28" s="32">
        <f t="shared" si="3"/>
        <v>6.1068702290076216E-2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 t="shared" si="4"/>
        <v>800</v>
      </c>
      <c r="H29" s="27">
        <f t="shared" si="0"/>
        <v>0</v>
      </c>
      <c r="I29" s="28"/>
      <c r="J29" s="29"/>
      <c r="K29" s="26">
        <f t="shared" ref="K29:K37" si="8">$F$16</f>
        <v>800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 t="shared" si="4"/>
        <v>800</v>
      </c>
      <c r="H30" s="27">
        <f t="shared" si="0"/>
        <v>0</v>
      </c>
      <c r="I30" s="28"/>
      <c r="J30" s="29"/>
      <c r="K30" s="26">
        <f t="shared" si="8"/>
        <v>800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9">$F$16</f>
        <v>800</v>
      </c>
      <c r="H31" s="27">
        <f t="shared" si="0"/>
        <v>0</v>
      </c>
      <c r="I31" s="28"/>
      <c r="J31" s="29"/>
      <c r="K31" s="26">
        <f t="shared" si="8"/>
        <v>800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9"/>
        <v>800</v>
      </c>
      <c r="H32" s="27">
        <f t="shared" si="0"/>
        <v>0</v>
      </c>
      <c r="I32" s="28"/>
      <c r="J32" s="29"/>
      <c r="K32" s="26">
        <f t="shared" si="8"/>
        <v>800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9"/>
        <v>800</v>
      </c>
      <c r="H33" s="27">
        <f t="shared" si="0"/>
        <v>0</v>
      </c>
      <c r="I33" s="28"/>
      <c r="J33" s="29"/>
      <c r="K33" s="26">
        <f t="shared" si="8"/>
        <v>800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9"/>
        <v>800</v>
      </c>
      <c r="H34" s="27">
        <f t="shared" si="0"/>
        <v>0</v>
      </c>
      <c r="I34" s="28"/>
      <c r="J34" s="29"/>
      <c r="K34" s="26">
        <f t="shared" si="8"/>
        <v>800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9"/>
        <v>800</v>
      </c>
      <c r="H35" s="27">
        <f t="shared" si="0"/>
        <v>0</v>
      </c>
      <c r="I35" s="28"/>
      <c r="J35" s="29"/>
      <c r="K35" s="26">
        <f t="shared" si="8"/>
        <v>800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9"/>
        <v>800</v>
      </c>
      <c r="H36" s="27">
        <f t="shared" si="0"/>
        <v>0</v>
      </c>
      <c r="I36" s="28"/>
      <c r="J36" s="29"/>
      <c r="K36" s="26">
        <f t="shared" si="8"/>
        <v>800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9"/>
        <v>800</v>
      </c>
      <c r="H37" s="27">
        <f t="shared" si="0"/>
        <v>0</v>
      </c>
      <c r="I37" s="28"/>
      <c r="J37" s="29"/>
      <c r="K37" s="26">
        <f t="shared" si="8"/>
        <v>800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27.66</v>
      </c>
      <c r="I38" s="41"/>
      <c r="J38" s="42"/>
      <c r="K38" s="43"/>
      <c r="L38" s="40">
        <f>SUM(L21:L37)</f>
        <v>24.70846667441252</v>
      </c>
      <c r="M38" s="41"/>
      <c r="N38" s="44">
        <f t="shared" si="2"/>
        <v>-2.95153332558748</v>
      </c>
      <c r="O38" s="45">
        <f t="shared" si="3"/>
        <v>-0.1067076401152379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800</v>
      </c>
      <c r="H40" s="27">
        <f t="shared" ref="H40:H46" si="10">G40*F40</f>
        <v>-1.44</v>
      </c>
      <c r="I40" s="28"/>
      <c r="J40" s="29">
        <f>'[4]6. Rate Rider Calculations'!$F$20</f>
        <v>-1.0318837523400292E-3</v>
      </c>
      <c r="K40" s="26">
        <f>$F$16</f>
        <v>800</v>
      </c>
      <c r="L40" s="27">
        <f t="shared" ref="L40:L46" si="11">K40*J40</f>
        <v>-0.8255070018720233</v>
      </c>
      <c r="M40" s="28"/>
      <c r="N40" s="31">
        <f t="shared" ref="N40:N65" si="12">L40-H40</f>
        <v>0.61449299812797664</v>
      </c>
      <c r="O40" s="32">
        <f t="shared" ref="O40:O45" si="13">IF((H40)=0,"",(N40/H40))</f>
        <v>-0.4267312486999838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800</v>
      </c>
      <c r="H41" s="27">
        <f t="shared" si="10"/>
        <v>0</v>
      </c>
      <c r="I41" s="47"/>
      <c r="J41" s="29"/>
      <c r="K41" s="26">
        <f>$F$16</f>
        <v>800</v>
      </c>
      <c r="L41" s="27">
        <f t="shared" si="11"/>
        <v>0</v>
      </c>
      <c r="M41" s="48"/>
      <c r="N41" s="31">
        <f t="shared" si="12"/>
        <v>0</v>
      </c>
      <c r="O41" s="32" t="str">
        <f t="shared" si="13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800</v>
      </c>
      <c r="H42" s="27">
        <f t="shared" si="10"/>
        <v>0</v>
      </c>
      <c r="I42" s="47"/>
      <c r="J42" s="29"/>
      <c r="K42" s="26">
        <f>$F$16</f>
        <v>800</v>
      </c>
      <c r="L42" s="27">
        <f t="shared" si="11"/>
        <v>0</v>
      </c>
      <c r="M42" s="48"/>
      <c r="N42" s="31">
        <f t="shared" si="12"/>
        <v>0</v>
      </c>
      <c r="O42" s="32" t="str">
        <f t="shared" si="13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800</v>
      </c>
      <c r="H43" s="27">
        <f t="shared" si="10"/>
        <v>0</v>
      </c>
      <c r="I43" s="47"/>
      <c r="J43" s="29"/>
      <c r="K43" s="26">
        <f>$F$16</f>
        <v>800</v>
      </c>
      <c r="L43" s="27">
        <f t="shared" si="11"/>
        <v>0</v>
      </c>
      <c r="M43" s="48"/>
      <c r="N43" s="31">
        <f t="shared" si="12"/>
        <v>0</v>
      </c>
      <c r="O43" s="32" t="str">
        <f t="shared" si="13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800</v>
      </c>
      <c r="H44" s="27">
        <f t="shared" si="10"/>
        <v>3.2000000000000001E-2</v>
      </c>
      <c r="I44" s="28"/>
      <c r="J44" s="195">
        <f>'[2]Rate Schedule '!$E$12</f>
        <v>6.9999999999999994E-5</v>
      </c>
      <c r="K44" s="26">
        <f>$F$16</f>
        <v>800</v>
      </c>
      <c r="L44" s="27">
        <f t="shared" si="11"/>
        <v>5.5999999999999994E-2</v>
      </c>
      <c r="M44" s="28"/>
      <c r="N44" s="31">
        <f t="shared" si="12"/>
        <v>2.3999999999999994E-2</v>
      </c>
      <c r="O44" s="32">
        <f t="shared" si="13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38.400000000000091</v>
      </c>
      <c r="H45" s="183">
        <f t="shared" si="10"/>
        <v>3.5504640000000083</v>
      </c>
      <c r="I45" s="57"/>
      <c r="J45" s="184">
        <f>0.64*$F$55+0.18*$F$56+0.18*$F$57</f>
        <v>9.2460000000000001E-2</v>
      </c>
      <c r="K45" s="26">
        <f>$F$16*(1+$J$74)-$F$16</f>
        <v>37.67999999999995</v>
      </c>
      <c r="L45" s="183">
        <f t="shared" si="11"/>
        <v>3.4838927999999956</v>
      </c>
      <c r="M45" s="57"/>
      <c r="N45" s="185">
        <f t="shared" si="12"/>
        <v>-6.6571200000012709E-2</v>
      </c>
      <c r="O45" s="186">
        <f t="shared" si="13"/>
        <v>-1.8750000000003535E-2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10"/>
        <v>0.79</v>
      </c>
      <c r="I46" s="28"/>
      <c r="J46" s="177">
        <v>0.79</v>
      </c>
      <c r="K46" s="26">
        <v>1</v>
      </c>
      <c r="L46" s="27">
        <f t="shared" si="11"/>
        <v>0.79</v>
      </c>
      <c r="M46" s="28"/>
      <c r="N46" s="31">
        <f t="shared" si="12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30.592464000000007</v>
      </c>
      <c r="I47" s="41"/>
      <c r="J47" s="53"/>
      <c r="K47" s="55"/>
      <c r="L47" s="54">
        <f>SUM(L39:L46)+L38</f>
        <v>28.212852472540494</v>
      </c>
      <c r="M47" s="41"/>
      <c r="N47" s="44">
        <f t="shared" si="12"/>
        <v>-2.3796115274595131</v>
      </c>
      <c r="O47" s="45">
        <f t="shared" ref="O47:O65" si="14">IF((H47)=0,"",(N47/H47))</f>
        <v>-7.7784238872014771E-2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838.40000000000009</v>
      </c>
      <c r="H48" s="27">
        <f>G48*F48</f>
        <v>6.1203200000000004</v>
      </c>
      <c r="I48" s="28"/>
      <c r="J48" s="29">
        <f>'[5]13. Final 2015 RTS Rates'!$F$26</f>
        <v>7.5166324038951132E-3</v>
      </c>
      <c r="K48" s="59">
        <f>F16*(1+J74)</f>
        <v>837.68</v>
      </c>
      <c r="L48" s="27">
        <f>K48*J48</f>
        <v>6.2965326320948583</v>
      </c>
      <c r="M48" s="28"/>
      <c r="N48" s="31">
        <f t="shared" si="12"/>
        <v>0.17621263209485782</v>
      </c>
      <c r="O48" s="32">
        <f t="shared" si="14"/>
        <v>2.8791408307875702E-2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838.40000000000009</v>
      </c>
      <c r="H49" s="27">
        <f>G49*F49</f>
        <v>4.7788800000000009</v>
      </c>
      <c r="I49" s="28"/>
      <c r="J49" s="29">
        <f>'[5]13. Final 2015 RTS Rates'!$H$26</f>
        <v>5.857883813739073E-3</v>
      </c>
      <c r="K49" s="59">
        <f>K48</f>
        <v>837.68</v>
      </c>
      <c r="L49" s="27">
        <f>K49*J49</f>
        <v>4.9070321130929466</v>
      </c>
      <c r="M49" s="28"/>
      <c r="N49" s="31">
        <f t="shared" si="12"/>
        <v>0.12815211309294572</v>
      </c>
      <c r="O49" s="32">
        <f t="shared" si="14"/>
        <v>2.681634882921222E-2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41.491664000000007</v>
      </c>
      <c r="I50" s="62"/>
      <c r="J50" s="63"/>
      <c r="K50" s="64"/>
      <c r="L50" s="54">
        <f>SUM(L47:L49)</f>
        <v>39.416417217728295</v>
      </c>
      <c r="M50" s="62"/>
      <c r="N50" s="44">
        <f t="shared" si="12"/>
        <v>-2.0752467822717122</v>
      </c>
      <c r="O50" s="45">
        <f t="shared" si="14"/>
        <v>-5.0015993146761042E-2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838.40000000000009</v>
      </c>
      <c r="H51" s="67">
        <f t="shared" ref="H51:H57" si="15">G51*F51</f>
        <v>3.6889600000000007</v>
      </c>
      <c r="I51" s="28"/>
      <c r="J51" s="66">
        <v>4.4000000000000003E-3</v>
      </c>
      <c r="K51" s="59">
        <f>K49</f>
        <v>837.68</v>
      </c>
      <c r="L51" s="67">
        <f t="shared" ref="L51:L57" si="16">K51*J51</f>
        <v>3.6857920000000002</v>
      </c>
      <c r="M51" s="28"/>
      <c r="N51" s="31">
        <f t="shared" si="12"/>
        <v>-3.1680000000005037E-3</v>
      </c>
      <c r="O51" s="68">
        <f t="shared" si="14"/>
        <v>-8.5877862595433484E-4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838.40000000000009</v>
      </c>
      <c r="H52" s="67">
        <f t="shared" si="15"/>
        <v>1.08992</v>
      </c>
      <c r="I52" s="28"/>
      <c r="J52" s="66">
        <v>1.2999999999999999E-3</v>
      </c>
      <c r="K52" s="59">
        <f>K49</f>
        <v>837.68</v>
      </c>
      <c r="L52" s="67">
        <f t="shared" si="16"/>
        <v>1.088984</v>
      </c>
      <c r="M52" s="28"/>
      <c r="N52" s="31">
        <f t="shared" si="12"/>
        <v>-9.360000000000479E-4</v>
      </c>
      <c r="O52" s="68">
        <f t="shared" si="14"/>
        <v>-8.5877862595424247E-4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5"/>
        <v>0.25</v>
      </c>
      <c r="I53" s="28"/>
      <c r="J53" s="176">
        <v>0.25</v>
      </c>
      <c r="K53" s="30">
        <v>1</v>
      </c>
      <c r="L53" s="67">
        <f t="shared" si="16"/>
        <v>0.25</v>
      </c>
      <c r="M53" s="28"/>
      <c r="N53" s="31">
        <f t="shared" si="12"/>
        <v>0</v>
      </c>
      <c r="O53" s="68">
        <f t="shared" si="14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800</v>
      </c>
      <c r="H54" s="67">
        <f t="shared" si="15"/>
        <v>5.6000000000000005</v>
      </c>
      <c r="I54" s="28"/>
      <c r="J54" s="66">
        <v>7.0000000000000001E-3</v>
      </c>
      <c r="K54" s="70">
        <f>F16</f>
        <v>800</v>
      </c>
      <c r="L54" s="67">
        <f t="shared" si="16"/>
        <v>5.6000000000000005</v>
      </c>
      <c r="M54" s="28"/>
      <c r="N54" s="31">
        <f t="shared" si="12"/>
        <v>0</v>
      </c>
      <c r="O54" s="68">
        <f t="shared" si="14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512</v>
      </c>
      <c r="H55" s="67">
        <f t="shared" si="15"/>
        <v>38.4</v>
      </c>
      <c r="I55" s="28"/>
      <c r="J55" s="66">
        <v>7.4999999999999997E-2</v>
      </c>
      <c r="K55" s="69">
        <f>G55</f>
        <v>512</v>
      </c>
      <c r="L55" s="67">
        <f t="shared" si="16"/>
        <v>38.4</v>
      </c>
      <c r="M55" s="28"/>
      <c r="N55" s="31">
        <f t="shared" si="12"/>
        <v>0</v>
      </c>
      <c r="O55" s="68">
        <f t="shared" si="14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144</v>
      </c>
      <c r="H56" s="67">
        <f t="shared" si="15"/>
        <v>16.128</v>
      </c>
      <c r="I56" s="28"/>
      <c r="J56" s="66">
        <v>0.112</v>
      </c>
      <c r="K56" s="69">
        <f>G56</f>
        <v>144</v>
      </c>
      <c r="L56" s="67">
        <f t="shared" si="16"/>
        <v>16.128</v>
      </c>
      <c r="M56" s="28"/>
      <c r="N56" s="31">
        <f t="shared" si="12"/>
        <v>0</v>
      </c>
      <c r="O56" s="68">
        <f t="shared" si="14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144</v>
      </c>
      <c r="H57" s="67">
        <f t="shared" si="15"/>
        <v>19.440000000000001</v>
      </c>
      <c r="I57" s="28"/>
      <c r="J57" s="66">
        <v>0.13500000000000001</v>
      </c>
      <c r="K57" s="69">
        <f>G57</f>
        <v>144</v>
      </c>
      <c r="L57" s="67">
        <f t="shared" si="16"/>
        <v>19.440000000000001</v>
      </c>
      <c r="M57" s="28"/>
      <c r="N57" s="31">
        <f t="shared" si="12"/>
        <v>0</v>
      </c>
      <c r="O57" s="68">
        <f t="shared" si="14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12"/>
        <v>0</v>
      </c>
      <c r="O58" s="68">
        <f t="shared" si="14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200</v>
      </c>
      <c r="H59" s="67">
        <f>G59*F59</f>
        <v>20.200000000000003</v>
      </c>
      <c r="I59" s="79"/>
      <c r="J59" s="66">
        <v>0.10100000000000001</v>
      </c>
      <c r="K59" s="78">
        <f>G59</f>
        <v>200</v>
      </c>
      <c r="L59" s="67">
        <f>K59*J59</f>
        <v>20.200000000000003</v>
      </c>
      <c r="M59" s="79"/>
      <c r="N59" s="80">
        <f t="shared" si="12"/>
        <v>0</v>
      </c>
      <c r="O59" s="68">
        <f t="shared" si="14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126.08854400000001</v>
      </c>
      <c r="I61" s="95"/>
      <c r="J61" s="96"/>
      <c r="K61" s="96"/>
      <c r="L61" s="189">
        <f>SUM(L51:L57,L50)</f>
        <v>124.0091932177283</v>
      </c>
      <c r="M61" s="97"/>
      <c r="N61" s="98">
        <f>L61-H61</f>
        <v>-2.0793507822717174</v>
      </c>
      <c r="O61" s="99">
        <f>IF((H61)=0,"",(N61/H61))</f>
        <v>-1.6491195126114844E-2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16.391510720000003</v>
      </c>
      <c r="I62" s="104"/>
      <c r="J62" s="105">
        <v>0.13</v>
      </c>
      <c r="K62" s="104"/>
      <c r="L62" s="106">
        <f>L61*J62</f>
        <v>16.12119511830468</v>
      </c>
      <c r="M62" s="107"/>
      <c r="N62" s="108">
        <f t="shared" si="12"/>
        <v>-0.27031560169532298</v>
      </c>
      <c r="O62" s="109">
        <f t="shared" si="14"/>
        <v>-1.6491195126114827E-2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142.48005472000003</v>
      </c>
      <c r="I63" s="104"/>
      <c r="J63" s="104"/>
      <c r="K63" s="104"/>
      <c r="L63" s="106">
        <f>L61+L62</f>
        <v>140.13038833603298</v>
      </c>
      <c r="M63" s="107"/>
      <c r="N63" s="108">
        <f t="shared" si="12"/>
        <v>-2.3496663839670475</v>
      </c>
      <c r="O63" s="109">
        <f t="shared" si="14"/>
        <v>-1.6491195126114893E-2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-14.25</v>
      </c>
      <c r="I64" s="104"/>
      <c r="J64" s="104"/>
      <c r="K64" s="104"/>
      <c r="L64" s="113">
        <f>ROUND(-L63*10%,2)</f>
        <v>-14.01</v>
      </c>
      <c r="M64" s="107"/>
      <c r="N64" s="114">
        <f t="shared" si="12"/>
        <v>0.24000000000000021</v>
      </c>
      <c r="O64" s="115">
        <f t="shared" si="14"/>
        <v>-1.6842105263157908E-2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128.23005472000003</v>
      </c>
      <c r="I65" s="120"/>
      <c r="J65" s="120"/>
      <c r="K65" s="120"/>
      <c r="L65" s="121">
        <f>L63+L64</f>
        <v>126.12038833603297</v>
      </c>
      <c r="M65" s="122"/>
      <c r="N65" s="123">
        <f t="shared" si="12"/>
        <v>-2.1096663839670526</v>
      </c>
      <c r="O65" s="124">
        <f t="shared" si="14"/>
        <v>-1.6452199046266245E-2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123.92054399999999</v>
      </c>
      <c r="I67" s="136"/>
      <c r="J67" s="137"/>
      <c r="K67" s="137"/>
      <c r="L67" s="188">
        <f>SUM(L58:L59,L50,L51:L54)</f>
        <v>121.84119321772829</v>
      </c>
      <c r="M67" s="138"/>
      <c r="N67" s="139">
        <f>L67-H67</f>
        <v>-2.0793507822717032</v>
      </c>
      <c r="O67" s="99">
        <f>IF((H67)=0,"",(N67/H67))</f>
        <v>-1.6779709926642215E-2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16.10967072</v>
      </c>
      <c r="I68" s="143"/>
      <c r="J68" s="144">
        <v>0.13</v>
      </c>
      <c r="K68" s="145"/>
      <c r="L68" s="146">
        <f>L67*J68</f>
        <v>15.839355118304677</v>
      </c>
      <c r="M68" s="147"/>
      <c r="N68" s="148">
        <f>L68-H68</f>
        <v>-0.27031560169532298</v>
      </c>
      <c r="O68" s="109">
        <f>IF((H68)=0,"",(N68/H68))</f>
        <v>-1.6779709926642312E-2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140.03021472</v>
      </c>
      <c r="I69" s="143"/>
      <c r="J69" s="143"/>
      <c r="K69" s="143"/>
      <c r="L69" s="146">
        <f>L67+L68</f>
        <v>137.68054833603296</v>
      </c>
      <c r="M69" s="147"/>
      <c r="N69" s="148">
        <f>L69-H69</f>
        <v>-2.3496663839670475</v>
      </c>
      <c r="O69" s="109">
        <f>IF((H69)=0,"",(N69/H69))</f>
        <v>-1.6779709926642378E-2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-14</v>
      </c>
      <c r="I70" s="143"/>
      <c r="J70" s="143"/>
      <c r="K70" s="143"/>
      <c r="L70" s="153">
        <f>ROUND(-L69*10%,2)</f>
        <v>-13.77</v>
      </c>
      <c r="M70" s="147"/>
      <c r="N70" s="154">
        <f>L70-H70</f>
        <v>0.23000000000000043</v>
      </c>
      <c r="O70" s="115">
        <f>IF((H70)=0,"",(N70/H70))</f>
        <v>-1.6428571428571459E-2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126.03021472</v>
      </c>
      <c r="I71" s="159"/>
      <c r="J71" s="159"/>
      <c r="K71" s="159"/>
      <c r="L71" s="160">
        <f>SUM(L69:L70)</f>
        <v>123.91054833603296</v>
      </c>
      <c r="M71" s="161"/>
      <c r="N71" s="162">
        <f>L71-H71</f>
        <v>-2.1196663839670435</v>
      </c>
      <c r="O71" s="163">
        <f>IF((H71)=0,"",(N71/H71))</f>
        <v>-1.6818715961694455E-2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</mergeCells>
  <dataValidations count="3">
    <dataValidation type="list" allowBlank="1" showInputMessage="1" showErrorMessage="1" sqref="E48:E49 E51:E60 E39:E46 E21:E37 E72 E66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0" tint="-0.14999847407452621"/>
    <pageSetUpPr fitToPage="1"/>
  </sheetPr>
  <dimension ref="A1:T90"/>
  <sheetViews>
    <sheetView showGridLines="0" topLeftCell="A9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8-B</v>
      </c>
      <c r="O3" s="234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34">
        <f>'Res (100kWh)'!$N$5:$O$5</f>
        <v>42177</v>
      </c>
      <c r="O5" s="234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59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500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Rates'!$C$6</f>
        <v>14.64</v>
      </c>
      <c r="G21" s="26">
        <v>1</v>
      </c>
      <c r="H21" s="27">
        <f>G21*F21</f>
        <v>14.64</v>
      </c>
      <c r="I21" s="28"/>
      <c r="J21" s="173">
        <f>'[2]Rate Schedule '!$E$10</f>
        <v>15.49</v>
      </c>
      <c r="K21" s="30">
        <v>1</v>
      </c>
      <c r="L21" s="27">
        <f>K21*J21</f>
        <v>15.49</v>
      </c>
      <c r="M21" s="28"/>
      <c r="N21" s="31">
        <f>L21-H21</f>
        <v>0.84999999999999964</v>
      </c>
      <c r="O21" s="32">
        <f>IF((H21)=0,"",(N21/H21))</f>
        <v>5.8060109289617461E-2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Calc'!$B$103</f>
        <v>0.85</v>
      </c>
      <c r="K24" s="30">
        <v>1</v>
      </c>
      <c r="L24" s="27">
        <f t="shared" si="1"/>
        <v>0.85</v>
      </c>
      <c r="M24" s="28"/>
      <c r="N24" s="31">
        <f t="shared" si="2"/>
        <v>0.85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v>100</v>
      </c>
      <c r="H25" s="27">
        <v>0</v>
      </c>
      <c r="I25" s="28"/>
      <c r="J25" s="29">
        <v>1.9720869946651326E-4</v>
      </c>
      <c r="K25" s="30">
        <v>100</v>
      </c>
      <c r="L25" s="27">
        <v>1.9720869946651325E-2</v>
      </c>
      <c r="M25" s="28"/>
      <c r="N25" s="31">
        <v>1.9720869946651325E-2</v>
      </c>
      <c r="O25" s="32" t="s">
        <v>92</v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500</v>
      </c>
      <c r="H26" s="27">
        <f t="shared" si="0"/>
        <v>-0.1</v>
      </c>
      <c r="I26" s="28"/>
      <c r="J26" s="173"/>
      <c r="K26" s="26">
        <f>$F$16</f>
        <v>500</v>
      </c>
      <c r="L26" s="27">
        <f t="shared" si="1"/>
        <v>0</v>
      </c>
      <c r="M26" s="28"/>
      <c r="N26" s="31">
        <f t="shared" si="2"/>
        <v>0.1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500</v>
      </c>
      <c r="H27" s="27">
        <f t="shared" si="0"/>
        <v>0</v>
      </c>
      <c r="I27" s="28"/>
      <c r="J27" s="29">
        <f>'[4]6. Rate Rider Calculations'!$F$75</f>
        <v>-3.6442926228316881E-3</v>
      </c>
      <c r="K27" s="26">
        <f>$F$16</f>
        <v>500</v>
      </c>
      <c r="L27" s="27">
        <f t="shared" si="1"/>
        <v>-1.822146311415844</v>
      </c>
      <c r="M27" s="28"/>
      <c r="N27" s="31">
        <f t="shared" si="2"/>
        <v>-1.822146311415844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Rates'!$E$6</f>
        <v>1.3100000000000001E-2</v>
      </c>
      <c r="G28" s="26">
        <f>$F$16</f>
        <v>500</v>
      </c>
      <c r="H28" s="27">
        <f t="shared" si="0"/>
        <v>6.5500000000000007</v>
      </c>
      <c r="I28" s="28"/>
      <c r="J28" s="29">
        <f>'[2]Rate Schedule '!$E$11</f>
        <v>1.3899999999999999E-2</v>
      </c>
      <c r="K28" s="26">
        <f>$F$16</f>
        <v>500</v>
      </c>
      <c r="L28" s="27">
        <f t="shared" si="1"/>
        <v>6.9499999999999993</v>
      </c>
      <c r="M28" s="28"/>
      <c r="N28" s="31">
        <f t="shared" si="2"/>
        <v>0.39999999999999858</v>
      </c>
      <c r="O28" s="32">
        <f t="shared" si="3"/>
        <v>6.1068702290076111E-2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500</v>
      </c>
      <c r="H29" s="27">
        <f t="shared" si="0"/>
        <v>0</v>
      </c>
      <c r="I29" s="28"/>
      <c r="J29" s="29"/>
      <c r="K29" s="26">
        <f t="shared" ref="K29:K37" si="4">$F$16</f>
        <v>500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500</v>
      </c>
      <c r="H30" s="27">
        <f t="shared" si="0"/>
        <v>0</v>
      </c>
      <c r="I30" s="28"/>
      <c r="J30" s="29"/>
      <c r="K30" s="26">
        <f t="shared" si="4"/>
        <v>500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5">$F$16</f>
        <v>500</v>
      </c>
      <c r="H31" s="27">
        <f t="shared" si="0"/>
        <v>0</v>
      </c>
      <c r="I31" s="28"/>
      <c r="J31" s="29"/>
      <c r="K31" s="26">
        <f t="shared" si="4"/>
        <v>500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500</v>
      </c>
      <c r="H32" s="27">
        <f t="shared" si="0"/>
        <v>0</v>
      </c>
      <c r="I32" s="28"/>
      <c r="J32" s="29"/>
      <c r="K32" s="26">
        <f t="shared" si="4"/>
        <v>500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500</v>
      </c>
      <c r="H33" s="27">
        <f t="shared" si="0"/>
        <v>0</v>
      </c>
      <c r="I33" s="28"/>
      <c r="J33" s="29"/>
      <c r="K33" s="26">
        <f t="shared" si="4"/>
        <v>500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500</v>
      </c>
      <c r="H34" s="27">
        <f t="shared" si="0"/>
        <v>0</v>
      </c>
      <c r="I34" s="28"/>
      <c r="J34" s="29"/>
      <c r="K34" s="26">
        <f t="shared" si="4"/>
        <v>500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500</v>
      </c>
      <c r="H35" s="27">
        <f t="shared" si="0"/>
        <v>0</v>
      </c>
      <c r="I35" s="28"/>
      <c r="J35" s="29"/>
      <c r="K35" s="26">
        <f t="shared" si="4"/>
        <v>500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500</v>
      </c>
      <c r="H36" s="27">
        <f t="shared" si="0"/>
        <v>0</v>
      </c>
      <c r="I36" s="28"/>
      <c r="J36" s="29"/>
      <c r="K36" s="26">
        <f t="shared" si="4"/>
        <v>500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5"/>
        <v>500</v>
      </c>
      <c r="H37" s="27">
        <f t="shared" si="0"/>
        <v>0</v>
      </c>
      <c r="I37" s="28"/>
      <c r="J37" s="29"/>
      <c r="K37" s="26">
        <f t="shared" si="4"/>
        <v>500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23.79</v>
      </c>
      <c r="I38" s="41"/>
      <c r="J38" s="42"/>
      <c r="K38" s="43"/>
      <c r="L38" s="40">
        <f>SUM(L21:L37)</f>
        <v>21.48757455853081</v>
      </c>
      <c r="M38" s="41"/>
      <c r="N38" s="44">
        <f t="shared" si="2"/>
        <v>-2.3024254414691896</v>
      </c>
      <c r="O38" s="45">
        <f t="shared" si="3"/>
        <v>-9.6781229149608641E-2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500</v>
      </c>
      <c r="H40" s="27">
        <f t="shared" ref="H40:H46" si="6">G40*F40</f>
        <v>-0.9</v>
      </c>
      <c r="I40" s="28"/>
      <c r="J40" s="29">
        <f>'[4]6. Rate Rider Calculations'!$F$20</f>
        <v>-1.0318837523400292E-3</v>
      </c>
      <c r="K40" s="26">
        <f>$F$16</f>
        <v>500</v>
      </c>
      <c r="L40" s="27">
        <f t="shared" ref="L40:L46" si="7">K40*J40</f>
        <v>-0.51594187617001463</v>
      </c>
      <c r="M40" s="28"/>
      <c r="N40" s="31">
        <f t="shared" ref="N40:N65" si="8">L40-H40</f>
        <v>0.38405812382998539</v>
      </c>
      <c r="O40" s="32">
        <f t="shared" ref="O40:O45" si="9">IF((H40)=0,"",(N40/H40))</f>
        <v>-0.42673124869998375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500</v>
      </c>
      <c r="H41" s="27">
        <f t="shared" si="6"/>
        <v>0</v>
      </c>
      <c r="I41" s="47"/>
      <c r="J41" s="29"/>
      <c r="K41" s="26">
        <f>$F$16</f>
        <v>500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500</v>
      </c>
      <c r="H42" s="27">
        <f t="shared" si="6"/>
        <v>0</v>
      </c>
      <c r="I42" s="47"/>
      <c r="J42" s="29"/>
      <c r="K42" s="26">
        <f>$F$16</f>
        <v>500</v>
      </c>
      <c r="L42" s="27">
        <f t="shared" si="7"/>
        <v>0</v>
      </c>
      <c r="M42" s="48"/>
      <c r="N42" s="31">
        <f t="shared" si="8"/>
        <v>0</v>
      </c>
      <c r="O42" s="32" t="str">
        <f t="shared" si="9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500</v>
      </c>
      <c r="H43" s="27">
        <f t="shared" si="6"/>
        <v>0</v>
      </c>
      <c r="I43" s="47"/>
      <c r="J43" s="29"/>
      <c r="K43" s="26">
        <f>$F$16</f>
        <v>500</v>
      </c>
      <c r="L43" s="27">
        <f t="shared" si="7"/>
        <v>0</v>
      </c>
      <c r="M43" s="48"/>
      <c r="N43" s="31">
        <f t="shared" si="8"/>
        <v>0</v>
      </c>
      <c r="O43" s="32" t="str">
        <f t="shared" si="9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500</v>
      </c>
      <c r="H44" s="27">
        <f t="shared" si="6"/>
        <v>0.02</v>
      </c>
      <c r="I44" s="28"/>
      <c r="J44" s="195">
        <f>'[2]Rate Schedule '!$E$12</f>
        <v>6.9999999999999994E-5</v>
      </c>
      <c r="K44" s="26">
        <f>$F$16</f>
        <v>500</v>
      </c>
      <c r="L44" s="27">
        <f t="shared" si="7"/>
        <v>3.4999999999999996E-2</v>
      </c>
      <c r="M44" s="28"/>
      <c r="N44" s="31">
        <f t="shared" si="8"/>
        <v>1.4999999999999996E-2</v>
      </c>
      <c r="O44" s="32">
        <f t="shared" si="9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24</v>
      </c>
      <c r="H45" s="183">
        <f t="shared" si="6"/>
        <v>2.2190400000000001</v>
      </c>
      <c r="I45" s="57"/>
      <c r="J45" s="184">
        <f>0.64*$F$55+0.18*$F$56+0.18*$F$57</f>
        <v>9.2460000000000001E-2</v>
      </c>
      <c r="K45" s="26">
        <f>$F$16*(1+$J$74)-$F$16</f>
        <v>23.549999999999955</v>
      </c>
      <c r="L45" s="183">
        <f t="shared" si="7"/>
        <v>2.1774329999999957</v>
      </c>
      <c r="M45" s="57"/>
      <c r="N45" s="185">
        <f t="shared" si="8"/>
        <v>-4.160700000000439E-2</v>
      </c>
      <c r="O45" s="186">
        <f t="shared" si="9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6"/>
        <v>0.79</v>
      </c>
      <c r="I46" s="28"/>
      <c r="J46" s="177">
        <v>0.79</v>
      </c>
      <c r="K46" s="26">
        <v>1</v>
      </c>
      <c r="L46" s="27">
        <f t="shared" si="7"/>
        <v>0.79</v>
      </c>
      <c r="M46" s="28"/>
      <c r="N46" s="31">
        <f t="shared" si="8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25.919039999999999</v>
      </c>
      <c r="I47" s="41"/>
      <c r="J47" s="53"/>
      <c r="K47" s="55"/>
      <c r="L47" s="54">
        <f>SUM(L39:L46)+L38</f>
        <v>23.974065682360791</v>
      </c>
      <c r="M47" s="41"/>
      <c r="N47" s="44">
        <f t="shared" si="8"/>
        <v>-1.9449743176392076</v>
      </c>
      <c r="O47" s="45">
        <f t="shared" ref="O47:O65" si="10">IF((H47)=0,"",(N47/H47))</f>
        <v>-7.5040368688007258E-2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524</v>
      </c>
      <c r="H48" s="27">
        <f>G48*F48</f>
        <v>3.8252000000000002</v>
      </c>
      <c r="I48" s="28"/>
      <c r="J48" s="29">
        <f>'[5]13. Final 2015 RTS Rates'!$F$26</f>
        <v>7.5166324038951132E-3</v>
      </c>
      <c r="K48" s="59">
        <f>F16*(1+J74)</f>
        <v>523.54999999999995</v>
      </c>
      <c r="L48" s="27">
        <f>K48*J48</f>
        <v>3.9353328950592861</v>
      </c>
      <c r="M48" s="28"/>
      <c r="N48" s="31">
        <f t="shared" si="8"/>
        <v>0.11013289505928592</v>
      </c>
      <c r="O48" s="32">
        <f t="shared" si="10"/>
        <v>2.8791408307875643E-2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524</v>
      </c>
      <c r="H49" s="27">
        <f>G49*F49</f>
        <v>2.9868000000000001</v>
      </c>
      <c r="I49" s="28"/>
      <c r="J49" s="29">
        <f>'[5]13. Final 2015 RTS Rates'!$H$26</f>
        <v>5.857883813739073E-3</v>
      </c>
      <c r="K49" s="59">
        <f>K48</f>
        <v>523.54999999999995</v>
      </c>
      <c r="L49" s="27">
        <f>K49*J49</f>
        <v>3.0668950706830915</v>
      </c>
      <c r="M49" s="28"/>
      <c r="N49" s="31">
        <f t="shared" si="8"/>
        <v>8.0095070683091407E-2</v>
      </c>
      <c r="O49" s="32">
        <f t="shared" si="10"/>
        <v>2.6816348829212334E-2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32.73104</v>
      </c>
      <c r="I50" s="62"/>
      <c r="J50" s="63"/>
      <c r="K50" s="64"/>
      <c r="L50" s="54">
        <f>SUM(L47:L49)</f>
        <v>30.976293648103169</v>
      </c>
      <c r="M50" s="62"/>
      <c r="N50" s="44">
        <f t="shared" si="8"/>
        <v>-1.7547463518968307</v>
      </c>
      <c r="O50" s="45">
        <f t="shared" si="10"/>
        <v>-5.3611078410488351E-2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524</v>
      </c>
      <c r="H51" s="67">
        <f t="shared" ref="H51:H57" si="11">G51*F51</f>
        <v>2.3056000000000001</v>
      </c>
      <c r="I51" s="28"/>
      <c r="J51" s="66">
        <v>4.4000000000000003E-3</v>
      </c>
      <c r="K51" s="59">
        <f>K49</f>
        <v>523.54999999999995</v>
      </c>
      <c r="L51" s="67">
        <f t="shared" ref="L51:L57" si="12">K51*J51</f>
        <v>2.30362</v>
      </c>
      <c r="M51" s="28"/>
      <c r="N51" s="31">
        <f t="shared" si="8"/>
        <v>-1.9800000000000928E-3</v>
      </c>
      <c r="O51" s="68">
        <f t="shared" si="10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524</v>
      </c>
      <c r="H52" s="67">
        <f t="shared" si="11"/>
        <v>0.68119999999999992</v>
      </c>
      <c r="I52" s="28"/>
      <c r="J52" s="66">
        <v>1.2999999999999999E-3</v>
      </c>
      <c r="K52" s="59">
        <f>K49</f>
        <v>523.54999999999995</v>
      </c>
      <c r="L52" s="67">
        <f t="shared" si="12"/>
        <v>0.68061499999999986</v>
      </c>
      <c r="M52" s="28"/>
      <c r="N52" s="31">
        <f t="shared" si="8"/>
        <v>-5.850000000000577E-4</v>
      </c>
      <c r="O52" s="68">
        <f t="shared" si="10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1"/>
        <v>0.25</v>
      </c>
      <c r="I53" s="28"/>
      <c r="J53" s="176">
        <v>0.25</v>
      </c>
      <c r="K53" s="30">
        <v>1</v>
      </c>
      <c r="L53" s="67">
        <f t="shared" si="12"/>
        <v>0.25</v>
      </c>
      <c r="M53" s="28"/>
      <c r="N53" s="31">
        <f t="shared" si="8"/>
        <v>0</v>
      </c>
      <c r="O53" s="68">
        <f t="shared" si="10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500</v>
      </c>
      <c r="H54" s="67">
        <f t="shared" si="11"/>
        <v>3.5</v>
      </c>
      <c r="I54" s="28"/>
      <c r="J54" s="66">
        <v>7.0000000000000001E-3</v>
      </c>
      <c r="K54" s="70">
        <f>F16</f>
        <v>500</v>
      </c>
      <c r="L54" s="67">
        <f t="shared" si="12"/>
        <v>3.5</v>
      </c>
      <c r="M54" s="28"/>
      <c r="N54" s="31">
        <f t="shared" si="8"/>
        <v>0</v>
      </c>
      <c r="O54" s="68">
        <f t="shared" si="10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320</v>
      </c>
      <c r="H55" s="67">
        <f t="shared" si="11"/>
        <v>24</v>
      </c>
      <c r="I55" s="28"/>
      <c r="J55" s="66">
        <v>7.4999999999999997E-2</v>
      </c>
      <c r="K55" s="69">
        <f>G55</f>
        <v>320</v>
      </c>
      <c r="L55" s="67">
        <f t="shared" si="12"/>
        <v>24</v>
      </c>
      <c r="M55" s="28"/>
      <c r="N55" s="31">
        <f t="shared" si="8"/>
        <v>0</v>
      </c>
      <c r="O55" s="68">
        <f t="shared" si="10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90</v>
      </c>
      <c r="H56" s="67">
        <f t="shared" si="11"/>
        <v>10.08</v>
      </c>
      <c r="I56" s="28"/>
      <c r="J56" s="66">
        <v>0.112</v>
      </c>
      <c r="K56" s="69">
        <f>G56</f>
        <v>90</v>
      </c>
      <c r="L56" s="67">
        <f t="shared" si="12"/>
        <v>10.08</v>
      </c>
      <c r="M56" s="28"/>
      <c r="N56" s="31">
        <f t="shared" si="8"/>
        <v>0</v>
      </c>
      <c r="O56" s="68">
        <f t="shared" si="10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90</v>
      </c>
      <c r="H57" s="67">
        <f t="shared" si="11"/>
        <v>12.15</v>
      </c>
      <c r="I57" s="28"/>
      <c r="J57" s="66">
        <v>0.13500000000000001</v>
      </c>
      <c r="K57" s="69">
        <f>G57</f>
        <v>90</v>
      </c>
      <c r="L57" s="67">
        <f t="shared" si="12"/>
        <v>12.15</v>
      </c>
      <c r="M57" s="28"/>
      <c r="N57" s="31">
        <f t="shared" si="8"/>
        <v>0</v>
      </c>
      <c r="O57" s="68">
        <f t="shared" si="10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500</v>
      </c>
      <c r="H58" s="67">
        <f>G58*F58</f>
        <v>43</v>
      </c>
      <c r="I58" s="79"/>
      <c r="J58" s="66">
        <v>8.5999999999999993E-2</v>
      </c>
      <c r="K58" s="78">
        <f>G58</f>
        <v>500</v>
      </c>
      <c r="L58" s="67">
        <f>K58*J58</f>
        <v>43</v>
      </c>
      <c r="M58" s="79"/>
      <c r="N58" s="80">
        <f t="shared" si="8"/>
        <v>0</v>
      </c>
      <c r="O58" s="68">
        <f t="shared" si="10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0</v>
      </c>
      <c r="H59" s="67">
        <f>G59*F59</f>
        <v>0</v>
      </c>
      <c r="I59" s="79"/>
      <c r="J59" s="66">
        <v>0.10100000000000001</v>
      </c>
      <c r="K59" s="78">
        <f>G59</f>
        <v>0</v>
      </c>
      <c r="L59" s="67">
        <f>K59*J59</f>
        <v>0</v>
      </c>
      <c r="M59" s="79"/>
      <c r="N59" s="80">
        <f t="shared" si="8"/>
        <v>0</v>
      </c>
      <c r="O59" s="68" t="str">
        <f t="shared" si="10"/>
        <v/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85.697839999999999</v>
      </c>
      <c r="I61" s="95"/>
      <c r="J61" s="96"/>
      <c r="K61" s="96"/>
      <c r="L61" s="189">
        <f>SUM(L51:L57,L50)</f>
        <v>83.940528648103168</v>
      </c>
      <c r="M61" s="97"/>
      <c r="N61" s="98">
        <f>L61-H61</f>
        <v>-1.7573113518968313</v>
      </c>
      <c r="O61" s="99">
        <f>IF((H61)=0,"",(N61/H61))</f>
        <v>-2.0505900170842476E-2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11.140719199999999</v>
      </c>
      <c r="I62" s="104"/>
      <c r="J62" s="105">
        <v>0.13</v>
      </c>
      <c r="K62" s="104"/>
      <c r="L62" s="106">
        <f>L61*J62</f>
        <v>10.912268724253412</v>
      </c>
      <c r="M62" s="107"/>
      <c r="N62" s="108">
        <f t="shared" si="8"/>
        <v>-0.2284504757465875</v>
      </c>
      <c r="O62" s="109">
        <f t="shared" si="10"/>
        <v>-2.0505900170842428E-2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96.838559199999992</v>
      </c>
      <c r="I63" s="104"/>
      <c r="J63" s="104"/>
      <c r="K63" s="104"/>
      <c r="L63" s="106">
        <f>L61+L62</f>
        <v>94.852797372356576</v>
      </c>
      <c r="M63" s="107"/>
      <c r="N63" s="108">
        <f t="shared" si="8"/>
        <v>-1.9857618276434152</v>
      </c>
      <c r="O63" s="109">
        <f t="shared" si="10"/>
        <v>-2.0505900170842438E-2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-9.68</v>
      </c>
      <c r="I64" s="104"/>
      <c r="J64" s="104"/>
      <c r="K64" s="104"/>
      <c r="L64" s="113">
        <f>ROUND(-L63*10%,2)</f>
        <v>-9.49</v>
      </c>
      <c r="M64" s="107"/>
      <c r="N64" s="114">
        <f t="shared" si="8"/>
        <v>0.1899999999999995</v>
      </c>
      <c r="O64" s="115">
        <f t="shared" si="10"/>
        <v>-1.9628099173553668E-2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87.158559199999985</v>
      </c>
      <c r="I65" s="120"/>
      <c r="J65" s="120"/>
      <c r="K65" s="120"/>
      <c r="L65" s="121">
        <f>L63+L64</f>
        <v>85.362797372356582</v>
      </c>
      <c r="M65" s="122"/>
      <c r="N65" s="123">
        <f t="shared" si="8"/>
        <v>-1.7957618276434033</v>
      </c>
      <c r="O65" s="124">
        <f t="shared" si="10"/>
        <v>-2.0603390465906229E-2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82.46784000000001</v>
      </c>
      <c r="I67" s="136"/>
      <c r="J67" s="137"/>
      <c r="K67" s="137"/>
      <c r="L67" s="188">
        <f>SUM(L58:L59,L50,L51:L54)</f>
        <v>80.710528648103164</v>
      </c>
      <c r="M67" s="138"/>
      <c r="N67" s="139">
        <f>L67-H67</f>
        <v>-1.7573113518968455</v>
      </c>
      <c r="O67" s="99">
        <f>IF((H67)=0,"",(N67/H67))</f>
        <v>-2.1309050314605612E-2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10.720819200000001</v>
      </c>
      <c r="I68" s="143"/>
      <c r="J68" s="144">
        <v>0.13</v>
      </c>
      <c r="K68" s="145"/>
      <c r="L68" s="146">
        <f>L67*J68</f>
        <v>10.492368724253412</v>
      </c>
      <c r="M68" s="147"/>
      <c r="N68" s="148">
        <f>L68-H68</f>
        <v>-0.22845047574658928</v>
      </c>
      <c r="O68" s="109">
        <f>IF((H68)=0,"",(N68/H68))</f>
        <v>-2.1309050314605553E-2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93.188659200000018</v>
      </c>
      <c r="I69" s="143"/>
      <c r="J69" s="143"/>
      <c r="K69" s="143"/>
      <c r="L69" s="146">
        <f>L67+L68</f>
        <v>91.202897372356574</v>
      </c>
      <c r="M69" s="147"/>
      <c r="N69" s="148">
        <f>L69-H69</f>
        <v>-1.9857618276434437</v>
      </c>
      <c r="O69" s="109">
        <f>IF((H69)=0,"",(N69/H69))</f>
        <v>-2.1309050314605699E-2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-9.32</v>
      </c>
      <c r="I70" s="143"/>
      <c r="J70" s="143"/>
      <c r="K70" s="143"/>
      <c r="L70" s="153">
        <f>ROUND(-L69*10%,2)</f>
        <v>-9.1199999999999992</v>
      </c>
      <c r="M70" s="147"/>
      <c r="N70" s="154">
        <f>L70-H70</f>
        <v>0.20000000000000107</v>
      </c>
      <c r="O70" s="115">
        <f>IF((H70)=0,"",(N70/H70))</f>
        <v>-2.1459227467811273E-2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83.868659200000025</v>
      </c>
      <c r="I71" s="159"/>
      <c r="J71" s="159"/>
      <c r="K71" s="159"/>
      <c r="L71" s="160">
        <f>SUM(L69:L70)</f>
        <v>82.08289737235657</v>
      </c>
      <c r="M71" s="161"/>
      <c r="N71" s="162">
        <f>L71-H71</f>
        <v>-1.785761827643455</v>
      </c>
      <c r="O71" s="163">
        <f>IF((H71)=0,"",(N71/H71))</f>
        <v>-2.129236170790548E-2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48:E49 E51:E60 E39:E46 E66 E72 E21:E24 E26:E37">
      <formula1>#REF!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0" tint="-0.14999847407452621"/>
    <pageSetUpPr fitToPage="1"/>
  </sheetPr>
  <dimension ref="A1:T90"/>
  <sheetViews>
    <sheetView showGridLines="0" topLeftCell="A9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8-B</v>
      </c>
      <c r="O3" s="234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34">
        <f>'Res (100kWh)'!$N$5:$O$5</f>
        <v>42177</v>
      </c>
      <c r="O5" s="234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59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Rates'!$C$6</f>
        <v>14.64</v>
      </c>
      <c r="G21" s="26">
        <v>1</v>
      </c>
      <c r="H21" s="27">
        <f>G21*F21</f>
        <v>14.64</v>
      </c>
      <c r="I21" s="28"/>
      <c r="J21" s="173">
        <f>'[2]Rate Schedule '!$E$10</f>
        <v>15.49</v>
      </c>
      <c r="K21" s="30">
        <v>1</v>
      </c>
      <c r="L21" s="27">
        <f>K21*J21</f>
        <v>15.49</v>
      </c>
      <c r="M21" s="28"/>
      <c r="N21" s="31">
        <f>L21-H21</f>
        <v>0.84999999999999964</v>
      </c>
      <c r="O21" s="32">
        <f>IF((H21)=0,"",(N21/H21))</f>
        <v>5.8060109289617461E-2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Calc'!$B$103</f>
        <v>0.85</v>
      </c>
      <c r="K24" s="30">
        <v>1</v>
      </c>
      <c r="L24" s="27">
        <f t="shared" si="1"/>
        <v>0.85</v>
      </c>
      <c r="M24" s="28"/>
      <c r="N24" s="31">
        <f t="shared" si="2"/>
        <v>0.85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1000</v>
      </c>
      <c r="H25" s="27">
        <f t="shared" si="0"/>
        <v>0</v>
      </c>
      <c r="I25" s="28"/>
      <c r="J25" s="29">
        <f>'[4]6. Rate Rider Calculations'!$F$103</f>
        <v>2.0487596584733804E-4</v>
      </c>
      <c r="K25" s="26">
        <f>$F$16</f>
        <v>1000</v>
      </c>
      <c r="L25" s="27">
        <f t="shared" si="1"/>
        <v>0.20487596584733805</v>
      </c>
      <c r="M25" s="28"/>
      <c r="N25" s="31">
        <f t="shared" si="2"/>
        <v>0.20487596584733805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1000</v>
      </c>
      <c r="H26" s="27">
        <f t="shared" si="0"/>
        <v>-0.2</v>
      </c>
      <c r="I26" s="28"/>
      <c r="J26" s="173"/>
      <c r="K26" s="26">
        <f>$F$16</f>
        <v>1000</v>
      </c>
      <c r="L26" s="27">
        <f t="shared" si="1"/>
        <v>0</v>
      </c>
      <c r="M26" s="28"/>
      <c r="N26" s="31">
        <f t="shared" si="2"/>
        <v>0.2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1000</v>
      </c>
      <c r="H27" s="27">
        <f t="shared" si="0"/>
        <v>0</v>
      </c>
      <c r="I27" s="28"/>
      <c r="J27" s="29">
        <f>'[4]6. Rate Rider Calculations'!$F$75</f>
        <v>-3.6442926228316881E-3</v>
      </c>
      <c r="K27" s="26">
        <f>$F$16</f>
        <v>1000</v>
      </c>
      <c r="L27" s="27">
        <f t="shared" si="1"/>
        <v>-3.6442926228316881</v>
      </c>
      <c r="M27" s="28"/>
      <c r="N27" s="31">
        <f t="shared" si="2"/>
        <v>-3.6442926228316881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Rates'!$E$6</f>
        <v>1.3100000000000001E-2</v>
      </c>
      <c r="G28" s="26">
        <f>$F$16</f>
        <v>1000</v>
      </c>
      <c r="H28" s="27">
        <f t="shared" si="0"/>
        <v>13.100000000000001</v>
      </c>
      <c r="I28" s="28"/>
      <c r="J28" s="29">
        <f>'[2]Rate Schedule '!$E$11</f>
        <v>1.3899999999999999E-2</v>
      </c>
      <c r="K28" s="26">
        <f>$F$16</f>
        <v>1000</v>
      </c>
      <c r="L28" s="27">
        <f t="shared" si="1"/>
        <v>13.899999999999999</v>
      </c>
      <c r="M28" s="28"/>
      <c r="N28" s="31">
        <f t="shared" si="2"/>
        <v>0.79999999999999716</v>
      </c>
      <c r="O28" s="32">
        <f t="shared" si="3"/>
        <v>6.1068702290076111E-2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1000</v>
      </c>
      <c r="H29" s="27">
        <f t="shared" si="0"/>
        <v>0</v>
      </c>
      <c r="I29" s="28"/>
      <c r="J29" s="29"/>
      <c r="K29" s="26">
        <f t="shared" ref="K29:K37" si="5">$F$16</f>
        <v>1000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1000</v>
      </c>
      <c r="H30" s="27">
        <f t="shared" si="0"/>
        <v>0</v>
      </c>
      <c r="I30" s="28"/>
      <c r="J30" s="29"/>
      <c r="K30" s="26">
        <f t="shared" si="5"/>
        <v>1000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1000</v>
      </c>
      <c r="H31" s="27">
        <f t="shared" si="0"/>
        <v>0</v>
      </c>
      <c r="I31" s="28"/>
      <c r="J31" s="29"/>
      <c r="K31" s="26">
        <f t="shared" si="5"/>
        <v>1000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1000</v>
      </c>
      <c r="H32" s="27">
        <f t="shared" si="0"/>
        <v>0</v>
      </c>
      <c r="I32" s="28"/>
      <c r="J32" s="29"/>
      <c r="K32" s="26">
        <f t="shared" si="5"/>
        <v>1000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1000</v>
      </c>
      <c r="H33" s="27">
        <f t="shared" si="0"/>
        <v>0</v>
      </c>
      <c r="I33" s="28"/>
      <c r="J33" s="29"/>
      <c r="K33" s="26">
        <f t="shared" si="5"/>
        <v>1000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1000</v>
      </c>
      <c r="H34" s="27">
        <f t="shared" si="0"/>
        <v>0</v>
      </c>
      <c r="I34" s="28"/>
      <c r="J34" s="29"/>
      <c r="K34" s="26">
        <f t="shared" si="5"/>
        <v>1000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1000</v>
      </c>
      <c r="H35" s="27">
        <f t="shared" si="0"/>
        <v>0</v>
      </c>
      <c r="I35" s="28"/>
      <c r="J35" s="29"/>
      <c r="K35" s="26">
        <f t="shared" si="5"/>
        <v>1000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1000</v>
      </c>
      <c r="H36" s="27">
        <f t="shared" si="0"/>
        <v>0</v>
      </c>
      <c r="I36" s="28"/>
      <c r="J36" s="29"/>
      <c r="K36" s="26">
        <f t="shared" si="5"/>
        <v>1000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1000</v>
      </c>
      <c r="H37" s="27">
        <f t="shared" si="0"/>
        <v>0</v>
      </c>
      <c r="I37" s="28"/>
      <c r="J37" s="29"/>
      <c r="K37" s="26">
        <f t="shared" si="5"/>
        <v>1000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30.240000000000002</v>
      </c>
      <c r="I38" s="41"/>
      <c r="J38" s="42"/>
      <c r="K38" s="43"/>
      <c r="L38" s="40">
        <f>SUM(L21:L37)</f>
        <v>26.800583343015649</v>
      </c>
      <c r="M38" s="41"/>
      <c r="N38" s="44">
        <f t="shared" si="2"/>
        <v>-3.4394166569843527</v>
      </c>
      <c r="O38" s="45">
        <f t="shared" si="3"/>
        <v>-0.11373732331297462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1000</v>
      </c>
      <c r="H40" s="27">
        <f t="shared" ref="H40:H46" si="7">G40*F40</f>
        <v>-1.8</v>
      </c>
      <c r="I40" s="28"/>
      <c r="J40" s="29">
        <f>'[4]6. Rate Rider Calculations'!$F$20</f>
        <v>-1.0318837523400292E-3</v>
      </c>
      <c r="K40" s="26">
        <f>$F$16</f>
        <v>1000</v>
      </c>
      <c r="L40" s="27">
        <f t="shared" ref="L40:L46" si="8">K40*J40</f>
        <v>-1.0318837523400293</v>
      </c>
      <c r="M40" s="28"/>
      <c r="N40" s="31">
        <f t="shared" ref="N40:N65" si="9">L40-H40</f>
        <v>0.76811624765997077</v>
      </c>
      <c r="O40" s="32">
        <f t="shared" ref="O40:O45" si="10">IF((H40)=0,"",(N40/H40))</f>
        <v>-0.42673124869998375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1000</v>
      </c>
      <c r="H41" s="27">
        <f t="shared" si="7"/>
        <v>0</v>
      </c>
      <c r="I41" s="47"/>
      <c r="J41" s="29"/>
      <c r="K41" s="26">
        <f>$F$16</f>
        <v>1000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1000</v>
      </c>
      <c r="H42" s="27">
        <f t="shared" si="7"/>
        <v>0</v>
      </c>
      <c r="I42" s="47"/>
      <c r="J42" s="29"/>
      <c r="K42" s="26">
        <f>$F$16</f>
        <v>1000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1000</v>
      </c>
      <c r="H43" s="27">
        <f t="shared" si="7"/>
        <v>0</v>
      </c>
      <c r="I43" s="47"/>
      <c r="J43" s="29"/>
      <c r="K43" s="26">
        <f>$F$16</f>
        <v>1000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1000</v>
      </c>
      <c r="H44" s="27">
        <f t="shared" si="7"/>
        <v>0.04</v>
      </c>
      <c r="I44" s="28"/>
      <c r="J44" s="195">
        <f>'[2]Rate Schedule '!$E$12</f>
        <v>6.9999999999999994E-5</v>
      </c>
      <c r="K44" s="26">
        <f>$F$16</f>
        <v>1000</v>
      </c>
      <c r="L44" s="27">
        <f t="shared" si="8"/>
        <v>6.9999999999999993E-2</v>
      </c>
      <c r="M44" s="28"/>
      <c r="N44" s="31">
        <f t="shared" si="9"/>
        <v>2.9999999999999992E-2</v>
      </c>
      <c r="O44" s="32">
        <f t="shared" si="10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48</v>
      </c>
      <c r="H45" s="183">
        <f t="shared" si="7"/>
        <v>4.4380800000000002</v>
      </c>
      <c r="I45" s="57"/>
      <c r="J45" s="184">
        <f>0.64*$F$55+0.18*$F$56+0.18*$F$57</f>
        <v>9.2460000000000001E-2</v>
      </c>
      <c r="K45" s="26">
        <f>$F$16*(1+$J$74)-$F$16</f>
        <v>47.099999999999909</v>
      </c>
      <c r="L45" s="183">
        <f t="shared" si="8"/>
        <v>4.3548659999999915</v>
      </c>
      <c r="M45" s="57"/>
      <c r="N45" s="185">
        <f t="shared" si="9"/>
        <v>-8.3214000000008781E-2</v>
      </c>
      <c r="O45" s="186">
        <f t="shared" si="10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33.708080000000002</v>
      </c>
      <c r="I47" s="41"/>
      <c r="J47" s="53"/>
      <c r="K47" s="55"/>
      <c r="L47" s="54">
        <f>SUM(L39:L46)+L38</f>
        <v>30.98356559067561</v>
      </c>
      <c r="M47" s="41"/>
      <c r="N47" s="44">
        <f t="shared" si="9"/>
        <v>-2.7245144093243923</v>
      </c>
      <c r="O47" s="45">
        <f t="shared" ref="O47:O65" si="11">IF((H47)=0,"",(N47/H47))</f>
        <v>-8.0826745674164535E-2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1048</v>
      </c>
      <c r="H48" s="27">
        <f>G48*F48</f>
        <v>7.6504000000000003</v>
      </c>
      <c r="I48" s="28"/>
      <c r="J48" s="29">
        <f>'[5]13. Final 2015 RTS Rates'!$F$26</f>
        <v>7.5166324038951132E-3</v>
      </c>
      <c r="K48" s="59">
        <f>F16*(1+J74)</f>
        <v>1047.0999999999999</v>
      </c>
      <c r="L48" s="27">
        <f>K48*J48</f>
        <v>7.8706657901185721</v>
      </c>
      <c r="M48" s="28"/>
      <c r="N48" s="31">
        <f t="shared" si="9"/>
        <v>0.22026579011857184</v>
      </c>
      <c r="O48" s="32">
        <f t="shared" si="11"/>
        <v>2.8791408307875643E-2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1048</v>
      </c>
      <c r="H49" s="27">
        <f>G49*F49</f>
        <v>5.9736000000000002</v>
      </c>
      <c r="I49" s="28"/>
      <c r="J49" s="29">
        <f>'[5]13. Final 2015 RTS Rates'!$H$26</f>
        <v>5.857883813739073E-3</v>
      </c>
      <c r="K49" s="59">
        <f>K48</f>
        <v>1047.0999999999999</v>
      </c>
      <c r="L49" s="27">
        <f>K49*J49</f>
        <v>6.1337901413661831</v>
      </c>
      <c r="M49" s="28"/>
      <c r="N49" s="31">
        <f t="shared" si="9"/>
        <v>0.16019014136618281</v>
      </c>
      <c r="O49" s="32">
        <f t="shared" si="11"/>
        <v>2.6816348829212334E-2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47.332079999999998</v>
      </c>
      <c r="I50" s="62"/>
      <c r="J50" s="63"/>
      <c r="K50" s="64"/>
      <c r="L50" s="54">
        <f>SUM(L47:L49)</f>
        <v>44.988021522160366</v>
      </c>
      <c r="M50" s="62"/>
      <c r="N50" s="44">
        <f t="shared" si="9"/>
        <v>-2.3440584778396314</v>
      </c>
      <c r="O50" s="45">
        <f t="shared" si="11"/>
        <v>-4.9523673538953525E-2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1048</v>
      </c>
      <c r="H51" s="67">
        <f t="shared" ref="H51:H57" si="12">G51*F51</f>
        <v>4.6112000000000002</v>
      </c>
      <c r="I51" s="28"/>
      <c r="J51" s="66">
        <v>4.4000000000000003E-3</v>
      </c>
      <c r="K51" s="59">
        <f>K49</f>
        <v>1047.0999999999999</v>
      </c>
      <c r="L51" s="67">
        <f t="shared" ref="L51:L57" si="13">K51*J51</f>
        <v>4.60724</v>
      </c>
      <c r="M51" s="28"/>
      <c r="N51" s="31">
        <f t="shared" si="9"/>
        <v>-3.9600000000001856E-3</v>
      </c>
      <c r="O51" s="68">
        <f t="shared" si="11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1048</v>
      </c>
      <c r="H52" s="67">
        <f t="shared" si="12"/>
        <v>1.3623999999999998</v>
      </c>
      <c r="I52" s="28"/>
      <c r="J52" s="66">
        <v>1.2999999999999999E-3</v>
      </c>
      <c r="K52" s="59">
        <f>K49</f>
        <v>1047.0999999999999</v>
      </c>
      <c r="L52" s="67">
        <f t="shared" si="13"/>
        <v>1.3612299999999997</v>
      </c>
      <c r="M52" s="28"/>
      <c r="N52" s="31">
        <f t="shared" si="9"/>
        <v>-1.1700000000001154E-3</v>
      </c>
      <c r="O52" s="68">
        <f t="shared" si="11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1000</v>
      </c>
      <c r="H54" s="67">
        <f t="shared" si="12"/>
        <v>7</v>
      </c>
      <c r="I54" s="28"/>
      <c r="J54" s="66">
        <v>7.0000000000000001E-3</v>
      </c>
      <c r="K54" s="70">
        <f>F16</f>
        <v>1000</v>
      </c>
      <c r="L54" s="67">
        <f t="shared" si="13"/>
        <v>7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640</v>
      </c>
      <c r="H55" s="67">
        <f t="shared" si="12"/>
        <v>48</v>
      </c>
      <c r="I55" s="28"/>
      <c r="J55" s="66">
        <v>7.4999999999999997E-2</v>
      </c>
      <c r="K55" s="69">
        <f>G55</f>
        <v>640</v>
      </c>
      <c r="L55" s="67">
        <f t="shared" si="13"/>
        <v>48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180</v>
      </c>
      <c r="H56" s="67">
        <f t="shared" si="12"/>
        <v>20.16</v>
      </c>
      <c r="I56" s="28"/>
      <c r="J56" s="66">
        <v>0.112</v>
      </c>
      <c r="K56" s="69">
        <f>G56</f>
        <v>180</v>
      </c>
      <c r="L56" s="67">
        <f t="shared" si="13"/>
        <v>20.16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180</v>
      </c>
      <c r="H57" s="67">
        <f t="shared" si="12"/>
        <v>24.3</v>
      </c>
      <c r="I57" s="28"/>
      <c r="J57" s="66">
        <v>0.13500000000000001</v>
      </c>
      <c r="K57" s="69">
        <f>G57</f>
        <v>180</v>
      </c>
      <c r="L57" s="67">
        <f t="shared" si="13"/>
        <v>24.3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400</v>
      </c>
      <c r="H59" s="67">
        <f>G59*F59</f>
        <v>40.400000000000006</v>
      </c>
      <c r="I59" s="79"/>
      <c r="J59" s="66">
        <v>0.10100000000000001</v>
      </c>
      <c r="K59" s="78">
        <f>G59</f>
        <v>400</v>
      </c>
      <c r="L59" s="67">
        <f>K59*J59</f>
        <v>40.400000000000006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153.01568</v>
      </c>
      <c r="I61" s="95"/>
      <c r="J61" s="96"/>
      <c r="K61" s="96"/>
      <c r="L61" s="189">
        <f>SUM(L51:L57,L50)</f>
        <v>150.66649152216036</v>
      </c>
      <c r="M61" s="97"/>
      <c r="N61" s="98">
        <f>L61-H61</f>
        <v>-2.3491884778396468</v>
      </c>
      <c r="O61" s="99">
        <f>IF((H61)=0,"",(N61/H61))</f>
        <v>-1.5352599667169056E-2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19.892038400000001</v>
      </c>
      <c r="I62" s="104"/>
      <c r="J62" s="105">
        <v>0.13</v>
      </c>
      <c r="K62" s="104"/>
      <c r="L62" s="106">
        <f>L61*J62</f>
        <v>19.586643897880847</v>
      </c>
      <c r="M62" s="107"/>
      <c r="N62" s="108">
        <f t="shared" si="9"/>
        <v>-0.30539450211915309</v>
      </c>
      <c r="O62" s="109">
        <f t="shared" si="11"/>
        <v>-1.5352599667169006E-2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172.90771839999999</v>
      </c>
      <c r="I63" s="104"/>
      <c r="J63" s="104"/>
      <c r="K63" s="104"/>
      <c r="L63" s="106">
        <f>L61+L62</f>
        <v>170.25313542004119</v>
      </c>
      <c r="M63" s="107"/>
      <c r="N63" s="108">
        <f t="shared" si="9"/>
        <v>-2.6545829799588034</v>
      </c>
      <c r="O63" s="109">
        <f t="shared" si="11"/>
        <v>-1.5352599667169071E-2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-17.29</v>
      </c>
      <c r="I64" s="104"/>
      <c r="J64" s="104"/>
      <c r="K64" s="104"/>
      <c r="L64" s="113">
        <f>ROUND(-L63*10%,2)</f>
        <v>-17.03</v>
      </c>
      <c r="M64" s="107"/>
      <c r="N64" s="114">
        <f t="shared" si="9"/>
        <v>0.25999999999999801</v>
      </c>
      <c r="O64" s="115">
        <f t="shared" si="11"/>
        <v>-1.5037593984962292E-2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155.6177184</v>
      </c>
      <c r="I65" s="120"/>
      <c r="J65" s="120"/>
      <c r="K65" s="120"/>
      <c r="L65" s="121">
        <f>L63+L64</f>
        <v>153.22313542004119</v>
      </c>
      <c r="M65" s="122"/>
      <c r="N65" s="123">
        <f t="shared" si="9"/>
        <v>-2.3945829799588125</v>
      </c>
      <c r="O65" s="124">
        <f t="shared" si="11"/>
        <v>-1.5387598562547827E-2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152.55568</v>
      </c>
      <c r="I67" s="136"/>
      <c r="J67" s="137"/>
      <c r="K67" s="137"/>
      <c r="L67" s="188">
        <f>SUM(L58:L59,L50,L51:L54)</f>
        <v>150.20649152216035</v>
      </c>
      <c r="M67" s="138"/>
      <c r="N67" s="139">
        <f>L67-H67</f>
        <v>-2.3491884778396468</v>
      </c>
      <c r="O67" s="99">
        <f>IF((H67)=0,"",(N67/H67))</f>
        <v>-1.5398892246028773E-2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19.832238400000001</v>
      </c>
      <c r="I68" s="143"/>
      <c r="J68" s="144">
        <v>0.13</v>
      </c>
      <c r="K68" s="145"/>
      <c r="L68" s="146">
        <f>L67*J68</f>
        <v>19.526843897880845</v>
      </c>
      <c r="M68" s="147"/>
      <c r="N68" s="148">
        <f>L68-H68</f>
        <v>-0.30539450211915664</v>
      </c>
      <c r="O68" s="109">
        <f>IF((H68)=0,"",(N68/H68))</f>
        <v>-1.5398892246028901E-2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172.38791839999999</v>
      </c>
      <c r="I69" s="143"/>
      <c r="J69" s="143"/>
      <c r="K69" s="143"/>
      <c r="L69" s="146">
        <f>L67+L68</f>
        <v>169.73333542004119</v>
      </c>
      <c r="M69" s="147"/>
      <c r="N69" s="148">
        <f>L69-H69</f>
        <v>-2.6545829799588034</v>
      </c>
      <c r="O69" s="109">
        <f>IF((H69)=0,"",(N69/H69))</f>
        <v>-1.5398892246028788E-2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-17.239999999999998</v>
      </c>
      <c r="I70" s="143"/>
      <c r="J70" s="143"/>
      <c r="K70" s="143"/>
      <c r="L70" s="153">
        <f>ROUND(-L69*10%,2)</f>
        <v>-16.97</v>
      </c>
      <c r="M70" s="147"/>
      <c r="N70" s="154">
        <f>L70-H70</f>
        <v>0.26999999999999957</v>
      </c>
      <c r="O70" s="115">
        <f>IF((H70)=0,"",(N70/H70))</f>
        <v>-1.5661252900231994E-2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155.14791839999998</v>
      </c>
      <c r="I71" s="159"/>
      <c r="J71" s="159"/>
      <c r="K71" s="159"/>
      <c r="L71" s="160">
        <f>SUM(L69:L70)</f>
        <v>152.76333542004119</v>
      </c>
      <c r="M71" s="161"/>
      <c r="N71" s="162">
        <f>L71-H71</f>
        <v>-2.3845829799587932</v>
      </c>
      <c r="O71" s="163">
        <f>IF((H71)=0,"",(N71/H71))</f>
        <v>-1.5369738792182168E-2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48:E49 E51:E60 E39:E46 E66 E72 E21:E24 E26:E37">
      <formula1>#REF!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theme="0" tint="-0.14999847407452621"/>
    <pageSetUpPr fitToPage="1"/>
  </sheetPr>
  <dimension ref="A1:T90"/>
  <sheetViews>
    <sheetView showGridLines="0" workbookViewId="0">
      <selection activeCell="R16" sqref="R16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8-B</v>
      </c>
      <c r="O3" s="234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34">
        <f>'Res (100kWh)'!$N$5:$O$5</f>
        <v>42177</v>
      </c>
      <c r="O5" s="234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59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1500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Rates'!$C$6</f>
        <v>14.64</v>
      </c>
      <c r="G21" s="26">
        <v>1</v>
      </c>
      <c r="H21" s="27">
        <f>G21*F21</f>
        <v>14.64</v>
      </c>
      <c r="I21" s="28"/>
      <c r="J21" s="173">
        <f>'[2]Rate Schedule '!$E$10</f>
        <v>15.49</v>
      </c>
      <c r="K21" s="30">
        <v>1</v>
      </c>
      <c r="L21" s="27">
        <f>K21*J21</f>
        <v>15.49</v>
      </c>
      <c r="M21" s="28"/>
      <c r="N21" s="31">
        <f>L21-H21</f>
        <v>0.84999999999999964</v>
      </c>
      <c r="O21" s="32">
        <f>IF((H21)=0,"",(N21/H21))</f>
        <v>5.8060109289617461E-2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Calc'!$B$103</f>
        <v>0.85</v>
      </c>
      <c r="K24" s="30">
        <v>1</v>
      </c>
      <c r="L24" s="27">
        <f t="shared" si="1"/>
        <v>0.85</v>
      </c>
      <c r="M24" s="28"/>
      <c r="N24" s="31">
        <f t="shared" si="2"/>
        <v>0.85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1500</v>
      </c>
      <c r="H25" s="27">
        <f t="shared" si="0"/>
        <v>0</v>
      </c>
      <c r="I25" s="28"/>
      <c r="J25" s="29">
        <f>'[4]6. Rate Rider Calculations'!$F$103</f>
        <v>2.0487596584733804E-4</v>
      </c>
      <c r="K25" s="26">
        <f>$F$16</f>
        <v>1500</v>
      </c>
      <c r="L25" s="27">
        <f t="shared" si="1"/>
        <v>0.30731394877100704</v>
      </c>
      <c r="M25" s="28"/>
      <c r="N25" s="31">
        <f t="shared" si="2"/>
        <v>0.30731394877100704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1500</v>
      </c>
      <c r="H26" s="27">
        <f t="shared" si="0"/>
        <v>-0.3</v>
      </c>
      <c r="I26" s="28"/>
      <c r="J26" s="173"/>
      <c r="K26" s="26">
        <f>$F$16</f>
        <v>1500</v>
      </c>
      <c r="L26" s="27">
        <f t="shared" si="1"/>
        <v>0</v>
      </c>
      <c r="M26" s="28"/>
      <c r="N26" s="31">
        <f t="shared" si="2"/>
        <v>0.3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1500</v>
      </c>
      <c r="H27" s="27">
        <f t="shared" si="0"/>
        <v>0</v>
      </c>
      <c r="I27" s="28"/>
      <c r="J27" s="29">
        <f>'[4]6. Rate Rider Calculations'!$F$75</f>
        <v>-3.6442926228316881E-3</v>
      </c>
      <c r="K27" s="26">
        <f>$F$16</f>
        <v>1500</v>
      </c>
      <c r="L27" s="27">
        <f t="shared" si="1"/>
        <v>-5.4664389342475319</v>
      </c>
      <c r="M27" s="28"/>
      <c r="N27" s="31">
        <f t="shared" si="2"/>
        <v>-5.4664389342475319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Rates'!$E$6</f>
        <v>1.3100000000000001E-2</v>
      </c>
      <c r="G28" s="26">
        <f>$F$16</f>
        <v>1500</v>
      </c>
      <c r="H28" s="27">
        <f t="shared" si="0"/>
        <v>19.650000000000002</v>
      </c>
      <c r="I28" s="28"/>
      <c r="J28" s="29">
        <f>'[2]Rate Schedule '!$E$11</f>
        <v>1.3899999999999999E-2</v>
      </c>
      <c r="K28" s="26">
        <f>$F$16</f>
        <v>1500</v>
      </c>
      <c r="L28" s="27">
        <f t="shared" si="1"/>
        <v>20.849999999999998</v>
      </c>
      <c r="M28" s="28"/>
      <c r="N28" s="31">
        <f t="shared" si="2"/>
        <v>1.1999999999999957</v>
      </c>
      <c r="O28" s="32">
        <f t="shared" si="3"/>
        <v>6.1068702290076111E-2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1500</v>
      </c>
      <c r="H29" s="27">
        <f t="shared" si="0"/>
        <v>0</v>
      </c>
      <c r="I29" s="28"/>
      <c r="J29" s="29"/>
      <c r="K29" s="26">
        <f t="shared" ref="K29:K37" si="5">$F$16</f>
        <v>1500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1500</v>
      </c>
      <c r="H30" s="27">
        <f t="shared" si="0"/>
        <v>0</v>
      </c>
      <c r="I30" s="28"/>
      <c r="J30" s="29"/>
      <c r="K30" s="26">
        <f t="shared" si="5"/>
        <v>1500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1500</v>
      </c>
      <c r="H31" s="27">
        <f t="shared" si="0"/>
        <v>0</v>
      </c>
      <c r="I31" s="28"/>
      <c r="J31" s="29"/>
      <c r="K31" s="26">
        <f t="shared" si="5"/>
        <v>1500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1500</v>
      </c>
      <c r="H32" s="27">
        <f t="shared" si="0"/>
        <v>0</v>
      </c>
      <c r="I32" s="28"/>
      <c r="J32" s="29"/>
      <c r="K32" s="26">
        <f t="shared" si="5"/>
        <v>1500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1500</v>
      </c>
      <c r="H33" s="27">
        <f t="shared" si="0"/>
        <v>0</v>
      </c>
      <c r="I33" s="28"/>
      <c r="J33" s="29"/>
      <c r="K33" s="26">
        <f t="shared" si="5"/>
        <v>1500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1500</v>
      </c>
      <c r="H34" s="27">
        <f t="shared" si="0"/>
        <v>0</v>
      </c>
      <c r="I34" s="28"/>
      <c r="J34" s="29"/>
      <c r="K34" s="26">
        <f t="shared" si="5"/>
        <v>1500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1500</v>
      </c>
      <c r="H35" s="27">
        <f t="shared" si="0"/>
        <v>0</v>
      </c>
      <c r="I35" s="28"/>
      <c r="J35" s="29"/>
      <c r="K35" s="26">
        <f t="shared" si="5"/>
        <v>1500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1500</v>
      </c>
      <c r="H36" s="27">
        <f t="shared" si="0"/>
        <v>0</v>
      </c>
      <c r="I36" s="28"/>
      <c r="J36" s="29"/>
      <c r="K36" s="26">
        <f t="shared" si="5"/>
        <v>1500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1500</v>
      </c>
      <c r="H37" s="27">
        <f t="shared" si="0"/>
        <v>0</v>
      </c>
      <c r="I37" s="28"/>
      <c r="J37" s="29"/>
      <c r="K37" s="26">
        <f t="shared" si="5"/>
        <v>1500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36.69</v>
      </c>
      <c r="I38" s="41"/>
      <c r="J38" s="42"/>
      <c r="K38" s="43"/>
      <c r="L38" s="40">
        <f>SUM(L21:L37)</f>
        <v>32.030875014523474</v>
      </c>
      <c r="M38" s="41"/>
      <c r="N38" s="44">
        <f t="shared" si="2"/>
        <v>-4.6591249854765238</v>
      </c>
      <c r="O38" s="45">
        <f t="shared" si="3"/>
        <v>-0.12698623563577335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1500</v>
      </c>
      <c r="H40" s="27">
        <f t="shared" ref="H40:H46" si="7">G40*F40</f>
        <v>-2.6999999999999997</v>
      </c>
      <c r="I40" s="28"/>
      <c r="J40" s="29">
        <f>'[4]6. Rate Rider Calculations'!$F$20</f>
        <v>-1.0318837523400292E-3</v>
      </c>
      <c r="K40" s="26">
        <f>$F$16</f>
        <v>1500</v>
      </c>
      <c r="L40" s="27">
        <f t="shared" ref="L40:L46" si="8">K40*J40</f>
        <v>-1.5478256285100438</v>
      </c>
      <c r="M40" s="28"/>
      <c r="N40" s="31">
        <f t="shared" ref="N40:N65" si="9">L40-H40</f>
        <v>1.1521743714899559</v>
      </c>
      <c r="O40" s="32">
        <f t="shared" ref="O40:O45" si="10">IF((H40)=0,"",(N40/H40))</f>
        <v>-0.42673124869998375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1500</v>
      </c>
      <c r="H41" s="27">
        <f t="shared" si="7"/>
        <v>0</v>
      </c>
      <c r="I41" s="47"/>
      <c r="J41" s="29"/>
      <c r="K41" s="26">
        <f>$F$16</f>
        <v>1500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1500</v>
      </c>
      <c r="H42" s="27">
        <f t="shared" si="7"/>
        <v>0</v>
      </c>
      <c r="I42" s="47"/>
      <c r="J42" s="29"/>
      <c r="K42" s="26">
        <f>$F$16</f>
        <v>1500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1500</v>
      </c>
      <c r="H43" s="27">
        <f t="shared" si="7"/>
        <v>0</v>
      </c>
      <c r="I43" s="47"/>
      <c r="J43" s="29"/>
      <c r="K43" s="26">
        <f>$F$16</f>
        <v>1500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1500</v>
      </c>
      <c r="H44" s="27">
        <f t="shared" si="7"/>
        <v>6.0000000000000005E-2</v>
      </c>
      <c r="I44" s="28"/>
      <c r="J44" s="195">
        <f>'[2]Rate Schedule '!$E$12</f>
        <v>6.9999999999999994E-5</v>
      </c>
      <c r="K44" s="26">
        <f>$F$16</f>
        <v>1500</v>
      </c>
      <c r="L44" s="27">
        <f t="shared" si="8"/>
        <v>0.105</v>
      </c>
      <c r="M44" s="28"/>
      <c r="N44" s="31">
        <f t="shared" si="9"/>
        <v>4.4999999999999991E-2</v>
      </c>
      <c r="O44" s="32">
        <f t="shared" si="10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72</v>
      </c>
      <c r="H45" s="183">
        <f t="shared" si="7"/>
        <v>6.6571199999999999</v>
      </c>
      <c r="I45" s="57"/>
      <c r="J45" s="184">
        <f>0.64*$F$55+0.18*$F$56+0.18*$F$57</f>
        <v>9.2460000000000001E-2</v>
      </c>
      <c r="K45" s="26">
        <f>$F$16*(1+$J$74)-$F$16</f>
        <v>70.649999999999864</v>
      </c>
      <c r="L45" s="183">
        <f t="shared" si="8"/>
        <v>6.5322989999999876</v>
      </c>
      <c r="M45" s="57"/>
      <c r="N45" s="185">
        <f t="shared" si="9"/>
        <v>-0.12482100000001228</v>
      </c>
      <c r="O45" s="186">
        <f t="shared" si="10"/>
        <v>-1.8750000000001845E-2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41.497119999999995</v>
      </c>
      <c r="I47" s="41"/>
      <c r="J47" s="53"/>
      <c r="K47" s="55"/>
      <c r="L47" s="54">
        <f>SUM(L39:L46)+L38</f>
        <v>37.910348386013418</v>
      </c>
      <c r="M47" s="41"/>
      <c r="N47" s="44">
        <f t="shared" si="9"/>
        <v>-3.5867716139865777</v>
      </c>
      <c r="O47" s="45">
        <f t="shared" ref="O47:O65" si="11">IF((H47)=0,"",(N47/H47))</f>
        <v>-8.6434229989613212E-2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1572</v>
      </c>
      <c r="H48" s="27">
        <f>G48*F48</f>
        <v>11.4756</v>
      </c>
      <c r="I48" s="28"/>
      <c r="J48" s="29">
        <f>'[5]13. Final 2015 RTS Rates'!$F$26</f>
        <v>7.5166324038951132E-3</v>
      </c>
      <c r="K48" s="59">
        <f>F16*(1+J74)</f>
        <v>1570.6499999999999</v>
      </c>
      <c r="L48" s="27">
        <f>K48*J48</f>
        <v>11.805998685177858</v>
      </c>
      <c r="M48" s="28"/>
      <c r="N48" s="31">
        <f t="shared" si="9"/>
        <v>0.3303986851778582</v>
      </c>
      <c r="O48" s="32">
        <f t="shared" si="11"/>
        <v>2.8791408307875684E-2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1572</v>
      </c>
      <c r="H49" s="27">
        <f>G49*F49</f>
        <v>8.9603999999999999</v>
      </c>
      <c r="I49" s="28"/>
      <c r="J49" s="29">
        <f>'[5]13. Final 2015 RTS Rates'!$H$26</f>
        <v>5.857883813739073E-3</v>
      </c>
      <c r="K49" s="59">
        <f>K48</f>
        <v>1570.6499999999999</v>
      </c>
      <c r="L49" s="27">
        <f>K49*J49</f>
        <v>9.2006852120492741</v>
      </c>
      <c r="M49" s="28"/>
      <c r="N49" s="31">
        <f t="shared" si="9"/>
        <v>0.24028521204927422</v>
      </c>
      <c r="O49" s="32">
        <f t="shared" si="11"/>
        <v>2.6816348829212338E-2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61.933119999999995</v>
      </c>
      <c r="I50" s="62"/>
      <c r="J50" s="63"/>
      <c r="K50" s="64"/>
      <c r="L50" s="54">
        <f>SUM(L47:L49)</f>
        <v>58.917032283240552</v>
      </c>
      <c r="M50" s="62"/>
      <c r="N50" s="44">
        <f t="shared" si="9"/>
        <v>-3.0160877167594435</v>
      </c>
      <c r="O50" s="45">
        <f t="shared" si="11"/>
        <v>-4.869910827614439E-2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1572</v>
      </c>
      <c r="H51" s="67">
        <f t="shared" ref="H51:H57" si="12">G51*F51</f>
        <v>6.9168000000000003</v>
      </c>
      <c r="I51" s="28"/>
      <c r="J51" s="66">
        <v>4.4000000000000003E-3</v>
      </c>
      <c r="K51" s="59">
        <f>K49</f>
        <v>1570.6499999999999</v>
      </c>
      <c r="L51" s="67">
        <f t="shared" ref="L51:L57" si="13">K51*J51</f>
        <v>6.9108599999999996</v>
      </c>
      <c r="M51" s="28"/>
      <c r="N51" s="31">
        <f t="shared" si="9"/>
        <v>-5.9400000000007225E-3</v>
      </c>
      <c r="O51" s="68">
        <f t="shared" si="11"/>
        <v>-8.5877862595430286E-4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1572</v>
      </c>
      <c r="H52" s="67">
        <f t="shared" si="12"/>
        <v>2.0436000000000001</v>
      </c>
      <c r="I52" s="28"/>
      <c r="J52" s="66">
        <v>1.2999999999999999E-3</v>
      </c>
      <c r="K52" s="59">
        <f>K49</f>
        <v>1570.6499999999999</v>
      </c>
      <c r="L52" s="67">
        <f t="shared" si="13"/>
        <v>2.0418449999999999</v>
      </c>
      <c r="M52" s="28"/>
      <c r="N52" s="31">
        <f t="shared" si="9"/>
        <v>-1.7550000000001731E-3</v>
      </c>
      <c r="O52" s="68">
        <f t="shared" si="11"/>
        <v>-8.5877862595428313E-4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1500</v>
      </c>
      <c r="H54" s="67">
        <f t="shared" si="12"/>
        <v>10.5</v>
      </c>
      <c r="I54" s="28"/>
      <c r="J54" s="66">
        <v>7.0000000000000001E-3</v>
      </c>
      <c r="K54" s="70">
        <f>F16</f>
        <v>1500</v>
      </c>
      <c r="L54" s="67">
        <f t="shared" si="13"/>
        <v>10.5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960</v>
      </c>
      <c r="H55" s="67">
        <f t="shared" si="12"/>
        <v>72</v>
      </c>
      <c r="I55" s="28"/>
      <c r="J55" s="66">
        <v>7.4999999999999997E-2</v>
      </c>
      <c r="K55" s="69">
        <f>G55</f>
        <v>960</v>
      </c>
      <c r="L55" s="67">
        <f t="shared" si="13"/>
        <v>72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270</v>
      </c>
      <c r="H56" s="67">
        <f t="shared" si="12"/>
        <v>30.240000000000002</v>
      </c>
      <c r="I56" s="28"/>
      <c r="J56" s="66">
        <v>0.112</v>
      </c>
      <c r="K56" s="69">
        <f>G56</f>
        <v>270</v>
      </c>
      <c r="L56" s="67">
        <f t="shared" si="13"/>
        <v>30.240000000000002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270</v>
      </c>
      <c r="H57" s="67">
        <f t="shared" si="12"/>
        <v>36.450000000000003</v>
      </c>
      <c r="I57" s="28"/>
      <c r="J57" s="66">
        <v>0.13500000000000001</v>
      </c>
      <c r="K57" s="69">
        <f>G57</f>
        <v>270</v>
      </c>
      <c r="L57" s="67">
        <f t="shared" si="13"/>
        <v>36.450000000000003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900</v>
      </c>
      <c r="H59" s="67">
        <f>G59*F59</f>
        <v>90.9</v>
      </c>
      <c r="I59" s="79"/>
      <c r="J59" s="66">
        <v>0.10100000000000001</v>
      </c>
      <c r="K59" s="78">
        <f>G59</f>
        <v>900</v>
      </c>
      <c r="L59" s="67">
        <f>K59*J59</f>
        <v>90.9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220.33351999999999</v>
      </c>
      <c r="I61" s="95"/>
      <c r="J61" s="96"/>
      <c r="K61" s="96"/>
      <c r="L61" s="189">
        <f>SUM(L51:L57,L50)</f>
        <v>217.30973728324059</v>
      </c>
      <c r="M61" s="97"/>
      <c r="N61" s="98">
        <f>L61-H61</f>
        <v>-3.0237827167593991</v>
      </c>
      <c r="O61" s="99">
        <f>IF((H61)=0,"",(N61/H61))</f>
        <v>-1.3723661823037182E-2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28.643357600000002</v>
      </c>
      <c r="I62" s="104"/>
      <c r="J62" s="105">
        <v>0.13</v>
      </c>
      <c r="K62" s="104"/>
      <c r="L62" s="106">
        <f>L61*J62</f>
        <v>28.250265846821279</v>
      </c>
      <c r="M62" s="107"/>
      <c r="N62" s="108">
        <f t="shared" si="9"/>
        <v>-0.39309175317872302</v>
      </c>
      <c r="O62" s="109">
        <f t="shared" si="11"/>
        <v>-1.372366182303722E-2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248.97687759999999</v>
      </c>
      <c r="I63" s="104"/>
      <c r="J63" s="104"/>
      <c r="K63" s="104"/>
      <c r="L63" s="106">
        <f>L61+L62</f>
        <v>245.56000313006189</v>
      </c>
      <c r="M63" s="107"/>
      <c r="N63" s="108">
        <f t="shared" si="9"/>
        <v>-3.4168744699381079</v>
      </c>
      <c r="O63" s="109">
        <f t="shared" si="11"/>
        <v>-1.3723661823037128E-2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-24.9</v>
      </c>
      <c r="I64" s="104"/>
      <c r="J64" s="104"/>
      <c r="K64" s="104"/>
      <c r="L64" s="113">
        <f>ROUND(-L63*10%,2)</f>
        <v>-24.56</v>
      </c>
      <c r="M64" s="107"/>
      <c r="N64" s="114">
        <f t="shared" si="9"/>
        <v>0.33999999999999986</v>
      </c>
      <c r="O64" s="115">
        <f t="shared" si="11"/>
        <v>-1.3654618473895578E-2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224.07687759999999</v>
      </c>
      <c r="I65" s="120"/>
      <c r="J65" s="120"/>
      <c r="K65" s="120"/>
      <c r="L65" s="121">
        <f>L63+L64</f>
        <v>221.00000313006188</v>
      </c>
      <c r="M65" s="122"/>
      <c r="N65" s="123">
        <f t="shared" si="9"/>
        <v>-3.0768744699381045</v>
      </c>
      <c r="O65" s="124">
        <f t="shared" si="11"/>
        <v>-1.3731334097892236E-2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224.14352</v>
      </c>
      <c r="I67" s="136"/>
      <c r="J67" s="137"/>
      <c r="K67" s="137"/>
      <c r="L67" s="188">
        <f>SUM(L58:L59,L50,L51:L54)</f>
        <v>221.11973728324054</v>
      </c>
      <c r="M67" s="138"/>
      <c r="N67" s="139">
        <f>L67-H67</f>
        <v>-3.023782716759456</v>
      </c>
      <c r="O67" s="99">
        <f>IF((H67)=0,"",(N67/H67))</f>
        <v>-1.3490386502181531E-2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29.138657600000002</v>
      </c>
      <c r="I68" s="143"/>
      <c r="J68" s="144">
        <v>0.13</v>
      </c>
      <c r="K68" s="145"/>
      <c r="L68" s="146">
        <f>L67*J68</f>
        <v>28.745565846821272</v>
      </c>
      <c r="M68" s="147"/>
      <c r="N68" s="148">
        <f>L68-H68</f>
        <v>-0.39309175317873013</v>
      </c>
      <c r="O68" s="109">
        <f>IF((H68)=0,"",(N68/H68))</f>
        <v>-1.3490386502181559E-2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253.28217760000001</v>
      </c>
      <c r="I69" s="143"/>
      <c r="J69" s="143"/>
      <c r="K69" s="143"/>
      <c r="L69" s="146">
        <f>L67+L68</f>
        <v>249.86530313006182</v>
      </c>
      <c r="M69" s="147"/>
      <c r="N69" s="148">
        <f>L69-H69</f>
        <v>-3.4168744699381932</v>
      </c>
      <c r="O69" s="109">
        <f>IF((H69)=0,"",(N69/H69))</f>
        <v>-1.3490386502181562E-2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-25.33</v>
      </c>
      <c r="I70" s="143"/>
      <c r="J70" s="143"/>
      <c r="K70" s="143"/>
      <c r="L70" s="153">
        <f>ROUND(-L69*10%,2)</f>
        <v>-24.99</v>
      </c>
      <c r="M70" s="147"/>
      <c r="N70" s="154">
        <f>L70-H70</f>
        <v>0.33999999999999986</v>
      </c>
      <c r="O70" s="115">
        <f>IF((H70)=0,"",(N70/H70))</f>
        <v>-1.3422818791946303E-2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227.95217760000003</v>
      </c>
      <c r="I71" s="159"/>
      <c r="J71" s="159"/>
      <c r="K71" s="159"/>
      <c r="L71" s="160">
        <f>SUM(L69:L70)</f>
        <v>224.87530313006181</v>
      </c>
      <c r="M71" s="161"/>
      <c r="N71" s="162">
        <f>L71-H71</f>
        <v>-3.0768744699382182</v>
      </c>
      <c r="O71" s="163">
        <f>IF((H71)=0,"",(N71/H71))</f>
        <v>-1.3497894612515507E-2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</mergeCells>
  <dataValidations count="3">
    <dataValidation type="list" allowBlank="1" showInputMessage="1" showErrorMessage="1" sqref="E48:E49 E51:E60 E39:E46 E66 E72 E21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0" tint="-0.14999847407452621"/>
    <pageSetUpPr fitToPage="1"/>
  </sheetPr>
  <dimension ref="A1:T90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8-B</v>
      </c>
      <c r="O3" s="234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34">
        <f>'Res (100kWh)'!$N$5:$O$5</f>
        <v>42177</v>
      </c>
      <c r="O5" s="234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59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2000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Rates'!$C$6</f>
        <v>14.64</v>
      </c>
      <c r="G21" s="26">
        <v>1</v>
      </c>
      <c r="H21" s="27">
        <f>G21*F21</f>
        <v>14.64</v>
      </c>
      <c r="I21" s="28"/>
      <c r="J21" s="173">
        <f>'[2]Rate Schedule '!$E$10</f>
        <v>15.49</v>
      </c>
      <c r="K21" s="30">
        <v>1</v>
      </c>
      <c r="L21" s="27">
        <f>K21*J21</f>
        <v>15.49</v>
      </c>
      <c r="M21" s="28"/>
      <c r="N21" s="31">
        <f>L21-H21</f>
        <v>0.84999999999999964</v>
      </c>
      <c r="O21" s="32">
        <f>IF((H21)=0,"",(N21/H21))</f>
        <v>5.8060109289617461E-2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Calc'!$B$103</f>
        <v>0.85</v>
      </c>
      <c r="K24" s="30">
        <v>1</v>
      </c>
      <c r="L24" s="27">
        <f t="shared" si="1"/>
        <v>0.85</v>
      </c>
      <c r="M24" s="28"/>
      <c r="N24" s="31">
        <f t="shared" si="2"/>
        <v>0.85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2000</v>
      </c>
      <c r="H25" s="27">
        <f t="shared" si="0"/>
        <v>0</v>
      </c>
      <c r="I25" s="28"/>
      <c r="J25" s="29">
        <f>'[4]6. Rate Rider Calculations'!$F$103</f>
        <v>2.0487596584733804E-4</v>
      </c>
      <c r="K25" s="26">
        <f>$F$16</f>
        <v>2000</v>
      </c>
      <c r="L25" s="27">
        <f t="shared" si="1"/>
        <v>0.40975193169467611</v>
      </c>
      <c r="M25" s="28"/>
      <c r="N25" s="31">
        <f t="shared" si="2"/>
        <v>0.40975193169467611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2000</v>
      </c>
      <c r="H26" s="27">
        <f t="shared" si="0"/>
        <v>-0.4</v>
      </c>
      <c r="I26" s="28"/>
      <c r="J26" s="173"/>
      <c r="K26" s="26">
        <f>$F$16</f>
        <v>2000</v>
      </c>
      <c r="L26" s="27">
        <f t="shared" si="1"/>
        <v>0</v>
      </c>
      <c r="M26" s="28"/>
      <c r="N26" s="31">
        <f t="shared" si="2"/>
        <v>0.4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2000</v>
      </c>
      <c r="H27" s="27">
        <f t="shared" si="0"/>
        <v>0</v>
      </c>
      <c r="I27" s="28"/>
      <c r="J27" s="29">
        <f>'[4]6. Rate Rider Calculations'!$F$75</f>
        <v>-3.6442926228316881E-3</v>
      </c>
      <c r="K27" s="26">
        <f>$F$16</f>
        <v>2000</v>
      </c>
      <c r="L27" s="27">
        <f t="shared" si="1"/>
        <v>-7.2885852456633762</v>
      </c>
      <c r="M27" s="28"/>
      <c r="N27" s="31">
        <f t="shared" si="2"/>
        <v>-7.2885852456633762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Rates'!$E$6</f>
        <v>1.3100000000000001E-2</v>
      </c>
      <c r="G28" s="26">
        <f>$F$16</f>
        <v>2000</v>
      </c>
      <c r="H28" s="27">
        <f t="shared" si="0"/>
        <v>26.200000000000003</v>
      </c>
      <c r="I28" s="28"/>
      <c r="J28" s="29">
        <f>'[2]Rate Schedule '!$E$11</f>
        <v>1.3899999999999999E-2</v>
      </c>
      <c r="K28" s="26">
        <f>$F$16</f>
        <v>2000</v>
      </c>
      <c r="L28" s="27">
        <f t="shared" si="1"/>
        <v>27.799999999999997</v>
      </c>
      <c r="M28" s="28"/>
      <c r="N28" s="31">
        <f t="shared" si="2"/>
        <v>1.5999999999999943</v>
      </c>
      <c r="O28" s="32">
        <f t="shared" si="3"/>
        <v>6.1068702290076111E-2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2000</v>
      </c>
      <c r="H29" s="27">
        <f t="shared" si="0"/>
        <v>0</v>
      </c>
      <c r="I29" s="28"/>
      <c r="J29" s="29"/>
      <c r="K29" s="26">
        <f t="shared" ref="K29:K37" si="5">$F$16</f>
        <v>2000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2000</v>
      </c>
      <c r="H30" s="27">
        <f t="shared" si="0"/>
        <v>0</v>
      </c>
      <c r="I30" s="28"/>
      <c r="J30" s="29"/>
      <c r="K30" s="26">
        <f t="shared" si="5"/>
        <v>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2000</v>
      </c>
      <c r="H31" s="27">
        <f t="shared" si="0"/>
        <v>0</v>
      </c>
      <c r="I31" s="28"/>
      <c r="J31" s="29"/>
      <c r="K31" s="26">
        <f t="shared" si="5"/>
        <v>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2000</v>
      </c>
      <c r="H32" s="27">
        <f t="shared" si="0"/>
        <v>0</v>
      </c>
      <c r="I32" s="28"/>
      <c r="J32" s="29"/>
      <c r="K32" s="26">
        <f t="shared" si="5"/>
        <v>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2000</v>
      </c>
      <c r="H33" s="27">
        <f t="shared" si="0"/>
        <v>0</v>
      </c>
      <c r="I33" s="28"/>
      <c r="J33" s="29"/>
      <c r="K33" s="26">
        <f t="shared" si="5"/>
        <v>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2000</v>
      </c>
      <c r="H34" s="27">
        <f t="shared" si="0"/>
        <v>0</v>
      </c>
      <c r="I34" s="28"/>
      <c r="J34" s="29"/>
      <c r="K34" s="26">
        <f t="shared" si="5"/>
        <v>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2000</v>
      </c>
      <c r="H35" s="27">
        <f t="shared" si="0"/>
        <v>0</v>
      </c>
      <c r="I35" s="28"/>
      <c r="J35" s="29"/>
      <c r="K35" s="26">
        <f t="shared" si="5"/>
        <v>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2000</v>
      </c>
      <c r="H36" s="27">
        <f t="shared" si="0"/>
        <v>0</v>
      </c>
      <c r="I36" s="28"/>
      <c r="J36" s="29"/>
      <c r="K36" s="26">
        <f t="shared" si="5"/>
        <v>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2000</v>
      </c>
      <c r="H37" s="27">
        <f t="shared" si="0"/>
        <v>0</v>
      </c>
      <c r="I37" s="28"/>
      <c r="J37" s="29"/>
      <c r="K37" s="26">
        <f t="shared" si="5"/>
        <v>2000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43.14</v>
      </c>
      <c r="I38" s="41"/>
      <c r="J38" s="42"/>
      <c r="K38" s="43"/>
      <c r="L38" s="40">
        <f>SUM(L21:L37)</f>
        <v>37.261166686031295</v>
      </c>
      <c r="M38" s="41"/>
      <c r="N38" s="44">
        <f t="shared" si="2"/>
        <v>-5.8788333139687055</v>
      </c>
      <c r="O38" s="45">
        <f t="shared" si="3"/>
        <v>-0.13627337306371592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2000</v>
      </c>
      <c r="H40" s="27">
        <f t="shared" ref="H40:H46" si="7">G40*F40</f>
        <v>-3.6</v>
      </c>
      <c r="I40" s="28"/>
      <c r="J40" s="29">
        <f>'[4]6. Rate Rider Calculations'!$F$20</f>
        <v>-1.0318837523400292E-3</v>
      </c>
      <c r="K40" s="26">
        <f>$F$16</f>
        <v>2000</v>
      </c>
      <c r="L40" s="27">
        <f t="shared" ref="L40:L46" si="8">K40*J40</f>
        <v>-2.0637675046800585</v>
      </c>
      <c r="M40" s="28"/>
      <c r="N40" s="31">
        <f t="shared" ref="N40:N65" si="9">L40-H40</f>
        <v>1.5362324953199415</v>
      </c>
      <c r="O40" s="32">
        <f t="shared" ref="O40:O45" si="10">IF((H40)=0,"",(N40/H40))</f>
        <v>-0.42673124869998375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2000</v>
      </c>
      <c r="H41" s="27">
        <f t="shared" si="7"/>
        <v>0</v>
      </c>
      <c r="I41" s="47"/>
      <c r="J41" s="29"/>
      <c r="K41" s="26">
        <f>$F$16</f>
        <v>2000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2000</v>
      </c>
      <c r="H42" s="27">
        <f t="shared" si="7"/>
        <v>0</v>
      </c>
      <c r="I42" s="47"/>
      <c r="J42" s="29"/>
      <c r="K42" s="26">
        <f>$F$16</f>
        <v>2000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2000</v>
      </c>
      <c r="H43" s="27">
        <f t="shared" si="7"/>
        <v>0</v>
      </c>
      <c r="I43" s="47"/>
      <c r="J43" s="29"/>
      <c r="K43" s="26">
        <f>$F$16</f>
        <v>2000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2000</v>
      </c>
      <c r="H44" s="27">
        <f t="shared" si="7"/>
        <v>0.08</v>
      </c>
      <c r="I44" s="28"/>
      <c r="J44" s="195">
        <f>'[2]Rate Schedule '!$E$12</f>
        <v>6.9999999999999994E-5</v>
      </c>
      <c r="K44" s="26">
        <f>$F$16</f>
        <v>2000</v>
      </c>
      <c r="L44" s="27">
        <f t="shared" si="8"/>
        <v>0.13999999999999999</v>
      </c>
      <c r="M44" s="28"/>
      <c r="N44" s="31">
        <f t="shared" si="9"/>
        <v>5.9999999999999984E-2</v>
      </c>
      <c r="O44" s="32">
        <f t="shared" si="10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96</v>
      </c>
      <c r="H45" s="183">
        <f t="shared" si="7"/>
        <v>8.8761600000000005</v>
      </c>
      <c r="I45" s="57"/>
      <c r="J45" s="184">
        <f>0.64*$F$55+0.18*$F$56+0.18*$F$57</f>
        <v>9.2460000000000001E-2</v>
      </c>
      <c r="K45" s="26">
        <f>$F$16*(1+$J$74)-$F$16</f>
        <v>94.199999999999818</v>
      </c>
      <c r="L45" s="183">
        <f t="shared" si="8"/>
        <v>8.7097319999999829</v>
      </c>
      <c r="M45" s="57"/>
      <c r="N45" s="185">
        <f t="shared" si="9"/>
        <v>-0.16642800000001756</v>
      </c>
      <c r="O45" s="186">
        <f t="shared" si="10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49.286160000000002</v>
      </c>
      <c r="I47" s="41"/>
      <c r="J47" s="53"/>
      <c r="K47" s="55"/>
      <c r="L47" s="54">
        <f>SUM(L39:L46)+L38</f>
        <v>44.837131181351218</v>
      </c>
      <c r="M47" s="41"/>
      <c r="N47" s="44">
        <f t="shared" si="9"/>
        <v>-4.4490288186487845</v>
      </c>
      <c r="O47" s="45">
        <f t="shared" ref="O47:O65" si="11">IF((H47)=0,"",(N47/H47))</f>
        <v>-9.026933359484253E-2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2096</v>
      </c>
      <c r="H48" s="27">
        <f>G48*F48</f>
        <v>15.300800000000001</v>
      </c>
      <c r="I48" s="28"/>
      <c r="J48" s="29">
        <f>'[5]13. Final 2015 RTS Rates'!$F$26</f>
        <v>7.5166324038951132E-3</v>
      </c>
      <c r="K48" s="59">
        <f>F16*(1+J74)</f>
        <v>2094.1999999999998</v>
      </c>
      <c r="L48" s="27">
        <f>K48*J48</f>
        <v>15.741331580237144</v>
      </c>
      <c r="M48" s="28"/>
      <c r="N48" s="31">
        <f t="shared" si="9"/>
        <v>0.44053158023714367</v>
      </c>
      <c r="O48" s="32">
        <f t="shared" si="11"/>
        <v>2.8791408307875643E-2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2096</v>
      </c>
      <c r="H49" s="27">
        <f>G49*F49</f>
        <v>11.9472</v>
      </c>
      <c r="I49" s="28"/>
      <c r="J49" s="29">
        <f>'[5]13. Final 2015 RTS Rates'!$H$26</f>
        <v>5.857883813739073E-3</v>
      </c>
      <c r="K49" s="59">
        <f>K48</f>
        <v>2094.1999999999998</v>
      </c>
      <c r="L49" s="27">
        <f>K49*J49</f>
        <v>12.267580282732366</v>
      </c>
      <c r="M49" s="28"/>
      <c r="N49" s="31">
        <f t="shared" si="9"/>
        <v>0.32038028273236563</v>
      </c>
      <c r="O49" s="32">
        <f t="shared" si="11"/>
        <v>2.6816348829212334E-2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76.53416</v>
      </c>
      <c r="I50" s="62"/>
      <c r="J50" s="63"/>
      <c r="K50" s="64"/>
      <c r="L50" s="54">
        <f>SUM(L47:L49)</f>
        <v>72.846043044320723</v>
      </c>
      <c r="M50" s="62"/>
      <c r="N50" s="44">
        <f t="shared" si="9"/>
        <v>-3.688116955679277</v>
      </c>
      <c r="O50" s="45">
        <f t="shared" si="11"/>
        <v>-4.8189160966544575E-2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2096</v>
      </c>
      <c r="H51" s="67">
        <f t="shared" ref="H51:H57" si="12">G51*F51</f>
        <v>9.2224000000000004</v>
      </c>
      <c r="I51" s="28"/>
      <c r="J51" s="66">
        <v>4.4000000000000003E-3</v>
      </c>
      <c r="K51" s="59">
        <f>K49</f>
        <v>2094.1999999999998</v>
      </c>
      <c r="L51" s="67">
        <f t="shared" ref="L51:L57" si="13">K51*J51</f>
        <v>9.21448</v>
      </c>
      <c r="M51" s="28"/>
      <c r="N51" s="31">
        <f t="shared" si="9"/>
        <v>-7.9200000000003712E-3</v>
      </c>
      <c r="O51" s="68">
        <f t="shared" si="11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2096</v>
      </c>
      <c r="H52" s="67">
        <f t="shared" si="12"/>
        <v>2.7247999999999997</v>
      </c>
      <c r="I52" s="28"/>
      <c r="J52" s="66">
        <v>1.2999999999999999E-3</v>
      </c>
      <c r="K52" s="59">
        <f>K49</f>
        <v>2094.1999999999998</v>
      </c>
      <c r="L52" s="67">
        <f t="shared" si="13"/>
        <v>2.7224599999999994</v>
      </c>
      <c r="M52" s="28"/>
      <c r="N52" s="31">
        <f t="shared" si="9"/>
        <v>-2.3400000000002308E-3</v>
      </c>
      <c r="O52" s="68">
        <f t="shared" si="11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2000</v>
      </c>
      <c r="H54" s="67">
        <f t="shared" si="12"/>
        <v>14</v>
      </c>
      <c r="I54" s="28"/>
      <c r="J54" s="66">
        <v>7.0000000000000001E-3</v>
      </c>
      <c r="K54" s="70">
        <f>F16</f>
        <v>2000</v>
      </c>
      <c r="L54" s="67">
        <f t="shared" si="13"/>
        <v>14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1280</v>
      </c>
      <c r="H55" s="67">
        <f t="shared" si="12"/>
        <v>96</v>
      </c>
      <c r="I55" s="28"/>
      <c r="J55" s="66">
        <v>7.4999999999999997E-2</v>
      </c>
      <c r="K55" s="69">
        <f>G55</f>
        <v>1280</v>
      </c>
      <c r="L55" s="67">
        <f t="shared" si="13"/>
        <v>96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360</v>
      </c>
      <c r="H56" s="67">
        <f t="shared" si="12"/>
        <v>40.32</v>
      </c>
      <c r="I56" s="28"/>
      <c r="J56" s="66">
        <v>0.112</v>
      </c>
      <c r="K56" s="69">
        <f>G56</f>
        <v>360</v>
      </c>
      <c r="L56" s="67">
        <f t="shared" si="13"/>
        <v>40.32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360</v>
      </c>
      <c r="H57" s="67">
        <f t="shared" si="12"/>
        <v>48.6</v>
      </c>
      <c r="I57" s="28"/>
      <c r="J57" s="66">
        <v>0.13500000000000001</v>
      </c>
      <c r="K57" s="69">
        <f>G57</f>
        <v>360</v>
      </c>
      <c r="L57" s="67">
        <f t="shared" si="13"/>
        <v>48.6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1400</v>
      </c>
      <c r="H59" s="67">
        <f>G59*F59</f>
        <v>141.4</v>
      </c>
      <c r="I59" s="79"/>
      <c r="J59" s="66">
        <v>0.10100000000000001</v>
      </c>
      <c r="K59" s="78">
        <f>G59</f>
        <v>1400</v>
      </c>
      <c r="L59" s="67">
        <f>K59*J59</f>
        <v>141.4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287.65136000000001</v>
      </c>
      <c r="I61" s="95"/>
      <c r="J61" s="96"/>
      <c r="K61" s="96"/>
      <c r="L61" s="189">
        <f>SUM(L51:L57,L50)</f>
        <v>283.95298304432072</v>
      </c>
      <c r="M61" s="97"/>
      <c r="N61" s="98">
        <f>L61-H61</f>
        <v>-3.6983769556792936</v>
      </c>
      <c r="O61" s="99">
        <f>IF((H61)=0,"",(N61/H61))</f>
        <v>-1.2857150947171929E-2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37.394676799999999</v>
      </c>
      <c r="I62" s="104"/>
      <c r="J62" s="105">
        <v>0.13</v>
      </c>
      <c r="K62" s="104"/>
      <c r="L62" s="106">
        <f>L61*J62</f>
        <v>36.913887795761696</v>
      </c>
      <c r="M62" s="107"/>
      <c r="N62" s="108">
        <f t="shared" si="9"/>
        <v>-0.48078900423830362</v>
      </c>
      <c r="O62" s="109">
        <f t="shared" si="11"/>
        <v>-1.2857150947171807E-2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325.04603680000002</v>
      </c>
      <c r="I63" s="104"/>
      <c r="J63" s="104"/>
      <c r="K63" s="104"/>
      <c r="L63" s="106">
        <f>L61+L62</f>
        <v>320.86687084008241</v>
      </c>
      <c r="M63" s="107"/>
      <c r="N63" s="108">
        <f t="shared" si="9"/>
        <v>-4.1791659599176114</v>
      </c>
      <c r="O63" s="109">
        <f t="shared" si="11"/>
        <v>-1.2857150947171958E-2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-32.5</v>
      </c>
      <c r="I64" s="104"/>
      <c r="J64" s="104"/>
      <c r="K64" s="104"/>
      <c r="L64" s="113">
        <f>ROUND(-L63*10%,2)</f>
        <v>-32.090000000000003</v>
      </c>
      <c r="M64" s="107"/>
      <c r="N64" s="114">
        <f t="shared" si="9"/>
        <v>0.40999999999999659</v>
      </c>
      <c r="O64" s="115">
        <f t="shared" si="11"/>
        <v>-1.2615384615384511E-2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292.54603680000002</v>
      </c>
      <c r="I65" s="120"/>
      <c r="J65" s="120"/>
      <c r="K65" s="120"/>
      <c r="L65" s="121">
        <f>L63+L64</f>
        <v>288.77687084008244</v>
      </c>
      <c r="M65" s="122"/>
      <c r="N65" s="123">
        <f t="shared" si="9"/>
        <v>-3.7691659599175864</v>
      </c>
      <c r="O65" s="124">
        <f t="shared" si="11"/>
        <v>-1.2884009645614813E-2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295.73136</v>
      </c>
      <c r="I67" s="136"/>
      <c r="J67" s="137"/>
      <c r="K67" s="137"/>
      <c r="L67" s="188">
        <f>SUM(L58:L59,L50,L51:L54)</f>
        <v>292.0329830443207</v>
      </c>
      <c r="M67" s="138"/>
      <c r="N67" s="139">
        <f>L67-H67</f>
        <v>-3.6983769556792936</v>
      </c>
      <c r="O67" s="99">
        <f>IF((H67)=0,"",(N67/H67))</f>
        <v>-1.2505866661145757E-2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38.445076800000002</v>
      </c>
      <c r="I68" s="143"/>
      <c r="J68" s="144">
        <v>0.13</v>
      </c>
      <c r="K68" s="145"/>
      <c r="L68" s="146">
        <f>L67*J68</f>
        <v>37.964287795761692</v>
      </c>
      <c r="M68" s="147"/>
      <c r="N68" s="148">
        <f>L68-H68</f>
        <v>-0.48078900423831072</v>
      </c>
      <c r="O68" s="109">
        <f>IF((H68)=0,"",(N68/H68))</f>
        <v>-1.2505866661145821E-2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334.17643679999998</v>
      </c>
      <c r="I69" s="143"/>
      <c r="J69" s="143"/>
      <c r="K69" s="143"/>
      <c r="L69" s="146">
        <f>L67+L68</f>
        <v>329.99727084008236</v>
      </c>
      <c r="M69" s="147"/>
      <c r="N69" s="148">
        <f>L69-H69</f>
        <v>-4.1791659599176114</v>
      </c>
      <c r="O69" s="109">
        <f>IF((H69)=0,"",(N69/H69))</f>
        <v>-1.2505866661145787E-2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-33.42</v>
      </c>
      <c r="I70" s="143"/>
      <c r="J70" s="143"/>
      <c r="K70" s="143"/>
      <c r="L70" s="153">
        <f>ROUND(-L69*10%,2)</f>
        <v>-33</v>
      </c>
      <c r="M70" s="147"/>
      <c r="N70" s="154">
        <f>L70-H70</f>
        <v>0.42000000000000171</v>
      </c>
      <c r="O70" s="115">
        <f>IF((H70)=0,"",(N70/H70))</f>
        <v>-1.2567324955116747E-2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300.75643679999996</v>
      </c>
      <c r="I71" s="159"/>
      <c r="J71" s="159"/>
      <c r="K71" s="159"/>
      <c r="L71" s="160">
        <f>SUM(L69:L70)</f>
        <v>296.99727084008236</v>
      </c>
      <c r="M71" s="161"/>
      <c r="N71" s="162">
        <f>L71-H71</f>
        <v>-3.7591659599175955</v>
      </c>
      <c r="O71" s="163">
        <f>IF((H71)=0,"",(N71/H71))</f>
        <v>-1.2499037426811263E-2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48:E49 E51:E60 E39:E46 E66 E72 E21:E24 E26:E37">
      <formula1>#REF!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0" tint="-0.14999847407452621"/>
    <pageSetUpPr fitToPage="1"/>
  </sheetPr>
  <dimension ref="A1:T90"/>
  <sheetViews>
    <sheetView showGridLines="0" topLeftCell="A7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 s="190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 s="191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8-B</v>
      </c>
      <c r="O3" s="234"/>
      <c r="P3" s="190"/>
    </row>
    <row r="4" spans="1:20" s="2" customFormat="1" ht="9" customHeigh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34">
        <f>'Res (100kWh)'!$N$5:$O$5</f>
        <v>42177</v>
      </c>
      <c r="O5" s="234"/>
      <c r="P5" s="193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67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Rates'!$C$7</f>
        <v>21.69</v>
      </c>
      <c r="G21" s="26">
        <v>1</v>
      </c>
      <c r="H21" s="27">
        <f>G21*F21</f>
        <v>21.69</v>
      </c>
      <c r="I21" s="28"/>
      <c r="J21" s="173">
        <f>'[2]Rate Schedule '!$E$16</f>
        <v>22.96</v>
      </c>
      <c r="K21" s="30">
        <v>1</v>
      </c>
      <c r="L21" s="27">
        <f>K21*J21</f>
        <v>22.96</v>
      </c>
      <c r="M21" s="28"/>
      <c r="N21" s="31">
        <f>L21-H21</f>
        <v>1.2699999999999996</v>
      </c>
      <c r="O21" s="32">
        <f>IF((H21)=0,"",(N21/H21))</f>
        <v>5.855232826187181E-2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7.85</v>
      </c>
      <c r="G22" s="26">
        <v>1</v>
      </c>
      <c r="H22" s="27">
        <f t="shared" ref="H22:H37" si="0">G22*F22</f>
        <v>7.85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-7.85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3.2</v>
      </c>
      <c r="G23" s="26">
        <v>1</v>
      </c>
      <c r="H23" s="27">
        <f t="shared" si="0"/>
        <v>3.2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-3.2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Calc'!$B$108</f>
        <v>1.92</v>
      </c>
      <c r="K24" s="30">
        <v>1</v>
      </c>
      <c r="L24" s="27">
        <f t="shared" si="1"/>
        <v>1.92</v>
      </c>
      <c r="M24" s="28"/>
      <c r="N24" s="31">
        <f t="shared" si="2"/>
        <v>1.92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1000</v>
      </c>
      <c r="H25" s="27">
        <f t="shared" si="0"/>
        <v>0</v>
      </c>
      <c r="I25" s="28"/>
      <c r="J25" s="29">
        <f>'[4]6. Rate Rider Calculations'!$F$104</f>
        <v>8.9550917063467952E-4</v>
      </c>
      <c r="K25" s="26">
        <f>$F$16</f>
        <v>1000</v>
      </c>
      <c r="L25" s="27">
        <f t="shared" si="1"/>
        <v>0.8955091706346795</v>
      </c>
      <c r="M25" s="28"/>
      <c r="N25" s="31">
        <f t="shared" si="2"/>
        <v>0.8955091706346795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1000</v>
      </c>
      <c r="H26" s="27">
        <f t="shared" si="0"/>
        <v>-0.2</v>
      </c>
      <c r="I26" s="28"/>
      <c r="J26" s="173"/>
      <c r="K26" s="26">
        <f>$F$16</f>
        <v>1000</v>
      </c>
      <c r="L26" s="27">
        <f t="shared" si="1"/>
        <v>0</v>
      </c>
      <c r="M26" s="28"/>
      <c r="N26" s="31">
        <f t="shared" si="2"/>
        <v>0.2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1000</v>
      </c>
      <c r="H27" s="27">
        <f t="shared" si="0"/>
        <v>0</v>
      </c>
      <c r="I27" s="28"/>
      <c r="J27" s="29">
        <f>'[4]6. Rate Rider Calculations'!$F$76</f>
        <v>-3.6442926228316881E-3</v>
      </c>
      <c r="K27" s="26">
        <f>$F$16</f>
        <v>1000</v>
      </c>
      <c r="L27" s="27">
        <f t="shared" si="1"/>
        <v>-3.6442926228316881</v>
      </c>
      <c r="M27" s="28"/>
      <c r="N27" s="31">
        <f t="shared" si="2"/>
        <v>-3.6442926228316881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Rates'!$E$7</f>
        <v>1.67E-2</v>
      </c>
      <c r="G28" s="26">
        <f>$F$16</f>
        <v>1000</v>
      </c>
      <c r="H28" s="27">
        <f t="shared" si="0"/>
        <v>16.7</v>
      </c>
      <c r="I28" s="28"/>
      <c r="J28" s="29">
        <f>'[2]Rate Schedule '!$E$17</f>
        <v>1.77E-2</v>
      </c>
      <c r="K28" s="26">
        <f>$F$16</f>
        <v>1000</v>
      </c>
      <c r="L28" s="27">
        <f t="shared" si="1"/>
        <v>17.7</v>
      </c>
      <c r="M28" s="28"/>
      <c r="N28" s="31">
        <f t="shared" si="2"/>
        <v>1</v>
      </c>
      <c r="O28" s="32">
        <f t="shared" si="3"/>
        <v>5.9880239520958084E-2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1000</v>
      </c>
      <c r="H29" s="27">
        <f t="shared" si="0"/>
        <v>0</v>
      </c>
      <c r="I29" s="28"/>
      <c r="J29" s="29"/>
      <c r="K29" s="26">
        <f t="shared" ref="K29:K37" si="5">$F$16</f>
        <v>1000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1000</v>
      </c>
      <c r="H30" s="27">
        <f t="shared" si="0"/>
        <v>0</v>
      </c>
      <c r="I30" s="28"/>
      <c r="J30" s="29"/>
      <c r="K30" s="26">
        <f t="shared" si="5"/>
        <v>1000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1000</v>
      </c>
      <c r="H31" s="27">
        <f t="shared" si="0"/>
        <v>0</v>
      </c>
      <c r="I31" s="28"/>
      <c r="J31" s="29"/>
      <c r="K31" s="26">
        <f t="shared" si="5"/>
        <v>1000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1000</v>
      </c>
      <c r="H32" s="27">
        <f t="shared" si="0"/>
        <v>0</v>
      </c>
      <c r="I32" s="28"/>
      <c r="J32" s="29"/>
      <c r="K32" s="26">
        <f t="shared" si="5"/>
        <v>1000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1000</v>
      </c>
      <c r="H33" s="27">
        <f t="shared" si="0"/>
        <v>0</v>
      </c>
      <c r="I33" s="28"/>
      <c r="J33" s="29"/>
      <c r="K33" s="26">
        <f t="shared" si="5"/>
        <v>1000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1000</v>
      </c>
      <c r="H34" s="27">
        <f t="shared" si="0"/>
        <v>0</v>
      </c>
      <c r="I34" s="28"/>
      <c r="J34" s="29"/>
      <c r="K34" s="26">
        <f t="shared" si="5"/>
        <v>1000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1000</v>
      </c>
      <c r="H35" s="27">
        <f t="shared" si="0"/>
        <v>0</v>
      </c>
      <c r="I35" s="28"/>
      <c r="J35" s="29"/>
      <c r="K35" s="26">
        <f t="shared" si="5"/>
        <v>1000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1000</v>
      </c>
      <c r="H36" s="27">
        <f t="shared" si="0"/>
        <v>0</v>
      </c>
      <c r="I36" s="28"/>
      <c r="J36" s="29"/>
      <c r="K36" s="26">
        <f t="shared" si="5"/>
        <v>1000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1000</v>
      </c>
      <c r="H37" s="27">
        <f t="shared" si="0"/>
        <v>0</v>
      </c>
      <c r="I37" s="28"/>
      <c r="J37" s="29"/>
      <c r="K37" s="26">
        <f t="shared" si="5"/>
        <v>1000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49.239999999999995</v>
      </c>
      <c r="I38" s="41"/>
      <c r="J38" s="42"/>
      <c r="K38" s="43"/>
      <c r="L38" s="40">
        <f>SUM(L21:L37)</f>
        <v>39.831216547802995</v>
      </c>
      <c r="M38" s="41"/>
      <c r="N38" s="44">
        <f t="shared" si="2"/>
        <v>-9.4087834521969995</v>
      </c>
      <c r="O38" s="45">
        <f t="shared" si="3"/>
        <v>-0.19108008635655971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1000</v>
      </c>
      <c r="H40" s="27">
        <f t="shared" ref="H40:H46" si="7">G40*F40</f>
        <v>-1.8</v>
      </c>
      <c r="I40" s="28"/>
      <c r="J40" s="29">
        <f>'[4]6. Rate Rider Calculations'!$F$21</f>
        <v>1.2089006660829713E-4</v>
      </c>
      <c r="K40" s="26">
        <f>$F$16</f>
        <v>1000</v>
      </c>
      <c r="L40" s="27">
        <f t="shared" ref="L40:L46" si="8">K40*J40</f>
        <v>0.12089006660829713</v>
      </c>
      <c r="M40" s="28"/>
      <c r="N40" s="31">
        <f t="shared" ref="N40:N46" si="9">L40-H40</f>
        <v>1.9208900666082971</v>
      </c>
      <c r="O40" s="32">
        <f t="shared" ref="O40:O45" si="10">IF((H40)=0,"",(N40/H40))</f>
        <v>-1.0671611481157206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1000</v>
      </c>
      <c r="H41" s="27">
        <f t="shared" si="7"/>
        <v>0</v>
      </c>
      <c r="I41" s="47"/>
      <c r="J41" s="29"/>
      <c r="K41" s="26">
        <f>$F$16</f>
        <v>1000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1000</v>
      </c>
      <c r="H42" s="27">
        <f t="shared" si="7"/>
        <v>0</v>
      </c>
      <c r="I42" s="47"/>
      <c r="J42" s="29"/>
      <c r="K42" s="26">
        <f>$F$16</f>
        <v>1000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1000</v>
      </c>
      <c r="H43" s="27">
        <f t="shared" si="7"/>
        <v>0</v>
      </c>
      <c r="I43" s="47"/>
      <c r="J43" s="29"/>
      <c r="K43" s="26">
        <f>$F$16</f>
        <v>1000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1000</v>
      </c>
      <c r="H44" s="27">
        <f t="shared" si="7"/>
        <v>0.04</v>
      </c>
      <c r="I44" s="28"/>
      <c r="J44" s="196">
        <f>'[2]Rate Schedule '!$E$18</f>
        <v>6.9999999999999994E-5</v>
      </c>
      <c r="K44" s="26">
        <f>$F$16</f>
        <v>1000</v>
      </c>
      <c r="L44" s="27">
        <f t="shared" si="8"/>
        <v>6.9999999999999993E-2</v>
      </c>
      <c r="M44" s="28"/>
      <c r="N44" s="31">
        <f t="shared" si="9"/>
        <v>2.9999999999999992E-2</v>
      </c>
      <c r="O44" s="32">
        <f t="shared" si="10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48</v>
      </c>
      <c r="H45" s="183">
        <f t="shared" si="7"/>
        <v>4.4380800000000002</v>
      </c>
      <c r="I45" s="57"/>
      <c r="J45" s="184">
        <f>0.64*$F$55+0.18*$F$56+0.18*$F$57</f>
        <v>9.2460000000000001E-2</v>
      </c>
      <c r="K45" s="26">
        <f>$F$16*(1+$J$74)-$F$16</f>
        <v>47.099999999999909</v>
      </c>
      <c r="L45" s="183">
        <f t="shared" si="8"/>
        <v>4.3548659999999915</v>
      </c>
      <c r="M45" s="57"/>
      <c r="N45" s="185">
        <f t="shared" si="9"/>
        <v>-8.3214000000008781E-2</v>
      </c>
      <c r="O45" s="186">
        <f t="shared" si="10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52.708079999999995</v>
      </c>
      <c r="I47" s="41"/>
      <c r="J47" s="53"/>
      <c r="K47" s="55"/>
      <c r="L47" s="54">
        <f>SUM(L39:L46)+L38</f>
        <v>45.166972614411286</v>
      </c>
      <c r="M47" s="41"/>
      <c r="N47" s="44">
        <f t="shared" ref="N47:N65" si="11">L47-H47</f>
        <v>-7.5411073855887096</v>
      </c>
      <c r="O47" s="45">
        <f t="shared" ref="O47:O65" si="12">IF((H47)=0,"",(N47/H47))</f>
        <v>-0.14307308074186559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6.8999999999999999E-3</v>
      </c>
      <c r="G48" s="58">
        <f>F16*(1+F74)</f>
        <v>1048</v>
      </c>
      <c r="H48" s="27">
        <f>G48*F48</f>
        <v>7.2312000000000003</v>
      </c>
      <c r="I48" s="28"/>
      <c r="J48" s="29">
        <f>'[5]13. Final 2015 RTS Rates'!$F$27</f>
        <v>7.0871105522439639E-3</v>
      </c>
      <c r="K48" s="59">
        <f>F16*(1+J74)</f>
        <v>1047.0999999999999</v>
      </c>
      <c r="L48" s="27">
        <f>K48*J48</f>
        <v>7.4209134592546535</v>
      </c>
      <c r="M48" s="28"/>
      <c r="N48" s="31">
        <f t="shared" si="11"/>
        <v>0.18971345925465322</v>
      </c>
      <c r="O48" s="32">
        <f t="shared" si="12"/>
        <v>2.6235404808974058E-2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5.1999999999999998E-3</v>
      </c>
      <c r="G49" s="58">
        <f>G48</f>
        <v>1048</v>
      </c>
      <c r="H49" s="27">
        <f>G49*F49</f>
        <v>5.4495999999999993</v>
      </c>
      <c r="I49" s="28"/>
      <c r="J49" s="29">
        <f>'[5]13. Final 2015 RTS Rates'!$H$27</f>
        <v>5.3052532652731223E-3</v>
      </c>
      <c r="K49" s="59">
        <f>K48</f>
        <v>1047.0999999999999</v>
      </c>
      <c r="L49" s="27">
        <f>K49*J49</f>
        <v>5.5551306940674863</v>
      </c>
      <c r="M49" s="28"/>
      <c r="N49" s="31">
        <f t="shared" si="11"/>
        <v>0.10553069406748694</v>
      </c>
      <c r="O49" s="32">
        <f t="shared" si="12"/>
        <v>1.9364851377621652E-2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65.38888</v>
      </c>
      <c r="I50" s="62"/>
      <c r="J50" s="63"/>
      <c r="K50" s="64"/>
      <c r="L50" s="54">
        <f>SUM(L47:L49)</f>
        <v>58.143016767733428</v>
      </c>
      <c r="M50" s="62"/>
      <c r="N50" s="44">
        <f t="shared" si="11"/>
        <v>-7.2458632322665721</v>
      </c>
      <c r="O50" s="45">
        <f t="shared" si="12"/>
        <v>-0.11081185718835637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1048</v>
      </c>
      <c r="H51" s="67">
        <f t="shared" ref="H51:H57" si="13">G51*F51</f>
        <v>4.6112000000000002</v>
      </c>
      <c r="I51" s="28"/>
      <c r="J51" s="66">
        <v>4.4000000000000003E-3</v>
      </c>
      <c r="K51" s="59">
        <f>K49</f>
        <v>1047.0999999999999</v>
      </c>
      <c r="L51" s="67">
        <f t="shared" ref="L51:L57" si="14">K51*J51</f>
        <v>4.60724</v>
      </c>
      <c r="M51" s="28"/>
      <c r="N51" s="31">
        <f t="shared" si="11"/>
        <v>-3.9600000000001856E-3</v>
      </c>
      <c r="O51" s="68">
        <f t="shared" si="12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1048</v>
      </c>
      <c r="H52" s="67">
        <f t="shared" si="13"/>
        <v>1.3623999999999998</v>
      </c>
      <c r="I52" s="28"/>
      <c r="J52" s="66">
        <v>1.2999999999999999E-3</v>
      </c>
      <c r="K52" s="59">
        <f>K49</f>
        <v>1047.0999999999999</v>
      </c>
      <c r="L52" s="67">
        <f t="shared" si="14"/>
        <v>1.3612299999999997</v>
      </c>
      <c r="M52" s="28"/>
      <c r="N52" s="31">
        <f t="shared" si="11"/>
        <v>-1.1700000000001154E-3</v>
      </c>
      <c r="O52" s="68">
        <f t="shared" si="12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3"/>
        <v>0.25</v>
      </c>
      <c r="I53" s="28"/>
      <c r="J53" s="176">
        <v>0.25</v>
      </c>
      <c r="K53" s="30">
        <v>1</v>
      </c>
      <c r="L53" s="67">
        <f t="shared" si="14"/>
        <v>0.25</v>
      </c>
      <c r="M53" s="28"/>
      <c r="N53" s="31">
        <f t="shared" si="11"/>
        <v>0</v>
      </c>
      <c r="O53" s="68">
        <f t="shared" si="12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1000</v>
      </c>
      <c r="H54" s="67">
        <f t="shared" si="13"/>
        <v>7</v>
      </c>
      <c r="I54" s="28"/>
      <c r="J54" s="66">
        <v>7.0000000000000001E-3</v>
      </c>
      <c r="K54" s="70">
        <f>F16</f>
        <v>1000</v>
      </c>
      <c r="L54" s="67">
        <f t="shared" si="14"/>
        <v>7</v>
      </c>
      <c r="M54" s="28"/>
      <c r="N54" s="31">
        <f t="shared" si="11"/>
        <v>0</v>
      </c>
      <c r="O54" s="68">
        <f t="shared" si="12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640</v>
      </c>
      <c r="H55" s="67">
        <f t="shared" si="13"/>
        <v>48</v>
      </c>
      <c r="I55" s="28"/>
      <c r="J55" s="66">
        <v>7.4999999999999997E-2</v>
      </c>
      <c r="K55" s="69">
        <f>G55</f>
        <v>640</v>
      </c>
      <c r="L55" s="67">
        <f t="shared" si="14"/>
        <v>48</v>
      </c>
      <c r="M55" s="28"/>
      <c r="N55" s="31">
        <f t="shared" si="11"/>
        <v>0</v>
      </c>
      <c r="O55" s="68">
        <f t="shared" si="12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180</v>
      </c>
      <c r="H56" s="67">
        <f t="shared" si="13"/>
        <v>20.16</v>
      </c>
      <c r="I56" s="28"/>
      <c r="J56" s="66">
        <v>0.112</v>
      </c>
      <c r="K56" s="69">
        <f>G56</f>
        <v>180</v>
      </c>
      <c r="L56" s="67">
        <f t="shared" si="14"/>
        <v>20.16</v>
      </c>
      <c r="M56" s="28"/>
      <c r="N56" s="31">
        <f t="shared" si="11"/>
        <v>0</v>
      </c>
      <c r="O56" s="68">
        <f t="shared" si="12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180</v>
      </c>
      <c r="H57" s="67">
        <f t="shared" si="13"/>
        <v>24.3</v>
      </c>
      <c r="I57" s="28"/>
      <c r="J57" s="66">
        <v>0.13500000000000001</v>
      </c>
      <c r="K57" s="69">
        <f>G57</f>
        <v>180</v>
      </c>
      <c r="L57" s="67">
        <f t="shared" si="14"/>
        <v>24.3</v>
      </c>
      <c r="M57" s="28"/>
      <c r="N57" s="31">
        <f t="shared" si="11"/>
        <v>0</v>
      </c>
      <c r="O57" s="68">
        <f t="shared" si="12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11"/>
        <v>0</v>
      </c>
      <c r="O58" s="68">
        <f t="shared" si="12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400</v>
      </c>
      <c r="H59" s="67">
        <f>G59*F59</f>
        <v>40.400000000000006</v>
      </c>
      <c r="I59" s="79"/>
      <c r="J59" s="66">
        <v>0.10100000000000001</v>
      </c>
      <c r="K59" s="78">
        <f>G59</f>
        <v>400</v>
      </c>
      <c r="L59" s="67">
        <f>K59*J59</f>
        <v>40.400000000000006</v>
      </c>
      <c r="M59" s="79"/>
      <c r="N59" s="80">
        <f t="shared" si="11"/>
        <v>0</v>
      </c>
      <c r="O59" s="68">
        <f t="shared" si="12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171.07247999999998</v>
      </c>
      <c r="I61" s="95"/>
      <c r="J61" s="96"/>
      <c r="K61" s="96"/>
      <c r="L61" s="189">
        <f>SUM(L51:L57,L50)</f>
        <v>163.8214867677334</v>
      </c>
      <c r="M61" s="97"/>
      <c r="N61" s="98">
        <f>L61-H61</f>
        <v>-7.2509932322665804</v>
      </c>
      <c r="O61" s="99">
        <f>IF((H61)=0,"",(N61/H61))</f>
        <v>-4.2385503689819547E-2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22.239422399999999</v>
      </c>
      <c r="I62" s="104"/>
      <c r="J62" s="105">
        <v>0.13</v>
      </c>
      <c r="K62" s="104"/>
      <c r="L62" s="106">
        <f>L61*J62</f>
        <v>21.296793279805343</v>
      </c>
      <c r="M62" s="107"/>
      <c r="N62" s="108">
        <f t="shared" si="11"/>
        <v>-0.94262912019465617</v>
      </c>
      <c r="O62" s="109">
        <f t="shared" si="12"/>
        <v>-4.2385503689819581E-2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193.31190239999998</v>
      </c>
      <c r="I63" s="104"/>
      <c r="J63" s="104"/>
      <c r="K63" s="104"/>
      <c r="L63" s="106">
        <f>L61+L62</f>
        <v>185.11828004753875</v>
      </c>
      <c r="M63" s="107"/>
      <c r="N63" s="108">
        <f t="shared" si="11"/>
        <v>-8.193622352461233</v>
      </c>
      <c r="O63" s="109">
        <f t="shared" si="12"/>
        <v>-4.2385503689819533E-2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-19.329999999999998</v>
      </c>
      <c r="I64" s="104"/>
      <c r="J64" s="104"/>
      <c r="K64" s="104"/>
      <c r="L64" s="113">
        <f>ROUND(-L63*10%,2)</f>
        <v>-18.510000000000002</v>
      </c>
      <c r="M64" s="107"/>
      <c r="N64" s="114">
        <f t="shared" si="11"/>
        <v>0.81999999999999673</v>
      </c>
      <c r="O64" s="115">
        <f t="shared" si="12"/>
        <v>-4.2421107087428703E-2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173.98190239999997</v>
      </c>
      <c r="I65" s="120"/>
      <c r="J65" s="120"/>
      <c r="K65" s="120"/>
      <c r="L65" s="121">
        <f>L63+L64</f>
        <v>166.60828004753876</v>
      </c>
      <c r="M65" s="122"/>
      <c r="N65" s="123">
        <f t="shared" si="11"/>
        <v>-7.3736223524612114</v>
      </c>
      <c r="O65" s="124">
        <f t="shared" si="12"/>
        <v>-4.2381548027383871E-2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170.61248000000001</v>
      </c>
      <c r="I67" s="136"/>
      <c r="J67" s="137"/>
      <c r="K67" s="137"/>
      <c r="L67" s="188">
        <f>SUM(L58:L59,L50,L51:L54)</f>
        <v>163.36148676773342</v>
      </c>
      <c r="M67" s="138"/>
      <c r="N67" s="139">
        <f>L67-H67</f>
        <v>-7.2509932322665804</v>
      </c>
      <c r="O67" s="99">
        <f>IF((H67)=0,"",(N67/H67))</f>
        <v>-4.2499782151144985E-2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22.179622400000003</v>
      </c>
      <c r="I68" s="143"/>
      <c r="J68" s="144">
        <v>0.13</v>
      </c>
      <c r="K68" s="145"/>
      <c r="L68" s="146">
        <f>L67*J68</f>
        <v>21.236993279805347</v>
      </c>
      <c r="M68" s="147"/>
      <c r="N68" s="148">
        <f>L68-H68</f>
        <v>-0.94262912019465617</v>
      </c>
      <c r="O68" s="109">
        <f>IF((H68)=0,"",(N68/H68))</f>
        <v>-4.2499782151145006E-2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192.7921024</v>
      </c>
      <c r="I69" s="143"/>
      <c r="J69" s="143"/>
      <c r="K69" s="143"/>
      <c r="L69" s="146">
        <f>L67+L68</f>
        <v>184.59848004753877</v>
      </c>
      <c r="M69" s="147"/>
      <c r="N69" s="148">
        <f>L69-H69</f>
        <v>-8.193622352461233</v>
      </c>
      <c r="O69" s="109">
        <f>IF((H69)=0,"",(N69/H69))</f>
        <v>-4.2499782151144964E-2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-19.28</v>
      </c>
      <c r="I70" s="143"/>
      <c r="J70" s="143"/>
      <c r="K70" s="143"/>
      <c r="L70" s="153">
        <f>ROUND(-L69*10%,2)</f>
        <v>-18.46</v>
      </c>
      <c r="M70" s="147"/>
      <c r="N70" s="154">
        <f>L70-H70</f>
        <v>0.82000000000000028</v>
      </c>
      <c r="O70" s="115">
        <f>IF((H70)=0,"",(N70/H70))</f>
        <v>-4.2531120331950223E-2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173.5121024</v>
      </c>
      <c r="I71" s="159"/>
      <c r="J71" s="159"/>
      <c r="K71" s="159"/>
      <c r="L71" s="160">
        <f>SUM(L69:L70)</f>
        <v>166.13848004753876</v>
      </c>
      <c r="M71" s="161"/>
      <c r="N71" s="162">
        <f>L71-H71</f>
        <v>-7.3736223524612399</v>
      </c>
      <c r="O71" s="163">
        <f>IF((H71)=0,"",(N71/H71))</f>
        <v>-4.2496299972567445E-2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71:D71"/>
    <mergeCell ref="D19:D20"/>
    <mergeCell ref="N19:N20"/>
    <mergeCell ref="O19:O20"/>
    <mergeCell ref="B64:D64"/>
    <mergeCell ref="B65:D65"/>
    <mergeCell ref="B70:D70"/>
    <mergeCell ref="D12:O12"/>
    <mergeCell ref="F18:H18"/>
    <mergeCell ref="N1:O1"/>
    <mergeCell ref="N2:O2"/>
    <mergeCell ref="N5:O5"/>
    <mergeCell ref="B8:O8"/>
    <mergeCell ref="B9:O9"/>
    <mergeCell ref="N3:O3"/>
    <mergeCell ref="J18:L18"/>
    <mergeCell ref="N18:O18"/>
  </mergeCells>
  <dataValidations count="4">
    <dataValidation type="list" allowBlank="1" showInputMessage="1" showErrorMessage="1" sqref="E48:E49 E51:E57 E60 E39:E46 E21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theme="0" tint="-0.14999847407452621"/>
    <pageSetUpPr fitToPage="1"/>
  </sheetPr>
  <dimension ref="A1:T90"/>
  <sheetViews>
    <sheetView showGridLines="0" topLeftCell="A12" workbookViewId="0">
      <selection activeCell="J40" sqref="J40:J46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 s="190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 s="191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8-B</v>
      </c>
      <c r="O3" s="234"/>
      <c r="P3" s="190"/>
    </row>
    <row r="4" spans="1:20" s="2" customFormat="1" ht="9" customHeigh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34">
        <f>'Res (100kWh)'!$N$5:$O$5</f>
        <v>42177</v>
      </c>
      <c r="O5" s="234"/>
      <c r="P5" s="193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67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2000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Rates'!$C$7</f>
        <v>21.69</v>
      </c>
      <c r="G21" s="26">
        <v>1</v>
      </c>
      <c r="H21" s="27">
        <f>G21*F21</f>
        <v>21.69</v>
      </c>
      <c r="I21" s="28"/>
      <c r="J21" s="173">
        <f>'[2]Rate Schedule '!$E$16</f>
        <v>22.96</v>
      </c>
      <c r="K21" s="30">
        <v>1</v>
      </c>
      <c r="L21" s="27">
        <f>K21*J21</f>
        <v>22.96</v>
      </c>
      <c r="M21" s="28"/>
      <c r="N21" s="31">
        <f>L21-H21</f>
        <v>1.2699999999999996</v>
      </c>
      <c r="O21" s="32">
        <f>IF((H21)=0,"",(N21/H21))</f>
        <v>5.855232826187181E-2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7.85</v>
      </c>
      <c r="G22" s="26">
        <v>1</v>
      </c>
      <c r="H22" s="27">
        <f t="shared" ref="H22:H37" si="0">G22*F22</f>
        <v>7.85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-7.85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3.2</v>
      </c>
      <c r="G23" s="26">
        <v>1</v>
      </c>
      <c r="H23" s="27">
        <f t="shared" si="0"/>
        <v>3.2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-3.2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Calc'!$B$108</f>
        <v>1.92</v>
      </c>
      <c r="K24" s="30">
        <v>1</v>
      </c>
      <c r="L24" s="27">
        <f t="shared" si="1"/>
        <v>1.92</v>
      </c>
      <c r="M24" s="28"/>
      <c r="N24" s="31">
        <f t="shared" si="2"/>
        <v>1.92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/>
      <c r="G25" s="26">
        <f t="shared" ref="G25:G30" si="4">$F$16</f>
        <v>2000</v>
      </c>
      <c r="H25" s="27">
        <f t="shared" ref="H25" si="5">G25*F25</f>
        <v>0</v>
      </c>
      <c r="I25" s="28"/>
      <c r="J25" s="29">
        <f>'[4]6. Rate Rider Calculations'!$F$104</f>
        <v>8.9550917063467952E-4</v>
      </c>
      <c r="K25" s="26">
        <f>$F$16</f>
        <v>2000</v>
      </c>
      <c r="L25" s="27">
        <f t="shared" ref="L25" si="6">K25*J25</f>
        <v>1.791018341269359</v>
      </c>
      <c r="M25" s="28"/>
      <c r="N25" s="31">
        <f t="shared" ref="N25" si="7">L25-H25</f>
        <v>1.791018341269359</v>
      </c>
      <c r="O25" s="32" t="str">
        <f t="shared" ref="O25" si="8">IF((H25)=0,"",(N25/H25))</f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 t="shared" si="4"/>
        <v>2000</v>
      </c>
      <c r="H26" s="27">
        <f t="shared" si="0"/>
        <v>-0.4</v>
      </c>
      <c r="I26" s="28"/>
      <c r="J26" s="173"/>
      <c r="K26" s="26">
        <f>$F$16</f>
        <v>2000</v>
      </c>
      <c r="L26" s="27">
        <f t="shared" si="1"/>
        <v>0</v>
      </c>
      <c r="M26" s="28"/>
      <c r="N26" s="31">
        <f t="shared" si="2"/>
        <v>0.4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 t="shared" si="4"/>
        <v>2000</v>
      </c>
      <c r="H27" s="27">
        <f t="shared" si="0"/>
        <v>0</v>
      </c>
      <c r="I27" s="28"/>
      <c r="J27" s="29">
        <f>'[4]6. Rate Rider Calculations'!$F$76</f>
        <v>-3.6442926228316881E-3</v>
      </c>
      <c r="K27" s="26">
        <f>$F$16</f>
        <v>2000</v>
      </c>
      <c r="L27" s="27">
        <f t="shared" si="1"/>
        <v>-7.2885852456633762</v>
      </c>
      <c r="M27" s="28"/>
      <c r="N27" s="31">
        <f t="shared" si="2"/>
        <v>-7.2885852456633762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Rates'!$E$7</f>
        <v>1.67E-2</v>
      </c>
      <c r="G28" s="26">
        <f t="shared" si="4"/>
        <v>2000</v>
      </c>
      <c r="H28" s="27">
        <f t="shared" si="0"/>
        <v>33.4</v>
      </c>
      <c r="I28" s="28"/>
      <c r="J28" s="29">
        <f>'[2]Rate Schedule '!$E$17</f>
        <v>1.77E-2</v>
      </c>
      <c r="K28" s="26">
        <f>$F$16</f>
        <v>2000</v>
      </c>
      <c r="L28" s="27">
        <f t="shared" si="1"/>
        <v>35.4</v>
      </c>
      <c r="M28" s="28"/>
      <c r="N28" s="31">
        <f t="shared" si="2"/>
        <v>2</v>
      </c>
      <c r="O28" s="32">
        <f t="shared" si="3"/>
        <v>5.9880239520958084E-2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 t="shared" si="4"/>
        <v>2000</v>
      </c>
      <c r="H29" s="27">
        <f t="shared" si="0"/>
        <v>0</v>
      </c>
      <c r="I29" s="28"/>
      <c r="J29" s="29"/>
      <c r="K29" s="26">
        <f t="shared" ref="K29:K37" si="9">$F$16</f>
        <v>2000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 t="shared" si="4"/>
        <v>2000</v>
      </c>
      <c r="H30" s="27">
        <f t="shared" si="0"/>
        <v>0</v>
      </c>
      <c r="I30" s="28"/>
      <c r="J30" s="29"/>
      <c r="K30" s="26">
        <f t="shared" si="9"/>
        <v>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10">$F$16</f>
        <v>2000</v>
      </c>
      <c r="H31" s="27">
        <f t="shared" si="0"/>
        <v>0</v>
      </c>
      <c r="I31" s="28"/>
      <c r="J31" s="29"/>
      <c r="K31" s="26">
        <f t="shared" si="9"/>
        <v>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10"/>
        <v>2000</v>
      </c>
      <c r="H32" s="27">
        <f t="shared" si="0"/>
        <v>0</v>
      </c>
      <c r="I32" s="28"/>
      <c r="J32" s="29"/>
      <c r="K32" s="26">
        <f t="shared" si="9"/>
        <v>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10"/>
        <v>2000</v>
      </c>
      <c r="H33" s="27">
        <f t="shared" si="0"/>
        <v>0</v>
      </c>
      <c r="I33" s="28"/>
      <c r="J33" s="29"/>
      <c r="K33" s="26">
        <f t="shared" si="9"/>
        <v>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10"/>
        <v>2000</v>
      </c>
      <c r="H34" s="27">
        <f t="shared" si="0"/>
        <v>0</v>
      </c>
      <c r="I34" s="28"/>
      <c r="J34" s="29"/>
      <c r="K34" s="26">
        <f t="shared" si="9"/>
        <v>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10"/>
        <v>2000</v>
      </c>
      <c r="H35" s="27">
        <f t="shared" si="0"/>
        <v>0</v>
      </c>
      <c r="I35" s="28"/>
      <c r="J35" s="29"/>
      <c r="K35" s="26">
        <f t="shared" si="9"/>
        <v>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10"/>
        <v>2000</v>
      </c>
      <c r="H36" s="27">
        <f t="shared" si="0"/>
        <v>0</v>
      </c>
      <c r="I36" s="28"/>
      <c r="J36" s="29"/>
      <c r="K36" s="26">
        <f t="shared" si="9"/>
        <v>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10"/>
        <v>2000</v>
      </c>
      <c r="H37" s="27">
        <f t="shared" si="0"/>
        <v>0</v>
      </c>
      <c r="I37" s="28"/>
      <c r="J37" s="29"/>
      <c r="K37" s="26">
        <f t="shared" si="9"/>
        <v>2000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65.740000000000009</v>
      </c>
      <c r="I38" s="41"/>
      <c r="J38" s="42"/>
      <c r="K38" s="43"/>
      <c r="L38" s="40">
        <f>SUM(L21:L37)</f>
        <v>54.782433095605981</v>
      </c>
      <c r="M38" s="41"/>
      <c r="N38" s="44">
        <f t="shared" si="2"/>
        <v>-10.957566904394028</v>
      </c>
      <c r="O38" s="45">
        <f t="shared" si="3"/>
        <v>-0.1666803605779438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2000</v>
      </c>
      <c r="H40" s="27">
        <f t="shared" ref="H40:H46" si="11">G40*F40</f>
        <v>-3.6</v>
      </c>
      <c r="I40" s="28"/>
      <c r="J40" s="29">
        <f>'[4]6. Rate Rider Calculations'!$F$21</f>
        <v>1.2089006660829713E-4</v>
      </c>
      <c r="K40" s="26">
        <f>$F$16</f>
        <v>2000</v>
      </c>
      <c r="L40" s="27">
        <f t="shared" ref="L40:L46" si="12">K40*J40</f>
        <v>0.24178013321659425</v>
      </c>
      <c r="M40" s="28"/>
      <c r="N40" s="31">
        <f t="shared" ref="N40:N65" si="13">L40-H40</f>
        <v>3.8417801332165942</v>
      </c>
      <c r="O40" s="32">
        <f t="shared" ref="O40:O45" si="14">IF((H40)=0,"",(N40/H40))</f>
        <v>-1.0671611481157206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2000</v>
      </c>
      <c r="H41" s="27">
        <f t="shared" si="11"/>
        <v>0</v>
      </c>
      <c r="I41" s="47"/>
      <c r="J41" s="29"/>
      <c r="K41" s="26">
        <f>$F$16</f>
        <v>2000</v>
      </c>
      <c r="L41" s="27">
        <f t="shared" si="12"/>
        <v>0</v>
      </c>
      <c r="M41" s="48"/>
      <c r="N41" s="31">
        <f t="shared" si="13"/>
        <v>0</v>
      </c>
      <c r="O41" s="32" t="str">
        <f t="shared" si="14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2000</v>
      </c>
      <c r="H42" s="27">
        <f t="shared" si="11"/>
        <v>0</v>
      </c>
      <c r="I42" s="47"/>
      <c r="J42" s="29"/>
      <c r="K42" s="26">
        <f>$F$16</f>
        <v>2000</v>
      </c>
      <c r="L42" s="27">
        <f t="shared" si="12"/>
        <v>0</v>
      </c>
      <c r="M42" s="48"/>
      <c r="N42" s="31">
        <f t="shared" si="13"/>
        <v>0</v>
      </c>
      <c r="O42" s="32" t="str">
        <f t="shared" si="14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2000</v>
      </c>
      <c r="H43" s="27">
        <f t="shared" si="11"/>
        <v>0</v>
      </c>
      <c r="I43" s="47"/>
      <c r="J43" s="29"/>
      <c r="K43" s="26">
        <f>$F$16</f>
        <v>2000</v>
      </c>
      <c r="L43" s="27">
        <f t="shared" si="12"/>
        <v>0</v>
      </c>
      <c r="M43" s="48"/>
      <c r="N43" s="31">
        <f t="shared" si="13"/>
        <v>0</v>
      </c>
      <c r="O43" s="32" t="str">
        <f t="shared" si="14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2000</v>
      </c>
      <c r="H44" s="27">
        <f t="shared" si="11"/>
        <v>0.08</v>
      </c>
      <c r="I44" s="28"/>
      <c r="J44" s="196">
        <f>'[2]Rate Schedule '!$E$18</f>
        <v>6.9999999999999994E-5</v>
      </c>
      <c r="K44" s="26">
        <f>$F$16</f>
        <v>2000</v>
      </c>
      <c r="L44" s="27">
        <f t="shared" si="12"/>
        <v>0.13999999999999999</v>
      </c>
      <c r="M44" s="28"/>
      <c r="N44" s="31">
        <f t="shared" si="13"/>
        <v>5.9999999999999984E-2</v>
      </c>
      <c r="O44" s="32">
        <f t="shared" si="14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96</v>
      </c>
      <c r="H45" s="183">
        <f t="shared" si="11"/>
        <v>8.8761600000000005</v>
      </c>
      <c r="I45" s="57"/>
      <c r="J45" s="184">
        <f>0.64*$F$55+0.18*$F$56+0.18*$F$57</f>
        <v>9.2460000000000001E-2</v>
      </c>
      <c r="K45" s="26">
        <f>$F$16*(1+$J$74)-$F$16</f>
        <v>94.199999999999818</v>
      </c>
      <c r="L45" s="183">
        <f t="shared" si="12"/>
        <v>8.7097319999999829</v>
      </c>
      <c r="M45" s="57"/>
      <c r="N45" s="185">
        <f t="shared" si="13"/>
        <v>-0.16642800000001756</v>
      </c>
      <c r="O45" s="186">
        <f t="shared" si="14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11"/>
        <v>0.79</v>
      </c>
      <c r="I46" s="28"/>
      <c r="J46" s="177">
        <v>0.79</v>
      </c>
      <c r="K46" s="26">
        <v>1</v>
      </c>
      <c r="L46" s="27">
        <f t="shared" si="12"/>
        <v>0.79</v>
      </c>
      <c r="M46" s="28"/>
      <c r="N46" s="31">
        <f t="shared" si="13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71.886160000000004</v>
      </c>
      <c r="I47" s="41"/>
      <c r="J47" s="53"/>
      <c r="K47" s="55"/>
      <c r="L47" s="54">
        <f>SUM(L39:L46)+L38</f>
        <v>64.663945228822556</v>
      </c>
      <c r="M47" s="41"/>
      <c r="N47" s="44">
        <f t="shared" si="13"/>
        <v>-7.2222147711774483</v>
      </c>
      <c r="O47" s="45">
        <f t="shared" ref="O47:O65" si="15">IF((H47)=0,"",(N47/H47))</f>
        <v>-0.10046738859298435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6.8999999999999999E-3</v>
      </c>
      <c r="G48" s="58">
        <f>F16*(1+F74)</f>
        <v>2096</v>
      </c>
      <c r="H48" s="27">
        <f>G48*F48</f>
        <v>14.462400000000001</v>
      </c>
      <c r="I48" s="28"/>
      <c r="J48" s="29">
        <f>'[5]13. Final 2015 RTS Rates'!$F$27</f>
        <v>7.0871105522439639E-3</v>
      </c>
      <c r="K48" s="59">
        <f>F16*(1+J74)</f>
        <v>2094.1999999999998</v>
      </c>
      <c r="L48" s="27">
        <f>K48*J48</f>
        <v>14.841826918509307</v>
      </c>
      <c r="M48" s="28"/>
      <c r="N48" s="31">
        <f t="shared" si="13"/>
        <v>0.37942691850930643</v>
      </c>
      <c r="O48" s="32">
        <f t="shared" si="15"/>
        <v>2.6235404808974058E-2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5.1999999999999998E-3</v>
      </c>
      <c r="G49" s="58">
        <f>G48</f>
        <v>2096</v>
      </c>
      <c r="H49" s="27">
        <f>G49*F49</f>
        <v>10.899199999999999</v>
      </c>
      <c r="I49" s="28"/>
      <c r="J49" s="29">
        <f>'[5]13. Final 2015 RTS Rates'!$H$27</f>
        <v>5.3052532652731223E-3</v>
      </c>
      <c r="K49" s="59">
        <f>K48</f>
        <v>2094.1999999999998</v>
      </c>
      <c r="L49" s="27">
        <f>K49*J49</f>
        <v>11.110261388134973</v>
      </c>
      <c r="M49" s="28"/>
      <c r="N49" s="31">
        <f t="shared" si="13"/>
        <v>0.21106138813497388</v>
      </c>
      <c r="O49" s="32">
        <f t="shared" si="15"/>
        <v>1.9364851377621652E-2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97.24776</v>
      </c>
      <c r="I50" s="62"/>
      <c r="J50" s="63"/>
      <c r="K50" s="64"/>
      <c r="L50" s="54">
        <f>SUM(L47:L49)</f>
        <v>90.61603353546684</v>
      </c>
      <c r="M50" s="62"/>
      <c r="N50" s="44">
        <f t="shared" si="13"/>
        <v>-6.6317264645331591</v>
      </c>
      <c r="O50" s="45">
        <f t="shared" si="15"/>
        <v>-6.819413079060288E-2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2096</v>
      </c>
      <c r="H51" s="67">
        <f t="shared" ref="H51:H57" si="16">G51*F51</f>
        <v>9.2224000000000004</v>
      </c>
      <c r="I51" s="28"/>
      <c r="J51" s="66">
        <v>4.4000000000000003E-3</v>
      </c>
      <c r="K51" s="59">
        <f>K49</f>
        <v>2094.1999999999998</v>
      </c>
      <c r="L51" s="67">
        <f t="shared" ref="L51:L57" si="17">K51*J51</f>
        <v>9.21448</v>
      </c>
      <c r="M51" s="28"/>
      <c r="N51" s="31">
        <f t="shared" si="13"/>
        <v>-7.9200000000003712E-3</v>
      </c>
      <c r="O51" s="68">
        <f t="shared" si="15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2096</v>
      </c>
      <c r="H52" s="67">
        <f t="shared" si="16"/>
        <v>2.7247999999999997</v>
      </c>
      <c r="I52" s="28"/>
      <c r="J52" s="66">
        <v>1.2999999999999999E-3</v>
      </c>
      <c r="K52" s="59">
        <f>K49</f>
        <v>2094.1999999999998</v>
      </c>
      <c r="L52" s="67">
        <f t="shared" si="17"/>
        <v>2.7224599999999994</v>
      </c>
      <c r="M52" s="28"/>
      <c r="N52" s="31">
        <f t="shared" si="13"/>
        <v>-2.3400000000002308E-3</v>
      </c>
      <c r="O52" s="68">
        <f t="shared" si="15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6"/>
        <v>0.25</v>
      </c>
      <c r="I53" s="28"/>
      <c r="J53" s="176">
        <v>0.25</v>
      </c>
      <c r="K53" s="30">
        <v>1</v>
      </c>
      <c r="L53" s="67">
        <f t="shared" si="17"/>
        <v>0.25</v>
      </c>
      <c r="M53" s="28"/>
      <c r="N53" s="31">
        <f t="shared" si="13"/>
        <v>0</v>
      </c>
      <c r="O53" s="68">
        <f t="shared" si="15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2000</v>
      </c>
      <c r="H54" s="67">
        <f t="shared" si="16"/>
        <v>14</v>
      </c>
      <c r="I54" s="28"/>
      <c r="J54" s="66">
        <v>7.0000000000000001E-3</v>
      </c>
      <c r="K54" s="70">
        <f>F16</f>
        <v>2000</v>
      </c>
      <c r="L54" s="67">
        <f t="shared" si="17"/>
        <v>14</v>
      </c>
      <c r="M54" s="28"/>
      <c r="N54" s="31">
        <f t="shared" si="13"/>
        <v>0</v>
      </c>
      <c r="O54" s="68">
        <f t="shared" si="15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1280</v>
      </c>
      <c r="H55" s="67">
        <f t="shared" si="16"/>
        <v>96</v>
      </c>
      <c r="I55" s="28"/>
      <c r="J55" s="66">
        <v>7.4999999999999997E-2</v>
      </c>
      <c r="K55" s="69">
        <f>G55</f>
        <v>1280</v>
      </c>
      <c r="L55" s="67">
        <f t="shared" si="17"/>
        <v>96</v>
      </c>
      <c r="M55" s="28"/>
      <c r="N55" s="31">
        <f t="shared" si="13"/>
        <v>0</v>
      </c>
      <c r="O55" s="68">
        <f t="shared" si="15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360</v>
      </c>
      <c r="H56" s="67">
        <f t="shared" si="16"/>
        <v>40.32</v>
      </c>
      <c r="I56" s="28"/>
      <c r="J56" s="66">
        <v>0.112</v>
      </c>
      <c r="K56" s="69">
        <f>G56</f>
        <v>360</v>
      </c>
      <c r="L56" s="67">
        <f t="shared" si="17"/>
        <v>40.32</v>
      </c>
      <c r="M56" s="28"/>
      <c r="N56" s="31">
        <f t="shared" si="13"/>
        <v>0</v>
      </c>
      <c r="O56" s="68">
        <f t="shared" si="15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360</v>
      </c>
      <c r="H57" s="67">
        <f t="shared" si="16"/>
        <v>48.6</v>
      </c>
      <c r="I57" s="28"/>
      <c r="J57" s="66">
        <v>0.13500000000000001</v>
      </c>
      <c r="K57" s="69">
        <f>G57</f>
        <v>360</v>
      </c>
      <c r="L57" s="67">
        <f t="shared" si="17"/>
        <v>48.6</v>
      </c>
      <c r="M57" s="28"/>
      <c r="N57" s="31">
        <f t="shared" si="13"/>
        <v>0</v>
      </c>
      <c r="O57" s="68">
        <f t="shared" si="15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13"/>
        <v>0</v>
      </c>
      <c r="O58" s="68">
        <f t="shared" si="15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1400</v>
      </c>
      <c r="H59" s="67">
        <f>G59*F59</f>
        <v>141.4</v>
      </c>
      <c r="I59" s="79"/>
      <c r="J59" s="66">
        <v>0.10100000000000001</v>
      </c>
      <c r="K59" s="78">
        <f>G59</f>
        <v>1400</v>
      </c>
      <c r="L59" s="67">
        <f>K59*J59</f>
        <v>141.4</v>
      </c>
      <c r="M59" s="79"/>
      <c r="N59" s="80">
        <f t="shared" si="13"/>
        <v>0</v>
      </c>
      <c r="O59" s="68">
        <f t="shared" si="15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308.36496</v>
      </c>
      <c r="I61" s="95"/>
      <c r="J61" s="96"/>
      <c r="K61" s="96"/>
      <c r="L61" s="189">
        <f>SUM(L51:L57,L50)</f>
        <v>301.72297353546685</v>
      </c>
      <c r="M61" s="97"/>
      <c r="N61" s="98">
        <f>L61-H61</f>
        <v>-6.6419864645331472</v>
      </c>
      <c r="O61" s="99">
        <f>IF((H61)=0,"",(N61/H61))</f>
        <v>-2.153936836576097E-2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40.0874448</v>
      </c>
      <c r="I62" s="104"/>
      <c r="J62" s="105">
        <v>0.13</v>
      </c>
      <c r="K62" s="104"/>
      <c r="L62" s="106">
        <f>L61*J62</f>
        <v>39.223986559610694</v>
      </c>
      <c r="M62" s="107"/>
      <c r="N62" s="108">
        <f t="shared" si="13"/>
        <v>-0.8634582403893063</v>
      </c>
      <c r="O62" s="109">
        <f t="shared" si="15"/>
        <v>-2.15393683657609E-2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348.45240480000001</v>
      </c>
      <c r="I63" s="104"/>
      <c r="J63" s="104"/>
      <c r="K63" s="104"/>
      <c r="L63" s="106">
        <f>L61+L62</f>
        <v>340.94696009507754</v>
      </c>
      <c r="M63" s="107"/>
      <c r="N63" s="108">
        <f t="shared" si="13"/>
        <v>-7.5054447049224677</v>
      </c>
      <c r="O63" s="109">
        <f t="shared" si="15"/>
        <v>-2.1539368365761005E-2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-34.85</v>
      </c>
      <c r="I64" s="104"/>
      <c r="J64" s="104"/>
      <c r="K64" s="104"/>
      <c r="L64" s="113">
        <f>ROUND(-L63*10%,2)</f>
        <v>-34.090000000000003</v>
      </c>
      <c r="M64" s="107"/>
      <c r="N64" s="114">
        <f t="shared" si="13"/>
        <v>0.75999999999999801</v>
      </c>
      <c r="O64" s="115">
        <f t="shared" si="15"/>
        <v>-2.180774748923954E-2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313.60240479999999</v>
      </c>
      <c r="I65" s="120"/>
      <c r="J65" s="120"/>
      <c r="K65" s="120"/>
      <c r="L65" s="121">
        <f>L63+L64</f>
        <v>306.85696009507751</v>
      </c>
      <c r="M65" s="122"/>
      <c r="N65" s="123">
        <f t="shared" si="13"/>
        <v>-6.7454447049224768</v>
      </c>
      <c r="O65" s="124">
        <f t="shared" si="15"/>
        <v>-2.1509543937408216E-2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316.44495999999998</v>
      </c>
      <c r="I67" s="136"/>
      <c r="J67" s="137"/>
      <c r="K67" s="137"/>
      <c r="L67" s="188">
        <f>SUM(L58:L59,L50,L51:L54)</f>
        <v>309.80297353546683</v>
      </c>
      <c r="M67" s="138"/>
      <c r="N67" s="139">
        <f>L67-H67</f>
        <v>-6.6419864645331472</v>
      </c>
      <c r="O67" s="99">
        <f>IF((H67)=0,"",(N67/H67))</f>
        <v>-2.0989389322342653E-2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41.137844799999996</v>
      </c>
      <c r="I68" s="143"/>
      <c r="J68" s="144">
        <v>0.13</v>
      </c>
      <c r="K68" s="145"/>
      <c r="L68" s="146">
        <f>L67*J68</f>
        <v>40.27438655961069</v>
      </c>
      <c r="M68" s="147"/>
      <c r="N68" s="148">
        <f>L68-H68</f>
        <v>-0.8634582403893063</v>
      </c>
      <c r="O68" s="109">
        <f>IF((H68)=0,"",(N68/H68))</f>
        <v>-2.0989389322342584E-2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357.58280479999996</v>
      </c>
      <c r="I69" s="143"/>
      <c r="J69" s="143"/>
      <c r="K69" s="143"/>
      <c r="L69" s="146">
        <f>L67+L68</f>
        <v>350.07736009507755</v>
      </c>
      <c r="M69" s="147"/>
      <c r="N69" s="148">
        <f>L69-H69</f>
        <v>-7.5054447049224109</v>
      </c>
      <c r="O69" s="109">
        <f>IF((H69)=0,"",(N69/H69))</f>
        <v>-2.0989389322342525E-2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-35.76</v>
      </c>
      <c r="I70" s="143"/>
      <c r="J70" s="143"/>
      <c r="K70" s="143"/>
      <c r="L70" s="153">
        <f>ROUND(-L69*10%,2)</f>
        <v>-35.01</v>
      </c>
      <c r="M70" s="147"/>
      <c r="N70" s="154">
        <f>L70-H70</f>
        <v>0.75</v>
      </c>
      <c r="O70" s="115">
        <f>IF((H70)=0,"",(N70/H70))</f>
        <v>-2.0973154362416108E-2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321.82280479999997</v>
      </c>
      <c r="I71" s="159"/>
      <c r="J71" s="159"/>
      <c r="K71" s="159"/>
      <c r="L71" s="160">
        <f>SUM(L69:L70)</f>
        <v>315.06736009507756</v>
      </c>
      <c r="M71" s="161"/>
      <c r="N71" s="162">
        <f>L71-H71</f>
        <v>-6.7554447049224109</v>
      </c>
      <c r="O71" s="163">
        <f>IF((H71)=0,"",(N71/H71))</f>
        <v>-2.0991193303161501E-2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8:O8"/>
    <mergeCell ref="N1:O1"/>
    <mergeCell ref="N2:O2"/>
    <mergeCell ref="N3:O3"/>
    <mergeCell ref="N5:O5"/>
    <mergeCell ref="B64:D64"/>
    <mergeCell ref="B65:D65"/>
    <mergeCell ref="B70:D70"/>
    <mergeCell ref="B71:D71"/>
    <mergeCell ref="B9:O9"/>
    <mergeCell ref="D12:O12"/>
    <mergeCell ref="F18:H18"/>
    <mergeCell ref="J18:L18"/>
    <mergeCell ref="N18:O18"/>
    <mergeCell ref="D19:D20"/>
    <mergeCell ref="N19:N20"/>
    <mergeCell ref="O19:O20"/>
  </mergeCells>
  <dataValidations count="3">
    <dataValidation type="list" allowBlank="1" showInputMessage="1" showErrorMessage="1" sqref="D14">
      <formula1>"TOU, non-TOU"</formula1>
    </dataValidation>
    <dataValidation type="list" allowBlank="1" showInputMessage="1" showErrorMessage="1" sqref="E72 E66 E48:E49 E51:E60 E39:E46 E21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22</vt:i4>
      </vt:variant>
    </vt:vector>
  </HeadingPairs>
  <TitlesOfParts>
    <vt:vector size="45" baseType="lpstr">
      <vt:lpstr>Res (100kWh)</vt:lpstr>
      <vt:lpstr>Res (250kWh)</vt:lpstr>
      <vt:lpstr>Res (800kWh)</vt:lpstr>
      <vt:lpstr>Res (500kWh)</vt:lpstr>
      <vt:lpstr>Res (1000kWh)</vt:lpstr>
      <vt:lpstr>Res (1500kWh)</vt:lpstr>
      <vt:lpstr>Res (2000kWh)</vt:lpstr>
      <vt:lpstr>GS&lt;50 (1,000kWh)</vt:lpstr>
      <vt:lpstr>GS&lt;50 (2,000kWh)</vt:lpstr>
      <vt:lpstr>GS&lt;50 (5,000kWh)</vt:lpstr>
      <vt:lpstr>GS&lt;50 (10,000kWh)</vt:lpstr>
      <vt:lpstr>GS&lt;50 (15,000kWh)</vt:lpstr>
      <vt:lpstr>GS 50-2999 (60kW)</vt:lpstr>
      <vt:lpstr>GS 50-2999 (100kW)</vt:lpstr>
      <vt:lpstr>GS 50-2999 (455 kW)</vt:lpstr>
      <vt:lpstr>GS 3000-4999 (3,000kW)</vt:lpstr>
      <vt:lpstr>GS 3000-4999 (3,290kW)</vt:lpstr>
      <vt:lpstr>GS 3000-4999 (5,000kW)</vt:lpstr>
      <vt:lpstr>ST (1kW)</vt:lpstr>
      <vt:lpstr>ST (470kW)</vt:lpstr>
      <vt:lpstr>SL (1kW)</vt:lpstr>
      <vt:lpstr>USL (150kWh)</vt:lpstr>
      <vt:lpstr>Summary</vt:lpstr>
      <vt:lpstr>'GS 3000-4999 (3,000kW)'!Print_Area</vt:lpstr>
      <vt:lpstr>'GS 3000-4999 (3,290kW)'!Print_Area</vt:lpstr>
      <vt:lpstr>'GS 3000-4999 (5,000kW)'!Print_Area</vt:lpstr>
      <vt:lpstr>'GS 50-2999 (100kW)'!Print_Area</vt:lpstr>
      <vt:lpstr>'GS 50-2999 (455 kW)'!Print_Area</vt:lpstr>
      <vt:lpstr>'GS 50-2999 (60kW)'!Print_Area</vt:lpstr>
      <vt:lpstr>'GS&lt;50 (1,000kWh)'!Print_Area</vt:lpstr>
      <vt:lpstr>'GS&lt;50 (10,000kWh)'!Print_Area</vt:lpstr>
      <vt:lpstr>'GS&lt;50 (15,000kWh)'!Print_Area</vt:lpstr>
      <vt:lpstr>'GS&lt;50 (2,000kWh)'!Print_Area</vt:lpstr>
      <vt:lpstr>'GS&lt;50 (5,000kWh)'!Print_Area</vt:lpstr>
      <vt:lpstr>'Res (1000kWh)'!Print_Area</vt:lpstr>
      <vt:lpstr>'Res (100kWh)'!Print_Area</vt:lpstr>
      <vt:lpstr>'Res (1500kWh)'!Print_Area</vt:lpstr>
      <vt:lpstr>'Res (2000kWh)'!Print_Area</vt:lpstr>
      <vt:lpstr>'Res (250kWh)'!Print_Area</vt:lpstr>
      <vt:lpstr>'Res (500kWh)'!Print_Area</vt:lpstr>
      <vt:lpstr>'Res (800kWh)'!Print_Area</vt:lpstr>
      <vt:lpstr>'SL (1kW)'!Print_Area</vt:lpstr>
      <vt:lpstr>'ST (1kW)'!Print_Area</vt:lpstr>
      <vt:lpstr>'ST (470kW)'!Print_Area</vt:lpstr>
      <vt:lpstr>'USL (150kWh)'!Print_Area</vt:lpstr>
    </vt:vector>
  </TitlesOfParts>
  <Company>Cambridge and North Dumfries Hydro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Calhoun</dc:creator>
  <cp:lastModifiedBy>James Little</cp:lastModifiedBy>
  <cp:lastPrinted>2014-12-11T18:00:22Z</cp:lastPrinted>
  <dcterms:created xsi:type="dcterms:W3CDTF">2013-08-28T15:11:04Z</dcterms:created>
  <dcterms:modified xsi:type="dcterms:W3CDTF">2015-06-22T16:21:49Z</dcterms:modified>
</cp:coreProperties>
</file>