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2585" yWindow="105" windowWidth="12630" windowHeight="11700" tabRatio="699" firstSheet="1" activeTab="5"/>
  </bookViews>
  <sheets>
    <sheet name="1. Information Sheet" sheetId="15" r:id="rId1"/>
    <sheet name="2. 2014 Continuity Schedule" sheetId="2" r:id="rId2"/>
    <sheet name="3. Appendix A" sheetId="11" r:id="rId3"/>
    <sheet name="4. Billing Determinants" sheetId="12" r:id="rId4"/>
    <sheet name="5. Allocation of Balances" sheetId="13" r:id="rId5"/>
    <sheet name="6. Rate Rider Calculations" sheetId="14" r:id="rId6"/>
    <sheet name="Summary Sheet" sheetId="16" state="hidden" r:id="rId7"/>
  </sheets>
  <externalReferences>
    <externalReference r:id="rId8"/>
    <externalReference r:id="rId9"/>
    <externalReference r:id="rId10"/>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1">'2. 2014 Continuity Schedule'!$A$1:$BQ$84</definedName>
    <definedName name="_xlnm.Print_Area" localSheetId="2">'3. Appendix A'!$B$1:$F$66</definedName>
    <definedName name="_xlnm.Print_Area" localSheetId="4">'5. Allocation of Balances'!$A$1:$L$55</definedName>
    <definedName name="_xlnm.Print_Area" localSheetId="5">'6. Rate Rider Calculations'!$A$1:$J$124</definedName>
    <definedName name="print_end" localSheetId="0">#REF!</definedName>
    <definedName name="print_end">#REF!</definedName>
    <definedName name="_xlnm.Print_Titles" localSheetId="1">'2. 2014 Continuity Schedule'!$C:$D,'2. 2014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iterate="1"/>
</workbook>
</file>

<file path=xl/calcChain.xml><?xml version="1.0" encoding="utf-8"?>
<calcChain xmlns="http://schemas.openxmlformats.org/spreadsheetml/2006/main">
  <c r="F109" i="14" l="1"/>
  <c r="F105" i="14"/>
  <c r="F104" i="14"/>
  <c r="F103" i="14"/>
  <c r="F46" i="2" l="1"/>
  <c r="BN46" i="2"/>
  <c r="BM46" i="2"/>
  <c r="BE46" i="2"/>
  <c r="AR46" i="2"/>
  <c r="AE46" i="2"/>
  <c r="U46" i="2"/>
  <c r="P46" i="2"/>
  <c r="K46" i="2"/>
  <c r="BN48" i="2"/>
  <c r="BM48" i="2"/>
  <c r="BE48" i="2"/>
  <c r="AR48" i="2"/>
  <c r="AE48" i="2"/>
  <c r="Z48" i="2"/>
  <c r="U48" i="2"/>
  <c r="P48" i="2"/>
  <c r="BJ79" i="2" l="1"/>
  <c r="BN34" i="2" l="1"/>
  <c r="BN35" i="2"/>
  <c r="BM34" i="2"/>
  <c r="BM35" i="2"/>
  <c r="BJ77" i="2" l="1"/>
  <c r="BJ76" i="2"/>
  <c r="BI79" i="2" l="1"/>
  <c r="BI76" i="2"/>
  <c r="BI42" i="2" l="1"/>
  <c r="D104" i="14" l="1"/>
  <c r="D105" i="14"/>
  <c r="D106" i="14"/>
  <c r="D107" i="14"/>
  <c r="D108" i="14"/>
  <c r="D109" i="14"/>
  <c r="D110" i="14"/>
  <c r="D111" i="14"/>
  <c r="D112" i="14"/>
  <c r="D113" i="14"/>
  <c r="D114" i="14"/>
  <c r="D115" i="14"/>
  <c r="D116" i="14"/>
  <c r="D117" i="14"/>
  <c r="D118" i="14"/>
  <c r="D119" i="14"/>
  <c r="D120" i="14"/>
  <c r="D121" i="14"/>
  <c r="D122" i="14"/>
  <c r="D103" i="14"/>
  <c r="AJ33" i="2" l="1"/>
  <c r="Z33" i="2"/>
  <c r="P33" i="2"/>
  <c r="L45" i="13" l="1"/>
  <c r="H45" i="13"/>
  <c r="G45" i="13"/>
  <c r="F45" i="13"/>
  <c r="BE79" i="2"/>
  <c r="AW76" i="2"/>
  <c r="BB71" i="2"/>
  <c r="G8" i="16"/>
  <c r="BE62" i="2"/>
  <c r="AE62" i="2"/>
  <c r="AE68" i="2" s="1"/>
  <c r="AE74" i="2" s="1"/>
  <c r="N46" i="2"/>
  <c r="T46" i="2" s="1"/>
  <c r="X46" i="2" s="1"/>
  <c r="AD46" i="2" s="1"/>
  <c r="I46" i="2"/>
  <c r="O46" i="2" s="1"/>
  <c r="S46" i="2" s="1"/>
  <c r="Y46" i="2" s="1"/>
  <c r="AC46" i="2" s="1"/>
  <c r="AI46" i="2" s="1"/>
  <c r="AP46" i="2" s="1"/>
  <c r="AV46" i="2" s="1"/>
  <c r="BC46" i="2" s="1"/>
  <c r="BN25" i="2"/>
  <c r="BM25" i="2"/>
  <c r="F19" i="16" s="1"/>
  <c r="BE35" i="2"/>
  <c r="AW35" i="2"/>
  <c r="AR35" i="2"/>
  <c r="AK35" i="2"/>
  <c r="AJ35" i="2"/>
  <c r="AJ37" i="2" s="1"/>
  <c r="AJ68" i="2" s="1"/>
  <c r="AJ74" i="2" s="1"/>
  <c r="BJ26" i="2"/>
  <c r="BJ37" i="2" s="1"/>
  <c r="BJ38" i="2" s="1"/>
  <c r="BN26" i="2"/>
  <c r="BM26" i="2"/>
  <c r="BI26" i="2"/>
  <c r="BI37" i="2" s="1"/>
  <c r="BI38" i="2" s="1"/>
  <c r="BE26" i="2"/>
  <c r="AW26" i="2"/>
  <c r="AW25" i="2"/>
  <c r="BE25" i="2"/>
  <c r="BP48" i="2"/>
  <c r="BP62" i="2" s="1"/>
  <c r="BP68" i="2" s="1"/>
  <c r="BP74" i="2" s="1"/>
  <c r="AS26" i="2"/>
  <c r="AR26" i="2"/>
  <c r="AK26" i="2"/>
  <c r="W26" i="2"/>
  <c r="W37" i="2" s="1"/>
  <c r="AJ26" i="2"/>
  <c r="AE26" i="2"/>
  <c r="Z26" i="2"/>
  <c r="R26" i="2"/>
  <c r="R37" i="2" s="1"/>
  <c r="R38" i="2" s="1"/>
  <c r="N34" i="2"/>
  <c r="T34" i="2"/>
  <c r="X34" i="2"/>
  <c r="AD34" i="2"/>
  <c r="AH34" i="2" s="1"/>
  <c r="AQ34" i="2" s="1"/>
  <c r="AU34" i="2" s="1"/>
  <c r="BD34" i="2" s="1"/>
  <c r="BH34" i="2" s="1"/>
  <c r="BL34" i="2" s="1"/>
  <c r="O34" i="2"/>
  <c r="S34" i="2" s="1"/>
  <c r="Y34" i="2" s="1"/>
  <c r="AC34" i="2" s="1"/>
  <c r="AI34" i="2" s="1"/>
  <c r="AP34" i="2" s="1"/>
  <c r="AV34" i="2" s="1"/>
  <c r="BC34" i="2" s="1"/>
  <c r="I34" i="2"/>
  <c r="F4" i="13"/>
  <c r="B21" i="14"/>
  <c r="B104" i="14" s="1"/>
  <c r="E104" i="14" s="1"/>
  <c r="G4" i="13"/>
  <c r="D41" i="12"/>
  <c r="H4" i="13"/>
  <c r="I4" i="13"/>
  <c r="J4" i="13"/>
  <c r="K4" i="13"/>
  <c r="L4" i="13"/>
  <c r="M40" i="13"/>
  <c r="M42" i="13"/>
  <c r="M19" i="13"/>
  <c r="M20" i="13"/>
  <c r="M22" i="13"/>
  <c r="M23" i="13"/>
  <c r="M24" i="13"/>
  <c r="M26" i="13"/>
  <c r="M27" i="13"/>
  <c r="M28" i="13"/>
  <c r="M30" i="13"/>
  <c r="M31" i="13"/>
  <c r="M32" i="13"/>
  <c r="M34" i="13"/>
  <c r="M35" i="13"/>
  <c r="M36" i="13"/>
  <c r="M5" i="13"/>
  <c r="M6" i="13"/>
  <c r="M7" i="13"/>
  <c r="M9" i="13"/>
  <c r="M10" i="13"/>
  <c r="M11" i="13"/>
  <c r="M50" i="13" s="1"/>
  <c r="N19" i="13"/>
  <c r="N21" i="13"/>
  <c r="N25" i="13"/>
  <c r="N26" i="13"/>
  <c r="N30" i="13"/>
  <c r="N31" i="13"/>
  <c r="N35" i="13"/>
  <c r="N37" i="13"/>
  <c r="N8" i="13"/>
  <c r="N9" i="13"/>
  <c r="O42" i="13"/>
  <c r="O24" i="13"/>
  <c r="O29" i="13"/>
  <c r="O34" i="13"/>
  <c r="O7" i="13"/>
  <c r="Q40" i="13"/>
  <c r="Q42" i="13"/>
  <c r="Q19" i="13"/>
  <c r="Q20" i="13"/>
  <c r="Q22" i="13"/>
  <c r="Q23" i="13"/>
  <c r="Q24" i="13"/>
  <c r="Q26" i="13"/>
  <c r="Q27" i="13"/>
  <c r="Q28" i="13"/>
  <c r="Q30" i="13"/>
  <c r="Q31" i="13"/>
  <c r="Q32" i="13"/>
  <c r="Q34" i="13"/>
  <c r="Q35" i="13"/>
  <c r="Q36" i="13"/>
  <c r="Q5" i="13"/>
  <c r="Q6" i="13"/>
  <c r="Q7" i="13"/>
  <c r="Q9" i="13"/>
  <c r="Q10" i="13"/>
  <c r="Q11" i="13"/>
  <c r="Q50" i="13" s="1"/>
  <c r="R41" i="13"/>
  <c r="R21" i="13"/>
  <c r="R22" i="13"/>
  <c r="R26" i="13"/>
  <c r="R27" i="13"/>
  <c r="R31" i="13"/>
  <c r="R33" i="13"/>
  <c r="R37" i="13"/>
  <c r="R5" i="13"/>
  <c r="R9" i="13"/>
  <c r="R10" i="13"/>
  <c r="S20" i="13"/>
  <c r="S25" i="13"/>
  <c r="S30" i="13"/>
  <c r="S36" i="13"/>
  <c r="S8" i="13"/>
  <c r="U40" i="13"/>
  <c r="U42" i="13"/>
  <c r="U19" i="13"/>
  <c r="U20" i="13"/>
  <c r="U22" i="13"/>
  <c r="U23" i="13"/>
  <c r="U24" i="13"/>
  <c r="U26" i="13"/>
  <c r="U27" i="13"/>
  <c r="U28" i="13"/>
  <c r="U30" i="13"/>
  <c r="U31" i="13"/>
  <c r="U32" i="13"/>
  <c r="U34" i="13"/>
  <c r="U35" i="13"/>
  <c r="U36" i="13"/>
  <c r="U5" i="13"/>
  <c r="U6" i="13"/>
  <c r="U7" i="13"/>
  <c r="U9" i="13"/>
  <c r="U10" i="13"/>
  <c r="U11" i="13"/>
  <c r="U50" i="13" s="1"/>
  <c r="V41" i="13"/>
  <c r="V42" i="13"/>
  <c r="V22" i="13"/>
  <c r="V23" i="13"/>
  <c r="V27" i="13"/>
  <c r="V29" i="13"/>
  <c r="V33" i="13"/>
  <c r="V34" i="13"/>
  <c r="V5" i="13"/>
  <c r="V6" i="13"/>
  <c r="V10" i="13"/>
  <c r="W40" i="13"/>
  <c r="W21" i="13"/>
  <c r="W26" i="13"/>
  <c r="W32" i="13"/>
  <c r="W37" i="13"/>
  <c r="W9" i="13"/>
  <c r="Y40" i="13"/>
  <c r="Y42" i="13"/>
  <c r="Y19" i="13"/>
  <c r="Y20" i="13"/>
  <c r="Y22" i="13"/>
  <c r="Y23" i="13"/>
  <c r="Y24" i="13"/>
  <c r="Y26" i="13"/>
  <c r="Y27" i="13"/>
  <c r="Y28" i="13"/>
  <c r="Y30" i="13"/>
  <c r="Y31" i="13"/>
  <c r="Y32" i="13"/>
  <c r="Y34" i="13"/>
  <c r="Y35" i="13"/>
  <c r="Y36" i="13"/>
  <c r="Y5" i="13"/>
  <c r="Y6" i="13"/>
  <c r="Y7" i="13"/>
  <c r="Y9" i="13"/>
  <c r="Y10" i="13"/>
  <c r="Y11" i="13"/>
  <c r="Y50" i="13" s="1"/>
  <c r="I24" i="2"/>
  <c r="O24" i="2"/>
  <c r="S24" i="2"/>
  <c r="Y24" i="2" s="1"/>
  <c r="AC24" i="2" s="1"/>
  <c r="AI24" i="2" s="1"/>
  <c r="AP24" i="2" s="1"/>
  <c r="AV24" i="2" s="1"/>
  <c r="BC24" i="2" s="1"/>
  <c r="B22" i="14"/>
  <c r="B105" i="14"/>
  <c r="E105" i="14" s="1"/>
  <c r="B23" i="14"/>
  <c r="B106" i="14" s="1"/>
  <c r="E106" i="14"/>
  <c r="F106" i="14" s="1"/>
  <c r="B24" i="14"/>
  <c r="B79" i="14" s="1"/>
  <c r="B25" i="14"/>
  <c r="B108" i="14"/>
  <c r="E108" i="14"/>
  <c r="F108" i="14" s="1"/>
  <c r="B26" i="14"/>
  <c r="B109" i="14"/>
  <c r="E109" i="14"/>
  <c r="B20" i="14"/>
  <c r="B103" i="14"/>
  <c r="E103" i="14"/>
  <c r="B112" i="14"/>
  <c r="E112" i="14" s="1"/>
  <c r="F112" i="14" s="1"/>
  <c r="B113" i="14"/>
  <c r="E113" i="14" s="1"/>
  <c r="F113" i="14" s="1"/>
  <c r="B114" i="14"/>
  <c r="E114" i="14" s="1"/>
  <c r="F114" i="14" s="1"/>
  <c r="B120" i="14"/>
  <c r="E120" i="14" s="1"/>
  <c r="F120" i="14" s="1"/>
  <c r="B76" i="14"/>
  <c r="B77" i="14"/>
  <c r="B78" i="14"/>
  <c r="B80" i="14"/>
  <c r="B81" i="14"/>
  <c r="M53" i="13"/>
  <c r="M54" i="13"/>
  <c r="B75" i="14"/>
  <c r="M4" i="13"/>
  <c r="N4" i="13"/>
  <c r="O4" i="13"/>
  <c r="P4" i="13"/>
  <c r="Q4" i="13"/>
  <c r="R4" i="13"/>
  <c r="S4" i="13"/>
  <c r="S24" i="13" s="1"/>
  <c r="T4" i="13"/>
  <c r="T40" i="13" s="1"/>
  <c r="U4" i="13"/>
  <c r="V4" i="13"/>
  <c r="W4" i="13"/>
  <c r="X4" i="13"/>
  <c r="Y4" i="13"/>
  <c r="O41" i="12"/>
  <c r="BC82" i="2"/>
  <c r="BK82" i="2" s="1"/>
  <c r="AQ82" i="2"/>
  <c r="AU82" i="2" s="1"/>
  <c r="BD82" i="2" s="1"/>
  <c r="BH82" i="2" s="1"/>
  <c r="BC81" i="2"/>
  <c r="AQ81" i="2"/>
  <c r="AU81" i="2"/>
  <c r="BD81" i="2"/>
  <c r="BH81" i="2" s="1"/>
  <c r="BL81" i="2" s="1"/>
  <c r="D29" i="16" s="1"/>
  <c r="BQ81" i="2"/>
  <c r="J29" i="16" s="1"/>
  <c r="I79" i="2"/>
  <c r="O79" i="2"/>
  <c r="S79" i="2" s="1"/>
  <c r="Y79" i="2"/>
  <c r="AC79" i="2"/>
  <c r="AI79" i="2" s="1"/>
  <c r="AP79" i="2" s="1"/>
  <c r="AV79" i="2" s="1"/>
  <c r="BC79" i="2" s="1"/>
  <c r="N79" i="2"/>
  <c r="T79" i="2" s="1"/>
  <c r="X79" i="2" s="1"/>
  <c r="AD79" i="2" s="1"/>
  <c r="AH79" i="2" s="1"/>
  <c r="AQ79" i="2" s="1"/>
  <c r="AU79" i="2" s="1"/>
  <c r="BD79" i="2" s="1"/>
  <c r="BH79" i="2" s="1"/>
  <c r="BL79" i="2" s="1"/>
  <c r="D23" i="16" s="1"/>
  <c r="I78" i="2"/>
  <c r="O78" i="2"/>
  <c r="S78" i="2" s="1"/>
  <c r="Y78" i="2" s="1"/>
  <c r="AC78" i="2" s="1"/>
  <c r="AI78" i="2" s="1"/>
  <c r="AP78" i="2" s="1"/>
  <c r="AV78" i="2" s="1"/>
  <c r="BC78" i="2" s="1"/>
  <c r="N78" i="2"/>
  <c r="T78" i="2"/>
  <c r="X78" i="2"/>
  <c r="AD78" i="2" s="1"/>
  <c r="AH78" i="2" s="1"/>
  <c r="AQ78" i="2" s="1"/>
  <c r="AU78" i="2" s="1"/>
  <c r="BD78" i="2" s="1"/>
  <c r="BH78" i="2" s="1"/>
  <c r="BL78" i="2" s="1"/>
  <c r="D22" i="16" s="1"/>
  <c r="I77" i="2"/>
  <c r="O77" i="2"/>
  <c r="S77" i="2" s="1"/>
  <c r="Y77" i="2"/>
  <c r="AC77" i="2"/>
  <c r="AI77" i="2" s="1"/>
  <c r="AP77" i="2" s="1"/>
  <c r="AV77" i="2" s="1"/>
  <c r="BC77" i="2" s="1"/>
  <c r="N77" i="2"/>
  <c r="T77" i="2" s="1"/>
  <c r="X77" i="2" s="1"/>
  <c r="AD77" i="2" s="1"/>
  <c r="AH77" i="2" s="1"/>
  <c r="AQ77" i="2" s="1"/>
  <c r="AU77" i="2" s="1"/>
  <c r="BD77" i="2" s="1"/>
  <c r="BH77" i="2" s="1"/>
  <c r="BL77" i="2" s="1"/>
  <c r="D21" i="16" s="1"/>
  <c r="I76" i="2"/>
  <c r="O76" i="2"/>
  <c r="S76" i="2" s="1"/>
  <c r="Y76" i="2" s="1"/>
  <c r="AC76" i="2" s="1"/>
  <c r="AI76" i="2" s="1"/>
  <c r="AP76" i="2" s="1"/>
  <c r="AV76" i="2" s="1"/>
  <c r="BC76" i="2" s="1"/>
  <c r="N76" i="2"/>
  <c r="T76" i="2"/>
  <c r="X76" i="2"/>
  <c r="AD76" i="2" s="1"/>
  <c r="AH76" i="2" s="1"/>
  <c r="AQ76" i="2" s="1"/>
  <c r="AU76" i="2" s="1"/>
  <c r="BD76" i="2" s="1"/>
  <c r="BH76" i="2" s="1"/>
  <c r="BL76" i="2" s="1"/>
  <c r="D20" i="16" s="1"/>
  <c r="BP37" i="2"/>
  <c r="I42" i="2"/>
  <c r="O42" i="2"/>
  <c r="S42" i="2" s="1"/>
  <c r="Y42" i="2"/>
  <c r="AC42" i="2"/>
  <c r="AI42" i="2" s="1"/>
  <c r="AP42" i="2" s="1"/>
  <c r="AV42" i="2" s="1"/>
  <c r="BC42" i="2" s="1"/>
  <c r="I43" i="2"/>
  <c r="O43" i="2" s="1"/>
  <c r="S43" i="2" s="1"/>
  <c r="Y44" i="2"/>
  <c r="AC44" i="2"/>
  <c r="AI44" i="2" s="1"/>
  <c r="AP44" i="2" s="1"/>
  <c r="AV44" i="2" s="1"/>
  <c r="BC44" i="2" s="1"/>
  <c r="Y45" i="2"/>
  <c r="AC45" i="2" s="1"/>
  <c r="AI45" i="2" s="1"/>
  <c r="AP45" i="2" s="1"/>
  <c r="AV45" i="2" s="1"/>
  <c r="BC45" i="2" s="1"/>
  <c r="I47" i="2"/>
  <c r="O47" i="2"/>
  <c r="S47" i="2" s="1"/>
  <c r="Y47" i="2" s="1"/>
  <c r="AC47" i="2" s="1"/>
  <c r="AI47" i="2" s="1"/>
  <c r="AP47" i="2" s="1"/>
  <c r="AV47" i="2" s="1"/>
  <c r="BC47" i="2" s="1"/>
  <c r="I48" i="2"/>
  <c r="O48" i="2"/>
  <c r="S48" i="2" s="1"/>
  <c r="Y48" i="2"/>
  <c r="AC48" i="2" s="1"/>
  <c r="AI48" i="2" s="1"/>
  <c r="AP48" i="2" s="1"/>
  <c r="AV48" i="2" s="1"/>
  <c r="BC48" i="2" s="1"/>
  <c r="I49" i="2"/>
  <c r="O49" i="2" s="1"/>
  <c r="S49" i="2"/>
  <c r="Y49" i="2"/>
  <c r="AC49" i="2"/>
  <c r="AI49" i="2" s="1"/>
  <c r="AP49" i="2" s="1"/>
  <c r="AV49" i="2" s="1"/>
  <c r="BC49" i="2" s="1"/>
  <c r="I50" i="2"/>
  <c r="O50" i="2"/>
  <c r="S50" i="2"/>
  <c r="Y50" i="2"/>
  <c r="AC50" i="2" s="1"/>
  <c r="AI50" i="2"/>
  <c r="AP50" i="2" s="1"/>
  <c r="AV50" i="2" s="1"/>
  <c r="BC50" i="2" s="1"/>
  <c r="I51" i="2"/>
  <c r="O51" i="2"/>
  <c r="S51" i="2" s="1"/>
  <c r="Y51" i="2" s="1"/>
  <c r="AC51" i="2" s="1"/>
  <c r="AI51" i="2" s="1"/>
  <c r="AP51" i="2" s="1"/>
  <c r="AV51" i="2" s="1"/>
  <c r="BC51" i="2" s="1"/>
  <c r="I52" i="2"/>
  <c r="O52" i="2"/>
  <c r="S52" i="2" s="1"/>
  <c r="Y52" i="2"/>
  <c r="AC52" i="2" s="1"/>
  <c r="AI52" i="2" s="1"/>
  <c r="AP52" i="2" s="1"/>
  <c r="AV52" i="2" s="1"/>
  <c r="BC52" i="2" s="1"/>
  <c r="I53" i="2"/>
  <c r="O53" i="2" s="1"/>
  <c r="S53" i="2"/>
  <c r="Y53" i="2"/>
  <c r="AC53" i="2"/>
  <c r="AI53" i="2" s="1"/>
  <c r="AP53" i="2" s="1"/>
  <c r="AV53" i="2" s="1"/>
  <c r="BC53" i="2" s="1"/>
  <c r="I54" i="2"/>
  <c r="O54" i="2"/>
  <c r="S54" i="2"/>
  <c r="Y54" i="2"/>
  <c r="AC54" i="2" s="1"/>
  <c r="AI54" i="2"/>
  <c r="AP54" i="2" s="1"/>
  <c r="AV54" i="2" s="1"/>
  <c r="BC54" i="2" s="1"/>
  <c r="I55" i="2"/>
  <c r="O55" i="2"/>
  <c r="S55" i="2" s="1"/>
  <c r="Y55" i="2" s="1"/>
  <c r="AC55" i="2" s="1"/>
  <c r="AI55" i="2" s="1"/>
  <c r="AP55" i="2" s="1"/>
  <c r="AV55" i="2" s="1"/>
  <c r="BC55" i="2" s="1"/>
  <c r="S56" i="2"/>
  <c r="Y56" i="2"/>
  <c r="AC56" i="2" s="1"/>
  <c r="AI56" i="2"/>
  <c r="AP56" i="2" s="1"/>
  <c r="AV56" i="2" s="1"/>
  <c r="BC56" i="2" s="1"/>
  <c r="I57" i="2"/>
  <c r="O57" i="2"/>
  <c r="S57" i="2" s="1"/>
  <c r="Y57" i="2" s="1"/>
  <c r="I58" i="2"/>
  <c r="O58" i="2"/>
  <c r="S58" i="2"/>
  <c r="Y58" i="2" s="1"/>
  <c r="AC58" i="2" s="1"/>
  <c r="AI58" i="2" s="1"/>
  <c r="AP58" i="2" s="1"/>
  <c r="AV58" i="2" s="1"/>
  <c r="BC58" i="2" s="1"/>
  <c r="I59" i="2"/>
  <c r="O59" i="2"/>
  <c r="S59" i="2"/>
  <c r="Y59" i="2" s="1"/>
  <c r="AC59" i="2"/>
  <c r="AI59" i="2" s="1"/>
  <c r="AP59" i="2" s="1"/>
  <c r="AV59" i="2" s="1"/>
  <c r="BC59" i="2" s="1"/>
  <c r="I60" i="2"/>
  <c r="O60" i="2" s="1"/>
  <c r="S60" i="2" s="1"/>
  <c r="Y60" i="2" s="1"/>
  <c r="AC60" i="2" s="1"/>
  <c r="AI60" i="2" s="1"/>
  <c r="AP60" i="2" s="1"/>
  <c r="AV60" i="2" s="1"/>
  <c r="BC60" i="2" s="1"/>
  <c r="I25" i="2"/>
  <c r="O25" i="2" s="1"/>
  <c r="S25" i="2"/>
  <c r="Y25" i="2" s="1"/>
  <c r="AC25" i="2" s="1"/>
  <c r="AI25" i="2" s="1"/>
  <c r="AP25" i="2" s="1"/>
  <c r="AV25" i="2" s="1"/>
  <c r="BC25" i="2" s="1"/>
  <c r="I26" i="2"/>
  <c r="O26" i="2"/>
  <c r="S26" i="2"/>
  <c r="Y26" i="2" s="1"/>
  <c r="AC26" i="2" s="1"/>
  <c r="AI26" i="2" s="1"/>
  <c r="AP26" i="2" s="1"/>
  <c r="AV26" i="2" s="1"/>
  <c r="BC26" i="2" s="1"/>
  <c r="I27" i="2"/>
  <c r="O27" i="2"/>
  <c r="S27" i="2"/>
  <c r="Y27" i="2" s="1"/>
  <c r="AC27" i="2"/>
  <c r="AI27" i="2" s="1"/>
  <c r="AP27" i="2" s="1"/>
  <c r="AV27" i="2" s="1"/>
  <c r="BC27" i="2" s="1"/>
  <c r="I28" i="2"/>
  <c r="O28" i="2" s="1"/>
  <c r="I29" i="2"/>
  <c r="O29" i="2" s="1"/>
  <c r="S29" i="2"/>
  <c r="Y29" i="2" s="1"/>
  <c r="AC29" i="2" s="1"/>
  <c r="AI29" i="2" s="1"/>
  <c r="AP29" i="2" s="1"/>
  <c r="AV29" i="2" s="1"/>
  <c r="BC29" i="2" s="1"/>
  <c r="I30" i="2"/>
  <c r="O30" i="2"/>
  <c r="S30" i="2"/>
  <c r="Y30" i="2" s="1"/>
  <c r="I31" i="2"/>
  <c r="O31" i="2"/>
  <c r="S31" i="2"/>
  <c r="Y31" i="2" s="1"/>
  <c r="AC31" i="2"/>
  <c r="AI31" i="2" s="1"/>
  <c r="AP31" i="2" s="1"/>
  <c r="AV31" i="2" s="1"/>
  <c r="BC31" i="2" s="1"/>
  <c r="I32" i="2"/>
  <c r="O32" i="2" s="1"/>
  <c r="S32" i="2" s="1"/>
  <c r="Y32" i="2" s="1"/>
  <c r="AC32" i="2" s="1"/>
  <c r="AI32" i="2" s="1"/>
  <c r="AP32" i="2" s="1"/>
  <c r="AV32" i="2" s="1"/>
  <c r="BC32" i="2" s="1"/>
  <c r="I33" i="2"/>
  <c r="O33" i="2" s="1"/>
  <c r="S33" i="2"/>
  <c r="Y33" i="2" s="1"/>
  <c r="AC33" i="2" s="1"/>
  <c r="I35" i="2"/>
  <c r="O35" i="2"/>
  <c r="S35" i="2" s="1"/>
  <c r="Y35" i="2"/>
  <c r="AC35" i="2"/>
  <c r="AI35" i="2" s="1"/>
  <c r="AP35" i="2" s="1"/>
  <c r="AV35" i="2" s="1"/>
  <c r="BC35" i="2" s="1"/>
  <c r="I64" i="2"/>
  <c r="O64" i="2" s="1"/>
  <c r="S64" i="2" s="1"/>
  <c r="Y64" i="2" s="1"/>
  <c r="AC64" i="2" s="1"/>
  <c r="AI64" i="2" s="1"/>
  <c r="AP64" i="2" s="1"/>
  <c r="AV64" i="2" s="1"/>
  <c r="BC64" i="2" s="1"/>
  <c r="I65" i="2"/>
  <c r="O65" i="2" s="1"/>
  <c r="I66" i="2"/>
  <c r="O66" i="2"/>
  <c r="S66" i="2"/>
  <c r="Y66" i="2" s="1"/>
  <c r="AC66" i="2" s="1"/>
  <c r="AI66" i="2" s="1"/>
  <c r="AP66" i="2" s="1"/>
  <c r="AV66" i="2" s="1"/>
  <c r="BC66" i="2" s="1"/>
  <c r="S71" i="2"/>
  <c r="Y71" i="2"/>
  <c r="AC71" i="2" s="1"/>
  <c r="AI71" i="2"/>
  <c r="AP71" i="2"/>
  <c r="AV71" i="2" s="1"/>
  <c r="BC71" i="2" s="1"/>
  <c r="N42" i="2"/>
  <c r="T42" i="2"/>
  <c r="X42" i="2"/>
  <c r="AD42" i="2" s="1"/>
  <c r="AH42" i="2" s="1"/>
  <c r="N43" i="2"/>
  <c r="T43" i="2"/>
  <c r="X43" i="2" s="1"/>
  <c r="AD43" i="2"/>
  <c r="AH43" i="2"/>
  <c r="AQ43" i="2" s="1"/>
  <c r="AU43" i="2" s="1"/>
  <c r="BD43" i="2" s="1"/>
  <c r="BH43" i="2" s="1"/>
  <c r="BL43" i="2" s="1"/>
  <c r="D5" i="16" s="1"/>
  <c r="AD44" i="2"/>
  <c r="AH44" i="2" s="1"/>
  <c r="AQ44" i="2" s="1"/>
  <c r="AU44" i="2" s="1"/>
  <c r="BD44" i="2" s="1"/>
  <c r="BH44" i="2" s="1"/>
  <c r="BL44" i="2" s="1"/>
  <c r="D6" i="16" s="1"/>
  <c r="AD45" i="2"/>
  <c r="AH45" i="2" s="1"/>
  <c r="AQ45" i="2" s="1"/>
  <c r="AU45" i="2" s="1"/>
  <c r="BD45" i="2" s="1"/>
  <c r="BH45" i="2" s="1"/>
  <c r="BL45" i="2" s="1"/>
  <c r="D7" i="16" s="1"/>
  <c r="N47" i="2"/>
  <c r="T47" i="2"/>
  <c r="X47" i="2"/>
  <c r="AD47" i="2"/>
  <c r="AH47" i="2" s="1"/>
  <c r="AQ47" i="2"/>
  <c r="AU47" i="2" s="1"/>
  <c r="BD47" i="2" s="1"/>
  <c r="BH47" i="2" s="1"/>
  <c r="BL47" i="2" s="1"/>
  <c r="D9" i="16" s="1"/>
  <c r="N48" i="2"/>
  <c r="T48" i="2"/>
  <c r="X48" i="2" s="1"/>
  <c r="AD48" i="2" s="1"/>
  <c r="AH48" i="2" s="1"/>
  <c r="AQ48" i="2" s="1"/>
  <c r="AU48" i="2" s="1"/>
  <c r="BD48" i="2" s="1"/>
  <c r="N49" i="2"/>
  <c r="T49" i="2"/>
  <c r="X49" i="2"/>
  <c r="AD49" i="2"/>
  <c r="AH49" i="2" s="1"/>
  <c r="AQ49" i="2" s="1"/>
  <c r="AU49" i="2" s="1"/>
  <c r="BD49" i="2" s="1"/>
  <c r="BH49" i="2" s="1"/>
  <c r="BL49" i="2" s="1"/>
  <c r="D11" i="16" s="1"/>
  <c r="N50" i="2"/>
  <c r="T50" i="2" s="1"/>
  <c r="X50" i="2" s="1"/>
  <c r="AD50" i="2" s="1"/>
  <c r="AH50" i="2" s="1"/>
  <c r="AQ50" i="2" s="1"/>
  <c r="AU50" i="2" s="1"/>
  <c r="BD50" i="2" s="1"/>
  <c r="BH50" i="2" s="1"/>
  <c r="BL50" i="2" s="1"/>
  <c r="D12" i="16" s="1"/>
  <c r="N51" i="2"/>
  <c r="T51" i="2"/>
  <c r="X51" i="2" s="1"/>
  <c r="AD51" i="2" s="1"/>
  <c r="AH51" i="2" s="1"/>
  <c r="AQ51" i="2" s="1"/>
  <c r="AU51" i="2" s="1"/>
  <c r="BD51" i="2" s="1"/>
  <c r="BH51" i="2" s="1"/>
  <c r="BL51" i="2" s="1"/>
  <c r="D13" i="16" s="1"/>
  <c r="N52" i="2"/>
  <c r="T52" i="2" s="1"/>
  <c r="X52" i="2"/>
  <c r="AD52" i="2"/>
  <c r="AH52" i="2" s="1"/>
  <c r="AQ52" i="2" s="1"/>
  <c r="AU52" i="2" s="1"/>
  <c r="BD52" i="2" s="1"/>
  <c r="BH52" i="2" s="1"/>
  <c r="BL52" i="2" s="1"/>
  <c r="D14" i="16" s="1"/>
  <c r="N53" i="2"/>
  <c r="T53" i="2"/>
  <c r="X53" i="2"/>
  <c r="AD53" i="2" s="1"/>
  <c r="AH53" i="2" s="1"/>
  <c r="AQ53" i="2" s="1"/>
  <c r="AU53" i="2" s="1"/>
  <c r="BD53" i="2" s="1"/>
  <c r="BH53" i="2" s="1"/>
  <c r="BL53" i="2" s="1"/>
  <c r="D15" i="16" s="1"/>
  <c r="N54" i="2"/>
  <c r="T54" i="2" s="1"/>
  <c r="X54" i="2" s="1"/>
  <c r="AD54" i="2" s="1"/>
  <c r="AH54" i="2" s="1"/>
  <c r="AQ54" i="2" s="1"/>
  <c r="AU54" i="2" s="1"/>
  <c r="BD54" i="2" s="1"/>
  <c r="BH54" i="2" s="1"/>
  <c r="BL54" i="2" s="1"/>
  <c r="D16" i="16" s="1"/>
  <c r="N55" i="2"/>
  <c r="T55" i="2"/>
  <c r="X55" i="2" s="1"/>
  <c r="AD55" i="2" s="1"/>
  <c r="AH55" i="2" s="1"/>
  <c r="AQ55" i="2" s="1"/>
  <c r="AU55" i="2" s="1"/>
  <c r="BD55" i="2" s="1"/>
  <c r="BH55" i="2" s="1"/>
  <c r="BL55" i="2" s="1"/>
  <c r="D17" i="16" s="1"/>
  <c r="N56" i="2"/>
  <c r="T56" i="2"/>
  <c r="X56" i="2"/>
  <c r="AD56" i="2" s="1"/>
  <c r="AH56" i="2" s="1"/>
  <c r="AQ56" i="2" s="1"/>
  <c r="AU56" i="2" s="1"/>
  <c r="BD56" i="2" s="1"/>
  <c r="BH56" i="2" s="1"/>
  <c r="BL56" i="2" s="1"/>
  <c r="D25" i="16" s="1"/>
  <c r="N57" i="2"/>
  <c r="T57" i="2"/>
  <c r="X57" i="2" s="1"/>
  <c r="AD57" i="2"/>
  <c r="AH57" i="2"/>
  <c r="AQ57" i="2" s="1"/>
  <c r="AU57" i="2" s="1"/>
  <c r="BD57" i="2" s="1"/>
  <c r="BH57" i="2" s="1"/>
  <c r="BL57" i="2" s="1"/>
  <c r="D27" i="16" s="1"/>
  <c r="N58" i="2"/>
  <c r="T58" i="2" s="1"/>
  <c r="X58" i="2" s="1"/>
  <c r="AD58" i="2" s="1"/>
  <c r="AH58" i="2" s="1"/>
  <c r="AQ58" i="2" s="1"/>
  <c r="AU58" i="2" s="1"/>
  <c r="BD58" i="2" s="1"/>
  <c r="BH58" i="2" s="1"/>
  <c r="BL58" i="2" s="1"/>
  <c r="D28" i="16" s="1"/>
  <c r="N59" i="2"/>
  <c r="T59" i="2"/>
  <c r="X59" i="2" s="1"/>
  <c r="AD59" i="2" s="1"/>
  <c r="AH59" i="2" s="1"/>
  <c r="AQ59" i="2" s="1"/>
  <c r="AU59" i="2" s="1"/>
  <c r="BD59" i="2" s="1"/>
  <c r="BH59" i="2" s="1"/>
  <c r="BL59" i="2" s="1"/>
  <c r="D32" i="16" s="1"/>
  <c r="N60" i="2"/>
  <c r="T60" i="2"/>
  <c r="X60" i="2" s="1"/>
  <c r="AD60" i="2"/>
  <c r="AH60" i="2"/>
  <c r="AQ60" i="2" s="1"/>
  <c r="AU60" i="2" s="1"/>
  <c r="BD60" i="2" s="1"/>
  <c r="BH60" i="2" s="1"/>
  <c r="BL60" i="2" s="1"/>
  <c r="D44" i="16" s="1"/>
  <c r="N24" i="2"/>
  <c r="T24" i="2" s="1"/>
  <c r="X24" i="2" s="1"/>
  <c r="N25" i="2"/>
  <c r="T25" i="2" s="1"/>
  <c r="X25" i="2" s="1"/>
  <c r="AD25" i="2" s="1"/>
  <c r="AH25" i="2" s="1"/>
  <c r="AQ25" i="2" s="1"/>
  <c r="AU25" i="2" s="1"/>
  <c r="BD25" i="2" s="1"/>
  <c r="BH25" i="2" s="1"/>
  <c r="BL25" i="2" s="1"/>
  <c r="D19" i="16" s="1"/>
  <c r="N26" i="2"/>
  <c r="T26" i="2" s="1"/>
  <c r="X26" i="2" s="1"/>
  <c r="AD26" i="2" s="1"/>
  <c r="AH26" i="2" s="1"/>
  <c r="AQ26" i="2" s="1"/>
  <c r="AU26" i="2" s="1"/>
  <c r="BD26" i="2" s="1"/>
  <c r="BH26" i="2" s="1"/>
  <c r="BL26" i="2" s="1"/>
  <c r="D31" i="16" s="1"/>
  <c r="N27" i="2"/>
  <c r="T27" i="2" s="1"/>
  <c r="X27" i="2"/>
  <c r="N28" i="2"/>
  <c r="T28" i="2"/>
  <c r="X28" i="2" s="1"/>
  <c r="AD28" i="2"/>
  <c r="AH28" i="2"/>
  <c r="AQ28" i="2" s="1"/>
  <c r="AU28" i="2" s="1"/>
  <c r="BD28" i="2" s="1"/>
  <c r="BH28" i="2" s="1"/>
  <c r="BL28" i="2" s="1"/>
  <c r="D34" i="16" s="1"/>
  <c r="N29" i="2"/>
  <c r="T29" i="2" s="1"/>
  <c r="X29" i="2" s="1"/>
  <c r="AD29" i="2" s="1"/>
  <c r="AH29" i="2" s="1"/>
  <c r="AQ29" i="2" s="1"/>
  <c r="AU29" i="2" s="1"/>
  <c r="BD29" i="2" s="1"/>
  <c r="BH29" i="2" s="1"/>
  <c r="BL29" i="2" s="1"/>
  <c r="D35" i="16" s="1"/>
  <c r="N30" i="2"/>
  <c r="T30" i="2"/>
  <c r="X30" i="2" s="1"/>
  <c r="N31" i="2"/>
  <c r="T31" i="2"/>
  <c r="X31" i="2" s="1"/>
  <c r="AD31" i="2" s="1"/>
  <c r="AH31" i="2" s="1"/>
  <c r="AQ31" i="2" s="1"/>
  <c r="AU31" i="2" s="1"/>
  <c r="BD31" i="2" s="1"/>
  <c r="BH31" i="2" s="1"/>
  <c r="BL31" i="2" s="1"/>
  <c r="N32" i="2"/>
  <c r="T32" i="2"/>
  <c r="X32" i="2" s="1"/>
  <c r="AD32" i="2" s="1"/>
  <c r="AH32" i="2" s="1"/>
  <c r="AQ32" i="2" s="1"/>
  <c r="AU32" i="2" s="1"/>
  <c r="BD32" i="2" s="1"/>
  <c r="BH32" i="2" s="1"/>
  <c r="BL32" i="2" s="1"/>
  <c r="N33" i="2"/>
  <c r="T33" i="2" s="1"/>
  <c r="X33" i="2" s="1"/>
  <c r="AD33" i="2" s="1"/>
  <c r="N35" i="2"/>
  <c r="T35" i="2" s="1"/>
  <c r="X35" i="2"/>
  <c r="AD35" i="2" s="1"/>
  <c r="AH35" i="2" s="1"/>
  <c r="AQ35" i="2" s="1"/>
  <c r="AU35" i="2" s="1"/>
  <c r="BD35" i="2" s="1"/>
  <c r="BH35" i="2" s="1"/>
  <c r="BL35" i="2" s="1"/>
  <c r="N64" i="2"/>
  <c r="T64" i="2" s="1"/>
  <c r="N65" i="2"/>
  <c r="T65" i="2" s="1"/>
  <c r="X65" i="2" s="1"/>
  <c r="AD65" i="2" s="1"/>
  <c r="AH65" i="2" s="1"/>
  <c r="AQ65" i="2" s="1"/>
  <c r="AU65" i="2" s="1"/>
  <c r="BD65" i="2" s="1"/>
  <c r="BH65" i="2" s="1"/>
  <c r="BL65" i="2" s="1"/>
  <c r="D37" i="16" s="1"/>
  <c r="N66" i="2"/>
  <c r="T66" i="2"/>
  <c r="X66" i="2"/>
  <c r="AD66" i="2" s="1"/>
  <c r="AH66" i="2" s="1"/>
  <c r="AQ66" i="2" s="1"/>
  <c r="AU66" i="2" s="1"/>
  <c r="BD66" i="2" s="1"/>
  <c r="BH66" i="2" s="1"/>
  <c r="BL66" i="2" s="1"/>
  <c r="D38" i="16" s="1"/>
  <c r="X71" i="2"/>
  <c r="AD71" i="2"/>
  <c r="AH71" i="2" s="1"/>
  <c r="AQ71" i="2"/>
  <c r="AU71" i="2"/>
  <c r="BD71" i="2" s="1"/>
  <c r="BH71" i="2" s="1"/>
  <c r="BL71" i="2" s="1"/>
  <c r="D26" i="16" s="1"/>
  <c r="BP39" i="2"/>
  <c r="BP38" i="2" s="1"/>
  <c r="BK81" i="2"/>
  <c r="C29" i="16" s="1"/>
  <c r="C39" i="2"/>
  <c r="F5" i="16"/>
  <c r="G5" i="16"/>
  <c r="I5" i="16"/>
  <c r="F6" i="16"/>
  <c r="G6" i="16"/>
  <c r="I6" i="16"/>
  <c r="F7" i="16"/>
  <c r="G7" i="16"/>
  <c r="I7" i="16"/>
  <c r="F8" i="16"/>
  <c r="I8" i="16"/>
  <c r="F9" i="16"/>
  <c r="G9" i="16"/>
  <c r="I9" i="16"/>
  <c r="F10" i="16"/>
  <c r="G10" i="16"/>
  <c r="F11" i="16"/>
  <c r="G11" i="16"/>
  <c r="I11" i="16"/>
  <c r="F12" i="16"/>
  <c r="G12" i="16"/>
  <c r="I12" i="16"/>
  <c r="F13" i="16"/>
  <c r="G13" i="16"/>
  <c r="I13" i="16"/>
  <c r="F14" i="16"/>
  <c r="G14" i="16"/>
  <c r="I14" i="16"/>
  <c r="F15" i="16"/>
  <c r="G15" i="16"/>
  <c r="I15" i="16"/>
  <c r="F16" i="16"/>
  <c r="G16" i="16"/>
  <c r="I16" i="16"/>
  <c r="F17" i="16"/>
  <c r="G17" i="16"/>
  <c r="I17" i="16"/>
  <c r="F18" i="16"/>
  <c r="G18" i="16"/>
  <c r="I18" i="16"/>
  <c r="G19" i="16"/>
  <c r="I19" i="16"/>
  <c r="F20" i="16"/>
  <c r="G20" i="16"/>
  <c r="I20" i="16"/>
  <c r="F21" i="16"/>
  <c r="G21" i="16"/>
  <c r="I21" i="16"/>
  <c r="F22" i="16"/>
  <c r="G22" i="16"/>
  <c r="I22" i="16"/>
  <c r="F23" i="16"/>
  <c r="G23" i="16"/>
  <c r="I23" i="16"/>
  <c r="F24" i="16"/>
  <c r="G24" i="16"/>
  <c r="I24" i="16"/>
  <c r="F25" i="16"/>
  <c r="G25" i="16"/>
  <c r="I25" i="16"/>
  <c r="F26" i="16"/>
  <c r="G26" i="16"/>
  <c r="I26" i="16"/>
  <c r="F27" i="16"/>
  <c r="G27" i="16"/>
  <c r="I27" i="16"/>
  <c r="F28" i="16"/>
  <c r="G28" i="16"/>
  <c r="I28" i="16"/>
  <c r="F29" i="16"/>
  <c r="G29" i="16"/>
  <c r="I29" i="16"/>
  <c r="F30" i="16"/>
  <c r="G30" i="16"/>
  <c r="I30" i="16"/>
  <c r="F31" i="16"/>
  <c r="G31" i="16"/>
  <c r="I31" i="16"/>
  <c r="F32" i="16"/>
  <c r="G32" i="16"/>
  <c r="I32" i="16"/>
  <c r="F33" i="16"/>
  <c r="G33" i="16"/>
  <c r="I33" i="16"/>
  <c r="F34" i="16"/>
  <c r="G34" i="16"/>
  <c r="I34" i="16"/>
  <c r="F35" i="16"/>
  <c r="G35" i="16"/>
  <c r="I35" i="16"/>
  <c r="F36" i="16"/>
  <c r="G36" i="16"/>
  <c r="I36" i="16"/>
  <c r="F37" i="16"/>
  <c r="G37" i="16"/>
  <c r="I37" i="16"/>
  <c r="F38" i="16"/>
  <c r="G38" i="16"/>
  <c r="I38" i="16"/>
  <c r="C39" i="16"/>
  <c r="E39" i="16" s="1"/>
  <c r="H39" i="16" s="1"/>
  <c r="D39" i="16"/>
  <c r="F39" i="16"/>
  <c r="G39" i="16"/>
  <c r="I39" i="16"/>
  <c r="J39" i="16"/>
  <c r="C40" i="16"/>
  <c r="E40" i="16" s="1"/>
  <c r="H40" i="16" s="1"/>
  <c r="D40" i="16"/>
  <c r="F40" i="16"/>
  <c r="G40" i="16"/>
  <c r="I40" i="16"/>
  <c r="J40" i="16"/>
  <c r="C41" i="16"/>
  <c r="E41" i="16" s="1"/>
  <c r="H41" i="16" s="1"/>
  <c r="D41" i="16"/>
  <c r="F41" i="16"/>
  <c r="G41" i="16"/>
  <c r="I41" i="16"/>
  <c r="J41" i="16"/>
  <c r="C42" i="16"/>
  <c r="E42" i="16" s="1"/>
  <c r="H42" i="16" s="1"/>
  <c r="D42" i="16"/>
  <c r="F42" i="16"/>
  <c r="G42" i="16"/>
  <c r="I42" i="16"/>
  <c r="J42" i="16"/>
  <c r="F43" i="16"/>
  <c r="G43" i="16"/>
  <c r="I43" i="16"/>
  <c r="F44" i="16"/>
  <c r="G44" i="16"/>
  <c r="I44" i="16"/>
  <c r="F4" i="16"/>
  <c r="G4" i="16"/>
  <c r="I4" i="16"/>
  <c r="BG62" i="2"/>
  <c r="BG68" i="2" s="1"/>
  <c r="BG74" i="2" s="1"/>
  <c r="BG37" i="2"/>
  <c r="BF62" i="2"/>
  <c r="BF68" i="2" s="1"/>
  <c r="BF74" i="2" s="1"/>
  <c r="BF37" i="2"/>
  <c r="BF38" i="2" s="1"/>
  <c r="BB62" i="2"/>
  <c r="BB68" i="2" s="1"/>
  <c r="BB74" i="2" s="1"/>
  <c r="BB37" i="2"/>
  <c r="BA62" i="2"/>
  <c r="BA68" i="2" s="1"/>
  <c r="BA74" i="2"/>
  <c r="BA37" i="2"/>
  <c r="AZ62" i="2"/>
  <c r="AZ37" i="2"/>
  <c r="AY62" i="2"/>
  <c r="AY37" i="2"/>
  <c r="AY38" i="2" s="1"/>
  <c r="AX62" i="2"/>
  <c r="AX68" i="2" s="1"/>
  <c r="AX74" i="2" s="1"/>
  <c r="AX37" i="2"/>
  <c r="AX38" i="2" s="1"/>
  <c r="AW62" i="2"/>
  <c r="BG39" i="2"/>
  <c r="BF39" i="2"/>
  <c r="BE39" i="2"/>
  <c r="BB39" i="2"/>
  <c r="BA39" i="2"/>
  <c r="AZ39" i="2"/>
  <c r="AY39" i="2"/>
  <c r="AX39" i="2"/>
  <c r="AW39" i="2"/>
  <c r="BG38" i="2"/>
  <c r="BB38" i="2"/>
  <c r="AZ38" i="2"/>
  <c r="G76" i="14"/>
  <c r="G77" i="14"/>
  <c r="G78" i="14"/>
  <c r="G79" i="14"/>
  <c r="G80" i="14"/>
  <c r="G81" i="14"/>
  <c r="G82" i="14"/>
  <c r="G83" i="14"/>
  <c r="G84" i="14"/>
  <c r="G85" i="14"/>
  <c r="G86" i="14"/>
  <c r="G87" i="14"/>
  <c r="G88" i="14"/>
  <c r="G89" i="14"/>
  <c r="G90" i="14"/>
  <c r="G91" i="14"/>
  <c r="G92" i="14"/>
  <c r="G93" i="14"/>
  <c r="G94" i="14"/>
  <c r="G75" i="14"/>
  <c r="N41" i="12"/>
  <c r="D76" i="14"/>
  <c r="D77" i="14"/>
  <c r="D78" i="14"/>
  <c r="D79" i="14"/>
  <c r="D80" i="14"/>
  <c r="D81" i="14"/>
  <c r="D84" i="14"/>
  <c r="D75" i="14"/>
  <c r="D94" i="14"/>
  <c r="D93" i="14"/>
  <c r="D92" i="14"/>
  <c r="D91" i="14"/>
  <c r="D90" i="14"/>
  <c r="D89" i="14"/>
  <c r="D88" i="14"/>
  <c r="D87" i="14"/>
  <c r="D86" i="14"/>
  <c r="D85" i="14"/>
  <c r="D83" i="14"/>
  <c r="D82" i="14"/>
  <c r="F37" i="2"/>
  <c r="F38" i="2" s="1"/>
  <c r="G37" i="2"/>
  <c r="G38" i="2" s="1"/>
  <c r="H37" i="2"/>
  <c r="K37" i="2"/>
  <c r="L37" i="2"/>
  <c r="L38" i="2" s="1"/>
  <c r="M37" i="2"/>
  <c r="M38" i="2" s="1"/>
  <c r="P37" i="2"/>
  <c r="Q37" i="2"/>
  <c r="U37" i="2"/>
  <c r="V37" i="2"/>
  <c r="Z37" i="2"/>
  <c r="AA37" i="2"/>
  <c r="AA68" i="2" s="1"/>
  <c r="AA74" i="2" s="1"/>
  <c r="AB37" i="2"/>
  <c r="AE37" i="2"/>
  <c r="AE38" i="2" s="1"/>
  <c r="AF37" i="2"/>
  <c r="AF68" i="2" s="1"/>
  <c r="AF74" i="2" s="1"/>
  <c r="AG37" i="2"/>
  <c r="AG38" i="2" s="1"/>
  <c r="AJ39" i="2"/>
  <c r="AK37" i="2"/>
  <c r="AK39" i="2"/>
  <c r="AL37" i="2"/>
  <c r="AM37" i="2"/>
  <c r="AN37" i="2"/>
  <c r="AN38" i="2" s="1"/>
  <c r="AO37" i="2"/>
  <c r="AR37" i="2"/>
  <c r="AR38" i="2" s="1"/>
  <c r="AS37" i="2"/>
  <c r="AS38" i="2" s="1"/>
  <c r="AS39" i="2"/>
  <c r="AT37" i="2"/>
  <c r="AT62" i="2"/>
  <c r="AT68" i="2" s="1"/>
  <c r="AT74" i="2" s="1"/>
  <c r="BM37" i="2"/>
  <c r="BN37" i="2"/>
  <c r="AS62" i="2"/>
  <c r="AS68" i="2" s="1"/>
  <c r="AS74" i="2" s="1"/>
  <c r="AR62" i="2"/>
  <c r="AR68" i="2" s="1"/>
  <c r="AR74" i="2" s="1"/>
  <c r="AO62" i="2"/>
  <c r="AO68" i="2" s="1"/>
  <c r="AO74" i="2" s="1"/>
  <c r="AN62" i="2"/>
  <c r="AM62" i="2"/>
  <c r="AM68" i="2" s="1"/>
  <c r="AM74" i="2" s="1"/>
  <c r="AL62" i="2"/>
  <c r="AL68" i="2"/>
  <c r="AL74" i="2" s="1"/>
  <c r="AK62" i="2"/>
  <c r="AJ62" i="2"/>
  <c r="AT39" i="2"/>
  <c r="AR39" i="2"/>
  <c r="AO39" i="2"/>
  <c r="AN39" i="2"/>
  <c r="AM39" i="2"/>
  <c r="AM38" i="2"/>
  <c r="AL39" i="2"/>
  <c r="AL38" i="2" s="1"/>
  <c r="AT38" i="2"/>
  <c r="AP82" i="2"/>
  <c r="G48" i="14"/>
  <c r="G49" i="14"/>
  <c r="G50" i="14"/>
  <c r="G51" i="14"/>
  <c r="G52" i="14"/>
  <c r="G53" i="14"/>
  <c r="G20" i="14"/>
  <c r="G47" i="14"/>
  <c r="D48" i="14"/>
  <c r="D51" i="14"/>
  <c r="D47" i="14"/>
  <c r="D20" i="14"/>
  <c r="C66" i="14"/>
  <c r="G66" i="14"/>
  <c r="C65" i="14"/>
  <c r="D65" i="14" s="1"/>
  <c r="C64" i="14"/>
  <c r="G64" i="14"/>
  <c r="C63" i="14"/>
  <c r="D63" i="14" s="1"/>
  <c r="G62" i="14"/>
  <c r="C61" i="14"/>
  <c r="D61" i="14"/>
  <c r="C60" i="14"/>
  <c r="G60" i="14"/>
  <c r="C59" i="14"/>
  <c r="D59" i="14"/>
  <c r="G58" i="14"/>
  <c r="C57" i="14"/>
  <c r="G57" i="14" s="1"/>
  <c r="D57" i="14"/>
  <c r="G56" i="14"/>
  <c r="C55" i="14"/>
  <c r="D55" i="14"/>
  <c r="C54" i="14"/>
  <c r="G54" i="14"/>
  <c r="D64" i="14"/>
  <c r="D62" i="14"/>
  <c r="D60" i="14"/>
  <c r="D58" i="14"/>
  <c r="D56" i="14"/>
  <c r="D54" i="14"/>
  <c r="G61" i="14"/>
  <c r="G59" i="14"/>
  <c r="G55" i="14"/>
  <c r="D66" i="14"/>
  <c r="C23" i="14"/>
  <c r="G23" i="14" s="1"/>
  <c r="C25" i="14"/>
  <c r="C26" i="14"/>
  <c r="C27" i="14"/>
  <c r="G27" i="14" s="1"/>
  <c r="C28" i="14"/>
  <c r="D28" i="14" s="1"/>
  <c r="C29" i="14"/>
  <c r="C30" i="14"/>
  <c r="C31" i="14"/>
  <c r="G31" i="14" s="1"/>
  <c r="C32" i="14"/>
  <c r="D32" i="14" s="1"/>
  <c r="C34" i="14"/>
  <c r="C35" i="14"/>
  <c r="G35" i="14" s="1"/>
  <c r="C36" i="14"/>
  <c r="D36" i="14" s="1"/>
  <c r="C37" i="14"/>
  <c r="D37" i="14" s="1"/>
  <c r="C38" i="14"/>
  <c r="C39" i="14"/>
  <c r="G39" i="14" s="1"/>
  <c r="B27" i="14"/>
  <c r="B110" i="14" s="1"/>
  <c r="E110" i="14" s="1"/>
  <c r="F110" i="14" s="1"/>
  <c r="B28" i="14"/>
  <c r="B111" i="14" s="1"/>
  <c r="E111" i="14" s="1"/>
  <c r="F111" i="14" s="1"/>
  <c r="B29" i="14"/>
  <c r="B30" i="14"/>
  <c r="B57" i="14" s="1"/>
  <c r="B31" i="14"/>
  <c r="B86" i="14" s="1"/>
  <c r="B32" i="14"/>
  <c r="B115" i="14" s="1"/>
  <c r="E115" i="14" s="1"/>
  <c r="F115" i="14" s="1"/>
  <c r="B33" i="14"/>
  <c r="B116" i="14" s="1"/>
  <c r="E116" i="14" s="1"/>
  <c r="F116" i="14" s="1"/>
  <c r="B34" i="14"/>
  <c r="B117" i="14" s="1"/>
  <c r="E117" i="14" s="1"/>
  <c r="F117" i="14" s="1"/>
  <c r="B35" i="14"/>
  <c r="B62" i="14" s="1"/>
  <c r="B36" i="14"/>
  <c r="B119" i="14" s="1"/>
  <c r="E119" i="14" s="1"/>
  <c r="F119" i="14" s="1"/>
  <c r="B37" i="14"/>
  <c r="B38" i="14"/>
  <c r="B121" i="14" s="1"/>
  <c r="E121" i="14" s="1"/>
  <c r="F121" i="14" s="1"/>
  <c r="B39" i="14"/>
  <c r="B94" i="14" s="1"/>
  <c r="D46" i="13"/>
  <c r="B87" i="14"/>
  <c r="B66" i="14"/>
  <c r="B90" i="14"/>
  <c r="B58" i="14"/>
  <c r="B82" i="14"/>
  <c r="B50" i="14"/>
  <c r="B93" i="14"/>
  <c r="B61" i="14"/>
  <c r="B89" i="14"/>
  <c r="B85" i="14"/>
  <c r="B53" i="14"/>
  <c r="B64" i="14"/>
  <c r="B92" i="14"/>
  <c r="B60" i="14"/>
  <c r="B88" i="14"/>
  <c r="B56" i="14"/>
  <c r="B84" i="14"/>
  <c r="B52" i="14"/>
  <c r="B49" i="14"/>
  <c r="B48" i="14"/>
  <c r="B47" i="14"/>
  <c r="G38" i="14"/>
  <c r="D38" i="14"/>
  <c r="G36" i="14"/>
  <c r="G34" i="14"/>
  <c r="D34" i="14"/>
  <c r="G32" i="14"/>
  <c r="G30" i="14"/>
  <c r="D30" i="14"/>
  <c r="G28" i="14"/>
  <c r="G26" i="14"/>
  <c r="D26" i="14"/>
  <c r="G24" i="14"/>
  <c r="D24" i="14"/>
  <c r="G22" i="14"/>
  <c r="D22" i="14"/>
  <c r="D39" i="14"/>
  <c r="D35" i="14"/>
  <c r="D33" i="14"/>
  <c r="G33" i="14"/>
  <c r="D31" i="14"/>
  <c r="D29" i="14"/>
  <c r="G29" i="14"/>
  <c r="D27" i="14"/>
  <c r="D25" i="14"/>
  <c r="G25" i="14"/>
  <c r="D23" i="14"/>
  <c r="D21" i="14"/>
  <c r="G21" i="14"/>
  <c r="F41" i="12"/>
  <c r="G41" i="12"/>
  <c r="I41" i="12"/>
  <c r="J41" i="12"/>
  <c r="K41" i="12"/>
  <c r="L41" i="12"/>
  <c r="M41" i="12"/>
  <c r="P41" i="12"/>
  <c r="E41" i="12"/>
  <c r="H22" i="12"/>
  <c r="H23" i="12"/>
  <c r="D49" i="14" s="1"/>
  <c r="H24" i="12"/>
  <c r="D50" i="14" s="1"/>
  <c r="H25" i="12"/>
  <c r="H26" i="12"/>
  <c r="D52" i="14" s="1"/>
  <c r="H27" i="12"/>
  <c r="D53" i="14" s="1"/>
  <c r="H28" i="12"/>
  <c r="H29" i="12"/>
  <c r="H30" i="12"/>
  <c r="H31" i="12"/>
  <c r="H32" i="12"/>
  <c r="H33" i="12"/>
  <c r="H34" i="12"/>
  <c r="H35" i="12"/>
  <c r="H36" i="12"/>
  <c r="H37" i="12"/>
  <c r="H38" i="12"/>
  <c r="H39" i="12"/>
  <c r="H40" i="12"/>
  <c r="H21" i="12"/>
  <c r="U54" i="13"/>
  <c r="U53" i="13"/>
  <c r="Y54" i="13"/>
  <c r="Y53" i="13"/>
  <c r="V53" i="13"/>
  <c r="V54" i="13"/>
  <c r="Q54" i="13"/>
  <c r="Q53" i="13"/>
  <c r="N54" i="13"/>
  <c r="R53" i="13"/>
  <c r="R54" i="13"/>
  <c r="S53" i="13"/>
  <c r="S54" i="13"/>
  <c r="T53" i="13"/>
  <c r="BJ62" i="2"/>
  <c r="BI62" i="2"/>
  <c r="AG62" i="2"/>
  <c r="AG68" i="2" s="1"/>
  <c r="AG74" i="2" s="1"/>
  <c r="AF62" i="2"/>
  <c r="AA62" i="2"/>
  <c r="Z62" i="2"/>
  <c r="W62" i="2"/>
  <c r="V62" i="2"/>
  <c r="P62" i="2"/>
  <c r="AP81" i="2"/>
  <c r="AB62" i="2"/>
  <c r="AG39" i="2"/>
  <c r="AF39" i="2"/>
  <c r="AE39" i="2"/>
  <c r="AB39" i="2"/>
  <c r="AA39" i="2"/>
  <c r="AA38" i="2"/>
  <c r="Z39" i="2"/>
  <c r="BN39" i="2"/>
  <c r="BN38" i="2"/>
  <c r="BM39" i="2"/>
  <c r="BI39" i="2"/>
  <c r="BJ39" i="2"/>
  <c r="G62" i="2"/>
  <c r="H62" i="2"/>
  <c r="H68" i="2" s="1"/>
  <c r="H74" i="2" s="1"/>
  <c r="K62" i="2"/>
  <c r="K68" i="2" s="1"/>
  <c r="K74" i="2" s="1"/>
  <c r="L62" i="2"/>
  <c r="M62" i="2"/>
  <c r="M68" i="2" s="1"/>
  <c r="M74" i="2" s="1"/>
  <c r="Q62" i="2"/>
  <c r="R62" i="2"/>
  <c r="U62" i="2"/>
  <c r="BM62" i="2"/>
  <c r="BN62" i="2"/>
  <c r="F39" i="2"/>
  <c r="G39" i="2"/>
  <c r="H39" i="2"/>
  <c r="H38" i="2" s="1"/>
  <c r="K39" i="2"/>
  <c r="K38" i="2"/>
  <c r="L39" i="2"/>
  <c r="M39" i="2"/>
  <c r="P39" i="2"/>
  <c r="Q39" i="2"/>
  <c r="Q38" i="2"/>
  <c r="R39" i="2"/>
  <c r="U39" i="2"/>
  <c r="V39" i="2"/>
  <c r="V38" i="2"/>
  <c r="W39" i="2"/>
  <c r="AB38" i="2"/>
  <c r="Z38" i="2"/>
  <c r="AF38" i="2"/>
  <c r="AB68" i="2"/>
  <c r="AB74" i="2" s="1"/>
  <c r="V68" i="2"/>
  <c r="V74" i="2" s="1"/>
  <c r="J62" i="2"/>
  <c r="J68" i="2" s="1"/>
  <c r="J74" i="2" s="1"/>
  <c r="E39" i="2"/>
  <c r="E37" i="2"/>
  <c r="E38" i="2" s="1"/>
  <c r="I39" i="2"/>
  <c r="J39" i="2"/>
  <c r="E62" i="2"/>
  <c r="E68" i="2"/>
  <c r="E74" i="2" s="1"/>
  <c r="J37" i="2"/>
  <c r="O39" i="2"/>
  <c r="N39" i="2"/>
  <c r="S39" i="2"/>
  <c r="J38" i="2"/>
  <c r="AD27" i="2"/>
  <c r="AH27" i="2" s="1"/>
  <c r="AQ27" i="2" s="1"/>
  <c r="AU27" i="2" s="1"/>
  <c r="BD27" i="2" s="1"/>
  <c r="BH27" i="2" s="1"/>
  <c r="BL27" i="2" s="1"/>
  <c r="D33" i="16" s="1"/>
  <c r="AO38" i="2"/>
  <c r="C43" i="16"/>
  <c r="E43" i="16" s="1"/>
  <c r="H43" i="16" s="1"/>
  <c r="D43" i="16"/>
  <c r="J43" i="16"/>
  <c r="BO81" i="2" l="1"/>
  <c r="D53" i="13" s="1"/>
  <c r="N62" i="2"/>
  <c r="BM68" i="2"/>
  <c r="BM74" i="2" s="1"/>
  <c r="U68" i="2"/>
  <c r="U74" i="2" s="1"/>
  <c r="BN68" i="2"/>
  <c r="BN74" i="2" s="1"/>
  <c r="BK60" i="2"/>
  <c r="BQ60" i="2"/>
  <c r="BK52" i="2"/>
  <c r="BQ52" i="2"/>
  <c r="BQ44" i="2"/>
  <c r="BK44" i="2"/>
  <c r="BK66" i="2"/>
  <c r="BQ66" i="2"/>
  <c r="BK58" i="2"/>
  <c r="BQ58" i="2"/>
  <c r="BK78" i="2"/>
  <c r="BQ78" i="2"/>
  <c r="BQ82" i="2"/>
  <c r="BL82" i="2"/>
  <c r="D30" i="16" s="1"/>
  <c r="BK46" i="2"/>
  <c r="AD24" i="2"/>
  <c r="AH24" i="2" s="1"/>
  <c r="AQ24" i="2" s="1"/>
  <c r="AU24" i="2" s="1"/>
  <c r="BD24" i="2" s="1"/>
  <c r="BH24" i="2" s="1"/>
  <c r="BL24" i="2" s="1"/>
  <c r="D18" i="16" s="1"/>
  <c r="X37" i="2"/>
  <c r="AQ42" i="2"/>
  <c r="BQ35" i="2"/>
  <c r="E35" i="11" s="1"/>
  <c r="BK35" i="2"/>
  <c r="BO35" i="2" s="1"/>
  <c r="D16" i="13" s="1"/>
  <c r="K16" i="13" s="1"/>
  <c r="S28" i="2"/>
  <c r="Y28" i="2" s="1"/>
  <c r="AC28" i="2" s="1"/>
  <c r="AI28" i="2" s="1"/>
  <c r="AP28" i="2" s="1"/>
  <c r="AV28" i="2" s="1"/>
  <c r="BC28" i="2" s="1"/>
  <c r="O37" i="2"/>
  <c r="O38" i="2" s="1"/>
  <c r="BK25" i="2"/>
  <c r="BQ25" i="2"/>
  <c r="BK56" i="2"/>
  <c r="BQ56" i="2"/>
  <c r="BK49" i="2"/>
  <c r="BQ49" i="2"/>
  <c r="Y43" i="2"/>
  <c r="AC43" i="2" s="1"/>
  <c r="AI43" i="2" s="1"/>
  <c r="AP43" i="2" s="1"/>
  <c r="AV43" i="2" s="1"/>
  <c r="BC43" i="2" s="1"/>
  <c r="S62" i="2"/>
  <c r="BQ77" i="2"/>
  <c r="BK77" i="2"/>
  <c r="C30" i="16"/>
  <c r="AD62" i="2"/>
  <c r="AH46" i="2"/>
  <c r="AQ46" i="2" s="1"/>
  <c r="AU46" i="2" s="1"/>
  <c r="BD46" i="2" s="1"/>
  <c r="BH46" i="2" s="1"/>
  <c r="BL46" i="2" s="1"/>
  <c r="D8" i="16" s="1"/>
  <c r="BK32" i="2"/>
  <c r="BO32" i="2" s="1"/>
  <c r="D13" i="13" s="1"/>
  <c r="F13" i="13" s="1"/>
  <c r="BQ32" i="2"/>
  <c r="E32" i="11" s="1"/>
  <c r="BK29" i="2"/>
  <c r="BQ29" i="2"/>
  <c r="BQ53" i="2"/>
  <c r="BK53" i="2"/>
  <c r="BQ79" i="2"/>
  <c r="BK79" i="2"/>
  <c r="BQ34" i="2"/>
  <c r="E34" i="11" s="1"/>
  <c r="BK34" i="2"/>
  <c r="BO34" i="2" s="1"/>
  <c r="D15" i="13" s="1"/>
  <c r="L15" i="13" s="1"/>
  <c r="BK71" i="2"/>
  <c r="BQ71" i="2"/>
  <c r="BK31" i="2"/>
  <c r="BO31" i="2" s="1"/>
  <c r="D12" i="13" s="1"/>
  <c r="F12" i="13" s="1"/>
  <c r="BQ31" i="2"/>
  <c r="E31" i="11" s="1"/>
  <c r="AC30" i="2"/>
  <c r="Y39" i="2"/>
  <c r="BQ59" i="2"/>
  <c r="BK59" i="2"/>
  <c r="BK55" i="2"/>
  <c r="BQ55" i="2"/>
  <c r="BK50" i="2"/>
  <c r="BQ50" i="2"/>
  <c r="BQ47" i="2"/>
  <c r="BK47" i="2"/>
  <c r="W68" i="2"/>
  <c r="W74" i="2" s="1"/>
  <c r="W38" i="2"/>
  <c r="BJ68" i="2"/>
  <c r="BJ74" i="2" s="1"/>
  <c r="X39" i="2"/>
  <c r="AD30" i="2"/>
  <c r="T62" i="2"/>
  <c r="T68" i="2" s="1"/>
  <c r="T74" i="2" s="1"/>
  <c r="BK27" i="2"/>
  <c r="BQ27" i="2"/>
  <c r="BQ26" i="2"/>
  <c r="BK26" i="2"/>
  <c r="BK54" i="2"/>
  <c r="BQ54" i="2"/>
  <c r="BK51" i="2"/>
  <c r="BQ51" i="2"/>
  <c r="BK45" i="2"/>
  <c r="BQ45" i="2"/>
  <c r="BK42" i="2"/>
  <c r="BQ76" i="2"/>
  <c r="BK76" i="2"/>
  <c r="BK24" i="2"/>
  <c r="BQ24" i="2"/>
  <c r="BE68" i="2"/>
  <c r="BE74" i="2" s="1"/>
  <c r="R68" i="2"/>
  <c r="R74" i="2" s="1"/>
  <c r="X12" i="13"/>
  <c r="X13" i="13"/>
  <c r="X14" i="13"/>
  <c r="X15" i="13"/>
  <c r="X16" i="13"/>
  <c r="X42" i="13"/>
  <c r="X22" i="13"/>
  <c r="X26" i="13"/>
  <c r="X30" i="13"/>
  <c r="X34" i="13"/>
  <c r="X5" i="13"/>
  <c r="X9" i="13"/>
  <c r="P12" i="13"/>
  <c r="P13" i="13"/>
  <c r="P14" i="13"/>
  <c r="P15" i="13"/>
  <c r="P16" i="13"/>
  <c r="P42" i="13"/>
  <c r="P22" i="13"/>
  <c r="P26" i="13"/>
  <c r="P30" i="13"/>
  <c r="P34" i="13"/>
  <c r="P5" i="13"/>
  <c r="P9" i="13"/>
  <c r="X35" i="13"/>
  <c r="X24" i="13"/>
  <c r="T6" i="13"/>
  <c r="T28" i="13"/>
  <c r="T41" i="13"/>
  <c r="P10" i="13"/>
  <c r="P32" i="13"/>
  <c r="P21" i="13"/>
  <c r="P40" i="13"/>
  <c r="N37" i="2"/>
  <c r="N38" i="2" s="1"/>
  <c r="I37" i="2"/>
  <c r="I38" i="2" s="1"/>
  <c r="E65" i="11"/>
  <c r="H41" i="12"/>
  <c r="B51" i="14"/>
  <c r="Z68" i="2"/>
  <c r="Z74" i="2" s="1"/>
  <c r="W12" i="13"/>
  <c r="W13" i="13"/>
  <c r="W14" i="13"/>
  <c r="W15" i="13"/>
  <c r="W16" i="13"/>
  <c r="W19" i="13"/>
  <c r="W23" i="13"/>
  <c r="W27" i="13"/>
  <c r="W31" i="13"/>
  <c r="W35" i="13"/>
  <c r="W6" i="13"/>
  <c r="W10" i="13"/>
  <c r="O12" i="13"/>
  <c r="O13" i="13"/>
  <c r="O14" i="13"/>
  <c r="O15" i="13"/>
  <c r="O16" i="13"/>
  <c r="O19" i="13"/>
  <c r="O23" i="13"/>
  <c r="O27" i="13"/>
  <c r="O31" i="13"/>
  <c r="O35" i="13"/>
  <c r="O6" i="13"/>
  <c r="O10" i="13"/>
  <c r="I53" i="13"/>
  <c r="X11" i="13"/>
  <c r="X50" i="13" s="1"/>
  <c r="X33" i="13"/>
  <c r="X23" i="13"/>
  <c r="W8" i="13"/>
  <c r="W30" i="13"/>
  <c r="T37" i="13"/>
  <c r="T27" i="13"/>
  <c r="S34" i="13"/>
  <c r="P36" i="13"/>
  <c r="P20" i="13"/>
  <c r="O5" i="13"/>
  <c r="O28" i="13"/>
  <c r="K12" i="13"/>
  <c r="BE37" i="2"/>
  <c r="BE38" i="2" s="1"/>
  <c r="U38" i="2"/>
  <c r="O62" i="2"/>
  <c r="O68" i="2" s="1"/>
  <c r="O74" i="2" s="1"/>
  <c r="I62" i="2"/>
  <c r="L68" i="2"/>
  <c r="L74" i="2" s="1"/>
  <c r="P53" i="13"/>
  <c r="O54" i="13"/>
  <c r="W54" i="13"/>
  <c r="B83" i="14"/>
  <c r="G63" i="14"/>
  <c r="T12" i="13"/>
  <c r="T13" i="13"/>
  <c r="T14" i="13"/>
  <c r="T15" i="13"/>
  <c r="T16" i="13"/>
  <c r="T42" i="13"/>
  <c r="T22" i="13"/>
  <c r="T26" i="13"/>
  <c r="T30" i="13"/>
  <c r="T34" i="13"/>
  <c r="T5" i="13"/>
  <c r="T9" i="13"/>
  <c r="L53" i="13"/>
  <c r="X7" i="13"/>
  <c r="X29" i="13"/>
  <c r="X19" i="13"/>
  <c r="T11" i="13"/>
  <c r="T50" i="13" s="1"/>
  <c r="T33" i="13"/>
  <c r="T23" i="13"/>
  <c r="P37" i="13"/>
  <c r="P27" i="13"/>
  <c r="X62" i="2"/>
  <c r="X68" i="2" s="1"/>
  <c r="X74" i="2" s="1"/>
  <c r="BM38" i="2"/>
  <c r="F62" i="2"/>
  <c r="F68" i="2" s="1"/>
  <c r="F74" i="2" s="1"/>
  <c r="BI68" i="2"/>
  <c r="BI74" i="2" s="1"/>
  <c r="T54" i="13"/>
  <c r="T55" i="13" s="1"/>
  <c r="G37" i="14"/>
  <c r="B59" i="14"/>
  <c r="AK38" i="2"/>
  <c r="I10" i="16"/>
  <c r="S12" i="13"/>
  <c r="S13" i="13"/>
  <c r="S14" i="13"/>
  <c r="S15" i="13"/>
  <c r="S16" i="13"/>
  <c r="S19" i="13"/>
  <c r="S23" i="13"/>
  <c r="S27" i="13"/>
  <c r="S31" i="13"/>
  <c r="S35" i="13"/>
  <c r="S6" i="13"/>
  <c r="S10" i="13"/>
  <c r="F53" i="13"/>
  <c r="B118" i="14"/>
  <c r="E118" i="14" s="1"/>
  <c r="F118" i="14" s="1"/>
  <c r="X6" i="13"/>
  <c r="X28" i="13"/>
  <c r="X41" i="13"/>
  <c r="W36" i="13"/>
  <c r="W25" i="13"/>
  <c r="W20" i="13"/>
  <c r="T10" i="13"/>
  <c r="T32" i="13"/>
  <c r="T21" i="13"/>
  <c r="S7" i="13"/>
  <c r="S29" i="13"/>
  <c r="S42" i="13"/>
  <c r="P8" i="13"/>
  <c r="P31" i="13"/>
  <c r="P25" i="13"/>
  <c r="O11" i="13"/>
  <c r="O50" i="13" s="1"/>
  <c r="O33" i="13"/>
  <c r="O22" i="13"/>
  <c r="O41" i="13"/>
  <c r="I12" i="13"/>
  <c r="I13" i="13"/>
  <c r="G68" i="2"/>
  <c r="G74" i="2" s="1"/>
  <c r="X53" i="13"/>
  <c r="B54" i="14"/>
  <c r="B91" i="14"/>
  <c r="AN68" i="2"/>
  <c r="AN74" i="2" s="1"/>
  <c r="Q68" i="2"/>
  <c r="Q74" i="2" s="1"/>
  <c r="AZ68" i="2"/>
  <c r="AZ74" i="2" s="1"/>
  <c r="V12" i="13"/>
  <c r="V13" i="13"/>
  <c r="V14" i="13"/>
  <c r="V15" i="13"/>
  <c r="V16" i="13"/>
  <c r="V40" i="13"/>
  <c r="V43" i="13" s="1"/>
  <c r="V20" i="13"/>
  <c r="V24" i="13"/>
  <c r="V28" i="13"/>
  <c r="V32" i="13"/>
  <c r="V36" i="13"/>
  <c r="V7" i="13"/>
  <c r="V11" i="13"/>
  <c r="V50" i="13" s="1"/>
  <c r="R12" i="13"/>
  <c r="R13" i="13"/>
  <c r="R14" i="13"/>
  <c r="R15" i="13"/>
  <c r="R16" i="13"/>
  <c r="R40" i="13"/>
  <c r="R20" i="13"/>
  <c r="R24" i="13"/>
  <c r="R28" i="13"/>
  <c r="R32" i="13"/>
  <c r="R36" i="13"/>
  <c r="R7" i="13"/>
  <c r="R11" i="13"/>
  <c r="R50" i="13" s="1"/>
  <c r="N12" i="13"/>
  <c r="N13" i="13"/>
  <c r="N14" i="13"/>
  <c r="N15" i="13"/>
  <c r="N16" i="13"/>
  <c r="N40" i="13"/>
  <c r="N20" i="13"/>
  <c r="N24" i="13"/>
  <c r="N28" i="13"/>
  <c r="N32" i="13"/>
  <c r="N36" i="13"/>
  <c r="N7" i="13"/>
  <c r="N11" i="13"/>
  <c r="N50" i="13" s="1"/>
  <c r="K53" i="13"/>
  <c r="B122" i="14"/>
  <c r="E122" i="14" s="1"/>
  <c r="F122" i="14" s="1"/>
  <c r="X10" i="13"/>
  <c r="X37" i="13"/>
  <c r="X32" i="13"/>
  <c r="X27" i="13"/>
  <c r="X21" i="13"/>
  <c r="X40" i="13"/>
  <c r="X43" i="13" s="1"/>
  <c r="W7" i="13"/>
  <c r="W34" i="13"/>
  <c r="W29" i="13"/>
  <c r="W24" i="13"/>
  <c r="W42" i="13"/>
  <c r="V9" i="13"/>
  <c r="V37" i="13"/>
  <c r="V31" i="13"/>
  <c r="V26" i="13"/>
  <c r="V21" i="13"/>
  <c r="T8" i="13"/>
  <c r="T36" i="13"/>
  <c r="T31" i="13"/>
  <c r="T25" i="13"/>
  <c r="T20" i="13"/>
  <c r="S11" i="13"/>
  <c r="S50" i="13" s="1"/>
  <c r="S5" i="13"/>
  <c r="S33" i="13"/>
  <c r="S28" i="13"/>
  <c r="S22" i="13"/>
  <c r="S41" i="13"/>
  <c r="R8" i="13"/>
  <c r="R35" i="13"/>
  <c r="R30" i="13"/>
  <c r="R25" i="13"/>
  <c r="R19" i="13"/>
  <c r="P7" i="13"/>
  <c r="P35" i="13"/>
  <c r="P29" i="13"/>
  <c r="P24" i="13"/>
  <c r="P19" i="13"/>
  <c r="O9" i="13"/>
  <c r="O37" i="13"/>
  <c r="O32" i="13"/>
  <c r="O26" i="13"/>
  <c r="O21" i="13"/>
  <c r="O40" i="13"/>
  <c r="N6" i="13"/>
  <c r="N34" i="13"/>
  <c r="N29" i="13"/>
  <c r="N23" i="13"/>
  <c r="N42" i="13"/>
  <c r="AW37" i="2"/>
  <c r="T37" i="2"/>
  <c r="T38" i="2" s="1"/>
  <c r="T39" i="2"/>
  <c r="X54" i="13"/>
  <c r="P54" i="13"/>
  <c r="O53" i="13"/>
  <c r="N53" i="13"/>
  <c r="W53" i="13"/>
  <c r="B65" i="14"/>
  <c r="B55" i="14"/>
  <c r="B63" i="14"/>
  <c r="G65" i="14"/>
  <c r="P68" i="2"/>
  <c r="P74" i="2" s="1"/>
  <c r="AY68" i="2"/>
  <c r="AY74" i="2" s="1"/>
  <c r="BA38" i="2"/>
  <c r="J53" i="13"/>
  <c r="H53" i="13"/>
  <c r="B107" i="14"/>
  <c r="E107" i="14" s="1"/>
  <c r="F107" i="14" s="1"/>
  <c r="X8" i="13"/>
  <c r="X36" i="13"/>
  <c r="X31" i="13"/>
  <c r="X25" i="13"/>
  <c r="X20" i="13"/>
  <c r="W11" i="13"/>
  <c r="W50" i="13" s="1"/>
  <c r="W5" i="13"/>
  <c r="W33" i="13"/>
  <c r="W28" i="13"/>
  <c r="W22" i="13"/>
  <c r="W41" i="13"/>
  <c r="V8" i="13"/>
  <c r="V35" i="13"/>
  <c r="V30" i="13"/>
  <c r="V25" i="13"/>
  <c r="V19" i="13"/>
  <c r="T7" i="13"/>
  <c r="T35" i="13"/>
  <c r="T29" i="13"/>
  <c r="T24" i="13"/>
  <c r="T19" i="13"/>
  <c r="S9" i="13"/>
  <c r="S37" i="13"/>
  <c r="S32" i="13"/>
  <c r="S26" i="13"/>
  <c r="S21" i="13"/>
  <c r="S40" i="13"/>
  <c r="R6" i="13"/>
  <c r="R34" i="13"/>
  <c r="R29" i="13"/>
  <c r="R23" i="13"/>
  <c r="R42" i="13"/>
  <c r="P11" i="13"/>
  <c r="P50" i="13" s="1"/>
  <c r="P6" i="13"/>
  <c r="P33" i="13"/>
  <c r="P28" i="13"/>
  <c r="P23" i="13"/>
  <c r="P41" i="13"/>
  <c r="O8" i="13"/>
  <c r="O36" i="13"/>
  <c r="O30" i="13"/>
  <c r="O25" i="13"/>
  <c r="O20" i="13"/>
  <c r="N10" i="13"/>
  <c r="N5" i="13"/>
  <c r="N33" i="13"/>
  <c r="N27" i="13"/>
  <c r="N22" i="13"/>
  <c r="N41" i="13"/>
  <c r="L13" i="13"/>
  <c r="J12" i="13"/>
  <c r="H13" i="13"/>
  <c r="G12" i="13"/>
  <c r="G53" i="13"/>
  <c r="Y12" i="13"/>
  <c r="Y13" i="13"/>
  <c r="Y14" i="13"/>
  <c r="Y15" i="13"/>
  <c r="Y16" i="13"/>
  <c r="U12" i="13"/>
  <c r="U13" i="13"/>
  <c r="U14" i="13"/>
  <c r="U15" i="13"/>
  <c r="U16" i="13"/>
  <c r="Q12" i="13"/>
  <c r="Q13" i="13"/>
  <c r="Q14" i="13"/>
  <c r="Q15" i="13"/>
  <c r="Q16" i="13"/>
  <c r="M12" i="13"/>
  <c r="M13" i="13"/>
  <c r="M14" i="13"/>
  <c r="M15" i="13"/>
  <c r="M16" i="13"/>
  <c r="Y8" i="13"/>
  <c r="Y37" i="13"/>
  <c r="Y33" i="13"/>
  <c r="Y29" i="13"/>
  <c r="Y25" i="13"/>
  <c r="Y21" i="13"/>
  <c r="Y41" i="13"/>
  <c r="Y43" i="13" s="1"/>
  <c r="U8" i="13"/>
  <c r="U37" i="13"/>
  <c r="U33" i="13"/>
  <c r="U29" i="13"/>
  <c r="U25" i="13"/>
  <c r="U21" i="13"/>
  <c r="U41" i="13"/>
  <c r="U43" i="13" s="1"/>
  <c r="Q8" i="13"/>
  <c r="Q37" i="13"/>
  <c r="Q33" i="13"/>
  <c r="Q29" i="13"/>
  <c r="Q25" i="13"/>
  <c r="Q21" i="13"/>
  <c r="Q41" i="13"/>
  <c r="Q43" i="13" s="1"/>
  <c r="M8" i="13"/>
  <c r="M37" i="13"/>
  <c r="M33" i="13"/>
  <c r="M29" i="13"/>
  <c r="M25" i="13"/>
  <c r="M21" i="13"/>
  <c r="M41" i="13"/>
  <c r="M43" i="13" s="1"/>
  <c r="X64" i="2"/>
  <c r="AD64" i="2" s="1"/>
  <c r="AH64" i="2" s="1"/>
  <c r="AQ64" i="2" s="1"/>
  <c r="AU64" i="2" s="1"/>
  <c r="BD64" i="2" s="1"/>
  <c r="BH64" i="2" s="1"/>
  <c r="BL64" i="2" s="1"/>
  <c r="D24" i="16" s="1"/>
  <c r="BQ64" i="2"/>
  <c r="BK64" i="2"/>
  <c r="S65" i="2"/>
  <c r="Y65" i="2" s="1"/>
  <c r="AC65" i="2" s="1"/>
  <c r="AI65" i="2" s="1"/>
  <c r="AP65" i="2" s="1"/>
  <c r="AV65" i="2" s="1"/>
  <c r="BC65" i="2" s="1"/>
  <c r="I68" i="2"/>
  <c r="I74" i="2" s="1"/>
  <c r="R55" i="13"/>
  <c r="V55" i="13"/>
  <c r="E54" i="14"/>
  <c r="F54" i="14" s="1"/>
  <c r="E57" i="14"/>
  <c r="F57" i="14" s="1"/>
  <c r="E65" i="14"/>
  <c r="F65" i="14" s="1"/>
  <c r="E59" i="14"/>
  <c r="F59" i="14" s="1"/>
  <c r="E61" i="14"/>
  <c r="F61" i="14" s="1"/>
  <c r="E55" i="14"/>
  <c r="F55" i="14" s="1"/>
  <c r="E63" i="14"/>
  <c r="F63" i="14" s="1"/>
  <c r="N55" i="13"/>
  <c r="Y55" i="13"/>
  <c r="S55" i="13"/>
  <c r="E64" i="14"/>
  <c r="F64" i="14" s="1"/>
  <c r="E60" i="14"/>
  <c r="F60" i="14" s="1"/>
  <c r="E56" i="14"/>
  <c r="F56" i="14" s="1"/>
  <c r="Q55" i="13"/>
  <c r="U55" i="13"/>
  <c r="E66" i="14"/>
  <c r="F66" i="14" s="1"/>
  <c r="E62" i="14"/>
  <c r="F62" i="14" s="1"/>
  <c r="E58" i="14"/>
  <c r="F58" i="14" s="1"/>
  <c r="M55" i="13"/>
  <c r="E82" i="14" s="1"/>
  <c r="F82" i="14" s="1"/>
  <c r="Y62" i="2"/>
  <c r="AC57" i="2"/>
  <c r="BH48" i="2"/>
  <c r="BQ48" i="2"/>
  <c r="J10" i="16" s="1"/>
  <c r="BK48" i="2"/>
  <c r="AK68" i="2"/>
  <c r="AK74" i="2" s="1"/>
  <c r="AJ38" i="2"/>
  <c r="S37" i="2"/>
  <c r="P38" i="2"/>
  <c r="AH33" i="2"/>
  <c r="AQ33" i="2" s="1"/>
  <c r="AU33" i="2"/>
  <c r="AC37" i="2"/>
  <c r="AI33" i="2"/>
  <c r="Y37" i="2"/>
  <c r="E29" i="16"/>
  <c r="H29" i="16" s="1"/>
  <c r="W43" i="13" l="1"/>
  <c r="E93" i="14"/>
  <c r="F93" i="14" s="1"/>
  <c r="S38" i="13"/>
  <c r="N43" i="13"/>
  <c r="O43" i="13"/>
  <c r="P55" i="13"/>
  <c r="M38" i="13"/>
  <c r="Y38" i="13"/>
  <c r="S43" i="13"/>
  <c r="P43" i="13"/>
  <c r="T43" i="13"/>
  <c r="P38" i="13"/>
  <c r="Q38" i="13"/>
  <c r="U38" i="13"/>
  <c r="O38" i="13"/>
  <c r="R38" i="13"/>
  <c r="W38" i="13"/>
  <c r="S68" i="2"/>
  <c r="S74" i="2" s="1"/>
  <c r="W55" i="13"/>
  <c r="T38" i="13"/>
  <c r="X38" i="13"/>
  <c r="N38" i="13"/>
  <c r="O55" i="13"/>
  <c r="R43" i="13"/>
  <c r="V38" i="13"/>
  <c r="X55" i="13"/>
  <c r="H15" i="13"/>
  <c r="Q17" i="13"/>
  <c r="T17" i="13"/>
  <c r="M17" i="13"/>
  <c r="F15" i="13"/>
  <c r="G15" i="13"/>
  <c r="I15" i="13"/>
  <c r="K15" i="13"/>
  <c r="J15" i="13"/>
  <c r="Y17" i="13"/>
  <c r="R17" i="13"/>
  <c r="O17" i="13"/>
  <c r="X17" i="13"/>
  <c r="J16" i="13"/>
  <c r="G16" i="13"/>
  <c r="L16" i="13"/>
  <c r="I16" i="13"/>
  <c r="F16" i="13"/>
  <c r="W17" i="13"/>
  <c r="H16" i="13"/>
  <c r="E30" i="16"/>
  <c r="H30" i="16" s="1"/>
  <c r="U17" i="13"/>
  <c r="S17" i="13"/>
  <c r="BO76" i="2"/>
  <c r="C20" i="16"/>
  <c r="E20" i="16" s="1"/>
  <c r="H20" i="16" s="1"/>
  <c r="J7" i="16"/>
  <c r="E41" i="11"/>
  <c r="E50" i="11"/>
  <c r="J16" i="16"/>
  <c r="E27" i="11"/>
  <c r="J33" i="16"/>
  <c r="E43" i="11"/>
  <c r="J9" i="16"/>
  <c r="C17" i="16"/>
  <c r="E17" i="16" s="1"/>
  <c r="H17" i="16" s="1"/>
  <c r="BO55" i="2"/>
  <c r="D32" i="13" s="1"/>
  <c r="AI30" i="2"/>
  <c r="AC39" i="2"/>
  <c r="C26" i="16"/>
  <c r="E26" i="16" s="1"/>
  <c r="H26" i="16" s="1"/>
  <c r="BO71" i="2"/>
  <c r="E64" i="11"/>
  <c r="J23" i="16"/>
  <c r="C35" i="16"/>
  <c r="E35" i="16" s="1"/>
  <c r="H35" i="16" s="1"/>
  <c r="BO29" i="2"/>
  <c r="D10" i="13" s="1"/>
  <c r="E62" i="11"/>
  <c r="J21" i="16"/>
  <c r="BO49" i="2"/>
  <c r="D26" i="13" s="1"/>
  <c r="C11" i="16"/>
  <c r="E11" i="16" s="1"/>
  <c r="H11" i="16" s="1"/>
  <c r="C19" i="16"/>
  <c r="E19" i="16" s="1"/>
  <c r="H19" i="16" s="1"/>
  <c r="BO25" i="2"/>
  <c r="D6" i="13" s="1"/>
  <c r="J28" i="16"/>
  <c r="E54" i="11"/>
  <c r="C6" i="16"/>
  <c r="E6" i="16" s="1"/>
  <c r="H6" i="16" s="1"/>
  <c r="BO44" i="2"/>
  <c r="D21" i="13" s="1"/>
  <c r="J44" i="16"/>
  <c r="E56" i="11"/>
  <c r="S38" i="2"/>
  <c r="E123" i="14"/>
  <c r="E44" i="11"/>
  <c r="N17" i="13"/>
  <c r="G13" i="13"/>
  <c r="H12" i="13"/>
  <c r="J13" i="13"/>
  <c r="L12" i="13"/>
  <c r="K13" i="13"/>
  <c r="J20" i="16"/>
  <c r="E61" i="11"/>
  <c r="C7" i="16"/>
  <c r="E7" i="16" s="1"/>
  <c r="H7" i="16" s="1"/>
  <c r="BO45" i="2"/>
  <c r="D22" i="13" s="1"/>
  <c r="C16" i="16"/>
  <c r="E16" i="16" s="1"/>
  <c r="H16" i="16" s="1"/>
  <c r="BO54" i="2"/>
  <c r="D31" i="13" s="1"/>
  <c r="C33" i="16"/>
  <c r="E33" i="16" s="1"/>
  <c r="H33" i="16" s="1"/>
  <c r="BO27" i="2"/>
  <c r="D8" i="13" s="1"/>
  <c r="J12" i="16"/>
  <c r="E46" i="11"/>
  <c r="C32" i="16"/>
  <c r="E32" i="16" s="1"/>
  <c r="H32" i="16" s="1"/>
  <c r="BO59" i="2"/>
  <c r="D36" i="13" s="1"/>
  <c r="C15" i="16"/>
  <c r="E15" i="16" s="1"/>
  <c r="H15" i="16" s="1"/>
  <c r="BO53" i="2"/>
  <c r="D30" i="13" s="1"/>
  <c r="BO82" i="2"/>
  <c r="D54" i="13" s="1"/>
  <c r="J25" i="16"/>
  <c r="E52" i="11"/>
  <c r="AH62" i="2"/>
  <c r="AD37" i="2"/>
  <c r="J30" i="16"/>
  <c r="E66" i="11"/>
  <c r="BO58" i="2"/>
  <c r="D35" i="13" s="1"/>
  <c r="C28" i="16"/>
  <c r="E28" i="16" s="1"/>
  <c r="H28" i="16" s="1"/>
  <c r="J6" i="16"/>
  <c r="E40" i="11"/>
  <c r="BO60" i="2"/>
  <c r="D37" i="13" s="1"/>
  <c r="C44" i="16"/>
  <c r="E44" i="16" s="1"/>
  <c r="H44" i="16" s="1"/>
  <c r="E24" i="11"/>
  <c r="J18" i="16"/>
  <c r="E47" i="11"/>
  <c r="J13" i="16"/>
  <c r="C31" i="16"/>
  <c r="E31" i="16" s="1"/>
  <c r="H31" i="16" s="1"/>
  <c r="BO26" i="2"/>
  <c r="D7" i="13" s="1"/>
  <c r="C12" i="16"/>
  <c r="E12" i="16" s="1"/>
  <c r="H12" i="16" s="1"/>
  <c r="BO50" i="2"/>
  <c r="D27" i="13" s="1"/>
  <c r="J32" i="16"/>
  <c r="E55" i="11"/>
  <c r="J15" i="16"/>
  <c r="E49" i="11"/>
  <c r="BQ43" i="2"/>
  <c r="BK43" i="2"/>
  <c r="C25" i="16"/>
  <c r="E25" i="16" s="1"/>
  <c r="H25" i="16" s="1"/>
  <c r="BO56" i="2"/>
  <c r="D33" i="13" s="1"/>
  <c r="BQ28" i="2"/>
  <c r="BK28" i="2"/>
  <c r="AU42" i="2"/>
  <c r="AQ62" i="2"/>
  <c r="BO46" i="2"/>
  <c r="D23" i="13" s="1"/>
  <c r="C8" i="16"/>
  <c r="E8" i="16" s="1"/>
  <c r="H8" i="16" s="1"/>
  <c r="J22" i="16"/>
  <c r="E63" i="11"/>
  <c r="E59" i="11"/>
  <c r="J38" i="16"/>
  <c r="J14" i="16"/>
  <c r="E48" i="11"/>
  <c r="N68" i="2"/>
  <c r="N74" i="2" s="1"/>
  <c r="P17" i="13"/>
  <c r="V17" i="13"/>
  <c r="AW38" i="2"/>
  <c r="AW68" i="2"/>
  <c r="AW74" i="2" s="1"/>
  <c r="BO24" i="2"/>
  <c r="D5" i="13" s="1"/>
  <c r="C18" i="16"/>
  <c r="E18" i="16" s="1"/>
  <c r="H18" i="16" s="1"/>
  <c r="C4" i="16"/>
  <c r="C13" i="16"/>
  <c r="E13" i="16" s="1"/>
  <c r="H13" i="16" s="1"/>
  <c r="BO51" i="2"/>
  <c r="D28" i="13" s="1"/>
  <c r="E26" i="11"/>
  <c r="J31" i="16"/>
  <c r="AD39" i="2"/>
  <c r="AH30" i="2"/>
  <c r="C9" i="16"/>
  <c r="E9" i="16" s="1"/>
  <c r="H9" i="16" s="1"/>
  <c r="BO47" i="2"/>
  <c r="D24" i="13" s="1"/>
  <c r="E51" i="11"/>
  <c r="J17" i="16"/>
  <c r="J26" i="16"/>
  <c r="E60" i="11"/>
  <c r="BO79" i="2"/>
  <c r="C23" i="16"/>
  <c r="E23" i="16" s="1"/>
  <c r="H23" i="16" s="1"/>
  <c r="E29" i="11"/>
  <c r="J35" i="16"/>
  <c r="BO77" i="2"/>
  <c r="C21" i="16"/>
  <c r="E21" i="16" s="1"/>
  <c r="H21" i="16" s="1"/>
  <c r="J11" i="16"/>
  <c r="E45" i="11"/>
  <c r="J19" i="16"/>
  <c r="E25" i="11"/>
  <c r="X38" i="2"/>
  <c r="BQ46" i="2"/>
  <c r="C22" i="16"/>
  <c r="E22" i="16" s="1"/>
  <c r="H22" i="16" s="1"/>
  <c r="BO78" i="2"/>
  <c r="C38" i="16"/>
  <c r="E38" i="16" s="1"/>
  <c r="H38" i="16" s="1"/>
  <c r="BO66" i="2"/>
  <c r="D42" i="13" s="1"/>
  <c r="C14" i="16"/>
  <c r="E14" i="16" s="1"/>
  <c r="H14" i="16" s="1"/>
  <c r="BO52" i="2"/>
  <c r="D29" i="13" s="1"/>
  <c r="C24" i="16"/>
  <c r="E24" i="16" s="1"/>
  <c r="H24" i="16" s="1"/>
  <c r="BO64" i="2"/>
  <c r="D40" i="13" s="1"/>
  <c r="J24" i="16"/>
  <c r="E57" i="11"/>
  <c r="BQ65" i="2"/>
  <c r="BK65" i="2"/>
  <c r="E84" i="14"/>
  <c r="F84" i="14" s="1"/>
  <c r="E94" i="14"/>
  <c r="F94" i="14" s="1"/>
  <c r="E91" i="14"/>
  <c r="F91" i="14" s="1"/>
  <c r="E89" i="14"/>
  <c r="F89" i="14" s="1"/>
  <c r="E90" i="14"/>
  <c r="F90" i="14" s="1"/>
  <c r="E92" i="14"/>
  <c r="F92" i="14" s="1"/>
  <c r="E87" i="14"/>
  <c r="F87" i="14" s="1"/>
  <c r="E86" i="14"/>
  <c r="F86" i="14" s="1"/>
  <c r="E85" i="14"/>
  <c r="F85" i="14" s="1"/>
  <c r="E88" i="14"/>
  <c r="F88" i="14" s="1"/>
  <c r="E83" i="14"/>
  <c r="F83" i="14" s="1"/>
  <c r="AI57" i="2"/>
  <c r="AC62" i="2"/>
  <c r="AC68" i="2" s="1"/>
  <c r="AC74" i="2" s="1"/>
  <c r="BL48" i="2"/>
  <c r="C10" i="16"/>
  <c r="BD33" i="2"/>
  <c r="Y38" i="2"/>
  <c r="Y68" i="2"/>
  <c r="Y74" i="2" s="1"/>
  <c r="AP33" i="2"/>
  <c r="AI37" i="2"/>
  <c r="AC38" i="2"/>
  <c r="S49" i="13" l="1"/>
  <c r="S51" i="13" s="1"/>
  <c r="Y49" i="13"/>
  <c r="Y51" i="13" s="1"/>
  <c r="P49" i="13"/>
  <c r="P51" i="13" s="1"/>
  <c r="M49" i="13"/>
  <c r="E34" i="14" s="1"/>
  <c r="F34" i="14" s="1"/>
  <c r="Q49" i="13"/>
  <c r="Q51" i="13" s="1"/>
  <c r="W49" i="13"/>
  <c r="W51" i="13" s="1"/>
  <c r="U49" i="13"/>
  <c r="U51" i="13" s="1"/>
  <c r="R49" i="13"/>
  <c r="R51" i="13" s="1"/>
  <c r="O49" i="13"/>
  <c r="O51" i="13" s="1"/>
  <c r="T49" i="13"/>
  <c r="T51" i="13" s="1"/>
  <c r="N49" i="13"/>
  <c r="N51" i="13" s="1"/>
  <c r="V49" i="13"/>
  <c r="V51" i="13" s="1"/>
  <c r="X49" i="13"/>
  <c r="X51" i="13" s="1"/>
  <c r="AH39" i="2"/>
  <c r="AQ30" i="2"/>
  <c r="J28" i="13"/>
  <c r="H28" i="13"/>
  <c r="L28" i="13"/>
  <c r="G28" i="13"/>
  <c r="F28" i="13"/>
  <c r="I28" i="13"/>
  <c r="K28" i="13"/>
  <c r="F33" i="13"/>
  <c r="H33" i="13"/>
  <c r="K33" i="13"/>
  <c r="I33" i="13"/>
  <c r="J33" i="13"/>
  <c r="G33" i="13"/>
  <c r="L33" i="13"/>
  <c r="L21" i="13"/>
  <c r="G21" i="13"/>
  <c r="I21" i="13"/>
  <c r="K21" i="13"/>
  <c r="F21" i="13"/>
  <c r="H21" i="13"/>
  <c r="J21" i="13"/>
  <c r="K6" i="13"/>
  <c r="F6" i="13"/>
  <c r="L6" i="13"/>
  <c r="J6" i="13"/>
  <c r="H6" i="13"/>
  <c r="I6" i="13"/>
  <c r="G6" i="13"/>
  <c r="F5" i="13"/>
  <c r="H5" i="13"/>
  <c r="K5" i="13"/>
  <c r="I5" i="13"/>
  <c r="J5" i="13"/>
  <c r="G5" i="13"/>
  <c r="L5" i="13"/>
  <c r="H36" i="13"/>
  <c r="J36" i="13"/>
  <c r="F36" i="13"/>
  <c r="L36" i="13"/>
  <c r="K36" i="13"/>
  <c r="I36" i="13"/>
  <c r="G36" i="13"/>
  <c r="H22" i="13"/>
  <c r="L22" i="13"/>
  <c r="J22" i="13"/>
  <c r="K22" i="13"/>
  <c r="G22" i="13"/>
  <c r="F22" i="13"/>
  <c r="I22" i="13"/>
  <c r="AI39" i="2"/>
  <c r="AI38" i="2" s="1"/>
  <c r="AP30" i="2"/>
  <c r="AH37" i="2"/>
  <c r="F42" i="13"/>
  <c r="H42" i="13"/>
  <c r="K42" i="13"/>
  <c r="I42" i="13"/>
  <c r="J42" i="13"/>
  <c r="G42" i="13"/>
  <c r="L42" i="13"/>
  <c r="J8" i="16"/>
  <c r="E42" i="11"/>
  <c r="F24" i="13"/>
  <c r="L24" i="13"/>
  <c r="H24" i="13"/>
  <c r="K24" i="13"/>
  <c r="I24" i="13"/>
  <c r="J24" i="13"/>
  <c r="G24" i="13"/>
  <c r="BO28" i="2"/>
  <c r="D9" i="13" s="1"/>
  <c r="C34" i="16"/>
  <c r="E34" i="16" s="1"/>
  <c r="H34" i="16" s="1"/>
  <c r="BO43" i="2"/>
  <c r="D20" i="13" s="1"/>
  <c r="C5" i="16"/>
  <c r="E5" i="16" s="1"/>
  <c r="H5" i="16" s="1"/>
  <c r="L7" i="13"/>
  <c r="J7" i="13"/>
  <c r="I7" i="13"/>
  <c r="G7" i="13"/>
  <c r="K7" i="13"/>
  <c r="F7" i="13"/>
  <c r="H7" i="13"/>
  <c r="AD38" i="2"/>
  <c r="AD68" i="2"/>
  <c r="AD74" i="2" s="1"/>
  <c r="J54" i="13"/>
  <c r="J55" i="13" s="1"/>
  <c r="E79" i="14" s="1"/>
  <c r="F79" i="14" s="1"/>
  <c r="G54" i="13"/>
  <c r="G55" i="13" s="1"/>
  <c r="E76" i="14" s="1"/>
  <c r="F76" i="14" s="1"/>
  <c r="F54" i="13"/>
  <c r="F55" i="13" s="1"/>
  <c r="E75" i="14" s="1"/>
  <c r="F75" i="14" s="1"/>
  <c r="K54" i="13"/>
  <c r="K55" i="13" s="1"/>
  <c r="E80" i="14" s="1"/>
  <c r="F80" i="14" s="1"/>
  <c r="L54" i="13"/>
  <c r="L55" i="13" s="1"/>
  <c r="E81" i="14" s="1"/>
  <c r="F81" i="14" s="1"/>
  <c r="D55" i="13"/>
  <c r="I54" i="13"/>
  <c r="I55" i="13" s="1"/>
  <c r="E78" i="14" s="1"/>
  <c r="F78" i="14" s="1"/>
  <c r="H54" i="13"/>
  <c r="H55" i="13" s="1"/>
  <c r="E77" i="14" s="1"/>
  <c r="F77" i="14" s="1"/>
  <c r="I10" i="13"/>
  <c r="K10" i="13"/>
  <c r="G10" i="13"/>
  <c r="F10" i="13"/>
  <c r="H10" i="13"/>
  <c r="J10" i="13"/>
  <c r="L10" i="13"/>
  <c r="P42" i="12"/>
  <c r="P43" i="12" s="1"/>
  <c r="D45" i="13"/>
  <c r="D47" i="13" s="1"/>
  <c r="F32" i="13"/>
  <c r="I32" i="13"/>
  <c r="G32" i="13"/>
  <c r="K32" i="13"/>
  <c r="L32" i="13"/>
  <c r="J32" i="13"/>
  <c r="H32" i="13"/>
  <c r="G27" i="13"/>
  <c r="K27" i="13"/>
  <c r="I27" i="13"/>
  <c r="L27" i="13"/>
  <c r="J27" i="13"/>
  <c r="H27" i="13"/>
  <c r="F27" i="13"/>
  <c r="BD42" i="2"/>
  <c r="AU62" i="2"/>
  <c r="J8" i="13"/>
  <c r="F8" i="13"/>
  <c r="K8" i="13"/>
  <c r="I8" i="13"/>
  <c r="G8" i="13"/>
  <c r="L8" i="13"/>
  <c r="H8" i="13"/>
  <c r="K23" i="13"/>
  <c r="I23" i="13"/>
  <c r="J23" i="13"/>
  <c r="H23" i="13"/>
  <c r="L23" i="13"/>
  <c r="F23" i="13"/>
  <c r="G23" i="13"/>
  <c r="E28" i="11"/>
  <c r="J34" i="16"/>
  <c r="E39" i="11"/>
  <c r="J5" i="16"/>
  <c r="G37" i="13"/>
  <c r="I37" i="13"/>
  <c r="K37" i="13"/>
  <c r="H37" i="13"/>
  <c r="F37" i="13"/>
  <c r="J37" i="13"/>
  <c r="L37" i="13"/>
  <c r="H35" i="13"/>
  <c r="L35" i="13"/>
  <c r="J35" i="13"/>
  <c r="F35" i="13"/>
  <c r="I35" i="13"/>
  <c r="K35" i="13"/>
  <c r="G35" i="13"/>
  <c r="G26" i="13"/>
  <c r="F26" i="13"/>
  <c r="J26" i="13"/>
  <c r="I26" i="13"/>
  <c r="L26" i="13"/>
  <c r="K26" i="13"/>
  <c r="H26" i="13"/>
  <c r="G40" i="13"/>
  <c r="I40" i="13"/>
  <c r="K40" i="13"/>
  <c r="F40" i="13"/>
  <c r="H40" i="13"/>
  <c r="J40" i="13"/>
  <c r="L40" i="13"/>
  <c r="BO65" i="2"/>
  <c r="D41" i="13" s="1"/>
  <c r="C37" i="16"/>
  <c r="E37" i="16" s="1"/>
  <c r="H37" i="16" s="1"/>
  <c r="E58" i="11"/>
  <c r="J37" i="16"/>
  <c r="AP57" i="2"/>
  <c r="AI62" i="2"/>
  <c r="AI68" i="2" s="1"/>
  <c r="AI74" i="2" s="1"/>
  <c r="D10" i="16"/>
  <c r="E10" i="16" s="1"/>
  <c r="H10" i="16" s="1"/>
  <c r="BO48" i="2"/>
  <c r="D25" i="13" s="1"/>
  <c r="K25" i="13" s="1"/>
  <c r="BH33" i="2"/>
  <c r="AV33" i="2"/>
  <c r="AP37" i="2"/>
  <c r="E32" i="14" l="1"/>
  <c r="F32" i="14" s="1"/>
  <c r="E28" i="14"/>
  <c r="F28" i="14" s="1"/>
  <c r="E39" i="14"/>
  <c r="F39" i="14" s="1"/>
  <c r="E35" i="14"/>
  <c r="F35" i="14" s="1"/>
  <c r="E38" i="14"/>
  <c r="F38" i="14" s="1"/>
  <c r="E33" i="14"/>
  <c r="F33" i="14" s="1"/>
  <c r="E36" i="14"/>
  <c r="F36" i="14" s="1"/>
  <c r="E29" i="14"/>
  <c r="F29" i="14" s="1"/>
  <c r="E30" i="14"/>
  <c r="F30" i="14" s="1"/>
  <c r="M51" i="13"/>
  <c r="E31" i="14"/>
  <c r="F31" i="14" s="1"/>
  <c r="E37" i="14"/>
  <c r="F37" i="14" s="1"/>
  <c r="E27" i="14"/>
  <c r="F27" i="14" s="1"/>
  <c r="F25" i="13"/>
  <c r="H25" i="13"/>
  <c r="L9" i="13"/>
  <c r="F9" i="13"/>
  <c r="H9" i="13"/>
  <c r="K9" i="13"/>
  <c r="I9" i="13"/>
  <c r="J9" i="13"/>
  <c r="G9" i="13"/>
  <c r="J25" i="13"/>
  <c r="G25" i="13"/>
  <c r="AQ39" i="2"/>
  <c r="AU30" i="2"/>
  <c r="AQ37" i="2"/>
  <c r="BH42" i="2"/>
  <c r="BD62" i="2"/>
  <c r="I20" i="13"/>
  <c r="G20" i="13"/>
  <c r="K20" i="13"/>
  <c r="F20" i="13"/>
  <c r="L20" i="13"/>
  <c r="J20" i="13"/>
  <c r="H20" i="13"/>
  <c r="L25" i="13"/>
  <c r="E95" i="14"/>
  <c r="AH38" i="2"/>
  <c r="AH68" i="2"/>
  <c r="AH74" i="2" s="1"/>
  <c r="AP39" i="2"/>
  <c r="AV30" i="2"/>
  <c r="I41" i="13"/>
  <c r="I43" i="13" s="1"/>
  <c r="F41" i="13"/>
  <c r="F43" i="13" s="1"/>
  <c r="D43" i="13"/>
  <c r="H41" i="13"/>
  <c r="H43" i="13" s="1"/>
  <c r="L41" i="13"/>
  <c r="L43" i="13" s="1"/>
  <c r="G41" i="13"/>
  <c r="G43" i="13" s="1"/>
  <c r="K41" i="13"/>
  <c r="K43" i="13" s="1"/>
  <c r="J41" i="13"/>
  <c r="J43" i="13" s="1"/>
  <c r="AV57" i="2"/>
  <c r="AP62" i="2"/>
  <c r="AP68" i="2" s="1"/>
  <c r="AP74" i="2" s="1"/>
  <c r="I25" i="13"/>
  <c r="BL33" i="2"/>
  <c r="AP38" i="2"/>
  <c r="BC33" i="2"/>
  <c r="AQ38" i="2" l="1"/>
  <c r="AQ68" i="2"/>
  <c r="AQ74" i="2" s="1"/>
  <c r="AU39" i="2"/>
  <c r="BD30" i="2"/>
  <c r="AU37" i="2"/>
  <c r="BC30" i="2"/>
  <c r="AV39" i="2"/>
  <c r="AV37" i="2"/>
  <c r="AV38" i="2" s="1"/>
  <c r="BL42" i="2"/>
  <c r="BQ42" i="2"/>
  <c r="BH62" i="2"/>
  <c r="AV62" i="2"/>
  <c r="BC57" i="2"/>
  <c r="BQ33" i="2"/>
  <c r="E33" i="11" s="1"/>
  <c r="BC37" i="2"/>
  <c r="BK33" i="2"/>
  <c r="E38" i="11" l="1"/>
  <c r="J4" i="16"/>
  <c r="AU38" i="2"/>
  <c r="AU68" i="2"/>
  <c r="AU74" i="2" s="1"/>
  <c r="D4" i="16"/>
  <c r="E4" i="16" s="1"/>
  <c r="H4" i="16" s="1"/>
  <c r="BO42" i="2"/>
  <c r="D19" i="13" s="1"/>
  <c r="BL62" i="2"/>
  <c r="BD39" i="2"/>
  <c r="BH30" i="2"/>
  <c r="BD37" i="2"/>
  <c r="AV68" i="2"/>
  <c r="AV74" i="2" s="1"/>
  <c r="BC39" i="2"/>
  <c r="BK30" i="2"/>
  <c r="BQ30" i="2"/>
  <c r="BK57" i="2"/>
  <c r="BQ57" i="2"/>
  <c r="BC62" i="2"/>
  <c r="BQ62" i="2" s="1"/>
  <c r="BK37" i="2"/>
  <c r="BO33" i="2"/>
  <c r="G19" i="13" l="1"/>
  <c r="J19" i="13"/>
  <c r="F19" i="13"/>
  <c r="I19" i="13"/>
  <c r="L19" i="13"/>
  <c r="H19" i="13"/>
  <c r="K19" i="13"/>
  <c r="J36" i="16"/>
  <c r="E30" i="11"/>
  <c r="BD38" i="2"/>
  <c r="BD68" i="2"/>
  <c r="BD74" i="2" s="1"/>
  <c r="BC38" i="2"/>
  <c r="C36" i="16"/>
  <c r="BK39" i="2"/>
  <c r="BO30" i="2"/>
  <c r="D11" i="13" s="1"/>
  <c r="BL30" i="2"/>
  <c r="BH39" i="2"/>
  <c r="BQ39" i="2" s="1"/>
  <c r="BH37" i="2"/>
  <c r="BC68" i="2"/>
  <c r="BC74" i="2" s="1"/>
  <c r="J27" i="16"/>
  <c r="E53" i="11"/>
  <c r="BO57" i="2"/>
  <c r="D34" i="13" s="1"/>
  <c r="C27" i="16"/>
  <c r="E27" i="16" s="1"/>
  <c r="H27" i="16" s="1"/>
  <c r="BK62" i="2"/>
  <c r="BO62" i="2" s="1"/>
  <c r="BK38" i="2"/>
  <c r="BO37" i="2"/>
  <c r="D14" i="13"/>
  <c r="BL39" i="2" l="1"/>
  <c r="BO39" i="2" s="1"/>
  <c r="D36" i="16"/>
  <c r="E36" i="16" s="1"/>
  <c r="H36" i="16" s="1"/>
  <c r="BL37" i="2"/>
  <c r="BH38" i="2"/>
  <c r="BH68" i="2"/>
  <c r="BQ37" i="2"/>
  <c r="H11" i="13"/>
  <c r="H50" i="13" s="1"/>
  <c r="E49" i="14" s="1"/>
  <c r="F49" i="14" s="1"/>
  <c r="J11" i="13"/>
  <c r="J50" i="13" s="1"/>
  <c r="E51" i="14" s="1"/>
  <c r="F51" i="14" s="1"/>
  <c r="L11" i="13"/>
  <c r="L50" i="13" s="1"/>
  <c r="E53" i="14" s="1"/>
  <c r="F53" i="14" s="1"/>
  <c r="K11" i="13"/>
  <c r="K50" i="13" s="1"/>
  <c r="E52" i="14" s="1"/>
  <c r="F52" i="14" s="1"/>
  <c r="G11" i="13"/>
  <c r="G50" i="13" s="1"/>
  <c r="E48" i="14" s="1"/>
  <c r="F48" i="14" s="1"/>
  <c r="I11" i="13"/>
  <c r="I50" i="13" s="1"/>
  <c r="E50" i="14" s="1"/>
  <c r="F50" i="14" s="1"/>
  <c r="D50" i="13"/>
  <c r="F11" i="13"/>
  <c r="F50" i="13" s="1"/>
  <c r="E47" i="14" s="1"/>
  <c r="BQ38" i="2"/>
  <c r="F14" i="13"/>
  <c r="I14" i="13"/>
  <c r="L14" i="13"/>
  <c r="H14" i="13"/>
  <c r="G14" i="13"/>
  <c r="K14" i="13"/>
  <c r="J14" i="13"/>
  <c r="BO68" i="2"/>
  <c r="BO74" i="2" s="1"/>
  <c r="BK68" i="2"/>
  <c r="BK74" i="2" s="1"/>
  <c r="G34" i="13"/>
  <c r="G38" i="13" s="1"/>
  <c r="K34" i="13"/>
  <c r="K38" i="13" s="1"/>
  <c r="F34" i="13"/>
  <c r="F38" i="13" s="1"/>
  <c r="J34" i="13"/>
  <c r="J38" i="13" s="1"/>
  <c r="I34" i="13"/>
  <c r="I38" i="13" s="1"/>
  <c r="H34" i="13"/>
  <c r="H38" i="13" s="1"/>
  <c r="L34" i="13"/>
  <c r="L38" i="13" s="1"/>
  <c r="D38" i="13"/>
  <c r="D17" i="13"/>
  <c r="K17" i="13" l="1"/>
  <c r="K49" i="13" s="1"/>
  <c r="E25" i="14" s="1"/>
  <c r="F25" i="14" s="1"/>
  <c r="F17" i="13"/>
  <c r="F49" i="13" s="1"/>
  <c r="F51" i="13" s="1"/>
  <c r="I17" i="13"/>
  <c r="I49" i="13" s="1"/>
  <c r="I51" i="13" s="1"/>
  <c r="J17" i="13"/>
  <c r="J49" i="13" s="1"/>
  <c r="J51" i="13" s="1"/>
  <c r="L17" i="13"/>
  <c r="L49" i="13" s="1"/>
  <c r="E26" i="14" s="1"/>
  <c r="F26" i="14" s="1"/>
  <c r="F47" i="14"/>
  <c r="E67" i="14"/>
  <c r="BH74" i="2"/>
  <c r="BQ74" i="2" s="1"/>
  <c r="BQ68" i="2"/>
  <c r="BL38" i="2"/>
  <c r="BO38" i="2" s="1"/>
  <c r="BL68" i="2"/>
  <c r="BL74" i="2" s="1"/>
  <c r="G17" i="13"/>
  <c r="G49" i="13" s="1"/>
  <c r="G51" i="13" s="1"/>
  <c r="H17" i="13"/>
  <c r="H49" i="13" s="1"/>
  <c r="E22" i="14" s="1"/>
  <c r="F22" i="14" s="1"/>
  <c r="H51" i="13" l="1"/>
  <c r="E24" i="14"/>
  <c r="F24" i="14" s="1"/>
  <c r="E20" i="14"/>
  <c r="F20" i="14" s="1"/>
  <c r="K51" i="13"/>
  <c r="E23" i="14"/>
  <c r="F23" i="14" s="1"/>
  <c r="E21" i="14"/>
  <c r="F21" i="14" s="1"/>
  <c r="D49" i="13"/>
  <c r="D51" i="13" s="1"/>
  <c r="L51" i="13"/>
  <c r="E40" i="14" l="1"/>
</calcChain>
</file>

<file path=xl/sharedStrings.xml><?xml version="1.0" encoding="utf-8"?>
<sst xmlns="http://schemas.openxmlformats.org/spreadsheetml/2006/main" count="490" uniqueCount="305">
  <si>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</si>
  <si>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</si>
  <si>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</si>
  <si>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</si>
  <si>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</si>
  <si>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</si>
  <si>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</si>
  <si>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</si>
  <si>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Deferred Payments in Lieu of Taxes</t>
  </si>
  <si>
    <t>Misc. Deferred Debits</t>
  </si>
  <si>
    <t>Extra-Ordinary Event Costs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</si>
  <si>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</si>
  <si>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</si>
  <si>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</si>
  <si>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Dec-31-09</t>
  </si>
  <si>
    <t>Opening Interest Amounts as of Jan-1-09</t>
  </si>
  <si>
    <t>Closing Interest Amounts as of Dec-31-09</t>
  </si>
  <si>
    <t>Smart Grid Capital Deferral Account</t>
  </si>
  <si>
    <t>Smart Grid OM&amp;A Deferral Account</t>
  </si>
  <si>
    <t>Group 2 Sub-Total</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</si>
  <si>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</si>
  <si>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</si>
  <si>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</si>
  <si>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</si>
  <si>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</si>
  <si>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</si>
  <si>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Dec-31-09</t>
  </si>
  <si>
    <t>Interest Jan-1 to Dec-31-10</t>
  </si>
  <si>
    <t>Total Claim</t>
  </si>
  <si>
    <t>2.1.7 RRR</t>
  </si>
  <si>
    <t>Explanation</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</si>
  <si>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</si>
  <si>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</si>
  <si>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</si>
  <si>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</si>
  <si>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</si>
  <si>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</si>
  <si>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</si>
  <si>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</si>
  <si>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</si>
  <si>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</si>
  <si>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</si>
  <si>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</si>
  <si>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</si>
  <si>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</si>
  <si>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</si>
  <si>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</si>
  <si>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</si>
  <si>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</si>
  <si>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</si>
  <si>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</si>
  <si>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</si>
  <si>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</si>
  <si>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</si>
  <si>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</si>
  <si>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</si>
  <si>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</si>
  <si>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</si>
  <si>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</si>
  <si>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</si>
  <si>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</si>
  <si>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t>1A</t>
  </si>
  <si>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</si>
  <si>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</si>
  <si>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Adjustments during 2011 - other </t>
    </r>
    <r>
      <rPr>
        <b/>
        <vertAlign val="superscript"/>
        <sz val="10"/>
        <rFont val="Book Antiqua"/>
        <family val="1"/>
      </rPr>
      <t>2</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</si>
  <si>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</si>
  <si>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</si>
  <si>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</si>
  <si>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r>
      <t xml:space="preserve">Other Regulatory Assets - Sub-Account - Other </t>
    </r>
    <r>
      <rPr>
        <vertAlign val="superscript"/>
        <sz val="11"/>
        <rFont val="Arial"/>
        <family val="2"/>
      </rPr>
      <t>4</t>
    </r>
  </si>
  <si>
    <r>
      <t>Other Regulatory Assets - Sub-Account - Financial Assistance Payment and Recovery Variance - Ontario Clean Energy Benefit Act</t>
    </r>
    <r>
      <rPr>
        <vertAlign val="superscript"/>
        <sz val="11"/>
        <rFont val="Arial"/>
        <family val="2"/>
      </rPr>
      <t>8</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</si>
  <si>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</si>
  <si>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</si>
  <si>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</si>
  <si>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</si>
  <si>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</si>
  <si>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</si>
  <si>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</si>
  <si>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</si>
  <si>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</si>
  <si>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</si>
  <si>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</si>
  <si>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</si>
  <si>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</si>
  <si>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</si>
  <si>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</si>
  <si>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</si>
  <si>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</si>
  <si>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</si>
  <si>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</si>
  <si>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</si>
  <si>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</si>
  <si>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</si>
  <si>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</si>
  <si>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</si>
  <si>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</si>
  <si>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</si>
  <si>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</si>
  <si>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</si>
  <si>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</si>
  <si>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</si>
  <si>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</si>
  <si>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</si>
  <si>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</si>
  <si>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</si>
  <si>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</si>
  <si>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</si>
  <si>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</si>
  <si>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</si>
  <si>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</si>
  <si>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</si>
  <si>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</si>
  <si>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</si>
  <si>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</si>
  <si>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</si>
  <si>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</si>
  <si>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</si>
  <si>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</si>
  <si>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</si>
  <si>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</si>
  <si>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</si>
  <si>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</si>
  <si>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</si>
  <si>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</si>
  <si>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</si>
  <si>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</si>
  <si>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</si>
  <si>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</si>
  <si>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</si>
  <si>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</si>
  <si>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</si>
  <si>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</si>
  <si>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Opening Principal Amounts as of Jan-1-12</t>
  </si>
  <si>
    <r>
      <t xml:space="preserve">Transactions Debit / (Credit) during 2012 excluding interest and adjustments </t>
    </r>
    <r>
      <rPr>
        <b/>
        <vertAlign val="superscript"/>
        <sz val="10"/>
        <rFont val="Book Antiqua"/>
        <family val="1"/>
      </rPr>
      <t>3</t>
    </r>
  </si>
  <si>
    <t>Board-Approved Disposition during 2012</t>
  </si>
  <si>
    <r>
      <t xml:space="preserve">Other </t>
    </r>
    <r>
      <rPr>
        <b/>
        <vertAlign val="superscript"/>
        <sz val="10"/>
        <rFont val="Book Antiqua"/>
        <family val="1"/>
      </rPr>
      <t xml:space="preserve">2 </t>
    </r>
    <r>
      <rPr>
        <b/>
        <sz val="10"/>
        <rFont val="Book Antiqua"/>
        <family val="1"/>
      </rPr>
      <t>Adjustments during Q1 2012</t>
    </r>
  </si>
  <si>
    <r>
      <t xml:space="preserve">Other </t>
    </r>
    <r>
      <rPr>
        <b/>
        <vertAlign val="superscript"/>
        <sz val="10"/>
        <rFont val="Book Antiqua"/>
        <family val="1"/>
      </rPr>
      <t xml:space="preserve">2 </t>
    </r>
    <r>
      <rPr>
        <b/>
        <sz val="10"/>
        <rFont val="Book Antiqua"/>
        <family val="1"/>
      </rPr>
      <t>Adjustments during Q2 2012</t>
    </r>
  </si>
  <si>
    <r>
      <t xml:space="preserve">Other </t>
    </r>
    <r>
      <rPr>
        <b/>
        <vertAlign val="superscript"/>
        <sz val="10"/>
        <rFont val="Book Antiqua"/>
        <family val="1"/>
      </rPr>
      <t xml:space="preserve">2 </t>
    </r>
    <r>
      <rPr>
        <b/>
        <sz val="10"/>
        <rFont val="Book Antiqua"/>
        <family val="1"/>
      </rPr>
      <t>Adjustments during Q3 2012</t>
    </r>
  </si>
  <si>
    <r>
      <t xml:space="preserve">Other </t>
    </r>
    <r>
      <rPr>
        <b/>
        <vertAlign val="superscript"/>
        <sz val="10"/>
        <rFont val="Book Antiqua"/>
        <family val="1"/>
      </rPr>
      <t xml:space="preserve">2 </t>
    </r>
    <r>
      <rPr>
        <b/>
        <sz val="10"/>
        <rFont val="Book Antiqua"/>
        <family val="1"/>
      </rPr>
      <t>Adjustments during Q4 2012</t>
    </r>
  </si>
  <si>
    <t>Closing Principal Balance as of Dec-31-12</t>
  </si>
  <si>
    <t>Opening Interest Amounts as of Jan-1-12</t>
  </si>
  <si>
    <t>Interest Jan-1 to Dec-31-12</t>
  </si>
  <si>
    <r>
      <t xml:space="preserve">Adjustments during 2012 - other </t>
    </r>
    <r>
      <rPr>
        <b/>
        <vertAlign val="superscript"/>
        <sz val="10"/>
        <rFont val="Book Antiqua"/>
        <family val="1"/>
      </rPr>
      <t>2</t>
    </r>
  </si>
  <si>
    <t>Closing Interest Amounts as of Dec-31-12</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</si>
  <si>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</si>
  <si>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</si>
  <si>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</si>
  <si>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</si>
  <si>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</si>
  <si>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</si>
  <si>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Total Balance Allocated to each class from Account 1589</t>
  </si>
  <si>
    <t>Allocated Balance (excluding 1589)</t>
  </si>
  <si>
    <t>Total Balance Allocated to each class for Accounts 1575 and 1576</t>
  </si>
  <si>
    <t>Rate Rider Calculation for Accounts 1575 and 1576</t>
  </si>
  <si>
    <t>Balance of Accounts 1575 and 1576</t>
  </si>
  <si>
    <t>Rate Rider for Accounts 1575 and 1576</t>
  </si>
  <si>
    <t>The Board requires that disposition of Account 1575 and Account 1576 shall require the use of separate rate riders. In the "Other Adjustments during Q4 2012"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</si>
  <si>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t>Algoma Power Inc.</t>
  </si>
  <si>
    <t>Atikokan Hydro Inc.</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</si>
  <si>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</si>
  <si>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</si>
  <si>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</si>
  <si>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</si>
  <si>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</si>
  <si>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</si>
  <si>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</si>
  <si>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</si>
  <si>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</si>
  <si>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</si>
  <si>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</si>
  <si>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</si>
  <si>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</si>
  <si>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</si>
  <si>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</si>
  <si>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</si>
  <si>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</si>
  <si>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</si>
  <si>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</si>
  <si>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</si>
  <si>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</si>
  <si>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</si>
  <si>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</si>
  <si>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</si>
  <si>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</si>
  <si>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</si>
  <si>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</si>
  <si>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</si>
  <si>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</si>
  <si>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</si>
  <si>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</si>
  <si>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</si>
  <si>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Kingston Hydro Corporation</t>
  </si>
  <si>
    <t>Kitchener-Wilmot Hydro Inc.</t>
  </si>
  <si>
    <t>Lakefront Utilities Inc.</t>
  </si>
  <si>
    <t>Lakeland Power Distribution Ltd.</t>
  </si>
  <si>
    <t>London Hydro Inc.</t>
  </si>
  <si>
    <t>Midland Power Utility Corporation</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</si>
  <si>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</si>
  <si>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</si>
  <si>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</si>
  <si>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</si>
  <si>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</si>
  <si>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</si>
  <si>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</si>
  <si>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</si>
  <si>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</si>
  <si>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</si>
  <si>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</si>
  <si>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</si>
  <si>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</si>
  <si>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</si>
  <si>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</si>
  <si>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</si>
  <si>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</si>
  <si>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</si>
  <si>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</si>
  <si>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</si>
  <si>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</si>
  <si>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</si>
  <si>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</si>
  <si>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</si>
  <si>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</si>
  <si>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</si>
  <si>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</si>
  <si>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</si>
  <si>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</si>
  <si>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</si>
  <si>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</si>
  <si>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</si>
  <si>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</si>
  <si>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</si>
  <si>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</si>
  <si>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</si>
  <si>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</si>
  <si>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</si>
  <si>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</si>
  <si>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</si>
  <si>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</si>
  <si>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Collus PowerStream Corporation</t>
  </si>
  <si>
    <t>Entegrus Powerlines Inc. - Dutton Service Area</t>
  </si>
  <si>
    <t>Entegrus Powerlines Inc. - former Chatham-Kent Hydro Service Area</t>
  </si>
  <si>
    <t>Entegrus Powerlines Inc. - Newbury Service Area</t>
  </si>
  <si>
    <t>Entegrus Powerlines Inc. - Strathroy, Mount Brydges and Parkhill Service Areas</t>
  </si>
  <si>
    <t>Milton Hydro Distribution Inc.</t>
  </si>
  <si>
    <r>
      <t>Disposition and Recovery/Refund of Regulatory Balances (2012)</t>
    </r>
    <r>
      <rPr>
        <vertAlign val="superscript"/>
        <sz val="11"/>
        <rFont val="Arial"/>
        <family val="2"/>
      </rPr>
      <t>7</t>
    </r>
  </si>
  <si>
    <t>Smart Metering Entity Charge Variance Account</t>
  </si>
  <si>
    <t>Opening Principal Amounts as of Jan-1-13</t>
  </si>
  <si>
    <t>Transactions Debit / (Credit) during 2013 excluding interest and adjustments 3</t>
  </si>
  <si>
    <t>Board-Approved Disposition during 2013</t>
  </si>
  <si>
    <t>Other 2 Adjustments during Q1 2013</t>
  </si>
  <si>
    <t>Other 2 Adjustments during Q2 2013</t>
  </si>
  <si>
    <t>Other 2 Adjustments during Q3 2013</t>
  </si>
  <si>
    <t>Other 2 Adjustments during Q4 2013</t>
  </si>
  <si>
    <t>Adjustments during 2013 - other 2</t>
  </si>
  <si>
    <t>Closing Principal Balance as of Dec-31-13</t>
  </si>
  <si>
    <t>Opening Interest Amounts as of Jan-1-13</t>
  </si>
  <si>
    <t>Interest Jan-1 to Dec-31-13</t>
  </si>
  <si>
    <t>Closing Interest Amounts as of Dec-31-13</t>
  </si>
  <si>
    <t>Principal Disposition during 2014 - instructed by Board</t>
  </si>
  <si>
    <t>Interest Disposition during 2014 - instructed by Board</t>
  </si>
  <si>
    <t>Closing Principal Balances as of Dec 31-13 Adjusted for Dispositions during 2014</t>
  </si>
  <si>
    <t>Closing Interest Balances as of Dec 31-13 Adjusted for Dispositions during 2014</t>
  </si>
  <si>
    <t>Projected Interest on Dec-31-13 Balances</t>
  </si>
  <si>
    <r>
      <t xml:space="preserve">Projected Interest from Jan 1, 2014 to December 31, 2014 on                        Dec 31 -13 balance adjusted for disposition during 2014 </t>
    </r>
    <r>
      <rPr>
        <b/>
        <vertAlign val="superscript"/>
        <sz val="10"/>
        <rFont val="Book Antiqua"/>
        <family val="1"/>
      </rPr>
      <t>6</t>
    </r>
  </si>
  <si>
    <r>
      <t xml:space="preserve">Projected Interest from January 1, 2015 to April 30, 2015 on Dec 31 -13 balance adjusted for disposition during 2014  </t>
    </r>
    <r>
      <rPr>
        <b/>
        <vertAlign val="superscript"/>
        <sz val="11"/>
        <rFont val="Book Antiqua"/>
        <family val="1"/>
      </rPr>
      <t>6</t>
    </r>
  </si>
  <si>
    <t>As of Dec 31-13</t>
  </si>
  <si>
    <r>
      <t xml:space="preserve">Variance                           RRR vs. 2013 Balance                        </t>
    </r>
    <r>
      <rPr>
        <b/>
        <i/>
        <sz val="10"/>
        <rFont val="Book Antiqua"/>
        <family val="1"/>
      </rPr>
      <t>(Principal + Interest)</t>
    </r>
  </si>
  <si>
    <r>
      <t xml:space="preserve">Projected Interest from January 1, 2015 to April 30, 2015 on Dec 31 -13 balance adjusted for disposition during 2014  </t>
    </r>
    <r>
      <rPr>
        <b/>
        <vertAlign val="superscript"/>
        <sz val="10"/>
        <rFont val="Book Antiqua"/>
        <family val="1"/>
      </rPr>
      <t>6</t>
    </r>
  </si>
  <si>
    <t>December 31, 2013 Audited Balances</t>
  </si>
  <si>
    <t>2.1.7
As of Dec 31-13</t>
  </si>
  <si>
    <t>Smart Meter OM&amp;A Variance</t>
  </si>
  <si>
    <t>Smart Meter Capital and Recovery Offset Variance - Sub-Account - Stranded Meter Costs</t>
  </si>
  <si>
    <t>Smart Meter Capital and Recovery Offset Variance - Sub-Account - Recoveries</t>
  </si>
  <si>
    <t>Smart Meter Capital and Recovery Offset Variance - Sub-Account - Capital</t>
  </si>
  <si>
    <t xml:space="preserve">Other Regulatory Assets - Sub-Account - Other </t>
  </si>
  <si>
    <t>Disposition and Recovery/Refund of Regulatory Balances (2012)</t>
  </si>
  <si>
    <r>
      <t xml:space="preserve">1595 Recovery Share Proportion (2012) </t>
    </r>
    <r>
      <rPr>
        <b/>
        <vertAlign val="superscript"/>
        <sz val="10"/>
        <rFont val="Arial"/>
        <family val="2"/>
      </rPr>
      <t>2</t>
    </r>
  </si>
  <si>
    <t>kWh</t>
  </si>
  <si>
    <t>Rate Rider Calculation for Accounts 1568</t>
  </si>
  <si>
    <t>Balance of 
Account 1568</t>
  </si>
  <si>
    <t>Rate Rider for Account 1568</t>
  </si>
  <si>
    <t>Total Balance Allocated to each class (excluding 1589 and 1586)</t>
  </si>
  <si>
    <t>Total Balance Allocated to each class (including 1589 and excluding 1586)</t>
  </si>
  <si>
    <t>If the LDC’s 2014 rate year begins January 1, 2014, the projected interest is recorded from January 1, 2013 to December 31, 2013 on the December 31, 2012 balance adjusted for the disposed balances approved by the Board in the 2013 rate decision.  If the LDC’s 2013 rate year begins May 1, 2014 the projected interest is recorded from January 1, 2013 to April 30, 2014 on the December 31, 2012 balance adjusted for the disposed balances approved by the Board in the 2013 rate decision.</t>
  </si>
  <si>
    <r>
      <t xml:space="preserve">Other Regulatory Assets - Sub-Account - Other </t>
    </r>
    <r>
      <rPr>
        <vertAlign val="superscript"/>
        <sz val="10"/>
        <rFont val="Arial"/>
        <family val="2"/>
      </rPr>
      <t>4</t>
    </r>
  </si>
  <si>
    <r>
      <t>Other Regulatory Assets - Sub-Account - Financial Assistance Payment and Recovery Variance - Ontario Clean Energy Benefit Act</t>
    </r>
    <r>
      <rPr>
        <vertAlign val="superscript"/>
        <sz val="10"/>
        <rFont val="Arial"/>
        <family val="2"/>
      </rPr>
      <t>8</t>
    </r>
  </si>
  <si>
    <t>EB-2014-0099</t>
  </si>
  <si>
    <t>Melissa Casson, Regulatory Manager</t>
  </si>
  <si>
    <t>705-474-8100 xt:300</t>
  </si>
  <si>
    <t>mcasson@northbayhydro.com</t>
  </si>
  <si>
    <t>NBHDL split out capital carrying charges vs. the carrying charges applied against the smart meter funding adder - net to $3.86</t>
  </si>
  <si>
    <t>GENERAL SERVICE LESS THAN 50 KW</t>
  </si>
  <si>
    <t>RESIDENTIAL</t>
  </si>
  <si>
    <t>GENERAL SERVICE 50 TO 2,999 KW</t>
  </si>
  <si>
    <t>GENERAL SERVICE 3,000 TO 4,999 KW</t>
  </si>
  <si>
    <t>UNMETERED SCATTERED LOAD</t>
  </si>
  <si>
    <t>SENTINEL LIGHTING</t>
  </si>
  <si>
    <t>STREET LIGHTING</t>
  </si>
  <si>
    <t>kW</t>
  </si>
  <si>
    <t>Non-RPP kWh</t>
  </si>
  <si>
    <t>%</t>
  </si>
  <si>
    <t>The residual amount from the 2010 disposition was written off in 2014 due to immaterial amount; not included in the continuity schedule.</t>
  </si>
  <si>
    <t>Variance is related to the amount recorded in1576 in 2014, not included in continuity schedule, plus the WACC amount assessed for the disposition period.</t>
  </si>
  <si>
    <t>This charge related to charges from Hydro One from 2009 through 2011 - the amount was written off in 2014 due to immaterial amount; not included in the continuity schedule.</t>
  </si>
  <si>
    <t>The residual amount from the disposition of the SPC accounts was written off in 2014 due to immaterial amount; not included in the continuity schedule.</t>
  </si>
  <si>
    <t>The residual amount from the disposition of 2006 storm costs was written off in 2014 due to immaterial amount; not included in the continuity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</si>
</sst>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quot;$&quot;#,##0_);\(&quot;$&quot;#,##0\)"/>
    <numFmt numFmtId="165" formatCode="&quot;$&quot;#,##0_);[Red]\(&quot;$&quot;#,##0\)"/>
    <numFmt numFmtId="166" formatCode="&quot;$&quot;#,##0.00_);[Red]\(&quot;$&quot;#,##0.00\)"/>
    <numFmt numFmtId="167" formatCode="_(&quot;$&quot;* #,##0.00_);_(&quot;$&quot;* \(#,##0.00\);_(&quot;$&quot;* &quot;-&quot;??_);_(@_)"/>
    <numFmt numFmtId="168" formatCode="_(* #,##0.00_);_(* \(#,##0.00\);_(* &quot;-&quot;??_);_(@_)"/>
    <numFmt numFmtId="169" formatCode="_(* #,##0.0_);_(* \(#,##0.0\);_(* &quot;-&quot;??_);_(@_)"/>
    <numFmt numFmtId="170" formatCode="_(* #,##0_);_(* \(#,##0\);_(* &quot;-&quot;??_);_(@_)"/>
    <numFmt numFmtId="171" formatCode="&quot;£ &quot;#,##0.00;[Red]\-&quot;£ &quot;#,##0.00"/>
    <numFmt numFmtId="172" formatCode="#,##0.0"/>
    <numFmt numFmtId="173" formatCode="##\-#"/>
    <numFmt numFmtId="174" formatCode="mm/dd/yyyy"/>
    <numFmt numFmtId="175" formatCode="0\-0"/>
    <numFmt numFmtId="176" formatCode="_-&quot;$&quot;* #,##0_-;\-&quot;$&quot;* #,##0_-;_-&quot;$&quot;* &quot;-&quot;??_-;_-@_-"/>
    <numFmt numFmtId="177" formatCode="0.0"/>
    <numFmt numFmtId="178" formatCode="#,##0;[Red]\(#,##0\)"/>
    <numFmt numFmtId="179" formatCode="_-* #,##0_-;\-* #,##0_-;_-* &quot;-&quot;??_-;_-@_-"/>
    <numFmt numFmtId="180" formatCode="_-* #,##0.0000_-;\-* #,##0.0000_-;_-* &quot;-&quot;??_-;_-@_-"/>
    <numFmt numFmtId="181" formatCode="_ #,##0;[Red]\(#,##0\)"/>
  </numFmts>
  <fonts count="54"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vertAlign val="superscript"/>
      <sz val="10"/>
      <name val="Arial"/>
      <family val="2"/>
    </font>
    <font>
      <sz val="11"/>
      <color indexed="8"/>
      <name val="Calibri"/>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9"/>
      </right>
      <top style="medium">
        <color indexed="9"/>
      </top>
      <bottom/>
      <diagonal/>
    </border>
    <border>
      <left style="medium">
        <color indexed="64"/>
      </left>
      <right style="medium">
        <color indexed="64"/>
      </right>
      <top style="medium">
        <color indexed="9"/>
      </top>
      <bottom/>
      <diagonal/>
    </border>
    <border>
      <left style="medium">
        <color auto="1"/>
      </left>
      <right/>
      <top style="medium">
        <color indexed="12"/>
      </top>
      <bottom/>
      <diagonal/>
    </border>
    <border>
      <left style="medium">
        <color auto="1"/>
      </left>
      <right style="medium">
        <color indexed="9"/>
      </right>
      <top style="medium">
        <color indexed="9"/>
      </top>
      <bottom style="medium">
        <color indexed="9"/>
      </bottom>
      <diagonal/>
    </border>
    <border>
      <left style="medium">
        <color auto="1"/>
      </left>
      <right/>
      <top/>
      <bottom/>
      <diagonal/>
    </border>
    <border>
      <left style="medium">
        <color auto="1"/>
      </left>
      <right style="medium">
        <color indexed="9"/>
      </right>
      <top style="medium">
        <color indexed="9"/>
      </top>
      <bottom/>
      <diagonal/>
    </border>
    <border>
      <left style="medium">
        <color auto="1"/>
      </left>
      <right style="medium">
        <color indexed="9"/>
      </right>
      <top/>
      <bottom style="medium">
        <color indexed="9"/>
      </bottom>
      <diagonal/>
    </border>
    <border>
      <left style="medium">
        <color auto="1"/>
      </left>
      <right style="medium">
        <color indexed="64"/>
      </right>
      <top/>
      <bottom style="medium">
        <color auto="1"/>
      </bottom>
      <diagonal/>
    </border>
    <border>
      <left style="medium">
        <color auto="1"/>
      </left>
      <right/>
      <top style="medium">
        <color indexed="9"/>
      </top>
      <bottom style="medium">
        <color auto="1"/>
      </bottom>
      <diagonal/>
    </border>
    <border>
      <left/>
      <right/>
      <top/>
      <bottom style="medium">
        <color auto="1"/>
      </bottom>
      <diagonal/>
    </border>
    <border>
      <left/>
      <right style="medium">
        <color indexed="64"/>
      </right>
      <top/>
      <bottom style="medium">
        <color auto="1"/>
      </bottom>
      <diagonal/>
    </border>
    <border>
      <left style="medium">
        <color indexed="64"/>
      </left>
      <right style="medium">
        <color indexed="64"/>
      </right>
      <top/>
      <bottom style="thin">
        <color indexed="64"/>
      </bottom>
      <diagonal/>
    </border>
  </borders>
  <cellStyleXfs count="72">
    <xf numFmtId="0" fontId="0" fillId="0" borderId="0"/>
    <xf numFmtId="169" fontId="3" fillId="0" borderId="0"/>
    <xf numFmtId="172" fontId="3" fillId="0" borderId="0"/>
    <xf numFmtId="174" fontId="3" fillId="0" borderId="0"/>
    <xf numFmtId="175"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164"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73" fontId="3" fillId="0" borderId="0"/>
    <xf numFmtId="170" fontId="3" fillId="0" borderId="0"/>
    <xf numFmtId="0" fontId="30" fillId="24" borderId="0" applyNumberFormat="0" applyBorder="0" applyAlignment="0" applyProtection="0"/>
    <xf numFmtId="171"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168" fontId="39" fillId="0" borderId="0" applyFont="0" applyFill="0" applyBorder="0" applyAlignment="0" applyProtection="0"/>
    <xf numFmtId="167" fontId="39" fillId="0" borderId="0" applyFont="0" applyFill="0" applyBorder="0" applyAlignment="0" applyProtection="0"/>
    <xf numFmtId="9" fontId="39" fillId="0" borderId="0" applyFont="0" applyFill="0" applyBorder="0" applyAlignment="0" applyProtection="0"/>
    <xf numFmtId="0" fontId="2" fillId="0" borderId="0"/>
    <xf numFmtId="169" fontId="3" fillId="0" borderId="0"/>
    <xf numFmtId="169" fontId="3" fillId="0" borderId="0"/>
    <xf numFmtId="169" fontId="3" fillId="0" borderId="0"/>
    <xf numFmtId="169" fontId="3" fillId="0" borderId="0"/>
    <xf numFmtId="174" fontId="3" fillId="0" borderId="0"/>
    <xf numFmtId="173" fontId="3" fillId="0" borderId="0"/>
    <xf numFmtId="173" fontId="3" fillId="0" borderId="0"/>
    <xf numFmtId="173" fontId="3" fillId="0" borderId="0"/>
    <xf numFmtId="173" fontId="3" fillId="0" borderId="0"/>
    <xf numFmtId="0" fontId="3" fillId="0" borderId="0"/>
    <xf numFmtId="0" fontId="3" fillId="0" borderId="0"/>
    <xf numFmtId="168" fontId="53" fillId="0" borderId="0" applyFont="0" applyFill="0" applyBorder="0" applyAlignment="0" applyProtection="0"/>
  </cellStyleXfs>
  <cellXfs count="280">
    <xf numFmtId="0" fontId="0" fillId="0" borderId="0" xfId="0"/>
    <xf numFmtId="0" fontId="0" fillId="0" borderId="0" xfId="0" applyProtection="1"/>
    <xf numFmtId="0" fontId="6" fillId="0" borderId="0" xfId="0" applyFont="1" applyProtection="1"/>
    <xf numFmtId="0" fontId="17" fillId="0" borderId="0" xfId="0" applyFont="1" applyProtection="1"/>
    <xf numFmtId="0" fontId="4" fillId="0" borderId="0" xfId="0" applyFont="1" applyProtection="1"/>
    <xf numFmtId="0" fontId="4" fillId="0" borderId="0" xfId="0" applyFont="1" applyBorder="1" applyProtection="1"/>
    <xf numFmtId="0" fontId="0" fillId="0" borderId="10" xfId="0" applyBorder="1" applyProtection="1"/>
    <xf numFmtId="0" fontId="4" fillId="0" borderId="0" xfId="0" applyFont="1" applyAlignment="1" applyProtection="1">
      <alignment horizontal="center"/>
    </xf>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5" fillId="0" borderId="0" xfId="0" applyFont="1" applyFill="1" applyBorder="1" applyProtection="1"/>
    <xf numFmtId="0" fontId="10" fillId="0" borderId="0" xfId="0" applyFont="1" applyProtection="1"/>
    <xf numFmtId="0" fontId="10" fillId="0" borderId="0" xfId="0" applyFont="1" applyAlignment="1" applyProtection="1">
      <alignment horizontal="right"/>
    </xf>
    <xf numFmtId="0" fontId="34" fillId="0" borderId="0" xfId="0" applyFont="1" applyAlignment="1" applyProtection="1">
      <alignment vertical="center"/>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6" xfId="0" applyBorder="1" applyProtection="1"/>
    <xf numFmtId="0" fontId="16" fillId="0" borderId="17" xfId="0" applyFont="1" applyBorder="1" applyAlignment="1" applyProtection="1"/>
    <xf numFmtId="167" fontId="0" fillId="0" borderId="15"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0" fontId="0" fillId="0" borderId="30" xfId="0" applyBorder="1" applyAlignment="1" applyProtection="1">
      <alignment horizontal="left" vertical="top" wrapText="1"/>
      <protection locked="0"/>
    </xf>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32" xfId="0"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0" fillId="0" borderId="0" xfId="59" applyFont="1" applyProtection="1"/>
    <xf numFmtId="177" fontId="41" fillId="0" borderId="0" xfId="59" applyNumberFormat="1" applyFont="1" applyAlignment="1" applyProtection="1">
      <alignment horizontal="left"/>
    </xf>
    <xf numFmtId="0" fontId="42"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2" fillId="0" borderId="0" xfId="59" applyFont="1" applyAlignment="1" applyProtection="1">
      <alignment horizontal="right" vertical="center" indent="1"/>
    </xf>
    <xf numFmtId="0" fontId="43" fillId="0" borderId="0" xfId="59" applyFont="1" applyProtection="1"/>
    <xf numFmtId="0" fontId="43" fillId="0" borderId="0" xfId="59" applyFont="1" applyAlignment="1" applyProtection="1">
      <alignment horizontal="right" vertical="center"/>
    </xf>
    <xf numFmtId="0" fontId="45"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0" fontId="8" fillId="0" borderId="0" xfId="0" applyFont="1" applyAlignment="1" applyProtection="1">
      <alignment vertical="center"/>
    </xf>
    <xf numFmtId="0" fontId="3" fillId="0" borderId="0" xfId="0" applyFont="1"/>
    <xf numFmtId="0" fontId="6" fillId="0" borderId="0" xfId="0" applyFont="1"/>
    <xf numFmtId="0" fontId="12" fillId="0" borderId="0" xfId="59" applyFont="1" applyBorder="1" applyProtection="1"/>
    <xf numFmtId="0" fontId="12" fillId="0" borderId="0" xfId="59" applyFont="1" applyBorder="1" applyAlignment="1" applyProtection="1">
      <alignment horizontal="center"/>
    </xf>
    <xf numFmtId="0" fontId="0" fillId="0" borderId="4" xfId="0" applyBorder="1"/>
    <xf numFmtId="0" fontId="6" fillId="0" borderId="4" xfId="0" applyFont="1" applyBorder="1"/>
    <xf numFmtId="176" fontId="6" fillId="0" borderId="4" xfId="57" applyNumberFormat="1" applyFont="1" applyBorder="1"/>
    <xf numFmtId="0" fontId="7" fillId="0" borderId="0" xfId="0" applyFont="1" applyAlignment="1">
      <alignment horizontal="right" indent="1"/>
    </xf>
    <xf numFmtId="176" fontId="7" fillId="0" borderId="0" xfId="57" applyNumberFormat="1" applyFont="1" applyAlignment="1">
      <alignment horizontal="right" indent="1"/>
    </xf>
    <xf numFmtId="176" fontId="7" fillId="0" borderId="0" xfId="0" applyNumberFormat="1" applyFont="1" applyAlignment="1">
      <alignment horizontal="right" indent="1"/>
    </xf>
    <xf numFmtId="0" fontId="6" fillId="0" borderId="44" xfId="0" applyFont="1" applyBorder="1" applyAlignment="1">
      <alignment horizontal="center" vertical="center"/>
    </xf>
    <xf numFmtId="0" fontId="6" fillId="0" borderId="44"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8" fontId="3" fillId="0" borderId="4" xfId="57" applyNumberFormat="1" applyFont="1" applyBorder="1" applyAlignment="1" applyProtection="1">
      <alignment horizontal="center" vertical="center"/>
    </xf>
    <xf numFmtId="0" fontId="3" fillId="0" borderId="4" xfId="0" applyFont="1" applyBorder="1" applyAlignment="1" applyProtection="1"/>
    <xf numFmtId="0" fontId="3" fillId="0" borderId="4" xfId="0" applyFont="1" applyBorder="1" applyAlignment="1" applyProtection="1">
      <alignment horizontal="left"/>
    </xf>
    <xf numFmtId="0" fontId="6" fillId="0" borderId="0" xfId="0" applyFont="1" applyAlignment="1" applyProtection="1"/>
    <xf numFmtId="176" fontId="6" fillId="0" borderId="0" xfId="57" applyNumberFormat="1" applyFont="1" applyAlignment="1" applyProtection="1"/>
    <xf numFmtId="0" fontId="3" fillId="0" borderId="4" xfId="0" applyFont="1" applyBorder="1" applyAlignment="1" applyProtection="1">
      <alignment wrapText="1"/>
    </xf>
    <xf numFmtId="0" fontId="3" fillId="0" borderId="0" xfId="0" applyFont="1" applyBorder="1"/>
    <xf numFmtId="0" fontId="6" fillId="0" borderId="0" xfId="0" applyFont="1" applyBorder="1" applyProtection="1"/>
    <xf numFmtId="0" fontId="3" fillId="0" borderId="0" xfId="0" applyFont="1" applyBorder="1" applyAlignment="1" applyProtection="1">
      <alignment horizontal="center"/>
    </xf>
    <xf numFmtId="178" fontId="3" fillId="0" borderId="0" xfId="57" applyNumberFormat="1" applyFont="1" applyBorder="1" applyAlignment="1" applyProtection="1">
      <alignment horizontal="center" vertical="center"/>
    </xf>
    <xf numFmtId="0" fontId="3" fillId="0" borderId="0" xfId="0" applyFont="1" applyBorder="1" applyProtection="1"/>
    <xf numFmtId="176" fontId="3" fillId="0" borderId="0" xfId="57" applyNumberFormat="1" applyFont="1" applyBorder="1" applyProtection="1"/>
    <xf numFmtId="176" fontId="3" fillId="0" borderId="0" xfId="57" applyNumberFormat="1" applyFont="1"/>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6" fillId="0" borderId="0" xfId="0" applyFont="1" applyAlignment="1" applyProtection="1">
      <alignment vertical="center"/>
    </xf>
    <xf numFmtId="0" fontId="6" fillId="31" borderId="4" xfId="0" applyFont="1" applyFill="1" applyBorder="1" applyProtection="1"/>
    <xf numFmtId="178" fontId="6" fillId="31" borderId="4" xfId="57" applyNumberFormat="1" applyFont="1" applyFill="1" applyBorder="1" applyAlignment="1" applyProtection="1">
      <alignment horizontal="center" vertical="center"/>
    </xf>
    <xf numFmtId="0" fontId="6" fillId="31" borderId="4" xfId="0" applyFont="1" applyFill="1" applyBorder="1" applyAlignment="1" applyProtection="1">
      <alignment horizontal="center" vertical="center"/>
    </xf>
    <xf numFmtId="3" fontId="6" fillId="0" borderId="4" xfId="0" applyNumberFormat="1" applyFont="1" applyBorder="1"/>
    <xf numFmtId="9" fontId="6" fillId="0" borderId="4" xfId="58" applyFont="1" applyBorder="1"/>
    <xf numFmtId="0" fontId="3" fillId="28" borderId="0" xfId="0" applyFont="1" applyFill="1" applyBorder="1" applyAlignment="1" applyProtection="1">
      <alignment horizontal="center" vertical="center"/>
    </xf>
    <xf numFmtId="0" fontId="3" fillId="28" borderId="4" xfId="0" applyFont="1" applyFill="1" applyBorder="1" applyAlignment="1" applyProtection="1">
      <alignment horizontal="center" vertical="center"/>
    </xf>
    <xf numFmtId="178" fontId="3" fillId="0" borderId="0" xfId="0" applyNumberFormat="1" applyFont="1" applyBorder="1" applyAlignment="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9" fontId="0" fillId="0" borderId="4" xfId="56" applyNumberFormat="1" applyFont="1" applyBorder="1" applyAlignment="1">
      <alignment horizontal="center" vertical="center"/>
    </xf>
    <xf numFmtId="176" fontId="0" fillId="0" borderId="4" xfId="57" applyNumberFormat="1" applyFont="1" applyBorder="1"/>
    <xf numFmtId="178" fontId="6" fillId="31" borderId="4" xfId="0" applyNumberFormat="1" applyFont="1" applyFill="1" applyBorder="1" applyAlignment="1" applyProtection="1">
      <alignment vertical="center"/>
    </xf>
    <xf numFmtId="178" fontId="6" fillId="28" borderId="4" xfId="57" applyNumberFormat="1" applyFont="1" applyFill="1" applyBorder="1" applyAlignment="1" applyProtection="1">
      <alignment horizontal="center" vertical="center"/>
    </xf>
    <xf numFmtId="0" fontId="6" fillId="28" borderId="4" xfId="0" applyFont="1" applyFill="1" applyBorder="1" applyAlignment="1" applyProtection="1">
      <alignment horizontal="center" vertical="center"/>
    </xf>
    <xf numFmtId="178" fontId="6" fillId="33" borderId="4" xfId="57" applyNumberFormat="1" applyFont="1" applyFill="1" applyBorder="1" applyAlignment="1" applyProtection="1">
      <alignment horizontal="center" vertical="center"/>
    </xf>
    <xf numFmtId="0" fontId="6" fillId="33" borderId="4" xfId="0" applyFont="1" applyFill="1" applyBorder="1" applyAlignment="1" applyProtection="1">
      <alignment horizontal="center" vertical="center"/>
    </xf>
    <xf numFmtId="0" fontId="6" fillId="32" borderId="4" xfId="0" applyFont="1" applyFill="1" applyBorder="1"/>
    <xf numFmtId="0" fontId="6" fillId="32" borderId="4" xfId="0" applyFont="1" applyFill="1" applyBorder="1" applyAlignment="1">
      <alignment horizontal="center" vertical="center"/>
    </xf>
    <xf numFmtId="179" fontId="6" fillId="32" borderId="4" xfId="56" applyNumberFormat="1" applyFont="1" applyFill="1" applyBorder="1" applyAlignment="1">
      <alignment horizontal="center" vertical="center"/>
    </xf>
    <xf numFmtId="176" fontId="6" fillId="32" borderId="4" xfId="57" applyNumberFormat="1" applyFont="1" applyFill="1" applyBorder="1"/>
    <xf numFmtId="180"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179" fontId="3" fillId="28" borderId="4" xfId="0" applyNumberFormat="1" applyFont="1" applyFill="1" applyBorder="1" applyAlignment="1">
      <alignment horizontal="right" vertical="center"/>
    </xf>
    <xf numFmtId="0" fontId="51" fillId="0" borderId="0" xfId="0" applyFont="1"/>
    <xf numFmtId="179" fontId="0" fillId="0" borderId="0" xfId="0" applyNumberFormat="1"/>
    <xf numFmtId="0" fontId="0" fillId="0" borderId="10" xfId="0" applyBorder="1" applyAlignment="1" applyProtection="1">
      <alignment horizontal="left" vertical="top" wrapText="1"/>
      <protection locked="0"/>
    </xf>
    <xf numFmtId="0" fontId="10" fillId="0" borderId="0" xfId="0" applyFont="1" applyAlignment="1" applyProtection="1">
      <alignment vertical="top"/>
    </xf>
    <xf numFmtId="0" fontId="0" fillId="0" borderId="4" xfId="0" applyFill="1" applyBorder="1"/>
    <xf numFmtId="166" fontId="0" fillId="0" borderId="0" xfId="0" applyNumberFormat="1" applyProtection="1"/>
    <xf numFmtId="166" fontId="4" fillId="0" borderId="0" xfId="0" applyNumberFormat="1" applyFont="1" applyFill="1" applyBorder="1" applyProtection="1"/>
    <xf numFmtId="166" fontId="0" fillId="0" borderId="0" xfId="0" applyNumberFormat="1" applyFill="1" applyProtection="1"/>
    <xf numFmtId="0" fontId="0" fillId="0" borderId="0" xfId="0" applyNumberFormat="1" applyProtection="1"/>
    <xf numFmtId="0" fontId="5" fillId="0" borderId="0" xfId="0" applyNumberFormat="1" applyFont="1" applyProtection="1"/>
    <xf numFmtId="0" fontId="5" fillId="0" borderId="0" xfId="0" applyNumberFormat="1" applyFont="1" applyAlignment="1" applyProtection="1">
      <alignment wrapText="1"/>
    </xf>
    <xf numFmtId="0" fontId="16" fillId="0" borderId="14" xfId="0" applyNumberFormat="1" applyFont="1" applyBorder="1" applyAlignment="1" applyProtection="1">
      <alignment horizontal="center"/>
    </xf>
    <xf numFmtId="0" fontId="16" fillId="0" borderId="13" xfId="0" applyNumberFormat="1" applyFont="1" applyBorder="1" applyAlignment="1" applyProtection="1"/>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3" fillId="29" borderId="4" xfId="0" applyFont="1" applyFill="1" applyBorder="1" applyAlignment="1" applyProtection="1">
      <alignment horizontal="center" vertical="center"/>
      <protection locked="0"/>
    </xf>
    <xf numFmtId="178" fontId="3" fillId="30" borderId="4" xfId="57" applyNumberFormat="1" applyFont="1" applyFill="1" applyBorder="1" applyAlignment="1" applyProtection="1">
      <alignment horizontal="center" vertical="center"/>
      <protection locked="0"/>
    </xf>
    <xf numFmtId="0" fontId="3" fillId="30" borderId="4" xfId="0" applyFont="1" applyFill="1" applyBorder="1" applyProtection="1">
      <protection locked="0"/>
    </xf>
    <xf numFmtId="0" fontId="3" fillId="29" borderId="4" xfId="0" applyFont="1" applyFill="1" applyBorder="1" applyProtection="1">
      <protection locked="0"/>
    </xf>
    <xf numFmtId="179" fontId="3" fillId="30" borderId="4" xfId="56" applyNumberFormat="1" applyFont="1" applyFill="1" applyBorder="1" applyProtection="1">
      <protection locked="0"/>
    </xf>
    <xf numFmtId="0" fontId="0" fillId="0" borderId="0" xfId="0" applyAlignment="1">
      <alignment wrapText="1"/>
    </xf>
    <xf numFmtId="9" fontId="3" fillId="30" borderId="4" xfId="58" applyFont="1" applyFill="1" applyBorder="1" applyProtection="1">
      <protection locked="0"/>
    </xf>
    <xf numFmtId="165" fontId="4" fillId="0" borderId="9" xfId="0" applyNumberFormat="1" applyFont="1" applyBorder="1" applyProtection="1"/>
    <xf numFmtId="165" fontId="4" fillId="0" borderId="0" xfId="0" applyNumberFormat="1" applyFont="1" applyBorder="1" applyProtection="1"/>
    <xf numFmtId="165" fontId="0" fillId="0" borderId="0" xfId="0" applyNumberFormat="1" applyBorder="1" applyAlignment="1" applyProtection="1">
      <alignment wrapText="1"/>
    </xf>
    <xf numFmtId="165" fontId="5" fillId="0" borderId="10" xfId="0" applyNumberFormat="1" applyFont="1" applyBorder="1" applyAlignment="1" applyProtection="1">
      <alignment horizontal="center" vertical="center" wrapText="1"/>
    </xf>
    <xf numFmtId="165" fontId="0" fillId="0" borderId="12" xfId="0" applyNumberFormat="1" applyBorder="1" applyAlignment="1" applyProtection="1">
      <alignment wrapText="1"/>
    </xf>
    <xf numFmtId="165" fontId="0" fillId="0" borderId="18" xfId="0" applyNumberFormat="1" applyBorder="1" applyAlignment="1" applyProtection="1">
      <alignment wrapText="1"/>
    </xf>
    <xf numFmtId="165" fontId="0" fillId="0" borderId="11" xfId="0" applyNumberFormat="1" applyBorder="1" applyAlignment="1" applyProtection="1">
      <alignment wrapText="1"/>
    </xf>
    <xf numFmtId="165" fontId="0" fillId="0" borderId="0" xfId="0" applyNumberFormat="1" applyBorder="1" applyProtection="1"/>
    <xf numFmtId="165" fontId="0" fillId="0" borderId="10" xfId="0" applyNumberFormat="1" applyBorder="1" applyProtection="1"/>
    <xf numFmtId="165" fontId="0" fillId="0" borderId="15" xfId="0" applyNumberFormat="1" applyBorder="1" applyProtection="1"/>
    <xf numFmtId="165" fontId="0" fillId="0" borderId="11" xfId="0" applyNumberFormat="1" applyBorder="1" applyProtection="1"/>
    <xf numFmtId="165" fontId="0" fillId="0" borderId="0" xfId="0" applyNumberFormat="1" applyProtection="1"/>
    <xf numFmtId="165" fontId="4" fillId="30" borderId="19" xfId="0" applyNumberFormat="1" applyFont="1" applyFill="1" applyBorder="1" applyProtection="1">
      <protection locked="0"/>
    </xf>
    <xf numFmtId="165" fontId="4" fillId="30" borderId="20" xfId="0" applyNumberFormat="1" applyFont="1" applyFill="1" applyBorder="1" applyProtection="1">
      <protection locked="0"/>
    </xf>
    <xf numFmtId="165" fontId="4" fillId="0" borderId="0" xfId="0" applyNumberFormat="1" applyFont="1" applyFill="1" applyBorder="1" applyProtection="1"/>
    <xf numFmtId="165" fontId="4" fillId="0" borderId="10" xfId="0" applyNumberFormat="1" applyFont="1" applyFill="1" applyBorder="1" applyProtection="1"/>
    <xf numFmtId="165" fontId="4" fillId="26" borderId="19" xfId="0" applyNumberFormat="1" applyFont="1" applyFill="1" applyBorder="1" applyProtection="1"/>
    <xf numFmtId="165" fontId="4" fillId="26" borderId="20" xfId="0" applyNumberFormat="1" applyFont="1" applyFill="1" applyBorder="1" applyProtection="1"/>
    <xf numFmtId="165" fontId="4" fillId="26" borderId="31" xfId="0" applyNumberFormat="1" applyFont="1" applyFill="1" applyBorder="1" applyProtection="1"/>
    <xf numFmtId="165" fontId="4" fillId="30" borderId="21" xfId="0" applyNumberFormat="1" applyFont="1" applyFill="1" applyBorder="1" applyProtection="1">
      <protection locked="0"/>
    </xf>
    <xf numFmtId="165" fontId="4" fillId="30" borderId="22" xfId="0" applyNumberFormat="1" applyFont="1" applyFill="1" applyBorder="1" applyProtection="1">
      <protection locked="0"/>
    </xf>
    <xf numFmtId="165" fontId="4" fillId="0" borderId="9" xfId="0" applyNumberFormat="1" applyFont="1" applyFill="1" applyBorder="1" applyProtection="1"/>
    <xf numFmtId="165" fontId="4" fillId="0" borderId="15" xfId="0" applyNumberFormat="1" applyFont="1" applyFill="1" applyBorder="1" applyProtection="1"/>
    <xf numFmtId="165" fontId="4" fillId="22" borderId="20" xfId="0" applyNumberFormat="1" applyFont="1" applyFill="1" applyBorder="1" applyProtection="1"/>
    <xf numFmtId="165" fontId="4" fillId="30" borderId="23" xfId="0" applyNumberFormat="1" applyFont="1" applyFill="1" applyBorder="1" applyProtection="1">
      <protection locked="0"/>
    </xf>
    <xf numFmtId="165" fontId="4" fillId="30" borderId="24" xfId="0" applyNumberFormat="1" applyFont="1" applyFill="1" applyBorder="1" applyProtection="1">
      <protection locked="0"/>
    </xf>
    <xf numFmtId="165" fontId="4" fillId="30" borderId="25" xfId="0" applyNumberFormat="1" applyFont="1" applyFill="1" applyBorder="1" applyProtection="1">
      <protection locked="0"/>
    </xf>
    <xf numFmtId="165" fontId="4" fillId="26" borderId="25" xfId="0" applyNumberFormat="1" applyFont="1" applyFill="1" applyBorder="1" applyProtection="1"/>
    <xf numFmtId="165" fontId="4" fillId="22" borderId="24" xfId="0" applyNumberFormat="1" applyFont="1" applyFill="1" applyBorder="1" applyProtection="1"/>
    <xf numFmtId="165" fontId="4" fillId="22" borderId="0" xfId="0" applyNumberFormat="1" applyFont="1" applyFill="1" applyBorder="1" applyProtection="1"/>
    <xf numFmtId="165" fontId="4" fillId="22" borderId="10" xfId="0" applyNumberFormat="1" applyFont="1" applyFill="1" applyBorder="1" applyProtection="1"/>
    <xf numFmtId="165" fontId="4" fillId="30" borderId="27" xfId="0" applyNumberFormat="1" applyFont="1" applyFill="1" applyBorder="1" applyProtection="1">
      <protection locked="0"/>
    </xf>
    <xf numFmtId="165" fontId="4" fillId="30" borderId="28" xfId="0" applyNumberFormat="1" applyFont="1" applyFill="1" applyBorder="1" applyProtection="1">
      <protection locked="0"/>
    </xf>
    <xf numFmtId="165" fontId="4" fillId="30" borderId="0" xfId="0" applyNumberFormat="1" applyFont="1" applyFill="1" applyBorder="1" applyProtection="1">
      <protection locked="0"/>
    </xf>
    <xf numFmtId="165" fontId="4" fillId="30" borderId="15" xfId="0" applyNumberFormat="1" applyFont="1" applyFill="1" applyBorder="1" applyProtection="1">
      <protection locked="0"/>
    </xf>
    <xf numFmtId="165" fontId="4" fillId="26" borderId="23" xfId="0" applyNumberFormat="1" applyFont="1" applyFill="1" applyBorder="1" applyProtection="1"/>
    <xf numFmtId="165" fontId="4" fillId="26" borderId="24" xfId="0" applyNumberFormat="1" applyFont="1" applyFill="1" applyBorder="1" applyProtection="1"/>
    <xf numFmtId="165" fontId="4" fillId="30" borderId="47" xfId="0" applyNumberFormat="1" applyFont="1" applyFill="1" applyBorder="1" applyProtection="1">
      <protection locked="0"/>
    </xf>
    <xf numFmtId="165" fontId="4" fillId="30" borderId="48" xfId="0" applyNumberFormat="1" applyFont="1" applyFill="1" applyBorder="1" applyProtection="1">
      <protection locked="0"/>
    </xf>
    <xf numFmtId="165" fontId="4" fillId="26" borderId="26" xfId="0" applyNumberFormat="1" applyFont="1" applyFill="1" applyBorder="1" applyProtection="1"/>
    <xf numFmtId="0" fontId="3" fillId="0" borderId="0" xfId="0" applyFont="1" applyAlignment="1">
      <alignment wrapText="1"/>
    </xf>
    <xf numFmtId="165" fontId="4" fillId="0" borderId="49" xfId="0" applyNumberFormat="1" applyFont="1" applyBorder="1" applyProtection="1"/>
    <xf numFmtId="165" fontId="4" fillId="30" borderId="50" xfId="0" applyNumberFormat="1" applyFont="1" applyFill="1" applyBorder="1" applyProtection="1">
      <protection locked="0"/>
    </xf>
    <xf numFmtId="165" fontId="4" fillId="0" borderId="51" xfId="0" applyNumberFormat="1" applyFont="1" applyFill="1" applyBorder="1" applyProtection="1"/>
    <xf numFmtId="165" fontId="4" fillId="30" borderId="52" xfId="0" applyNumberFormat="1" applyFont="1" applyFill="1" applyBorder="1" applyProtection="1">
      <protection locked="0"/>
    </xf>
    <xf numFmtId="165" fontId="4" fillId="30" borderId="53" xfId="0" applyNumberFormat="1" applyFont="1" applyFill="1" applyBorder="1" applyProtection="1">
      <protection locked="0"/>
    </xf>
    <xf numFmtId="165" fontId="4" fillId="22" borderId="52" xfId="0" applyNumberFormat="1" applyFont="1" applyFill="1" applyBorder="1" applyProtection="1"/>
    <xf numFmtId="165" fontId="4" fillId="22" borderId="51" xfId="0" applyNumberFormat="1" applyFont="1" applyFill="1" applyBorder="1" applyProtection="1"/>
    <xf numFmtId="165" fontId="4" fillId="26" borderId="53" xfId="0" applyNumberFormat="1" applyFont="1" applyFill="1" applyBorder="1" applyProtection="1"/>
    <xf numFmtId="165" fontId="4" fillId="26" borderId="50" xfId="0" applyNumberFormat="1" applyFont="1" applyFill="1" applyBorder="1" applyProtection="1"/>
    <xf numFmtId="165" fontId="4" fillId="0" borderId="55" xfId="0" applyNumberFormat="1" applyFont="1" applyFill="1" applyBorder="1" applyProtection="1"/>
    <xf numFmtId="165" fontId="4" fillId="0" borderId="56" xfId="0" applyNumberFormat="1" applyFont="1" applyFill="1" applyBorder="1" applyProtection="1"/>
    <xf numFmtId="165" fontId="0" fillId="0" borderId="57" xfId="0" applyNumberFormat="1" applyBorder="1" applyProtection="1"/>
    <xf numFmtId="165" fontId="0" fillId="0" borderId="54" xfId="0" applyNumberFormat="1" applyBorder="1" applyProtection="1"/>
    <xf numFmtId="0" fontId="11" fillId="0" borderId="0" xfId="0" applyFont="1" applyAlignment="1" applyProtection="1">
      <alignment vertical="top"/>
    </xf>
    <xf numFmtId="0" fontId="0" fillId="0" borderId="0" xfId="0" applyAlignment="1" applyProtection="1">
      <alignment vertical="top"/>
    </xf>
    <xf numFmtId="166" fontId="0" fillId="0" borderId="0" xfId="0" applyNumberFormat="1" applyAlignment="1" applyProtection="1">
      <alignment vertical="top"/>
    </xf>
    <xf numFmtId="0" fontId="4" fillId="0" borderId="0" xfId="0" applyFont="1" applyAlignment="1" applyProtection="1">
      <alignment horizontal="center" vertical="top"/>
    </xf>
    <xf numFmtId="166" fontId="3" fillId="0" borderId="0" xfId="0" applyNumberFormat="1" applyFont="1" applyProtection="1"/>
    <xf numFmtId="0" fontId="4" fillId="0" borderId="4" xfId="0" applyFont="1" applyBorder="1" applyProtection="1"/>
    <xf numFmtId="0" fontId="4" fillId="0" borderId="4" xfId="0" applyFont="1" applyBorder="1" applyAlignment="1" applyProtection="1">
      <alignment horizontal="center"/>
    </xf>
    <xf numFmtId="0" fontId="4" fillId="0" borderId="4" xfId="0" applyFont="1" applyBorder="1" applyAlignment="1" applyProtection="1">
      <alignment wrapText="1"/>
    </xf>
    <xf numFmtId="0" fontId="4" fillId="0" borderId="4" xfId="0" applyFont="1" applyBorder="1" applyAlignment="1" applyProtection="1"/>
    <xf numFmtId="0" fontId="4" fillId="0" borderId="4" xfId="0" applyFont="1" applyBorder="1" applyAlignment="1" applyProtection="1">
      <alignment vertical="center" wrapText="1"/>
    </xf>
    <xf numFmtId="0" fontId="4" fillId="0" borderId="4" xfId="0" applyFont="1" applyBorder="1" applyAlignment="1" applyProtection="1">
      <alignment horizontal="center" vertical="center"/>
    </xf>
    <xf numFmtId="0" fontId="4" fillId="0" borderId="4" xfId="0" applyFont="1" applyBorder="1" applyAlignment="1" applyProtection="1">
      <alignment horizontal="left"/>
    </xf>
    <xf numFmtId="0" fontId="4" fillId="0" borderId="0" xfId="0" applyFont="1" applyBorder="1" applyAlignment="1" applyProtection="1"/>
    <xf numFmtId="0" fontId="0" fillId="0" borderId="58" xfId="0" applyBorder="1" applyAlignment="1" applyProtection="1">
      <alignment horizontal="left" vertical="top" wrapText="1"/>
      <protection locked="0"/>
    </xf>
    <xf numFmtId="0" fontId="0" fillId="0" borderId="29" xfId="0" applyBorder="1" applyProtection="1">
      <protection locked="0"/>
    </xf>
    <xf numFmtId="0" fontId="3" fillId="0" borderId="4" xfId="0" applyFont="1" applyBorder="1" applyAlignment="1" applyProtection="1">
      <alignment horizontal="left" vertical="top" wrapText="1"/>
    </xf>
    <xf numFmtId="181" fontId="4" fillId="30" borderId="20" xfId="59" applyNumberFormat="1" applyFont="1" applyFill="1" applyBorder="1" applyProtection="1">
      <protection locked="0"/>
    </xf>
    <xf numFmtId="0" fontId="3" fillId="0" borderId="30" xfId="0" applyFont="1" applyBorder="1" applyAlignment="1" applyProtection="1">
      <alignment horizontal="left" vertical="top" wrapText="1"/>
      <protection locked="0"/>
    </xf>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3" fillId="29" borderId="41" xfId="59" applyFont="1" applyFill="1" applyBorder="1" applyAlignment="1" applyProtection="1">
      <alignment horizontal="left" vertical="center" wrapText="1"/>
      <protection locked="0"/>
    </xf>
    <xf numFmtId="0" fontId="43" fillId="29" borderId="42" xfId="59" applyFont="1" applyFill="1" applyBorder="1" applyAlignment="1" applyProtection="1">
      <alignment horizontal="left" vertical="center" wrapText="1"/>
      <protection locked="0"/>
    </xf>
    <xf numFmtId="0" fontId="43" fillId="29" borderId="43" xfId="59" applyFont="1" applyFill="1" applyBorder="1" applyAlignment="1" applyProtection="1">
      <alignment horizontal="left" vertical="center" wrapText="1"/>
      <protection locked="0"/>
    </xf>
    <xf numFmtId="0" fontId="44" fillId="30" borderId="41" xfId="59" applyFont="1" applyFill="1" applyBorder="1" applyAlignment="1" applyProtection="1">
      <alignment horizontal="left" vertical="center"/>
      <protection locked="0"/>
    </xf>
    <xf numFmtId="0" fontId="44" fillId="30" borderId="42" xfId="59" applyFont="1" applyFill="1" applyBorder="1" applyAlignment="1" applyProtection="1">
      <alignment horizontal="left" vertical="center"/>
      <protection locked="0"/>
    </xf>
    <xf numFmtId="0" fontId="44" fillId="30" borderId="43" xfId="59" applyFont="1" applyFill="1" applyBorder="1" applyAlignment="1" applyProtection="1">
      <alignment horizontal="left" vertical="center"/>
      <protection locked="0"/>
    </xf>
    <xf numFmtId="0" fontId="43" fillId="30" borderId="41" xfId="59" applyFont="1" applyFill="1" applyBorder="1" applyAlignment="1" applyProtection="1">
      <alignment horizontal="left" vertical="center"/>
      <protection locked="0"/>
    </xf>
    <xf numFmtId="0" fontId="43" fillId="30" borderId="42" xfId="59" applyFont="1" applyFill="1" applyBorder="1" applyAlignment="1" applyProtection="1">
      <alignment horizontal="left" vertical="center"/>
      <protection locked="0"/>
    </xf>
    <xf numFmtId="0" fontId="43" fillId="30" borderId="43" xfId="59" applyFont="1" applyFill="1" applyBorder="1" applyAlignment="1" applyProtection="1">
      <alignment horizontal="left" vertical="center"/>
      <protection locked="0"/>
    </xf>
    <xf numFmtId="0" fontId="43" fillId="30" borderId="41" xfId="59" applyNumberFormat="1" applyFont="1" applyFill="1" applyBorder="1" applyAlignment="1" applyProtection="1">
      <alignment horizontal="left" vertical="center"/>
      <protection locked="0"/>
    </xf>
    <xf numFmtId="0" fontId="43" fillId="30" borderId="42" xfId="59" applyNumberFormat="1" applyFont="1" applyFill="1" applyBorder="1" applyAlignment="1" applyProtection="1">
      <alignment horizontal="left" vertical="center"/>
      <protection locked="0"/>
    </xf>
    <xf numFmtId="0" fontId="43" fillId="30" borderId="43" xfId="59" applyNumberFormat="1" applyFont="1" applyFill="1" applyBorder="1" applyAlignment="1" applyProtection="1">
      <alignment horizontal="left" vertical="center"/>
      <protection locked="0"/>
    </xf>
    <xf numFmtId="166" fontId="17" fillId="0" borderId="37" xfId="0" applyNumberFormat="1" applyFont="1" applyBorder="1" applyAlignment="1" applyProtection="1">
      <alignment horizontal="center" vertical="center" wrapText="1"/>
    </xf>
    <xf numFmtId="166" fontId="17" fillId="0" borderId="10" xfId="0" applyNumberFormat="1" applyFont="1" applyBorder="1" applyAlignment="1" applyProtection="1">
      <alignment horizontal="center" vertical="center" wrapText="1"/>
    </xf>
    <xf numFmtId="166" fontId="17" fillId="0" borderId="38" xfId="0" applyNumberFormat="1" applyFont="1" applyBorder="1" applyAlignment="1" applyProtection="1">
      <alignment horizontal="center" vertical="center" wrapText="1"/>
    </xf>
    <xf numFmtId="166" fontId="17" fillId="0" borderId="32" xfId="0" applyNumberFormat="1" applyFont="1" applyBorder="1" applyAlignment="1" applyProtection="1">
      <alignment horizontal="center" vertical="center" wrapText="1"/>
    </xf>
    <xf numFmtId="166" fontId="15" fillId="0" borderId="0" xfId="0" applyNumberFormat="1" applyFont="1" applyBorder="1" applyAlignment="1" applyProtection="1">
      <alignment horizontal="center" vertical="center" wrapText="1"/>
    </xf>
    <xf numFmtId="166" fontId="15" fillId="0" borderId="36" xfId="0" applyNumberFormat="1" applyFont="1" applyBorder="1" applyAlignment="1" applyProtection="1">
      <alignment horizontal="center" vertical="center" wrapText="1"/>
    </xf>
    <xf numFmtId="166" fontId="17" fillId="0" borderId="0" xfId="0" applyNumberFormat="1" applyFont="1" applyBorder="1" applyAlignment="1" applyProtection="1">
      <alignment horizontal="center" vertical="center" wrapText="1"/>
    </xf>
    <xf numFmtId="166" fontId="17" fillId="0" borderId="36" xfId="0" applyNumberFormat="1" applyFont="1" applyBorder="1" applyAlignment="1" applyProtection="1">
      <alignment horizontal="center" vertical="center" wrapText="1"/>
    </xf>
    <xf numFmtId="166" fontId="17" fillId="0" borderId="34" xfId="0" applyNumberFormat="1" applyFont="1" applyBorder="1" applyAlignment="1" applyProtection="1">
      <alignment horizontal="center" vertical="center" wrapText="1"/>
    </xf>
    <xf numFmtId="166" fontId="17" fillId="0" borderId="9" xfId="0" applyNumberFormat="1" applyFont="1" applyBorder="1" applyAlignment="1" applyProtection="1">
      <alignment horizontal="center" vertical="center" wrapText="1"/>
    </xf>
    <xf numFmtId="166" fontId="17" fillId="0" borderId="35" xfId="0" applyNumberFormat="1" applyFont="1" applyBorder="1" applyAlignment="1" applyProtection="1">
      <alignment horizontal="center" vertical="center" wrapText="1"/>
    </xf>
    <xf numFmtId="0" fontId="14" fillId="0" borderId="17" xfId="0" applyNumberFormat="1" applyFont="1" applyFill="1" applyBorder="1" applyAlignment="1" applyProtection="1">
      <alignment horizontal="center" vertical="center"/>
    </xf>
    <xf numFmtId="0" fontId="14" fillId="0" borderId="33"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6" fillId="0" borderId="17" xfId="0" applyNumberFormat="1" applyFont="1" applyBorder="1" applyAlignment="1" applyProtection="1">
      <alignment horizontal="center"/>
    </xf>
    <xf numFmtId="0" fontId="16" fillId="0" borderId="33" xfId="0" applyNumberFormat="1" applyFont="1" applyBorder="1" applyAlignment="1" applyProtection="1">
      <alignment horizontal="center"/>
    </xf>
    <xf numFmtId="0" fontId="16" fillId="0" borderId="13" xfId="0" applyNumberFormat="1" applyFont="1" applyBorder="1" applyAlignment="1" applyProtection="1">
      <alignment horizontal="center"/>
    </xf>
    <xf numFmtId="166" fontId="17" fillId="0" borderId="39" xfId="0" applyNumberFormat="1" applyFont="1" applyBorder="1" applyAlignment="1" applyProtection="1">
      <alignment horizontal="center" vertical="center" wrapText="1"/>
    </xf>
    <xf numFmtId="166" fontId="17" fillId="0" borderId="15" xfId="0" applyNumberFormat="1" applyFont="1" applyBorder="1" applyAlignment="1" applyProtection="1">
      <alignment horizontal="center" vertical="center" wrapText="1"/>
    </xf>
    <xf numFmtId="166" fontId="17" fillId="0" borderId="40" xfId="0" applyNumberFormat="1" applyFont="1" applyBorder="1" applyAlignment="1" applyProtection="1">
      <alignment horizontal="center" vertical="center" wrapText="1"/>
    </xf>
    <xf numFmtId="166" fontId="36" fillId="0" borderId="32" xfId="0" applyNumberFormat="1" applyFont="1" applyBorder="1" applyAlignment="1" applyProtection="1">
      <alignment horizontal="center" vertical="center" wrapText="1"/>
    </xf>
    <xf numFmtId="166" fontId="37" fillId="0" borderId="0" xfId="0" applyNumberFormat="1" applyFont="1" applyBorder="1" applyAlignment="1" applyProtection="1">
      <alignment horizontal="center" vertical="center" wrapText="1"/>
    </xf>
    <xf numFmtId="166" fontId="37" fillId="0" borderId="36" xfId="0" applyNumberFormat="1" applyFont="1" applyBorder="1" applyAlignment="1" applyProtection="1">
      <alignment horizontal="center" vertical="center"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34" fillId="0" borderId="34"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35" xfId="0" applyFont="1" applyBorder="1" applyAlignment="1" applyProtection="1">
      <alignment horizontal="left" vertical="center"/>
    </xf>
    <xf numFmtId="0" fontId="17" fillId="0" borderId="37"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5" fillId="27" borderId="0" xfId="0" applyFont="1" applyFill="1" applyBorder="1" applyAlignment="1" applyProtection="1">
      <alignment horizontal="left" vertical="top" wrapText="1"/>
    </xf>
    <xf numFmtId="0" fontId="34" fillId="0" borderId="34" xfId="0" applyFont="1" applyBorder="1" applyAlignment="1" applyProtection="1">
      <alignment horizontal="left" vertical="center" wrapText="1"/>
    </xf>
    <xf numFmtId="0" fontId="34" fillId="0" borderId="9" xfId="0" applyFont="1" applyBorder="1" applyAlignment="1" applyProtection="1">
      <alignment horizontal="left" vertical="center" wrapText="1"/>
    </xf>
    <xf numFmtId="0" fontId="34" fillId="0" borderId="35" xfId="0" applyFont="1" applyBorder="1" applyAlignment="1" applyProtection="1">
      <alignment horizontal="left" vertical="center" wrapText="1"/>
    </xf>
    <xf numFmtId="0" fontId="6" fillId="0" borderId="0" xfId="0" applyFont="1" applyAlignment="1" applyProtection="1">
      <alignment horizontal="left" vertical="top" wrapText="1"/>
    </xf>
    <xf numFmtId="178" fontId="6" fillId="28" borderId="4" xfId="69" applyNumberFormat="1" applyFont="1" applyFill="1" applyBorder="1" applyAlignment="1" applyProtection="1">
      <alignment horizontal="center" vertical="center"/>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0" fontId="49" fillId="0" borderId="0" xfId="0" applyFont="1" applyAlignment="1" applyProtection="1">
      <alignment horizontal="left" vertical="top" wrapText="1"/>
    </xf>
    <xf numFmtId="178" fontId="6" fillId="28" borderId="4" xfId="69" applyNumberFormat="1"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0" fontId="3" fillId="0" borderId="45"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3" borderId="4" xfId="0" applyFont="1" applyFill="1" applyBorder="1" applyAlignment="1">
      <alignment horizontal="right" vertical="center" wrapText="1" indent="1"/>
    </xf>
    <xf numFmtId="0" fontId="6" fillId="28" borderId="44" xfId="69" applyFont="1" applyFill="1" applyBorder="1" applyAlignment="1" applyProtection="1">
      <alignment horizontal="center" vertical="center" wrapText="1"/>
    </xf>
    <xf numFmtId="0" fontId="6" fillId="28" borderId="46" xfId="69"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wrapText="1"/>
    </xf>
    <xf numFmtId="166" fontId="17" fillId="0" borderId="4" xfId="0" applyNumberFormat="1" applyFont="1" applyBorder="1" applyAlignment="1" applyProtection="1">
      <alignment horizontal="center" vertical="center" wrapText="1"/>
    </xf>
    <xf numFmtId="166" fontId="15" fillId="0" borderId="4" xfId="0" applyNumberFormat="1" applyFont="1" applyBorder="1" applyAlignment="1" applyProtection="1">
      <alignment horizontal="center" vertical="center" wrapText="1"/>
    </xf>
  </cellXfs>
  <cellStyles count="72">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 2" xfId="71"/>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1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11" name="Group 10"/>
        <xdr:cNvGrpSpPr/>
      </xdr:nvGrpSpPr>
      <xdr:grpSpPr>
        <a:xfrm>
          <a:off x="0" y="0"/>
          <a:ext cx="8857420" cy="1915766"/>
          <a:chOff x="0" y="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8" name="Rectangle 7"/>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15</xdr:col>
      <xdr:colOff>142875</xdr:colOff>
      <xdr:row>0</xdr:row>
      <xdr:rowOff>85725</xdr:rowOff>
    </xdr:from>
    <xdr:to>
      <xdr:col>25</xdr:col>
      <xdr:colOff>469900</xdr:colOff>
      <xdr:row>9</xdr:row>
      <xdr:rowOff>0</xdr:rowOff>
    </xdr:to>
    <xdr:sp macro="" textlink="">
      <xdr:nvSpPr>
        <xdr:cNvPr id="2" name="TextBox 1"/>
        <xdr:cNvSpPr txBox="1"/>
      </xdr:nvSpPr>
      <xdr:spPr>
        <a:xfrm>
          <a:off x="9563100" y="85725"/>
          <a:ext cx="5813425" cy="1628775"/>
        </a:xfrm>
        <a:prstGeom prst="rect">
          <a:avLst/>
        </a:prstGeom>
        <a:solidFill>
          <a:srgbClr val="FFFFCC"/>
        </a:solidFill>
        <a:ln w="9525" cmpd="sng">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rgbClr val="FF0000"/>
              </a:solidFill>
            </a:rPr>
            <a:t>Draft Version</a:t>
          </a:r>
          <a:r>
            <a:rPr lang="en-CA" sz="1400" b="1" baseline="0">
              <a:solidFill>
                <a:srgbClr val="FF0000"/>
              </a:solidFill>
            </a:rPr>
            <a:t> 2.3 has been updated as follows:</a:t>
          </a:r>
        </a:p>
        <a:p>
          <a:endParaRPr lang="en-CA" sz="1100" baseline="0"/>
        </a:p>
        <a:p>
          <a:r>
            <a:rPr lang="en-CA" sz="1100" baseline="0"/>
            <a:t>1.  </a:t>
          </a:r>
          <a:r>
            <a:rPr lang="en-CA" sz="1100" b="1" baseline="0"/>
            <a:t>Sheet 2 - 2014 Continuity Schedule:</a:t>
          </a:r>
          <a:r>
            <a:rPr lang="en-CA" sz="1100" baseline="0"/>
            <a:t>   U</a:t>
          </a:r>
          <a:r>
            <a:rPr lang="en-CA" sz="1100" b="0" baseline="0"/>
            <a:t>pdated </a:t>
          </a:r>
          <a:r>
            <a:rPr lang="en-CA" sz="1100" b="1" baseline="0"/>
            <a:t>row 34</a:t>
          </a:r>
          <a:r>
            <a:rPr lang="en-CA" sz="1100" b="0" baseline="0"/>
            <a:t> to ensure all applicable cells contain formulas.</a:t>
          </a:r>
        </a:p>
        <a:p>
          <a:endParaRPr lang="en-CA" sz="1100" b="0" baseline="0"/>
        </a:p>
        <a:p>
          <a:r>
            <a:rPr lang="en-CA" sz="1100" b="0" baseline="0"/>
            <a:t>2.  </a:t>
          </a:r>
          <a:r>
            <a:rPr lang="en-CA" sz="1100" b="1" baseline="0"/>
            <a:t>Sheet 5 - Allocation of Balances:  </a:t>
          </a:r>
          <a:r>
            <a:rPr lang="en-CA" sz="1100" b="0" baseline="0"/>
            <a:t>Updated </a:t>
          </a:r>
          <a:r>
            <a:rPr lang="en-CA" sz="1100" b="1" baseline="0"/>
            <a:t>row 17 </a:t>
          </a:r>
          <a:r>
            <a:rPr lang="en-CA" sz="1100" b="0" baseline="0"/>
            <a:t>to exclude account 1589 from the total.</a:t>
          </a:r>
        </a:p>
        <a:p>
          <a:endParaRPr lang="en-CA" sz="1100" b="0" baseline="0"/>
        </a:p>
        <a:p>
          <a:pPr marL="0" marR="0" indent="0" defTabSz="914400" eaLnBrk="1" fontAlgn="auto" latinLnBrk="0" hangingPunct="1">
            <a:lnSpc>
              <a:spcPct val="100000"/>
            </a:lnSpc>
            <a:spcBef>
              <a:spcPts val="0"/>
            </a:spcBef>
            <a:spcAft>
              <a:spcPts val="0"/>
            </a:spcAft>
            <a:buClrTx/>
            <a:buSzTx/>
            <a:buFontTx/>
            <a:buNone/>
            <a:tabLst/>
            <a:defRPr/>
          </a:pPr>
          <a:r>
            <a:rPr lang="en-CA" sz="1100" b="0" baseline="0">
              <a:solidFill>
                <a:schemeClr val="dk1"/>
              </a:solidFill>
              <a:effectLst/>
              <a:latin typeface="+mn-lt"/>
              <a:ea typeface="+mn-ea"/>
              <a:cs typeface="+mn-cs"/>
            </a:rPr>
            <a:t>3.  </a:t>
          </a:r>
          <a:r>
            <a:rPr lang="en-CA" sz="1100" b="1" baseline="0">
              <a:solidFill>
                <a:schemeClr val="dk1"/>
              </a:solidFill>
              <a:effectLst/>
              <a:latin typeface="+mn-lt"/>
              <a:ea typeface="+mn-ea"/>
              <a:cs typeface="+mn-cs"/>
            </a:rPr>
            <a:t>Sheet 5 - Allocation of Balances:  </a:t>
          </a:r>
          <a:r>
            <a:rPr lang="en-CA" sz="1100" b="0" baseline="0">
              <a:solidFill>
                <a:schemeClr val="dk1"/>
              </a:solidFill>
              <a:effectLst/>
              <a:latin typeface="+mn-lt"/>
              <a:ea typeface="+mn-ea"/>
              <a:cs typeface="+mn-cs"/>
            </a:rPr>
            <a:t>Updated </a:t>
          </a:r>
          <a:r>
            <a:rPr lang="en-CA" sz="1100" b="1" baseline="0">
              <a:solidFill>
                <a:schemeClr val="dk1"/>
              </a:solidFill>
              <a:effectLst/>
              <a:latin typeface="+mn-lt"/>
              <a:ea typeface="+mn-ea"/>
              <a:cs typeface="+mn-cs"/>
            </a:rPr>
            <a:t>row 50 </a:t>
          </a:r>
          <a:r>
            <a:rPr lang="en-CA" sz="1100" b="0" baseline="0">
              <a:solidFill>
                <a:schemeClr val="dk1"/>
              </a:solidFill>
              <a:effectLst/>
              <a:latin typeface="+mn-lt"/>
              <a:ea typeface="+mn-ea"/>
              <a:cs typeface="+mn-cs"/>
            </a:rPr>
            <a:t>to correctly reference  </a:t>
          </a:r>
          <a:r>
            <a:rPr lang="en-CA" sz="1100" b="1" baseline="0">
              <a:solidFill>
                <a:schemeClr val="dk1"/>
              </a:solidFill>
              <a:effectLst/>
              <a:latin typeface="+mn-lt"/>
              <a:ea typeface="+mn-ea"/>
              <a:cs typeface="+mn-cs"/>
            </a:rPr>
            <a:t>account 1589.</a:t>
          </a:r>
          <a:endParaRPr lang="en-CA">
            <a:effectLst/>
          </a:endParaRPr>
        </a:p>
        <a:p>
          <a:endParaRPr lang="en-CA" sz="1100" b="0" baseline="0"/>
        </a:p>
        <a:p>
          <a:endParaRPr lang="en-CA"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5</xdr:col>
      <xdr:colOff>139053</xdr:colOff>
      <xdr:row>14</xdr:row>
      <xdr:rowOff>22411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44823"/>
          <a:ext cx="8420200" cy="2173941"/>
        </a:xfrm>
        <a:prstGeom prst="rect">
          <a:avLst/>
        </a:prstGeom>
        <a:ln>
          <a:noFill/>
        </a:ln>
        <a:effectLst>
          <a:softEdge rad="112500"/>
        </a:effectLst>
      </xdr:spPr>
    </xdr:pic>
    <xdr:clientData/>
  </xdr:twoCellAnchor>
  <xdr:twoCellAnchor>
    <xdr:from>
      <xdr:col>0</xdr:col>
      <xdr:colOff>156883</xdr:colOff>
      <xdr:row>3</xdr:row>
      <xdr:rowOff>87476</xdr:rowOff>
    </xdr:from>
    <xdr:to>
      <xdr:col>5</xdr:col>
      <xdr:colOff>0</xdr:colOff>
      <xdr:row>11</xdr:row>
      <xdr:rowOff>22409</xdr:rowOff>
    </xdr:to>
    <xdr:sp macro="" textlink="">
      <xdr:nvSpPr>
        <xdr:cNvPr id="7" name="Rectangle 6"/>
        <xdr:cNvSpPr/>
      </xdr:nvSpPr>
      <xdr:spPr>
        <a:xfrm>
          <a:off x="156883" y="558123"/>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2</xdr:col>
      <xdr:colOff>2329485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44500" y="28575"/>
          <a:ext cx="9315450" cy="2317750"/>
          <a:chOff x="9524" y="19051"/>
          <a:chExt cx="8537711" cy="1924049"/>
        </a:xfrm>
      </xdr:grpSpPr>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789745</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0</xdr:col>
      <xdr:colOff>137211</xdr:colOff>
      <xdr:row>4</xdr:row>
      <xdr:rowOff>53861</xdr:rowOff>
    </xdr:from>
    <xdr:to>
      <xdr:col>7</xdr:col>
      <xdr:colOff>636106</xdr:colOff>
      <xdr:row>7</xdr:row>
      <xdr:rowOff>114715</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1</xdr:col>
      <xdr:colOff>2519985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189670</xdr:colOff>
      <xdr:row>1</xdr:row>
      <xdr:rowOff>96491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8</xdr:col>
      <xdr:colOff>75370</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9050" y="0"/>
          <a:ext cx="8857420" cy="1915766"/>
        </a:xfrm>
        <a:prstGeom prst="rect">
          <a:avLst/>
        </a:prstGeom>
        <a:ln>
          <a:noFill/>
        </a:ln>
        <a:effectLst>
          <a:softEdge rad="112500"/>
        </a:effectLst>
      </xdr:spPr>
    </xdr:pic>
    <xdr:clientData/>
  </xdr:twoCellAnchor>
  <xdr:twoCellAnchor>
    <xdr:from>
      <xdr:col>0</xdr:col>
      <xdr:colOff>156261</xdr:colOff>
      <xdr:row>4</xdr:row>
      <xdr:rowOff>53861</xdr:rowOff>
    </xdr:from>
    <xdr:to>
      <xdr:col>7</xdr:col>
      <xdr:colOff>674206</xdr:colOff>
      <xdr:row>7</xdr:row>
      <xdr:rowOff>114715</xdr:rowOff>
    </xdr:to>
    <xdr:sp macro="" textlink="">
      <xdr:nvSpPr>
        <xdr:cNvPr id="7" name="Rectangle 6"/>
        <xdr:cNvSpPr/>
      </xdr:nvSpPr>
      <xdr:spPr>
        <a:xfrm>
          <a:off x="15626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224874</xdr:colOff>
      <xdr:row>1</xdr:row>
      <xdr:rowOff>26550</xdr:rowOff>
    </xdr:from>
    <xdr:to>
      <xdr:col>1</xdr:col>
      <xdr:colOff>4556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2487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565421</xdr:colOff>
      <xdr:row>0</xdr:row>
      <xdr:rowOff>158221</xdr:rowOff>
    </xdr:from>
    <xdr:to>
      <xdr:col>2</xdr:col>
      <xdr:colOff>157785</xdr:colOff>
      <xdr:row>3</xdr:row>
      <xdr:rowOff>8696</xdr:rowOff>
    </xdr:to>
    <xdr:sp macro="" textlink="">
      <xdr:nvSpPr>
        <xdr:cNvPr id="9" name="Rectangle 8"/>
        <xdr:cNvSpPr/>
      </xdr:nvSpPr>
      <xdr:spPr>
        <a:xfrm>
          <a:off x="56542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net.blg.com/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showGridLines="0" topLeftCell="A3" zoomScaleNormal="100" workbookViewId="0">
      <selection activeCell="M16" sqref="M16"/>
    </sheetView>
  </sheetViews>
  <sheetFormatPr defaultRowHeight="15" x14ac:dyDescent="0.25"/>
  <cols>
    <col min="1" max="1" width="13.28515625" style="37" customWidth="1"/>
    <col min="2" max="4" width="9.140625" style="37"/>
    <col min="5" max="5" width="9.140625" style="37" customWidth="1"/>
    <col min="6" max="21" width="9.140625" style="37"/>
    <col min="22" max="22" width="54.140625" style="37" hidden="1" customWidth="1"/>
    <col min="23" max="16384" width="9.140625" style="37"/>
  </cols>
  <sheetData>
    <row r="1" spans="2:22" x14ac:dyDescent="0.25">
      <c r="V1" t="s">
        <v>156</v>
      </c>
    </row>
    <row r="2" spans="2:22" x14ac:dyDescent="0.25">
      <c r="V2" t="s">
        <v>157</v>
      </c>
    </row>
    <row r="3" spans="2:22" x14ac:dyDescent="0.25">
      <c r="V3" t="s">
        <v>158</v>
      </c>
    </row>
    <row r="4" spans="2:22" x14ac:dyDescent="0.25">
      <c r="V4" t="s">
        <v>159</v>
      </c>
    </row>
    <row r="5" spans="2:22" x14ac:dyDescent="0.25">
      <c r="V5" t="s">
        <v>160</v>
      </c>
    </row>
    <row r="6" spans="2:22" x14ac:dyDescent="0.25">
      <c r="V6" t="s">
        <v>161</v>
      </c>
    </row>
    <row r="7" spans="2:22" x14ac:dyDescent="0.25">
      <c r="V7" t="s">
        <v>162</v>
      </c>
    </row>
    <row r="8" spans="2:22" x14ac:dyDescent="0.25">
      <c r="V8" t="s">
        <v>163</v>
      </c>
    </row>
    <row r="9" spans="2:22" x14ac:dyDescent="0.25">
      <c r="V9" t="s">
        <v>164</v>
      </c>
    </row>
    <row r="10" spans="2:22" x14ac:dyDescent="0.25">
      <c r="V10" t="s">
        <v>165</v>
      </c>
    </row>
    <row r="11" spans="2:22" x14ac:dyDescent="0.25">
      <c r="G11" s="38"/>
      <c r="V11" t="s">
        <v>237</v>
      </c>
    </row>
    <row r="12" spans="2:22" x14ac:dyDescent="0.25">
      <c r="B12" s="39"/>
      <c r="C12" s="39"/>
      <c r="D12" s="39"/>
      <c r="E12" s="39"/>
      <c r="F12" s="39"/>
      <c r="G12" s="38"/>
      <c r="M12" s="40" t="s">
        <v>77</v>
      </c>
      <c r="N12" s="41">
        <v>2.4</v>
      </c>
      <c r="V12" t="s">
        <v>166</v>
      </c>
    </row>
    <row r="13" spans="2:22" ht="15.75" thickBot="1" x14ac:dyDescent="0.3">
      <c r="G13" s="38"/>
      <c r="V13" t="s">
        <v>167</v>
      </c>
    </row>
    <row r="14" spans="2:22" ht="16.5" thickTop="1" thickBot="1" x14ac:dyDescent="0.3">
      <c r="E14" s="42" t="s">
        <v>78</v>
      </c>
      <c r="F14" s="215" t="s">
        <v>200</v>
      </c>
      <c r="G14" s="216"/>
      <c r="H14" s="216"/>
      <c r="I14" s="216"/>
      <c r="J14" s="216"/>
      <c r="K14" s="216"/>
      <c r="L14" s="217"/>
      <c r="V14" t="s">
        <v>168</v>
      </c>
    </row>
    <row r="15" spans="2:22" ht="15.75" thickBot="1" x14ac:dyDescent="0.3">
      <c r="E15" s="43"/>
      <c r="F15" s="44"/>
      <c r="G15" s="45"/>
      <c r="H15" s="44"/>
      <c r="I15" s="44"/>
      <c r="J15" s="44"/>
      <c r="V15" s="177" t="s">
        <v>169</v>
      </c>
    </row>
    <row r="16" spans="2:22" ht="16.5" thickTop="1" thickBot="1" x14ac:dyDescent="0.3">
      <c r="E16" s="46" t="s">
        <v>79</v>
      </c>
      <c r="F16" s="218" t="s">
        <v>80</v>
      </c>
      <c r="G16" s="219"/>
      <c r="H16" s="219"/>
      <c r="I16" s="219"/>
      <c r="J16" s="220"/>
      <c r="V16" s="177" t="s">
        <v>238</v>
      </c>
    </row>
    <row r="17" spans="2:22" ht="27" thickBot="1" x14ac:dyDescent="0.3">
      <c r="E17" s="47"/>
      <c r="V17" s="177" t="s">
        <v>239</v>
      </c>
    </row>
    <row r="18" spans="2:22" ht="16.5" thickTop="1" thickBot="1" x14ac:dyDescent="0.3">
      <c r="E18" s="46" t="s">
        <v>81</v>
      </c>
      <c r="F18" s="221" t="s">
        <v>285</v>
      </c>
      <c r="G18" s="222"/>
      <c r="H18" s="222"/>
      <c r="I18" s="222"/>
      <c r="J18" s="223"/>
      <c r="V18" s="177" t="s">
        <v>240</v>
      </c>
    </row>
    <row r="19" spans="2:22" ht="12.75" customHeight="1" thickBot="1" x14ac:dyDescent="0.3">
      <c r="E19" s="47"/>
      <c r="V19" s="177" t="s">
        <v>241</v>
      </c>
    </row>
    <row r="20" spans="2:22" ht="16.5" thickTop="1" thickBot="1" x14ac:dyDescent="0.3">
      <c r="E20" s="46" t="s">
        <v>82</v>
      </c>
      <c r="F20" s="221" t="s">
        <v>286</v>
      </c>
      <c r="G20" s="222"/>
      <c r="H20" s="222"/>
      <c r="I20" s="222"/>
      <c r="J20" s="223"/>
      <c r="V20" t="s">
        <v>170</v>
      </c>
    </row>
    <row r="21" spans="2:22" ht="15.75" thickBot="1" x14ac:dyDescent="0.3">
      <c r="E21" s="48"/>
      <c r="F21" s="44"/>
      <c r="G21" s="45"/>
      <c r="H21" s="44"/>
      <c r="I21" s="44"/>
      <c r="J21" s="44"/>
      <c r="V21" t="s">
        <v>171</v>
      </c>
    </row>
    <row r="22" spans="2:22" ht="16.5" thickTop="1" thickBot="1" x14ac:dyDescent="0.3">
      <c r="E22" s="42" t="s">
        <v>83</v>
      </c>
      <c r="F22" s="221" t="s">
        <v>287</v>
      </c>
      <c r="G22" s="222"/>
      <c r="H22" s="222"/>
      <c r="I22" s="222"/>
      <c r="J22" s="223"/>
      <c r="V22" t="s">
        <v>172</v>
      </c>
    </row>
    <row r="23" spans="2:22" ht="15.75" thickBot="1" x14ac:dyDescent="0.3">
      <c r="E23" s="48"/>
      <c r="F23" s="44"/>
      <c r="G23" s="45"/>
      <c r="H23" s="44"/>
      <c r="I23" s="44"/>
      <c r="J23" s="44"/>
      <c r="V23" t="s">
        <v>173</v>
      </c>
    </row>
    <row r="24" spans="2:22" ht="16.5" thickTop="1" thickBot="1" x14ac:dyDescent="0.3">
      <c r="E24" s="42" t="s">
        <v>84</v>
      </c>
      <c r="F24" s="224" t="s">
        <v>288</v>
      </c>
      <c r="G24" s="225"/>
      <c r="H24" s="225"/>
      <c r="I24" s="225"/>
      <c r="J24" s="226"/>
      <c r="V24" t="s">
        <v>174</v>
      </c>
    </row>
    <row r="25" spans="2:22" x14ac:dyDescent="0.25">
      <c r="E25" s="48"/>
      <c r="F25" s="44"/>
      <c r="G25" s="45"/>
      <c r="H25" s="44"/>
      <c r="I25" s="44"/>
      <c r="J25" s="44"/>
      <c r="V25" t="s">
        <v>175</v>
      </c>
    </row>
    <row r="26" spans="2:22" x14ac:dyDescent="0.25">
      <c r="E26" s="42"/>
      <c r="I26" s="44"/>
      <c r="J26" s="44"/>
      <c r="V26" t="s">
        <v>176</v>
      </c>
    </row>
    <row r="27" spans="2:22" x14ac:dyDescent="0.25">
      <c r="B27" s="214" t="s">
        <v>89</v>
      </c>
      <c r="C27" s="214"/>
      <c r="D27" s="214"/>
      <c r="E27" s="214"/>
      <c r="F27" s="214"/>
      <c r="G27" s="214"/>
      <c r="H27" s="214"/>
      <c r="I27" s="214"/>
      <c r="J27" s="214"/>
      <c r="K27" s="214"/>
      <c r="L27" s="214"/>
      <c r="M27" s="214"/>
      <c r="V27" t="s">
        <v>177</v>
      </c>
    </row>
    <row r="28" spans="2:22" x14ac:dyDescent="0.25">
      <c r="V28" t="s">
        <v>178</v>
      </c>
    </row>
    <row r="29" spans="2:22" x14ac:dyDescent="0.25">
      <c r="B29" s="49" t="s">
        <v>85</v>
      </c>
      <c r="C29" s="50"/>
      <c r="D29" s="50"/>
      <c r="E29" s="50"/>
      <c r="F29" s="50"/>
      <c r="G29" s="50"/>
      <c r="H29" s="50"/>
      <c r="I29" s="50"/>
      <c r="J29" s="50"/>
      <c r="K29" s="50"/>
      <c r="L29" s="50"/>
      <c r="M29" s="50"/>
      <c r="N29" s="50"/>
      <c r="V29" t="s">
        <v>179</v>
      </c>
    </row>
    <row r="30" spans="2:22" ht="15.75" thickBot="1" x14ac:dyDescent="0.3">
      <c r="B30" s="50"/>
      <c r="C30" s="50"/>
      <c r="D30" s="50"/>
      <c r="E30" s="50"/>
      <c r="F30" s="50"/>
      <c r="G30" s="50"/>
      <c r="H30" s="50"/>
      <c r="I30" s="50"/>
      <c r="J30" s="50"/>
      <c r="K30" s="50"/>
      <c r="L30" s="50"/>
      <c r="M30" s="50"/>
      <c r="N30" s="50"/>
      <c r="V30" t="s">
        <v>180</v>
      </c>
    </row>
    <row r="31" spans="2:22" ht="15.75" thickBot="1" x14ac:dyDescent="0.3">
      <c r="B31" s="51"/>
      <c r="C31" s="209" t="s">
        <v>86</v>
      </c>
      <c r="D31" s="209"/>
      <c r="E31" s="209"/>
      <c r="F31" s="209"/>
      <c r="G31" s="209"/>
      <c r="H31" s="209"/>
      <c r="I31" s="209"/>
      <c r="J31" s="209"/>
      <c r="K31" s="209"/>
      <c r="L31" s="209"/>
      <c r="M31" s="50"/>
      <c r="N31" s="50"/>
      <c r="V31" t="s">
        <v>181</v>
      </c>
    </row>
    <row r="32" spans="2:22" ht="15.75" thickBot="1" x14ac:dyDescent="0.3">
      <c r="B32" s="50"/>
      <c r="C32" s="50"/>
      <c r="D32" s="50"/>
      <c r="E32" s="50"/>
      <c r="F32" s="50"/>
      <c r="G32" s="50"/>
      <c r="H32" s="50"/>
      <c r="I32" s="50"/>
      <c r="J32" s="50"/>
      <c r="K32" s="50"/>
      <c r="L32" s="50"/>
      <c r="M32" s="50"/>
      <c r="N32" s="50"/>
      <c r="V32" t="s">
        <v>182</v>
      </c>
    </row>
    <row r="33" spans="2:22" ht="15.75" thickBot="1" x14ac:dyDescent="0.3">
      <c r="B33" s="52"/>
      <c r="C33" s="210" t="s">
        <v>87</v>
      </c>
      <c r="D33" s="211"/>
      <c r="E33" s="211"/>
      <c r="F33" s="211"/>
      <c r="G33" s="211"/>
      <c r="H33" s="211"/>
      <c r="I33" s="211"/>
      <c r="J33" s="211"/>
      <c r="K33" s="211"/>
      <c r="L33" s="211"/>
      <c r="M33" s="211"/>
      <c r="N33" s="211"/>
      <c r="V33" t="s">
        <v>183</v>
      </c>
    </row>
    <row r="34" spans="2:22" ht="15.75" thickBot="1" x14ac:dyDescent="0.3">
      <c r="B34" s="53"/>
      <c r="C34" s="50"/>
      <c r="D34" s="50"/>
      <c r="E34" s="50"/>
      <c r="F34" s="50"/>
      <c r="G34" s="50"/>
      <c r="H34" s="50"/>
      <c r="I34" s="50"/>
      <c r="J34" s="50"/>
      <c r="K34" s="50"/>
      <c r="L34" s="50"/>
      <c r="M34" s="50"/>
      <c r="N34" s="50"/>
      <c r="V34" t="s">
        <v>184</v>
      </c>
    </row>
    <row r="35" spans="2:22" ht="15.75" thickBot="1" x14ac:dyDescent="0.3">
      <c r="B35" s="54"/>
      <c r="C35" s="212" t="s">
        <v>88</v>
      </c>
      <c r="D35" s="213"/>
      <c r="E35" s="213"/>
      <c r="F35" s="213"/>
      <c r="G35" s="213"/>
      <c r="H35" s="213"/>
      <c r="I35" s="213"/>
      <c r="J35" s="213"/>
      <c r="K35" s="213"/>
      <c r="L35" s="213"/>
      <c r="M35" s="213"/>
      <c r="N35" s="50"/>
      <c r="V35" t="s">
        <v>185</v>
      </c>
    </row>
    <row r="36" spans="2:22" x14ac:dyDescent="0.25">
      <c r="B36" s="50"/>
      <c r="C36" s="50"/>
      <c r="D36" s="50"/>
      <c r="E36" s="50"/>
      <c r="F36" s="50"/>
      <c r="G36" s="50"/>
      <c r="H36" s="50"/>
      <c r="I36" s="50"/>
      <c r="J36" s="50"/>
      <c r="K36" s="50"/>
      <c r="L36" s="50"/>
      <c r="M36" s="50"/>
      <c r="N36" s="50"/>
      <c r="V36" s="56" t="s">
        <v>186</v>
      </c>
    </row>
    <row r="37" spans="2:22" x14ac:dyDescent="0.25">
      <c r="V37" t="s">
        <v>187</v>
      </c>
    </row>
    <row r="38" spans="2:22" x14ac:dyDescent="0.25">
      <c r="V38" t="s">
        <v>188</v>
      </c>
    </row>
    <row r="39" spans="2:22" x14ac:dyDescent="0.25">
      <c r="V39" t="s">
        <v>189</v>
      </c>
    </row>
    <row r="40" spans="2:22" x14ac:dyDescent="0.25">
      <c r="V40" t="s">
        <v>190</v>
      </c>
    </row>
    <row r="41" spans="2:22" x14ac:dyDescent="0.25">
      <c r="V41" t="s">
        <v>191</v>
      </c>
    </row>
    <row r="42" spans="2:22" x14ac:dyDescent="0.25">
      <c r="V42" t="s">
        <v>192</v>
      </c>
    </row>
    <row r="43" spans="2:22" x14ac:dyDescent="0.25">
      <c r="V43" t="s">
        <v>193</v>
      </c>
    </row>
    <row r="44" spans="2:22" x14ac:dyDescent="0.25">
      <c r="V44" t="s">
        <v>194</v>
      </c>
    </row>
    <row r="45" spans="2:22" x14ac:dyDescent="0.25">
      <c r="V45" t="s">
        <v>195</v>
      </c>
    </row>
    <row r="46" spans="2:22" x14ac:dyDescent="0.25">
      <c r="V46" t="s">
        <v>242</v>
      </c>
    </row>
    <row r="47" spans="2:22" x14ac:dyDescent="0.25">
      <c r="V47" t="s">
        <v>196</v>
      </c>
    </row>
    <row r="48" spans="2:22" x14ac:dyDescent="0.25">
      <c r="V48" t="s">
        <v>197</v>
      </c>
    </row>
    <row r="49" spans="22:22" x14ac:dyDescent="0.25">
      <c r="V49" t="s">
        <v>198</v>
      </c>
    </row>
    <row r="50" spans="22:22" x14ac:dyDescent="0.25">
      <c r="V50" t="s">
        <v>199</v>
      </c>
    </row>
    <row r="51" spans="22:22" x14ac:dyDescent="0.25">
      <c r="V51" t="s">
        <v>200</v>
      </c>
    </row>
    <row r="52" spans="22:22" x14ac:dyDescent="0.25">
      <c r="V52" t="s">
        <v>201</v>
      </c>
    </row>
    <row r="53" spans="22:22" x14ac:dyDescent="0.25">
      <c r="V53" t="s">
        <v>202</v>
      </c>
    </row>
    <row r="54" spans="22:22" x14ac:dyDescent="0.25">
      <c r="V54" t="s">
        <v>203</v>
      </c>
    </row>
    <row r="55" spans="22:22" x14ac:dyDescent="0.25">
      <c r="V55" t="s">
        <v>204</v>
      </c>
    </row>
    <row r="56" spans="22:22" x14ac:dyDescent="0.25">
      <c r="V56" t="s">
        <v>205</v>
      </c>
    </row>
    <row r="57" spans="22:22" x14ac:dyDescent="0.25">
      <c r="V57" t="s">
        <v>206</v>
      </c>
    </row>
    <row r="58" spans="22:22" x14ac:dyDescent="0.25">
      <c r="V58" t="s">
        <v>207</v>
      </c>
    </row>
    <row r="59" spans="22:22" x14ac:dyDescent="0.25">
      <c r="V59" t="s">
        <v>208</v>
      </c>
    </row>
    <row r="60" spans="22:22" x14ac:dyDescent="0.25">
      <c r="V60" t="s">
        <v>209</v>
      </c>
    </row>
    <row r="61" spans="22:22" x14ac:dyDescent="0.25">
      <c r="V61" t="s">
        <v>210</v>
      </c>
    </row>
    <row r="62" spans="22:22" x14ac:dyDescent="0.25">
      <c r="V62" t="s">
        <v>211</v>
      </c>
    </row>
    <row r="63" spans="22:22" x14ac:dyDescent="0.25">
      <c r="V63" t="s">
        <v>212</v>
      </c>
    </row>
    <row r="64" spans="22:22" x14ac:dyDescent="0.25">
      <c r="V64" t="s">
        <v>213</v>
      </c>
    </row>
    <row r="65" spans="22:22" x14ac:dyDescent="0.25">
      <c r="V65" t="s">
        <v>214</v>
      </c>
    </row>
    <row r="66" spans="22:22" x14ac:dyDescent="0.25">
      <c r="V66" t="s">
        <v>215</v>
      </c>
    </row>
    <row r="67" spans="22:22" x14ac:dyDescent="0.25">
      <c r="V67" t="s">
        <v>216</v>
      </c>
    </row>
    <row r="68" spans="22:22" x14ac:dyDescent="0.25">
      <c r="V68" t="s">
        <v>217</v>
      </c>
    </row>
    <row r="69" spans="22:22" x14ac:dyDescent="0.25">
      <c r="V69" t="s">
        <v>218</v>
      </c>
    </row>
    <row r="70" spans="22:22" x14ac:dyDescent="0.25">
      <c r="V70" t="s">
        <v>219</v>
      </c>
    </row>
    <row r="71" spans="22:22" x14ac:dyDescent="0.25">
      <c r="V71" t="s">
        <v>220</v>
      </c>
    </row>
    <row r="72" spans="22:22" x14ac:dyDescent="0.25">
      <c r="V72" t="s">
        <v>221</v>
      </c>
    </row>
    <row r="73" spans="22:22" x14ac:dyDescent="0.25">
      <c r="V73" t="s">
        <v>222</v>
      </c>
    </row>
    <row r="74" spans="22:22" x14ac:dyDescent="0.25">
      <c r="V74" t="s">
        <v>223</v>
      </c>
    </row>
    <row r="75" spans="22:22" x14ac:dyDescent="0.25">
      <c r="V75" t="s">
        <v>224</v>
      </c>
    </row>
    <row r="76" spans="22:22" x14ac:dyDescent="0.25">
      <c r="V76" s="135" t="s">
        <v>225</v>
      </c>
    </row>
    <row r="77" spans="22:22" x14ac:dyDescent="0.25">
      <c r="V77" t="s">
        <v>226</v>
      </c>
    </row>
    <row r="78" spans="22:22" x14ac:dyDescent="0.25">
      <c r="V78" s="119"/>
    </row>
  </sheetData>
  <sheetProtection password="F8BD" sheet="1" objects="1" scenarios="1"/>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pageMargins left="0.25" right="0.25" top="0.75" bottom="0.75" header="0.3" footer="0.3"/>
  <pageSetup scale="65" orientation="landscape" r:id="rId1"/>
  <headerFooter>
    <oddFooter>&amp;A</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BQ101"/>
  <sheetViews>
    <sheetView showGridLines="0" view="pageBreakPreview" zoomScale="70" zoomScaleNormal="70" zoomScaleSheetLayoutView="70" workbookViewId="0">
      <pane xSplit="4" ySplit="22" topLeftCell="BF62" activePane="bottomRight" state="frozen"/>
      <selection pane="topRight" activeCell="E1" sqref="E1"/>
      <selection pane="bottomLeft" activeCell="A23" sqref="A23"/>
      <selection pane="bottomRight" activeCell="BO81" sqref="BO81"/>
    </sheetView>
  </sheetViews>
  <sheetFormatPr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120" customWidth="1"/>
    <col min="6" max="6" width="23.140625" style="120" customWidth="1"/>
    <col min="7" max="8" width="18.42578125" style="120" customWidth="1"/>
    <col min="9" max="9" width="14.7109375" style="120" customWidth="1"/>
    <col min="10" max="10" width="14.140625" style="120" customWidth="1"/>
    <col min="11" max="13" width="14.85546875" style="120" customWidth="1"/>
    <col min="14" max="14" width="15.42578125" style="120" customWidth="1"/>
    <col min="15" max="15" width="16.140625" style="120" customWidth="1"/>
    <col min="16" max="16" width="23.140625" style="120" customWidth="1"/>
    <col min="17" max="18" width="18.42578125" style="120" customWidth="1"/>
    <col min="19" max="19" width="14.7109375" style="120" customWidth="1"/>
    <col min="20" max="20" width="14.140625" style="120" customWidth="1"/>
    <col min="21" max="23" width="14.85546875" style="120" customWidth="1"/>
    <col min="24" max="24" width="15.42578125" style="120" customWidth="1"/>
    <col min="25" max="25" width="16.140625" style="120" customWidth="1"/>
    <col min="26" max="26" width="23.140625" style="120" customWidth="1"/>
    <col min="27" max="28" width="18.42578125" style="120" customWidth="1"/>
    <col min="29" max="29" width="14.7109375" style="120" customWidth="1"/>
    <col min="30" max="30" width="14.140625" style="120" customWidth="1"/>
    <col min="31" max="33" width="14.85546875" style="120" customWidth="1"/>
    <col min="34" max="34" width="15.42578125" style="120" customWidth="1"/>
    <col min="35" max="35" width="16.140625" style="120" customWidth="1"/>
    <col min="36" max="36" width="23.140625" style="120" customWidth="1"/>
    <col min="37" max="41" width="18.42578125" style="120" customWidth="1"/>
    <col min="42" max="42" width="14.7109375" style="120" customWidth="1"/>
    <col min="43" max="43" width="14.140625" style="120" customWidth="1"/>
    <col min="44" max="46" width="14.85546875" style="120" customWidth="1"/>
    <col min="47" max="47" width="15.42578125" style="120" customWidth="1"/>
    <col min="48" max="48" width="16.140625" style="120" customWidth="1"/>
    <col min="49" max="49" width="23.140625" style="120" customWidth="1"/>
    <col min="50" max="54" width="18.42578125" style="120" customWidth="1"/>
    <col min="55" max="55" width="14.7109375" style="120" customWidth="1"/>
    <col min="56" max="56" width="14.140625" style="120" customWidth="1"/>
    <col min="57" max="59" width="14.85546875" style="120" customWidth="1"/>
    <col min="60" max="60" width="15.42578125" style="120" customWidth="1"/>
    <col min="61" max="62" width="14.85546875" style="120" customWidth="1"/>
    <col min="63" max="63" width="16.85546875" style="120" customWidth="1"/>
    <col min="64" max="64" width="17.28515625" style="120" customWidth="1"/>
    <col min="65" max="66" width="26.85546875" style="120" customWidth="1"/>
    <col min="67" max="67" width="22.28515625" style="120" bestFit="1" customWidth="1"/>
    <col min="68" max="68" width="22.42578125" style="120" bestFit="1" customWidth="1"/>
    <col min="69" max="69" width="19.85546875" style="120" customWidth="1"/>
    <col min="70" max="16384" width="9.140625" style="1"/>
  </cols>
  <sheetData>
    <row r="18" spans="1:69" ht="15.75" thickBot="1" x14ac:dyDescent="0.35">
      <c r="C18" s="3"/>
      <c r="BK18" s="195"/>
      <c r="BL18" s="195"/>
      <c r="BM18" s="195"/>
      <c r="BN18" s="195"/>
      <c r="BO18" s="195"/>
    </row>
    <row r="19" spans="1:69" s="123" customFormat="1" ht="29.25" thickBot="1" x14ac:dyDescent="0.5">
      <c r="C19" s="124"/>
      <c r="D19" s="125"/>
      <c r="E19" s="238">
        <v>2009</v>
      </c>
      <c r="F19" s="239"/>
      <c r="G19" s="239"/>
      <c r="H19" s="239"/>
      <c r="I19" s="239"/>
      <c r="J19" s="239"/>
      <c r="K19" s="239"/>
      <c r="L19" s="239"/>
      <c r="M19" s="239"/>
      <c r="N19" s="240"/>
      <c r="O19" s="238">
        <v>2010</v>
      </c>
      <c r="P19" s="239"/>
      <c r="Q19" s="239"/>
      <c r="R19" s="239"/>
      <c r="S19" s="239"/>
      <c r="T19" s="239"/>
      <c r="U19" s="239"/>
      <c r="V19" s="239"/>
      <c r="W19" s="239"/>
      <c r="X19" s="240"/>
      <c r="Y19" s="238">
        <v>2011</v>
      </c>
      <c r="Z19" s="239"/>
      <c r="AA19" s="239"/>
      <c r="AB19" s="239"/>
      <c r="AC19" s="239"/>
      <c r="AD19" s="239"/>
      <c r="AE19" s="239"/>
      <c r="AF19" s="239"/>
      <c r="AG19" s="239"/>
      <c r="AH19" s="240"/>
      <c r="AI19" s="238">
        <v>2012</v>
      </c>
      <c r="AJ19" s="239"/>
      <c r="AK19" s="239"/>
      <c r="AL19" s="239"/>
      <c r="AM19" s="239"/>
      <c r="AN19" s="239"/>
      <c r="AO19" s="239"/>
      <c r="AP19" s="239"/>
      <c r="AQ19" s="239"/>
      <c r="AR19" s="239"/>
      <c r="AS19" s="239"/>
      <c r="AT19" s="239"/>
      <c r="AU19" s="240"/>
      <c r="AV19" s="238">
        <v>2013</v>
      </c>
      <c r="AW19" s="239"/>
      <c r="AX19" s="239"/>
      <c r="AY19" s="239"/>
      <c r="AZ19" s="239"/>
      <c r="BA19" s="239"/>
      <c r="BB19" s="239"/>
      <c r="BC19" s="239"/>
      <c r="BD19" s="239"/>
      <c r="BE19" s="239"/>
      <c r="BF19" s="239"/>
      <c r="BG19" s="239"/>
      <c r="BH19" s="240"/>
      <c r="BI19" s="238">
        <v>2014</v>
      </c>
      <c r="BJ19" s="239"/>
      <c r="BK19" s="239"/>
      <c r="BL19" s="240"/>
      <c r="BM19" s="241" t="s">
        <v>261</v>
      </c>
      <c r="BN19" s="242"/>
      <c r="BO19" s="243"/>
      <c r="BP19" s="126" t="s">
        <v>29</v>
      </c>
      <c r="BQ19" s="127"/>
    </row>
    <row r="20" spans="1:69" ht="14.25" customHeight="1" x14ac:dyDescent="0.2">
      <c r="C20" s="252" t="s">
        <v>24</v>
      </c>
      <c r="D20" s="255" t="s">
        <v>0</v>
      </c>
      <c r="E20" s="235" t="s">
        <v>49</v>
      </c>
      <c r="F20" s="230" t="s">
        <v>65</v>
      </c>
      <c r="G20" s="230" t="s">
        <v>31</v>
      </c>
      <c r="H20" s="230" t="s">
        <v>62</v>
      </c>
      <c r="I20" s="230" t="s">
        <v>14</v>
      </c>
      <c r="J20" s="230" t="s">
        <v>15</v>
      </c>
      <c r="K20" s="230" t="s">
        <v>26</v>
      </c>
      <c r="L20" s="230" t="s">
        <v>31</v>
      </c>
      <c r="M20" s="230" t="s">
        <v>62</v>
      </c>
      <c r="N20" s="227" t="s">
        <v>16</v>
      </c>
      <c r="O20" s="235" t="s">
        <v>50</v>
      </c>
      <c r="P20" s="230" t="s">
        <v>66</v>
      </c>
      <c r="Q20" s="230" t="s">
        <v>32</v>
      </c>
      <c r="R20" s="230" t="s">
        <v>63</v>
      </c>
      <c r="S20" s="230" t="s">
        <v>20</v>
      </c>
      <c r="T20" s="230" t="s">
        <v>21</v>
      </c>
      <c r="U20" s="230" t="s">
        <v>27</v>
      </c>
      <c r="V20" s="230" t="s">
        <v>32</v>
      </c>
      <c r="W20" s="230" t="s">
        <v>63</v>
      </c>
      <c r="X20" s="227" t="s">
        <v>22</v>
      </c>
      <c r="Y20" s="235" t="s">
        <v>52</v>
      </c>
      <c r="Z20" s="230" t="s">
        <v>67</v>
      </c>
      <c r="AA20" s="230" t="s">
        <v>53</v>
      </c>
      <c r="AB20" s="230" t="s">
        <v>63</v>
      </c>
      <c r="AC20" s="230" t="s">
        <v>54</v>
      </c>
      <c r="AD20" s="230" t="s">
        <v>55</v>
      </c>
      <c r="AE20" s="230" t="s">
        <v>56</v>
      </c>
      <c r="AF20" s="230" t="s">
        <v>53</v>
      </c>
      <c r="AG20" s="230" t="s">
        <v>64</v>
      </c>
      <c r="AH20" s="227" t="s">
        <v>57</v>
      </c>
      <c r="AI20" s="235" t="s">
        <v>131</v>
      </c>
      <c r="AJ20" s="230" t="s">
        <v>132</v>
      </c>
      <c r="AK20" s="230" t="s">
        <v>133</v>
      </c>
      <c r="AL20" s="230" t="s">
        <v>134</v>
      </c>
      <c r="AM20" s="230" t="s">
        <v>135</v>
      </c>
      <c r="AN20" s="230" t="s">
        <v>136</v>
      </c>
      <c r="AO20" s="230" t="s">
        <v>137</v>
      </c>
      <c r="AP20" s="230" t="s">
        <v>138</v>
      </c>
      <c r="AQ20" s="230" t="s">
        <v>139</v>
      </c>
      <c r="AR20" s="230" t="s">
        <v>140</v>
      </c>
      <c r="AS20" s="230" t="s">
        <v>133</v>
      </c>
      <c r="AT20" s="230" t="s">
        <v>141</v>
      </c>
      <c r="AU20" s="227" t="s">
        <v>142</v>
      </c>
      <c r="AV20" s="235" t="s">
        <v>245</v>
      </c>
      <c r="AW20" s="230" t="s">
        <v>246</v>
      </c>
      <c r="AX20" s="230" t="s">
        <v>247</v>
      </c>
      <c r="AY20" s="230" t="s">
        <v>248</v>
      </c>
      <c r="AZ20" s="230" t="s">
        <v>249</v>
      </c>
      <c r="BA20" s="230" t="s">
        <v>250</v>
      </c>
      <c r="BB20" s="230" t="s">
        <v>251</v>
      </c>
      <c r="BC20" s="230" t="s">
        <v>253</v>
      </c>
      <c r="BD20" s="230" t="s">
        <v>254</v>
      </c>
      <c r="BE20" s="230" t="s">
        <v>255</v>
      </c>
      <c r="BF20" s="230" t="s">
        <v>247</v>
      </c>
      <c r="BG20" s="230" t="s">
        <v>252</v>
      </c>
      <c r="BH20" s="227" t="s">
        <v>256</v>
      </c>
      <c r="BI20" s="230" t="s">
        <v>257</v>
      </c>
      <c r="BJ20" s="230" t="s">
        <v>258</v>
      </c>
      <c r="BK20" s="247" t="s">
        <v>259</v>
      </c>
      <c r="BL20" s="247" t="s">
        <v>260</v>
      </c>
      <c r="BM20" s="235" t="s">
        <v>262</v>
      </c>
      <c r="BN20" s="230" t="s">
        <v>263</v>
      </c>
      <c r="BO20" s="227" t="s">
        <v>28</v>
      </c>
      <c r="BP20" s="244" t="s">
        <v>264</v>
      </c>
      <c r="BQ20" s="227" t="s">
        <v>265</v>
      </c>
    </row>
    <row r="21" spans="1:69" ht="24.75" customHeight="1" x14ac:dyDescent="0.2">
      <c r="C21" s="253"/>
      <c r="D21" s="256"/>
      <c r="E21" s="236"/>
      <c r="F21" s="233"/>
      <c r="G21" s="231"/>
      <c r="H21" s="231"/>
      <c r="I21" s="231"/>
      <c r="J21" s="233"/>
      <c r="K21" s="231"/>
      <c r="L21" s="231"/>
      <c r="M21" s="231"/>
      <c r="N21" s="228"/>
      <c r="O21" s="236"/>
      <c r="P21" s="233"/>
      <c r="Q21" s="231"/>
      <c r="R21" s="231"/>
      <c r="S21" s="231"/>
      <c r="T21" s="233"/>
      <c r="U21" s="231"/>
      <c r="V21" s="231"/>
      <c r="W21" s="231"/>
      <c r="X21" s="228"/>
      <c r="Y21" s="236"/>
      <c r="Z21" s="233"/>
      <c r="AA21" s="231"/>
      <c r="AB21" s="231"/>
      <c r="AC21" s="231"/>
      <c r="AD21" s="233"/>
      <c r="AE21" s="231"/>
      <c r="AF21" s="231"/>
      <c r="AG21" s="231"/>
      <c r="AH21" s="228"/>
      <c r="AI21" s="236"/>
      <c r="AJ21" s="233"/>
      <c r="AK21" s="231"/>
      <c r="AL21" s="231"/>
      <c r="AM21" s="231"/>
      <c r="AN21" s="231"/>
      <c r="AO21" s="231"/>
      <c r="AP21" s="231"/>
      <c r="AQ21" s="233"/>
      <c r="AR21" s="231"/>
      <c r="AS21" s="231"/>
      <c r="AT21" s="231"/>
      <c r="AU21" s="228"/>
      <c r="AV21" s="236"/>
      <c r="AW21" s="233"/>
      <c r="AX21" s="231"/>
      <c r="AY21" s="231"/>
      <c r="AZ21" s="231"/>
      <c r="BA21" s="231"/>
      <c r="BB21" s="231"/>
      <c r="BC21" s="231"/>
      <c r="BD21" s="233"/>
      <c r="BE21" s="231"/>
      <c r="BF21" s="231"/>
      <c r="BG21" s="231"/>
      <c r="BH21" s="228"/>
      <c r="BI21" s="231"/>
      <c r="BJ21" s="231"/>
      <c r="BK21" s="248"/>
      <c r="BL21" s="248"/>
      <c r="BM21" s="236"/>
      <c r="BN21" s="233"/>
      <c r="BO21" s="228"/>
      <c r="BP21" s="245"/>
      <c r="BQ21" s="228"/>
    </row>
    <row r="22" spans="1:69" ht="36.75" customHeight="1" thickBot="1" x14ac:dyDescent="0.25">
      <c r="B22" s="19"/>
      <c r="C22" s="254"/>
      <c r="D22" s="257"/>
      <c r="E22" s="237"/>
      <c r="F22" s="234"/>
      <c r="G22" s="232"/>
      <c r="H22" s="232"/>
      <c r="I22" s="232"/>
      <c r="J22" s="234"/>
      <c r="K22" s="232"/>
      <c r="L22" s="232"/>
      <c r="M22" s="232"/>
      <c r="N22" s="229"/>
      <c r="O22" s="237"/>
      <c r="P22" s="234"/>
      <c r="Q22" s="232"/>
      <c r="R22" s="232"/>
      <c r="S22" s="232"/>
      <c r="T22" s="234"/>
      <c r="U22" s="232"/>
      <c r="V22" s="232"/>
      <c r="W22" s="232"/>
      <c r="X22" s="229"/>
      <c r="Y22" s="237"/>
      <c r="Z22" s="234"/>
      <c r="AA22" s="232"/>
      <c r="AB22" s="232"/>
      <c r="AC22" s="232"/>
      <c r="AD22" s="234"/>
      <c r="AE22" s="232"/>
      <c r="AF22" s="232"/>
      <c r="AG22" s="232"/>
      <c r="AH22" s="229"/>
      <c r="AI22" s="237"/>
      <c r="AJ22" s="234"/>
      <c r="AK22" s="232"/>
      <c r="AL22" s="232"/>
      <c r="AM22" s="232"/>
      <c r="AN22" s="232"/>
      <c r="AO22" s="232"/>
      <c r="AP22" s="232"/>
      <c r="AQ22" s="234"/>
      <c r="AR22" s="232"/>
      <c r="AS22" s="232"/>
      <c r="AT22" s="232"/>
      <c r="AU22" s="229"/>
      <c r="AV22" s="237"/>
      <c r="AW22" s="234"/>
      <c r="AX22" s="232"/>
      <c r="AY22" s="232"/>
      <c r="AZ22" s="232"/>
      <c r="BA22" s="232"/>
      <c r="BB22" s="232"/>
      <c r="BC22" s="232"/>
      <c r="BD22" s="234"/>
      <c r="BE22" s="232"/>
      <c r="BF22" s="232"/>
      <c r="BG22" s="232"/>
      <c r="BH22" s="229"/>
      <c r="BI22" s="232"/>
      <c r="BJ22" s="232"/>
      <c r="BK22" s="249"/>
      <c r="BL22" s="249"/>
      <c r="BM22" s="237"/>
      <c r="BN22" s="234"/>
      <c r="BO22" s="229" t="s">
        <v>13</v>
      </c>
      <c r="BP22" s="246"/>
      <c r="BQ22" s="229"/>
    </row>
    <row r="23" spans="1:69" s="148" customFormat="1" ht="33.75" customHeight="1" thickBot="1" x14ac:dyDescent="0.25">
      <c r="A23" s="1"/>
      <c r="B23" s="1"/>
      <c r="C23" s="55" t="s">
        <v>37</v>
      </c>
      <c r="D23" s="4"/>
      <c r="E23" s="178"/>
      <c r="F23" s="138"/>
      <c r="G23" s="139"/>
      <c r="H23" s="139"/>
      <c r="I23" s="139"/>
      <c r="J23" s="139"/>
      <c r="K23" s="139"/>
      <c r="L23" s="139"/>
      <c r="M23" s="139"/>
      <c r="N23" s="140"/>
      <c r="O23" s="137"/>
      <c r="P23" s="138"/>
      <c r="Q23" s="139"/>
      <c r="R23" s="139"/>
      <c r="S23" s="139"/>
      <c r="T23" s="139"/>
      <c r="U23" s="139"/>
      <c r="V23" s="139"/>
      <c r="W23" s="139"/>
      <c r="X23" s="140"/>
      <c r="Y23" s="137"/>
      <c r="Z23" s="138"/>
      <c r="AA23" s="139"/>
      <c r="AB23" s="139"/>
      <c r="AC23" s="139"/>
      <c r="AD23" s="139"/>
      <c r="AE23" s="139"/>
      <c r="AF23" s="139"/>
      <c r="AG23" s="139"/>
      <c r="AH23" s="140"/>
      <c r="AI23" s="137"/>
      <c r="AJ23" s="138"/>
      <c r="AK23" s="139"/>
      <c r="AL23" s="139"/>
      <c r="AM23" s="139"/>
      <c r="AN23" s="139"/>
      <c r="AO23" s="139"/>
      <c r="AP23" s="139"/>
      <c r="AQ23" s="139"/>
      <c r="AR23" s="139"/>
      <c r="AS23" s="139"/>
      <c r="AT23" s="139"/>
      <c r="AU23" s="140"/>
      <c r="AV23" s="137"/>
      <c r="AW23" s="138"/>
      <c r="AX23" s="139"/>
      <c r="AY23" s="139"/>
      <c r="AZ23" s="139"/>
      <c r="BA23" s="139"/>
      <c r="BB23" s="139"/>
      <c r="BC23" s="139"/>
      <c r="BD23" s="139"/>
      <c r="BE23" s="139"/>
      <c r="BF23" s="139"/>
      <c r="BG23" s="139"/>
      <c r="BH23" s="140"/>
      <c r="BI23" s="141"/>
      <c r="BJ23" s="142"/>
      <c r="BK23" s="139"/>
      <c r="BL23" s="143"/>
      <c r="BM23" s="144"/>
      <c r="BN23" s="144"/>
      <c r="BO23" s="145"/>
      <c r="BP23" s="146"/>
      <c r="BQ23" s="147"/>
    </row>
    <row r="24" spans="1:69" s="148" customFormat="1" ht="15" customHeight="1" thickBot="1" x14ac:dyDescent="0.25">
      <c r="A24" s="1">
        <v>1</v>
      </c>
      <c r="B24" s="1"/>
      <c r="C24" s="4" t="s">
        <v>39</v>
      </c>
      <c r="D24" s="7">
        <v>1550</v>
      </c>
      <c r="E24" s="179"/>
      <c r="F24" s="150"/>
      <c r="G24" s="150"/>
      <c r="H24" s="150"/>
      <c r="I24" s="151">
        <f>E24+F24-G24+H24</f>
        <v>0</v>
      </c>
      <c r="J24" s="150"/>
      <c r="K24" s="150"/>
      <c r="L24" s="150"/>
      <c r="M24" s="150"/>
      <c r="N24" s="152">
        <f>J24+K24-L24+M24</f>
        <v>0</v>
      </c>
      <c r="O24" s="153">
        <f>I24</f>
        <v>0</v>
      </c>
      <c r="P24" s="150"/>
      <c r="Q24" s="150"/>
      <c r="R24" s="150">
        <v>30069.974020364069</v>
      </c>
      <c r="S24" s="151">
        <f>O24+P24-Q24+R24</f>
        <v>30069.974020364069</v>
      </c>
      <c r="T24" s="154">
        <f>N24</f>
        <v>0</v>
      </c>
      <c r="U24" s="150"/>
      <c r="V24" s="150"/>
      <c r="W24" s="150">
        <v>335.04427131139198</v>
      </c>
      <c r="X24" s="152">
        <f>T24+U24-V24+W24</f>
        <v>335.04427131139198</v>
      </c>
      <c r="Y24" s="153">
        <f>S24</f>
        <v>30069.974020364069</v>
      </c>
      <c r="Z24" s="150">
        <v>6529.4955001057597</v>
      </c>
      <c r="AA24" s="150"/>
      <c r="AB24" s="150"/>
      <c r="AC24" s="151">
        <f t="shared" ref="AC24:AC33" si="0">Y24+Z24-AA24+SUM(AB24:AB24)</f>
        <v>36599.469520469829</v>
      </c>
      <c r="AD24" s="154">
        <f t="shared" ref="AD24:AD33" si="1">X24</f>
        <v>335.04427131139198</v>
      </c>
      <c r="AE24" s="150">
        <v>471.231253781362</v>
      </c>
      <c r="AF24" s="150"/>
      <c r="AG24" s="150"/>
      <c r="AH24" s="152">
        <f>AD24+AE24-AF24+AG24</f>
        <v>806.27552509275392</v>
      </c>
      <c r="AI24" s="153">
        <f>AC24</f>
        <v>36599.469520469829</v>
      </c>
      <c r="AJ24" s="150">
        <v>15362.8638481013</v>
      </c>
      <c r="AK24" s="150">
        <v>30069.974020364101</v>
      </c>
      <c r="AL24" s="150"/>
      <c r="AM24" s="150"/>
      <c r="AN24" s="150"/>
      <c r="AO24" s="150"/>
      <c r="AP24" s="151">
        <f>AI24+AJ24-AK24+SUM(AL24:AO24)</f>
        <v>21892.359348207025</v>
      </c>
      <c r="AQ24" s="154">
        <f>AH24</f>
        <v>806.27552509275392</v>
      </c>
      <c r="AR24" s="207">
        <v>349.16000120450332</v>
      </c>
      <c r="AS24" s="207">
        <v>924.41</v>
      </c>
      <c r="AT24" s="150"/>
      <c r="AU24" s="152">
        <f>AQ24+AR24-AS24+AT24</f>
        <v>231.02552629725722</v>
      </c>
      <c r="AV24" s="153">
        <f>AP24</f>
        <v>21892.359348207025</v>
      </c>
      <c r="AW24" s="150">
        <v>13555.07</v>
      </c>
      <c r="AX24" s="150"/>
      <c r="AY24" s="150"/>
      <c r="AZ24" s="150"/>
      <c r="BA24" s="150"/>
      <c r="BB24" s="150"/>
      <c r="BC24" s="151">
        <f>AV24+AW24-AX24+SUM(AY24:BB24)</f>
        <v>35447.429348207021</v>
      </c>
      <c r="BD24" s="154">
        <f>AU24</f>
        <v>231.02552629725722</v>
      </c>
      <c r="BE24" s="150">
        <v>432.86</v>
      </c>
      <c r="BF24" s="150"/>
      <c r="BG24" s="150"/>
      <c r="BH24" s="152">
        <f>BD24+BE24-BF24+BG24</f>
        <v>663.88552629725723</v>
      </c>
      <c r="BI24" s="149">
        <v>21892.36</v>
      </c>
      <c r="BJ24" s="150">
        <v>660.11</v>
      </c>
      <c r="BK24" s="154">
        <f>BC24-BI24</f>
        <v>13555.06934820702</v>
      </c>
      <c r="BL24" s="155">
        <f>BH24-BJ24</f>
        <v>3.7755262972572154</v>
      </c>
      <c r="BM24" s="207">
        <v>306.52999999999997</v>
      </c>
      <c r="BN24" s="207">
        <v>66.42</v>
      </c>
      <c r="BO24" s="145">
        <f>SUM(BK24:BN24)</f>
        <v>13931.794874504278</v>
      </c>
      <c r="BP24" s="157">
        <v>36111.300000000003</v>
      </c>
      <c r="BQ24" s="145">
        <f>BP24-SUM(BC24,BH24)</f>
        <v>-1.487450427521253E-2</v>
      </c>
    </row>
    <row r="25" spans="1:69" s="148" customFormat="1" ht="15" thickBot="1" x14ac:dyDescent="0.25">
      <c r="A25" s="1">
        <v>2</v>
      </c>
      <c r="B25" s="1"/>
      <c r="C25" s="4" t="s">
        <v>244</v>
      </c>
      <c r="D25" s="7">
        <v>1551</v>
      </c>
      <c r="E25" s="181"/>
      <c r="F25" s="162"/>
      <c r="G25" s="162"/>
      <c r="H25" s="162"/>
      <c r="I25" s="151">
        <f t="shared" ref="I25" si="2">E25+F25-G25+H25</f>
        <v>0</v>
      </c>
      <c r="J25" s="150"/>
      <c r="K25" s="150"/>
      <c r="L25" s="150"/>
      <c r="M25" s="150"/>
      <c r="N25" s="152">
        <f t="shared" ref="N25" si="3">J25+K25-L25+M25</f>
        <v>0</v>
      </c>
      <c r="O25" s="153">
        <f t="shared" ref="O25" si="4">I25</f>
        <v>0</v>
      </c>
      <c r="P25" s="150"/>
      <c r="Q25" s="150"/>
      <c r="R25" s="150"/>
      <c r="S25" s="151">
        <f t="shared" ref="S25" si="5">O25+P25-Q25+SUM(R25:R25)</f>
        <v>0</v>
      </c>
      <c r="T25" s="154">
        <f t="shared" ref="T25" si="6">N25</f>
        <v>0</v>
      </c>
      <c r="U25" s="150"/>
      <c r="V25" s="163"/>
      <c r="W25" s="163"/>
      <c r="X25" s="152">
        <f t="shared" ref="X25" si="7">T25+U25-V25+W25</f>
        <v>0</v>
      </c>
      <c r="Y25" s="153">
        <f t="shared" ref="Y25" si="8">S25</f>
        <v>0</v>
      </c>
      <c r="Z25" s="150"/>
      <c r="AA25" s="150"/>
      <c r="AB25" s="150"/>
      <c r="AC25" s="151">
        <f t="shared" ref="AC25" si="9">Y25+Z25-AA25+SUM(AB25:AB25)</f>
        <v>0</v>
      </c>
      <c r="AD25" s="154">
        <f t="shared" ref="AD25" si="10">X25</f>
        <v>0</v>
      </c>
      <c r="AE25" s="150"/>
      <c r="AF25" s="163"/>
      <c r="AG25" s="162"/>
      <c r="AH25" s="152">
        <f t="shared" ref="AH25" si="11">AD25+AE25-AF25+AG25</f>
        <v>0</v>
      </c>
      <c r="AI25" s="153">
        <f t="shared" ref="AI25" si="12">AC25</f>
        <v>0</v>
      </c>
      <c r="AJ25" s="150"/>
      <c r="AK25" s="150"/>
      <c r="AL25" s="150"/>
      <c r="AM25" s="150"/>
      <c r="AN25" s="150"/>
      <c r="AO25" s="150"/>
      <c r="AP25" s="151">
        <f t="shared" ref="AP25" si="13">AI25+AJ25-AK25+SUM(AL25:AO25)</f>
        <v>0</v>
      </c>
      <c r="AQ25" s="154">
        <f t="shared" ref="AQ25" si="14">AH25</f>
        <v>0</v>
      </c>
      <c r="AR25" s="150"/>
      <c r="AS25" s="163"/>
      <c r="AT25" s="162"/>
      <c r="AU25" s="152">
        <f t="shared" ref="AU25" si="15">AQ25+AR25-AS25+AT25</f>
        <v>0</v>
      </c>
      <c r="AV25" s="153">
        <f>AP25</f>
        <v>0</v>
      </c>
      <c r="AW25" s="150">
        <f>16260.934+1790.24</f>
        <v>18051.173999999999</v>
      </c>
      <c r="AX25" s="150"/>
      <c r="AY25" s="150"/>
      <c r="AZ25" s="150"/>
      <c r="BA25" s="150"/>
      <c r="BB25" s="150"/>
      <c r="BC25" s="151">
        <f>AV25+AW25-AX25+SUM(AY25:BB25)</f>
        <v>18051.173999999999</v>
      </c>
      <c r="BD25" s="154">
        <f>AU25</f>
        <v>0</v>
      </c>
      <c r="BE25" s="150">
        <f>163.1937895+19.13</f>
        <v>182.3237895</v>
      </c>
      <c r="BF25" s="163"/>
      <c r="BG25" s="162"/>
      <c r="BH25" s="152">
        <f>BD25+BE25-BF25+BG25</f>
        <v>182.3237895</v>
      </c>
      <c r="BI25" s="149"/>
      <c r="BJ25" s="150"/>
      <c r="BK25" s="154">
        <f>BC25-BI25</f>
        <v>18051.173999999999</v>
      </c>
      <c r="BL25" s="155">
        <f>BH25-BJ25</f>
        <v>182.3237895</v>
      </c>
      <c r="BM25" s="156">
        <f>239.0357298+26.32</f>
        <v>265.35572980000001</v>
      </c>
      <c r="BN25" s="150">
        <f>79.6785766+8.77</f>
        <v>88.448576599999996</v>
      </c>
      <c r="BO25" s="145">
        <f t="shared" ref="BO25" si="16">SUM(BK25:BN25)</f>
        <v>18587.302095899999</v>
      </c>
      <c r="BP25" s="157">
        <v>18233.490000000002</v>
      </c>
      <c r="BQ25" s="145">
        <f>BP25-SUM(BC25,BH25)</f>
        <v>-7.7894999958516564E-3</v>
      </c>
    </row>
    <row r="26" spans="1:69" s="148" customFormat="1" ht="15" thickBot="1" x14ac:dyDescent="0.25">
      <c r="A26" s="1">
        <v>3</v>
      </c>
      <c r="B26" s="1"/>
      <c r="C26" s="8" t="s">
        <v>1</v>
      </c>
      <c r="D26" s="7">
        <v>1580</v>
      </c>
      <c r="E26" s="179"/>
      <c r="F26" s="150"/>
      <c r="G26" s="150"/>
      <c r="H26" s="150"/>
      <c r="I26" s="151">
        <f t="shared" ref="I26:I32" si="17">E26+F26-G26+H26</f>
        <v>0</v>
      </c>
      <c r="J26" s="150"/>
      <c r="K26" s="150"/>
      <c r="L26" s="150"/>
      <c r="M26" s="150"/>
      <c r="N26" s="152">
        <f t="shared" ref="N26:N32" si="18">J26+K26-L26+M26</f>
        <v>0</v>
      </c>
      <c r="O26" s="153">
        <f t="shared" ref="O26:O32" si="19">I26</f>
        <v>0</v>
      </c>
      <c r="P26" s="150"/>
      <c r="Q26" s="150"/>
      <c r="R26" s="150">
        <f>-759586.17+9747.1</f>
        <v>-749839.07000000007</v>
      </c>
      <c r="S26" s="151">
        <f t="shared" ref="S26:S33" si="20">O26+P26-Q26+SUM(R26:R26)</f>
        <v>-749839.07000000007</v>
      </c>
      <c r="T26" s="154">
        <f t="shared" ref="T26:T32" si="21">N26</f>
        <v>0</v>
      </c>
      <c r="U26" s="150"/>
      <c r="V26" s="150"/>
      <c r="W26" s="163">
        <f>-3947.11995633336+152.07</f>
        <v>-3795.0499563333597</v>
      </c>
      <c r="X26" s="152">
        <f t="shared" ref="X26:X32" si="22">T26+U26-V26+W26</f>
        <v>-3795.0499563333597</v>
      </c>
      <c r="Y26" s="153">
        <f t="shared" ref="Y26:Y30" si="23">S26</f>
        <v>-749839.07000000007</v>
      </c>
      <c r="Z26" s="150">
        <f>-607996.98-435.04</f>
        <v>-608432.02</v>
      </c>
      <c r="AA26" s="150"/>
      <c r="AB26" s="150"/>
      <c r="AC26" s="151">
        <f t="shared" si="0"/>
        <v>-1358271.09</v>
      </c>
      <c r="AD26" s="154">
        <f t="shared" si="1"/>
        <v>-3795.0499563333597</v>
      </c>
      <c r="AE26" s="150">
        <f>-15667.99422825+148.14</f>
        <v>-15519.85422825</v>
      </c>
      <c r="AF26" s="150"/>
      <c r="AG26" s="150"/>
      <c r="AH26" s="152">
        <f t="shared" ref="AH26:AH32" si="24">AD26+AE26-AF26+AG26</f>
        <v>-19314.90418458336</v>
      </c>
      <c r="AI26" s="153">
        <f t="shared" ref="AI26:AI30" si="25">AC26</f>
        <v>-1358271.09</v>
      </c>
      <c r="AJ26" s="150">
        <f>-736860.3816-2253.19</f>
        <v>-739113.57159999991</v>
      </c>
      <c r="AK26" s="150">
        <f>-759586.17+9747.1</f>
        <v>-749839.07000000007</v>
      </c>
      <c r="AL26" s="150"/>
      <c r="AM26" s="150"/>
      <c r="AN26" s="150"/>
      <c r="AO26" s="150"/>
      <c r="AP26" s="151">
        <f t="shared" ref="AP26:AP32" si="26">AI26+AJ26-AK26+SUM(AL26:AO26)</f>
        <v>-1347545.5916000002</v>
      </c>
      <c r="AQ26" s="154">
        <f t="shared" ref="AQ26:AQ30" si="27">AH26</f>
        <v>-19314.90418458336</v>
      </c>
      <c r="AR26" s="150">
        <f>-18040.77567754+14.16</f>
        <v>-18026.615677540001</v>
      </c>
      <c r="AS26" s="150">
        <f>-18835.0099563334+343.11</f>
        <v>-18491.8999563334</v>
      </c>
      <c r="AT26" s="150"/>
      <c r="AU26" s="152">
        <f t="shared" ref="AU26:AU32" si="28">AQ26+AR26-AS26+AT26</f>
        <v>-18849.619905789958</v>
      </c>
      <c r="AV26" s="153">
        <f t="shared" ref="AV26:AV30" si="29">AP26</f>
        <v>-1347545.5916000002</v>
      </c>
      <c r="AW26" s="150">
        <f>-394787.400148+19075.42</f>
        <v>-375711.980148</v>
      </c>
      <c r="AX26" s="150"/>
      <c r="AY26" s="150"/>
      <c r="AZ26" s="150"/>
      <c r="BA26" s="150"/>
      <c r="BB26" s="150"/>
      <c r="BC26" s="151">
        <f t="shared" ref="BC26:BC32" si="30">AV26+AW26-AX26+SUM(AY26:BB26)</f>
        <v>-1723257.5717480001</v>
      </c>
      <c r="BD26" s="154">
        <f t="shared" ref="BD26:BD30" si="31">AU26</f>
        <v>-18849.619905789958</v>
      </c>
      <c r="BE26" s="150">
        <f>-23808.9934059929+199.63</f>
        <v>-23609.363405992899</v>
      </c>
      <c r="BF26" s="150"/>
      <c r="BG26" s="150"/>
      <c r="BH26" s="152">
        <f t="shared" ref="BH26:BH32" si="32">BD26+BE26-BF26+BG26</f>
        <v>-42458.983311782853</v>
      </c>
      <c r="BI26" s="149">
        <f>-1344857.3616-2688.23</f>
        <v>-1347545.5915999999</v>
      </c>
      <c r="BJ26" s="150">
        <f>-45180.08-81.43</f>
        <v>-45261.51</v>
      </c>
      <c r="BK26" s="154">
        <f t="shared" ref="BK26:BK35" si="33">BC26-BI26</f>
        <v>-375711.98014800018</v>
      </c>
      <c r="BL26" s="155">
        <f t="shared" ref="BL26:BL35" si="34">BH26-BJ26</f>
        <v>2802.5266882171491</v>
      </c>
      <c r="BM26" s="156">
        <f>-12393.1758540156+267.24</f>
        <v>-12125.935854015601</v>
      </c>
      <c r="BN26" s="150">
        <f>-1934.4582607252+93.47</f>
        <v>-1840.9882607252</v>
      </c>
      <c r="BO26" s="145">
        <f t="shared" ref="BO26:BO79" si="35">SUM(BK26:BN26)</f>
        <v>-386876.37757452385</v>
      </c>
      <c r="BP26" s="157">
        <v>-1765716.58</v>
      </c>
      <c r="BQ26" s="145">
        <f t="shared" ref="BQ26:BQ39" si="36">BP26-SUM(BC26,BH26)</f>
        <v>-2.4940217146649957E-2</v>
      </c>
    </row>
    <row r="27" spans="1:69" s="148" customFormat="1" ht="15" thickBot="1" x14ac:dyDescent="0.25">
      <c r="A27" s="1">
        <v>4</v>
      </c>
      <c r="B27" s="1"/>
      <c r="C27" s="8" t="s">
        <v>2</v>
      </c>
      <c r="D27" s="7">
        <v>1584</v>
      </c>
      <c r="E27" s="179"/>
      <c r="F27" s="150"/>
      <c r="G27" s="150"/>
      <c r="H27" s="150"/>
      <c r="I27" s="151">
        <f t="shared" si="17"/>
        <v>0</v>
      </c>
      <c r="J27" s="150"/>
      <c r="K27" s="150"/>
      <c r="L27" s="150"/>
      <c r="M27" s="150"/>
      <c r="N27" s="152">
        <f t="shared" si="18"/>
        <v>0</v>
      </c>
      <c r="O27" s="153">
        <f t="shared" si="19"/>
        <v>0</v>
      </c>
      <c r="P27" s="150"/>
      <c r="Q27" s="150"/>
      <c r="R27" s="150">
        <v>590978.12717731996</v>
      </c>
      <c r="S27" s="151">
        <f t="shared" si="20"/>
        <v>590978.12717731996</v>
      </c>
      <c r="T27" s="154">
        <f t="shared" si="21"/>
        <v>0</v>
      </c>
      <c r="U27" s="150"/>
      <c r="V27" s="150"/>
      <c r="W27" s="150">
        <v>3732.3405442488101</v>
      </c>
      <c r="X27" s="152">
        <f t="shared" si="22"/>
        <v>3732.3405442488101</v>
      </c>
      <c r="Y27" s="153">
        <f t="shared" si="23"/>
        <v>590978.12717731996</v>
      </c>
      <c r="Z27" s="150">
        <v>288300.635227872</v>
      </c>
      <c r="AA27" s="150"/>
      <c r="AB27" s="150"/>
      <c r="AC27" s="151">
        <f t="shared" si="0"/>
        <v>879278.76240519201</v>
      </c>
      <c r="AD27" s="154">
        <f t="shared" si="1"/>
        <v>3732.3405442488101</v>
      </c>
      <c r="AE27" s="150">
        <v>12000.545284612501</v>
      </c>
      <c r="AF27" s="150"/>
      <c r="AG27" s="150"/>
      <c r="AH27" s="152">
        <f t="shared" si="24"/>
        <v>15732.885828861312</v>
      </c>
      <c r="AI27" s="153">
        <f t="shared" si="25"/>
        <v>879278.76240519201</v>
      </c>
      <c r="AJ27" s="150">
        <v>83763.102626582302</v>
      </c>
      <c r="AK27" s="150">
        <v>590978.12717731996</v>
      </c>
      <c r="AL27" s="150"/>
      <c r="AM27" s="150"/>
      <c r="AN27" s="150"/>
      <c r="AO27" s="150"/>
      <c r="AP27" s="151">
        <f t="shared" si="26"/>
        <v>372063.73785445432</v>
      </c>
      <c r="AQ27" s="154">
        <f t="shared" si="27"/>
        <v>15732.885828861312</v>
      </c>
      <c r="AR27" s="207">
        <v>8435.8743126617737</v>
      </c>
      <c r="AS27" s="207">
        <v>15487.7</v>
      </c>
      <c r="AT27" s="150"/>
      <c r="AU27" s="152">
        <f t="shared" si="28"/>
        <v>8681.0601415230849</v>
      </c>
      <c r="AV27" s="153">
        <f t="shared" si="29"/>
        <v>372063.73785445432</v>
      </c>
      <c r="AW27" s="150">
        <v>186942.74975000002</v>
      </c>
      <c r="AX27" s="150"/>
      <c r="AY27" s="150"/>
      <c r="AZ27" s="150"/>
      <c r="BA27" s="150"/>
      <c r="BB27" s="150"/>
      <c r="BC27" s="151">
        <f t="shared" si="30"/>
        <v>559006.48760445439</v>
      </c>
      <c r="BD27" s="154">
        <f t="shared" si="31"/>
        <v>8681.0601415230849</v>
      </c>
      <c r="BE27" s="150">
        <v>6565.2065840417208</v>
      </c>
      <c r="BF27" s="150"/>
      <c r="BG27" s="150"/>
      <c r="BH27" s="152">
        <f t="shared" si="32"/>
        <v>15246.266725564805</v>
      </c>
      <c r="BI27" s="149">
        <v>372063.73785445403</v>
      </c>
      <c r="BJ27" s="150">
        <v>15973.51</v>
      </c>
      <c r="BK27" s="154">
        <f t="shared" si="33"/>
        <v>186942.74975000037</v>
      </c>
      <c r="BL27" s="155">
        <f t="shared" si="34"/>
        <v>-727.24327443519542</v>
      </c>
      <c r="BM27" s="156">
        <v>4571.1707368118214</v>
      </c>
      <c r="BN27" s="150">
        <v>916.01947377499903</v>
      </c>
      <c r="BO27" s="145">
        <f t="shared" si="35"/>
        <v>191702.69668615199</v>
      </c>
      <c r="BP27" s="157">
        <v>574252.78</v>
      </c>
      <c r="BQ27" s="145">
        <f t="shared" si="36"/>
        <v>2.566998079419136E-2</v>
      </c>
    </row>
    <row r="28" spans="1:69" s="148" customFormat="1" ht="15" thickBot="1" x14ac:dyDescent="0.25">
      <c r="A28" s="1">
        <v>5</v>
      </c>
      <c r="B28" s="1"/>
      <c r="C28" s="8" t="s">
        <v>3</v>
      </c>
      <c r="D28" s="7">
        <v>1586</v>
      </c>
      <c r="E28" s="179"/>
      <c r="F28" s="150"/>
      <c r="G28" s="150"/>
      <c r="H28" s="150"/>
      <c r="I28" s="151">
        <f t="shared" si="17"/>
        <v>0</v>
      </c>
      <c r="J28" s="150"/>
      <c r="K28" s="150"/>
      <c r="L28" s="150"/>
      <c r="M28" s="150"/>
      <c r="N28" s="152">
        <f t="shared" si="18"/>
        <v>0</v>
      </c>
      <c r="O28" s="153">
        <f t="shared" si="19"/>
        <v>0</v>
      </c>
      <c r="P28" s="150"/>
      <c r="Q28" s="150"/>
      <c r="R28" s="150">
        <v>320707.237349934</v>
      </c>
      <c r="S28" s="151">
        <f t="shared" si="20"/>
        <v>320707.237349934</v>
      </c>
      <c r="T28" s="154">
        <f t="shared" si="21"/>
        <v>0</v>
      </c>
      <c r="U28" s="150"/>
      <c r="V28" s="150"/>
      <c r="W28" s="150">
        <v>2461.8184165825301</v>
      </c>
      <c r="X28" s="152">
        <f t="shared" si="22"/>
        <v>2461.8184165825301</v>
      </c>
      <c r="Y28" s="153">
        <f t="shared" si="23"/>
        <v>320707.237349934</v>
      </c>
      <c r="Z28" s="150">
        <v>145417.47300920801</v>
      </c>
      <c r="AA28" s="150"/>
      <c r="AB28" s="150"/>
      <c r="AC28" s="151">
        <f t="shared" si="0"/>
        <v>466124.71035914205</v>
      </c>
      <c r="AD28" s="154">
        <f t="shared" si="1"/>
        <v>2461.8184165825301</v>
      </c>
      <c r="AE28" s="150">
        <v>5962.8753888363999</v>
      </c>
      <c r="AF28" s="150"/>
      <c r="AG28" s="150"/>
      <c r="AH28" s="152">
        <f t="shared" si="24"/>
        <v>8424.6938054189304</v>
      </c>
      <c r="AI28" s="153">
        <f t="shared" si="25"/>
        <v>466124.71035914205</v>
      </c>
      <c r="AJ28" s="207">
        <v>70322.348243670829</v>
      </c>
      <c r="AK28" s="150">
        <v>320707.237349934</v>
      </c>
      <c r="AL28" s="150"/>
      <c r="AM28" s="150"/>
      <c r="AN28" s="150"/>
      <c r="AO28" s="150"/>
      <c r="AP28" s="151">
        <f t="shared" si="26"/>
        <v>215739.82125287893</v>
      </c>
      <c r="AQ28" s="154">
        <f t="shared" si="27"/>
        <v>8424.6938054189304</v>
      </c>
      <c r="AR28" s="207">
        <v>4322.1478953335081</v>
      </c>
      <c r="AS28" s="207">
        <v>8747.6884165825304</v>
      </c>
      <c r="AT28" s="150"/>
      <c r="AU28" s="152">
        <f t="shared" si="28"/>
        <v>3999.1532841699081</v>
      </c>
      <c r="AV28" s="153">
        <f t="shared" si="29"/>
        <v>215739.82125287893</v>
      </c>
      <c r="AW28" s="150">
        <v>159529.92475000012</v>
      </c>
      <c r="AX28" s="150"/>
      <c r="AY28" s="150"/>
      <c r="AZ28" s="150"/>
      <c r="BA28" s="150"/>
      <c r="BB28" s="150"/>
      <c r="BC28" s="151">
        <f t="shared" si="30"/>
        <v>375269.74600287905</v>
      </c>
      <c r="BD28" s="154">
        <f t="shared" si="31"/>
        <v>3999.1532841699081</v>
      </c>
      <c r="BE28" s="150">
        <v>3982.3274539985769</v>
      </c>
      <c r="BF28" s="150"/>
      <c r="BG28" s="150"/>
      <c r="BH28" s="152">
        <f t="shared" si="32"/>
        <v>7981.480738168485</v>
      </c>
      <c r="BI28" s="149">
        <v>215739.82125287899</v>
      </c>
      <c r="BJ28" s="150">
        <v>8227.65</v>
      </c>
      <c r="BK28" s="154">
        <f t="shared" si="33"/>
        <v>159529.92475000006</v>
      </c>
      <c r="BL28" s="155">
        <f t="shared" si="34"/>
        <v>-246.16926183151463</v>
      </c>
      <c r="BM28" s="156">
        <v>3402.2150179641112</v>
      </c>
      <c r="BN28" s="150">
        <v>781.69663127500087</v>
      </c>
      <c r="BO28" s="145">
        <f t="shared" si="35"/>
        <v>163467.66713740764</v>
      </c>
      <c r="BP28" s="157">
        <v>383251.26</v>
      </c>
      <c r="BQ28" s="145">
        <f t="shared" si="36"/>
        <v>3.3258952491451055E-2</v>
      </c>
    </row>
    <row r="29" spans="1:69" s="148" customFormat="1" ht="15" thickBot="1" x14ac:dyDescent="0.25">
      <c r="A29" s="1">
        <v>6</v>
      </c>
      <c r="B29" s="1"/>
      <c r="C29" s="8" t="s">
        <v>75</v>
      </c>
      <c r="D29" s="7">
        <v>1588</v>
      </c>
      <c r="E29" s="179"/>
      <c r="F29" s="150"/>
      <c r="G29" s="150"/>
      <c r="H29" s="150"/>
      <c r="I29" s="151">
        <f t="shared" si="17"/>
        <v>0</v>
      </c>
      <c r="J29" s="150"/>
      <c r="K29" s="150"/>
      <c r="L29" s="150"/>
      <c r="M29" s="150"/>
      <c r="N29" s="152">
        <f t="shared" si="18"/>
        <v>0</v>
      </c>
      <c r="O29" s="153">
        <f t="shared" si="19"/>
        <v>0</v>
      </c>
      <c r="P29" s="150"/>
      <c r="Q29" s="150"/>
      <c r="R29" s="150">
        <v>-56643.400000001398</v>
      </c>
      <c r="S29" s="151">
        <f t="shared" si="20"/>
        <v>-56643.400000001398</v>
      </c>
      <c r="T29" s="154">
        <f t="shared" si="21"/>
        <v>0</v>
      </c>
      <c r="U29" s="150"/>
      <c r="V29" s="150"/>
      <c r="W29" s="150">
        <v>1355.6276117499899</v>
      </c>
      <c r="X29" s="152">
        <f t="shared" si="22"/>
        <v>1355.6276117499899</v>
      </c>
      <c r="Y29" s="153">
        <f t="shared" si="23"/>
        <v>-56643.400000001398</v>
      </c>
      <c r="Z29" s="150">
        <v>-234830.50636353999</v>
      </c>
      <c r="AA29" s="150"/>
      <c r="AB29" s="150"/>
      <c r="AC29" s="151">
        <f t="shared" si="0"/>
        <v>-291473.90636354138</v>
      </c>
      <c r="AD29" s="154">
        <f t="shared" si="1"/>
        <v>1355.6276117499899</v>
      </c>
      <c r="AE29" s="150">
        <v>-318.00267450002002</v>
      </c>
      <c r="AF29" s="150"/>
      <c r="AG29" s="150"/>
      <c r="AH29" s="152">
        <f t="shared" si="24"/>
        <v>1037.6249372499699</v>
      </c>
      <c r="AI29" s="153">
        <f t="shared" si="25"/>
        <v>-291473.90636354138</v>
      </c>
      <c r="AJ29" s="207">
        <v>39277.802174117533</v>
      </c>
      <c r="AK29" s="150">
        <v>-56643.400000001398</v>
      </c>
      <c r="AL29" s="150"/>
      <c r="AM29" s="150"/>
      <c r="AN29" s="150"/>
      <c r="AO29" s="150"/>
      <c r="AP29" s="151">
        <f t="shared" si="26"/>
        <v>-195552.70418942245</v>
      </c>
      <c r="AQ29" s="154">
        <f t="shared" si="27"/>
        <v>1037.6249372499699</v>
      </c>
      <c r="AR29" s="207">
        <v>-3428.0613671895867</v>
      </c>
      <c r="AS29" s="207">
        <v>245.41761174999399</v>
      </c>
      <c r="AT29" s="150"/>
      <c r="AU29" s="152">
        <f t="shared" si="28"/>
        <v>-2635.8540416896108</v>
      </c>
      <c r="AV29" s="153">
        <f t="shared" si="29"/>
        <v>-195552.70418942245</v>
      </c>
      <c r="AW29" s="150">
        <v>258168.68919766624</v>
      </c>
      <c r="AX29" s="150"/>
      <c r="AY29" s="150"/>
      <c r="AZ29" s="150"/>
      <c r="BA29" s="150"/>
      <c r="BB29" s="150"/>
      <c r="BC29" s="151">
        <f t="shared" si="30"/>
        <v>62615.985008243792</v>
      </c>
      <c r="BD29" s="154">
        <f t="shared" si="31"/>
        <v>-2635.8540416896108</v>
      </c>
      <c r="BE29" s="150">
        <v>-2172.3230729987918</v>
      </c>
      <c r="BF29" s="150"/>
      <c r="BG29" s="150"/>
      <c r="BH29" s="152">
        <f t="shared" si="32"/>
        <v>-4808.1771146884021</v>
      </c>
      <c r="BI29" s="149">
        <v>-195552.70418942301</v>
      </c>
      <c r="BJ29" s="150">
        <v>-6468.6770438023004</v>
      </c>
      <c r="BK29" s="154">
        <f t="shared" si="33"/>
        <v>258168.6891976668</v>
      </c>
      <c r="BL29" s="155">
        <f t="shared" si="34"/>
        <v>1660.4999291138984</v>
      </c>
      <c r="BM29" s="156">
        <v>2836.8714806775224</v>
      </c>
      <c r="BN29" s="150">
        <v>1265.0265770685646</v>
      </c>
      <c r="BO29" s="145">
        <f t="shared" si="35"/>
        <v>263931.08718452678</v>
      </c>
      <c r="BP29" s="157">
        <v>57807.76</v>
      </c>
      <c r="BQ29" s="145">
        <f t="shared" si="36"/>
        <v>-4.7893555391055997E-2</v>
      </c>
    </row>
    <row r="30" spans="1:69" s="148" customFormat="1" ht="15" thickBot="1" x14ac:dyDescent="0.25">
      <c r="A30" s="1">
        <v>7</v>
      </c>
      <c r="B30" s="1"/>
      <c r="C30" s="8" t="s">
        <v>127</v>
      </c>
      <c r="D30" s="7">
        <v>1589</v>
      </c>
      <c r="E30" s="179"/>
      <c r="F30" s="150"/>
      <c r="G30" s="150"/>
      <c r="H30" s="150"/>
      <c r="I30" s="151">
        <f t="shared" si="17"/>
        <v>0</v>
      </c>
      <c r="J30" s="150"/>
      <c r="K30" s="150"/>
      <c r="L30" s="150"/>
      <c r="M30" s="150"/>
      <c r="N30" s="152">
        <f t="shared" si="18"/>
        <v>0</v>
      </c>
      <c r="O30" s="153">
        <f t="shared" si="19"/>
        <v>0</v>
      </c>
      <c r="P30" s="150"/>
      <c r="Q30" s="150"/>
      <c r="R30" s="150">
        <v>561975.29</v>
      </c>
      <c r="S30" s="151">
        <f t="shared" si="20"/>
        <v>561975.29</v>
      </c>
      <c r="T30" s="154">
        <f t="shared" si="21"/>
        <v>0</v>
      </c>
      <c r="U30" s="150"/>
      <c r="V30" s="150"/>
      <c r="W30" s="150">
        <v>5605.1013114999996</v>
      </c>
      <c r="X30" s="152">
        <f t="shared" si="22"/>
        <v>5605.1013114999996</v>
      </c>
      <c r="Y30" s="153">
        <f t="shared" si="23"/>
        <v>561975.29</v>
      </c>
      <c r="Z30" s="150">
        <v>358275.94008048403</v>
      </c>
      <c r="AA30" s="150"/>
      <c r="AB30" s="150"/>
      <c r="AC30" s="151">
        <f t="shared" si="0"/>
        <v>920251.23008048406</v>
      </c>
      <c r="AD30" s="154">
        <f t="shared" si="1"/>
        <v>5605.1013114999996</v>
      </c>
      <c r="AE30" s="150">
        <v>10625.0653335687</v>
      </c>
      <c r="AF30" s="150"/>
      <c r="AG30" s="150"/>
      <c r="AH30" s="152">
        <f t="shared" si="24"/>
        <v>16230.166645068701</v>
      </c>
      <c r="AI30" s="153">
        <f t="shared" si="25"/>
        <v>920251.23008048406</v>
      </c>
      <c r="AJ30" s="207">
        <v>-138850.92565147066</v>
      </c>
      <c r="AK30" s="150">
        <v>561975.29</v>
      </c>
      <c r="AL30" s="150"/>
      <c r="AM30" s="150"/>
      <c r="AN30" s="150"/>
      <c r="AO30" s="150"/>
      <c r="AP30" s="151">
        <f t="shared" si="26"/>
        <v>219425.01442901336</v>
      </c>
      <c r="AQ30" s="154">
        <f t="shared" si="27"/>
        <v>16230.166645068701</v>
      </c>
      <c r="AR30" s="207">
        <v>6992.0850096392933</v>
      </c>
      <c r="AS30" s="207">
        <v>16619.8213115</v>
      </c>
      <c r="AT30" s="150"/>
      <c r="AU30" s="152">
        <f t="shared" si="28"/>
        <v>6602.4303432079942</v>
      </c>
      <c r="AV30" s="153">
        <f t="shared" si="29"/>
        <v>219425.01442901336</v>
      </c>
      <c r="AW30" s="150">
        <v>408792.43555730616</v>
      </c>
      <c r="AX30" s="150"/>
      <c r="AY30" s="150"/>
      <c r="AZ30" s="150"/>
      <c r="BA30" s="150"/>
      <c r="BB30" s="150"/>
      <c r="BC30" s="151">
        <f t="shared" si="30"/>
        <v>628217.44998631952</v>
      </c>
      <c r="BD30" s="154">
        <f t="shared" si="31"/>
        <v>6602.4303432079942</v>
      </c>
      <c r="BE30" s="150">
        <v>6137.1001921897314</v>
      </c>
      <c r="BF30" s="150"/>
      <c r="BG30" s="150"/>
      <c r="BH30" s="152">
        <f t="shared" si="32"/>
        <v>12739.530535397726</v>
      </c>
      <c r="BI30" s="149">
        <v>219425.01442901301</v>
      </c>
      <c r="BJ30" s="150">
        <v>10903.150626016601</v>
      </c>
      <c r="BK30" s="154">
        <f t="shared" si="33"/>
        <v>408792.43555730651</v>
      </c>
      <c r="BL30" s="155">
        <f t="shared" si="34"/>
        <v>1836.3799093811249</v>
      </c>
      <c r="BM30" s="156">
        <v>7084.4313733945619</v>
      </c>
      <c r="BN30" s="150">
        <v>2003.0829342308</v>
      </c>
      <c r="BO30" s="145">
        <f t="shared" si="35"/>
        <v>419716.32977431302</v>
      </c>
      <c r="BP30" s="157">
        <v>640957.03</v>
      </c>
      <c r="BQ30" s="145">
        <f t="shared" si="36"/>
        <v>4.9478282802738249E-2</v>
      </c>
    </row>
    <row r="31" spans="1:69" s="148" customFormat="1" ht="15" thickBot="1" x14ac:dyDescent="0.25">
      <c r="A31" s="1">
        <v>8</v>
      </c>
      <c r="B31" s="1"/>
      <c r="C31" s="9" t="s">
        <v>108</v>
      </c>
      <c r="D31" s="7">
        <v>1595</v>
      </c>
      <c r="E31" s="179"/>
      <c r="F31" s="150"/>
      <c r="G31" s="150"/>
      <c r="H31" s="150"/>
      <c r="I31" s="151">
        <f t="shared" si="17"/>
        <v>0</v>
      </c>
      <c r="J31" s="150"/>
      <c r="K31" s="150"/>
      <c r="L31" s="150"/>
      <c r="M31" s="150"/>
      <c r="N31" s="152">
        <f t="shared" si="18"/>
        <v>0</v>
      </c>
      <c r="O31" s="153">
        <f>I31</f>
        <v>0</v>
      </c>
      <c r="P31" s="150"/>
      <c r="Q31" s="150"/>
      <c r="R31" s="150"/>
      <c r="S31" s="151">
        <f t="shared" si="20"/>
        <v>0</v>
      </c>
      <c r="T31" s="154">
        <f>N31</f>
        <v>0</v>
      </c>
      <c r="U31" s="150"/>
      <c r="V31" s="150"/>
      <c r="W31" s="150"/>
      <c r="X31" s="152">
        <f t="shared" si="22"/>
        <v>0</v>
      </c>
      <c r="Y31" s="153">
        <f>S31</f>
        <v>0</v>
      </c>
      <c r="Z31" s="150"/>
      <c r="AA31" s="150"/>
      <c r="AB31" s="150"/>
      <c r="AC31" s="151">
        <f t="shared" si="0"/>
        <v>0</v>
      </c>
      <c r="AD31" s="154">
        <f t="shared" si="1"/>
        <v>0</v>
      </c>
      <c r="AE31" s="150"/>
      <c r="AF31" s="150"/>
      <c r="AG31" s="150"/>
      <c r="AH31" s="152">
        <f t="shared" si="24"/>
        <v>0</v>
      </c>
      <c r="AI31" s="153">
        <f>AC31</f>
        <v>0</v>
      </c>
      <c r="AJ31" s="150"/>
      <c r="AK31" s="150"/>
      <c r="AL31" s="150"/>
      <c r="AM31" s="150"/>
      <c r="AN31" s="150"/>
      <c r="AO31" s="150"/>
      <c r="AP31" s="151">
        <f t="shared" si="26"/>
        <v>0</v>
      </c>
      <c r="AQ31" s="154">
        <f>AH31</f>
        <v>0</v>
      </c>
      <c r="AR31" s="150"/>
      <c r="AS31" s="150"/>
      <c r="AT31" s="150"/>
      <c r="AU31" s="152">
        <f t="shared" si="28"/>
        <v>0</v>
      </c>
      <c r="AV31" s="153">
        <f>AP31</f>
        <v>0</v>
      </c>
      <c r="AW31" s="150"/>
      <c r="AX31" s="150"/>
      <c r="AY31" s="150"/>
      <c r="AZ31" s="150"/>
      <c r="BA31" s="150"/>
      <c r="BB31" s="150"/>
      <c r="BC31" s="151">
        <f t="shared" si="30"/>
        <v>0</v>
      </c>
      <c r="BD31" s="154">
        <f>AU31</f>
        <v>0</v>
      </c>
      <c r="BE31" s="150"/>
      <c r="BF31" s="150"/>
      <c r="BG31" s="150"/>
      <c r="BH31" s="152">
        <f t="shared" si="32"/>
        <v>0</v>
      </c>
      <c r="BI31" s="149"/>
      <c r="BJ31" s="150"/>
      <c r="BK31" s="154">
        <f t="shared" si="33"/>
        <v>0</v>
      </c>
      <c r="BL31" s="155">
        <f t="shared" si="34"/>
        <v>0</v>
      </c>
      <c r="BM31" s="156"/>
      <c r="BN31" s="150"/>
      <c r="BO31" s="145">
        <f t="shared" si="35"/>
        <v>0</v>
      </c>
      <c r="BP31" s="157">
        <v>0</v>
      </c>
      <c r="BQ31" s="145">
        <f t="shared" si="36"/>
        <v>0</v>
      </c>
    </row>
    <row r="32" spans="1:69" s="148" customFormat="1" ht="15" thickBot="1" x14ac:dyDescent="0.25">
      <c r="A32" s="1">
        <v>9</v>
      </c>
      <c r="B32" s="1"/>
      <c r="C32" s="9" t="s">
        <v>109</v>
      </c>
      <c r="D32" s="7">
        <v>1595</v>
      </c>
      <c r="E32" s="179"/>
      <c r="F32" s="150"/>
      <c r="G32" s="150"/>
      <c r="H32" s="150"/>
      <c r="I32" s="151">
        <f t="shared" si="17"/>
        <v>0</v>
      </c>
      <c r="J32" s="150"/>
      <c r="K32" s="150"/>
      <c r="L32" s="150"/>
      <c r="M32" s="150"/>
      <c r="N32" s="152">
        <f t="shared" si="18"/>
        <v>0</v>
      </c>
      <c r="O32" s="153">
        <f t="shared" si="19"/>
        <v>0</v>
      </c>
      <c r="P32" s="150"/>
      <c r="Q32" s="150"/>
      <c r="R32" s="150"/>
      <c r="S32" s="151">
        <f t="shared" si="20"/>
        <v>0</v>
      </c>
      <c r="T32" s="154">
        <f t="shared" si="21"/>
        <v>0</v>
      </c>
      <c r="U32" s="150"/>
      <c r="V32" s="150"/>
      <c r="W32" s="150"/>
      <c r="X32" s="152">
        <f t="shared" si="22"/>
        <v>0</v>
      </c>
      <c r="Y32" s="153">
        <f>S32</f>
        <v>0</v>
      </c>
      <c r="Z32" s="150"/>
      <c r="AA32" s="150"/>
      <c r="AB32" s="150"/>
      <c r="AC32" s="151">
        <f t="shared" si="0"/>
        <v>0</v>
      </c>
      <c r="AD32" s="154">
        <f t="shared" si="1"/>
        <v>0</v>
      </c>
      <c r="AE32" s="150"/>
      <c r="AF32" s="150"/>
      <c r="AG32" s="150"/>
      <c r="AH32" s="152">
        <f t="shared" si="24"/>
        <v>0</v>
      </c>
      <c r="AI32" s="153">
        <f>AC32</f>
        <v>0</v>
      </c>
      <c r="AJ32" s="150"/>
      <c r="AK32" s="150"/>
      <c r="AL32" s="150"/>
      <c r="AM32" s="150"/>
      <c r="AN32" s="150"/>
      <c r="AO32" s="150"/>
      <c r="AP32" s="151">
        <f t="shared" si="26"/>
        <v>0</v>
      </c>
      <c r="AQ32" s="154">
        <f>AH32</f>
        <v>0</v>
      </c>
      <c r="AR32" s="150"/>
      <c r="AS32" s="150"/>
      <c r="AT32" s="150"/>
      <c r="AU32" s="152">
        <f t="shared" si="28"/>
        <v>0</v>
      </c>
      <c r="AV32" s="153">
        <f>AP32</f>
        <v>0</v>
      </c>
      <c r="AW32" s="150"/>
      <c r="AX32" s="150"/>
      <c r="AY32" s="150"/>
      <c r="AZ32" s="150"/>
      <c r="BA32" s="150"/>
      <c r="BB32" s="150"/>
      <c r="BC32" s="151">
        <f t="shared" si="30"/>
        <v>0</v>
      </c>
      <c r="BD32" s="154">
        <f>AU32</f>
        <v>0</v>
      </c>
      <c r="BE32" s="150"/>
      <c r="BF32" s="150"/>
      <c r="BG32" s="150"/>
      <c r="BH32" s="152">
        <f t="shared" si="32"/>
        <v>0</v>
      </c>
      <c r="BI32" s="149"/>
      <c r="BJ32" s="150"/>
      <c r="BK32" s="154">
        <f t="shared" si="33"/>
        <v>0</v>
      </c>
      <c r="BL32" s="155">
        <f t="shared" si="34"/>
        <v>0</v>
      </c>
      <c r="BM32" s="156"/>
      <c r="BN32" s="150"/>
      <c r="BO32" s="145">
        <f t="shared" si="35"/>
        <v>0</v>
      </c>
      <c r="BP32" s="157">
        <v>0</v>
      </c>
      <c r="BQ32" s="145">
        <f t="shared" si="36"/>
        <v>0</v>
      </c>
    </row>
    <row r="33" spans="1:69" s="148" customFormat="1" ht="15" thickBot="1" x14ac:dyDescent="0.25">
      <c r="A33" s="1">
        <v>10</v>
      </c>
      <c r="B33" s="1"/>
      <c r="C33" s="9" t="s">
        <v>110</v>
      </c>
      <c r="D33" s="7">
        <v>1595</v>
      </c>
      <c r="E33" s="179"/>
      <c r="F33" s="150"/>
      <c r="G33" s="150"/>
      <c r="H33" s="150"/>
      <c r="I33" s="151">
        <f>E33+F33-G33+H33</f>
        <v>0</v>
      </c>
      <c r="J33" s="150"/>
      <c r="K33" s="150"/>
      <c r="L33" s="150"/>
      <c r="M33" s="150"/>
      <c r="N33" s="152">
        <f>J33+K33-L33+M33</f>
        <v>0</v>
      </c>
      <c r="O33" s="153">
        <f>I33</f>
        <v>0</v>
      </c>
      <c r="P33" s="150">
        <f>-1287.61952</f>
        <v>-1287.61952</v>
      </c>
      <c r="Q33" s="150"/>
      <c r="R33" s="150"/>
      <c r="S33" s="151">
        <f t="shared" si="20"/>
        <v>-1287.61952</v>
      </c>
      <c r="T33" s="154">
        <f>N33</f>
        <v>0</v>
      </c>
      <c r="U33" s="150">
        <v>-4.7369358473333332</v>
      </c>
      <c r="V33" s="150"/>
      <c r="W33" s="150"/>
      <c r="X33" s="152">
        <f>T33+U33-V33+W33</f>
        <v>-4.7369358473333332</v>
      </c>
      <c r="Y33" s="153">
        <f>S33</f>
        <v>-1287.61952</v>
      </c>
      <c r="Z33" s="150">
        <f>-2353.9748</f>
        <v>-2353.9748</v>
      </c>
      <c r="AA33" s="150"/>
      <c r="AB33" s="150"/>
      <c r="AC33" s="151">
        <f t="shared" si="0"/>
        <v>-3641.5943200000002</v>
      </c>
      <c r="AD33" s="154">
        <f t="shared" si="1"/>
        <v>-4.7369358473333332</v>
      </c>
      <c r="AE33" s="150">
        <v>-35.423878994000006</v>
      </c>
      <c r="AF33" s="150"/>
      <c r="AG33" s="150"/>
      <c r="AH33" s="152">
        <f>AD33+AE33-AF33+AG33</f>
        <v>-40.160814841333341</v>
      </c>
      <c r="AI33" s="153">
        <f>AC33</f>
        <v>-3641.5943200000002</v>
      </c>
      <c r="AJ33" s="150">
        <f>-26.015</f>
        <v>-26.015000000000001</v>
      </c>
      <c r="AK33" s="150"/>
      <c r="AL33" s="150"/>
      <c r="AM33" s="150"/>
      <c r="AN33" s="150"/>
      <c r="AO33" s="150"/>
      <c r="AP33" s="151">
        <f>AI33+AJ33-AK33+SUM(AL33:AO33)</f>
        <v>-3667.60932</v>
      </c>
      <c r="AQ33" s="154">
        <f>AH33</f>
        <v>-40.160814841333341</v>
      </c>
      <c r="AR33" s="150">
        <v>-53.881841628999993</v>
      </c>
      <c r="AS33" s="150"/>
      <c r="AT33" s="150"/>
      <c r="AU33" s="152">
        <f>AQ33+AR33-AS33+AT33</f>
        <v>-94.042656470333327</v>
      </c>
      <c r="AV33" s="153">
        <f>AP33</f>
        <v>-3667.60932</v>
      </c>
      <c r="AW33" s="150"/>
      <c r="AX33" s="150"/>
      <c r="AY33" s="150"/>
      <c r="AZ33" s="150"/>
      <c r="BA33" s="150"/>
      <c r="BB33" s="150"/>
      <c r="BC33" s="151">
        <f>AV33+AW33-AX33+SUM(AY33:BB33)</f>
        <v>-3667.60932</v>
      </c>
      <c r="BD33" s="154">
        <f>AU33</f>
        <v>-94.042656470333327</v>
      </c>
      <c r="BE33" s="150">
        <v>-53.913710003999988</v>
      </c>
      <c r="BF33" s="150"/>
      <c r="BG33" s="150"/>
      <c r="BH33" s="152">
        <f>BD33+BE33-BF33+BG33</f>
        <v>-147.95636647433332</v>
      </c>
      <c r="BI33" s="149"/>
      <c r="BJ33" s="150"/>
      <c r="BK33" s="154">
        <f t="shared" si="33"/>
        <v>-3667.60932</v>
      </c>
      <c r="BL33" s="155">
        <f t="shared" si="34"/>
        <v>-147.95636647433332</v>
      </c>
      <c r="BM33" s="156">
        <v>-53.913710003999988</v>
      </c>
      <c r="BN33" s="150">
        <v>-17.971236668</v>
      </c>
      <c r="BO33" s="145">
        <f t="shared" si="35"/>
        <v>-3887.4506331463331</v>
      </c>
      <c r="BP33" s="157">
        <v>-2370.29</v>
      </c>
      <c r="BQ33" s="145">
        <f t="shared" si="36"/>
        <v>1445.2756864743333</v>
      </c>
    </row>
    <row r="34" spans="1:69" s="148" customFormat="1" ht="15" thickBot="1" x14ac:dyDescent="0.25">
      <c r="A34" s="1">
        <v>11</v>
      </c>
      <c r="B34" s="1"/>
      <c r="C34" s="9" t="s">
        <v>227</v>
      </c>
      <c r="D34" s="7">
        <v>1595</v>
      </c>
      <c r="E34" s="179"/>
      <c r="F34" s="150"/>
      <c r="G34" s="150"/>
      <c r="H34" s="150"/>
      <c r="I34" s="151">
        <f>E34+F34-G34+H34</f>
        <v>0</v>
      </c>
      <c r="J34" s="150"/>
      <c r="K34" s="150"/>
      <c r="L34" s="150"/>
      <c r="M34" s="150"/>
      <c r="N34" s="152">
        <f>J34+K34-L34+M34</f>
        <v>0</v>
      </c>
      <c r="O34" s="153">
        <f>I34</f>
        <v>0</v>
      </c>
      <c r="P34" s="150"/>
      <c r="Q34" s="150"/>
      <c r="R34" s="150"/>
      <c r="S34" s="151">
        <f t="shared" ref="S34" si="37">O34+P34-Q34+SUM(R34:R34)</f>
        <v>0</v>
      </c>
      <c r="T34" s="154">
        <f>N34</f>
        <v>0</v>
      </c>
      <c r="U34" s="150"/>
      <c r="V34" s="150"/>
      <c r="W34" s="150"/>
      <c r="X34" s="152">
        <f>T34+U34-V34+W34</f>
        <v>0</v>
      </c>
      <c r="Y34" s="153">
        <f>S34</f>
        <v>0</v>
      </c>
      <c r="Z34" s="150"/>
      <c r="AA34" s="150">
        <v>16285</v>
      </c>
      <c r="AB34" s="150"/>
      <c r="AC34" s="151">
        <f t="shared" ref="AC34:AC35" si="38">Y34+Z34-AA34+SUM(AB34:AB34)</f>
        <v>-16285</v>
      </c>
      <c r="AD34" s="154">
        <f t="shared" ref="AD34:AD35" si="39">X34</f>
        <v>0</v>
      </c>
      <c r="AE34" s="150">
        <v>-119.69562499999998</v>
      </c>
      <c r="AF34" s="150"/>
      <c r="AG34" s="150"/>
      <c r="AH34" s="152">
        <f t="shared" ref="AH34:AH35" si="40">AD34+AE34-AF34+AG34</f>
        <v>-119.69562499999998</v>
      </c>
      <c r="AI34" s="153">
        <f t="shared" ref="AI34:AI35" si="41">AC34</f>
        <v>-16285</v>
      </c>
      <c r="AJ34" s="150"/>
      <c r="AK34" s="150"/>
      <c r="AL34" s="150"/>
      <c r="AM34" s="150"/>
      <c r="AN34" s="150"/>
      <c r="AO34" s="150"/>
      <c r="AP34" s="151">
        <f>AI34+AJ34-AK34+SUM(AL34:AO34)</f>
        <v>-16285</v>
      </c>
      <c r="AQ34" s="154">
        <f>AH34</f>
        <v>-119.69562499999998</v>
      </c>
      <c r="AR34" s="150">
        <v>-239.38950000000003</v>
      </c>
      <c r="AS34" s="150"/>
      <c r="AT34" s="150"/>
      <c r="AU34" s="152">
        <f>AQ34+AR34-AS34+AT34</f>
        <v>-359.08512500000001</v>
      </c>
      <c r="AV34" s="153">
        <f>AP34</f>
        <v>-16285</v>
      </c>
      <c r="AW34" s="150"/>
      <c r="AX34" s="150"/>
      <c r="AY34" s="150"/>
      <c r="AZ34" s="150"/>
      <c r="BA34" s="150"/>
      <c r="BB34" s="150"/>
      <c r="BC34" s="151">
        <f>AV34+AW34-AX34+SUM(AY34:BB34)</f>
        <v>-16285</v>
      </c>
      <c r="BD34" s="154">
        <f>AU34</f>
        <v>-359.08512500000001</v>
      </c>
      <c r="BE34" s="150">
        <v>-239.38950000000003</v>
      </c>
      <c r="BF34" s="150"/>
      <c r="BG34" s="150"/>
      <c r="BH34" s="152">
        <f>BD34+BE34-BF34+BG34</f>
        <v>-598.47462500000006</v>
      </c>
      <c r="BI34" s="149">
        <v>36505.93</v>
      </c>
      <c r="BJ34" s="150">
        <v>313.04000000000002</v>
      </c>
      <c r="BK34" s="154">
        <f t="shared" si="33"/>
        <v>-52790.93</v>
      </c>
      <c r="BL34" s="155">
        <f t="shared" si="34"/>
        <v>-911.51462500000002</v>
      </c>
      <c r="BM34" s="149">
        <f>-239.3895-536.64</f>
        <v>-776.02949999999998</v>
      </c>
      <c r="BN34" s="150">
        <f>-79.7965-178.88</f>
        <v>-258.67649999999998</v>
      </c>
      <c r="BO34" s="145">
        <f t="shared" si="35"/>
        <v>-54737.150625000002</v>
      </c>
      <c r="BP34" s="157">
        <v>-16883.474624999999</v>
      </c>
      <c r="BQ34" s="145">
        <f t="shared" si="36"/>
        <v>0</v>
      </c>
    </row>
    <row r="35" spans="1:69" s="148" customFormat="1" ht="15" thickBot="1" x14ac:dyDescent="0.25">
      <c r="A35" s="1">
        <v>12</v>
      </c>
      <c r="B35" s="1"/>
      <c r="C35" s="9" t="s">
        <v>274</v>
      </c>
      <c r="D35" s="7">
        <v>1595</v>
      </c>
      <c r="E35" s="179"/>
      <c r="F35" s="150"/>
      <c r="G35" s="150"/>
      <c r="H35" s="150"/>
      <c r="I35" s="151">
        <f>E35+F35-G35+H35</f>
        <v>0</v>
      </c>
      <c r="J35" s="150"/>
      <c r="K35" s="150"/>
      <c r="L35" s="150"/>
      <c r="M35" s="150"/>
      <c r="N35" s="152">
        <f>J35+K35-L35+M35</f>
        <v>0</v>
      </c>
      <c r="O35" s="153">
        <f>I35</f>
        <v>0</v>
      </c>
      <c r="P35" s="150"/>
      <c r="Q35" s="150"/>
      <c r="R35" s="150"/>
      <c r="S35" s="151">
        <f t="shared" ref="S35" si="42">O35+P35-Q35+SUM(R35:R35)</f>
        <v>0</v>
      </c>
      <c r="T35" s="154">
        <f>N35</f>
        <v>0</v>
      </c>
      <c r="U35" s="150"/>
      <c r="V35" s="150"/>
      <c r="W35" s="150"/>
      <c r="X35" s="152">
        <f>T35+U35-V35+W35</f>
        <v>0</v>
      </c>
      <c r="Y35" s="153">
        <f>S35</f>
        <v>0</v>
      </c>
      <c r="Z35" s="150"/>
      <c r="AA35" s="150"/>
      <c r="AB35" s="150"/>
      <c r="AC35" s="151">
        <f t="shared" si="38"/>
        <v>0</v>
      </c>
      <c r="AD35" s="154">
        <f t="shared" si="39"/>
        <v>0</v>
      </c>
      <c r="AE35" s="150"/>
      <c r="AF35" s="150"/>
      <c r="AG35" s="150"/>
      <c r="AH35" s="152">
        <f t="shared" si="40"/>
        <v>0</v>
      </c>
      <c r="AI35" s="153">
        <f t="shared" si="41"/>
        <v>0</v>
      </c>
      <c r="AJ35" s="150">
        <f>26360.53-435589.22</f>
        <v>-409228.68999999994</v>
      </c>
      <c r="AK35" s="150">
        <f>56284.72+-590601.03</f>
        <v>-534316.31000000006</v>
      </c>
      <c r="AL35" s="150"/>
      <c r="AM35" s="150"/>
      <c r="AN35" s="150"/>
      <c r="AO35" s="150"/>
      <c r="AP35" s="151">
        <f>AI35+AJ35-AK35+SUM(AL35:AO35)</f>
        <v>125087.62000000011</v>
      </c>
      <c r="AQ35" s="154">
        <f>AH35</f>
        <v>0</v>
      </c>
      <c r="AR35" s="150">
        <f>-375.302564+3977.147524</f>
        <v>3601.8449599999999</v>
      </c>
      <c r="AS35" s="150">
        <v>-965198.82</v>
      </c>
      <c r="AT35" s="150"/>
      <c r="AU35" s="152">
        <f>AQ35+AR35-AS35+AT35</f>
        <v>968800.66495999997</v>
      </c>
      <c r="AV35" s="153">
        <f>AP35</f>
        <v>125087.62000000011</v>
      </c>
      <c r="AW35" s="150">
        <f>15777.84+-681261.1</f>
        <v>-665483.26</v>
      </c>
      <c r="AX35" s="150"/>
      <c r="AY35" s="150"/>
      <c r="AZ35" s="150"/>
      <c r="BA35" s="150"/>
      <c r="BB35" s="150"/>
      <c r="BC35" s="151">
        <f>AV35+AW35-AX35+SUM(AY35:BB35)</f>
        <v>-540395.6399999999</v>
      </c>
      <c r="BD35" s="154">
        <f>AU35</f>
        <v>968800.66495999997</v>
      </c>
      <c r="BE35" s="150">
        <f>-254.31292775+323.520233749998</f>
        <v>69.207305999997999</v>
      </c>
      <c r="BF35" s="150"/>
      <c r="BG35" s="150"/>
      <c r="BH35" s="152">
        <f>BD35+BE35-BF35+BG35</f>
        <v>968869.87226600002</v>
      </c>
      <c r="BI35" s="149">
        <v>253471.72</v>
      </c>
      <c r="BJ35" s="150"/>
      <c r="BK35" s="154">
        <f t="shared" si="33"/>
        <v>-793867.35999999987</v>
      </c>
      <c r="BL35" s="155">
        <f t="shared" si="34"/>
        <v>968869.87226600002</v>
      </c>
      <c r="BM35" s="149">
        <f>-207.951345</f>
        <v>-207.951345</v>
      </c>
      <c r="BN35" s="150">
        <f>-69.3171149999999</f>
        <v>-69.317114999999902</v>
      </c>
      <c r="BO35" s="145">
        <f t="shared" si="35"/>
        <v>174725.24380600013</v>
      </c>
      <c r="BP35" s="157">
        <v>428474.24462500005</v>
      </c>
      <c r="BQ35" s="145">
        <f t="shared" si="36"/>
        <v>1.2358999927528203E-2</v>
      </c>
    </row>
    <row r="36" spans="1:69" s="148" customFormat="1" ht="15" customHeight="1" x14ac:dyDescent="0.2">
      <c r="A36" s="1"/>
      <c r="B36" s="1"/>
      <c r="C36" s="4"/>
      <c r="D36" s="4"/>
      <c r="E36" s="180"/>
      <c r="F36" s="151"/>
      <c r="G36" s="151"/>
      <c r="H36" s="151"/>
      <c r="I36" s="151"/>
      <c r="J36" s="151"/>
      <c r="K36" s="151"/>
      <c r="L36" s="151"/>
      <c r="M36" s="151"/>
      <c r="N36" s="152"/>
      <c r="O36" s="158"/>
      <c r="P36" s="151"/>
      <c r="Q36" s="151"/>
      <c r="R36" s="151"/>
      <c r="S36" s="151"/>
      <c r="T36" s="151"/>
      <c r="U36" s="151"/>
      <c r="V36" s="151"/>
      <c r="W36" s="151"/>
      <c r="X36" s="152"/>
      <c r="Y36" s="158"/>
      <c r="Z36" s="151"/>
      <c r="AA36" s="151"/>
      <c r="AB36" s="151"/>
      <c r="AC36" s="151"/>
      <c r="AD36" s="151"/>
      <c r="AE36" s="151"/>
      <c r="AF36" s="151"/>
      <c r="AG36" s="151"/>
      <c r="AH36" s="152"/>
      <c r="AI36" s="158"/>
      <c r="AJ36" s="151"/>
      <c r="AK36" s="151"/>
      <c r="AL36" s="151"/>
      <c r="AM36" s="151"/>
      <c r="AN36" s="151"/>
      <c r="AO36" s="151"/>
      <c r="AP36" s="151"/>
      <c r="AQ36" s="151"/>
      <c r="AR36" s="151"/>
      <c r="AS36" s="151"/>
      <c r="AT36" s="151"/>
      <c r="AU36" s="152"/>
      <c r="AV36" s="158"/>
      <c r="AW36" s="151"/>
      <c r="AX36" s="151"/>
      <c r="AY36" s="151"/>
      <c r="AZ36" s="151"/>
      <c r="BA36" s="151"/>
      <c r="BB36" s="151"/>
      <c r="BC36" s="151"/>
      <c r="BD36" s="151"/>
      <c r="BE36" s="151"/>
      <c r="BF36" s="151"/>
      <c r="BG36" s="151"/>
      <c r="BH36" s="152"/>
      <c r="BI36" s="158"/>
      <c r="BJ36" s="151"/>
      <c r="BK36" s="151"/>
      <c r="BL36" s="152"/>
      <c r="BM36" s="144"/>
      <c r="BN36" s="144"/>
      <c r="BO36" s="145"/>
      <c r="BP36" s="146"/>
      <c r="BQ36" s="145"/>
    </row>
    <row r="37" spans="1:69" s="148" customFormat="1" ht="15" x14ac:dyDescent="0.25">
      <c r="A37" s="1"/>
      <c r="B37" s="1"/>
      <c r="C37" s="10" t="s">
        <v>128</v>
      </c>
      <c r="D37" s="10"/>
      <c r="E37" s="180">
        <f t="shared" ref="E37:AJ37" si="43">SUM(E24:E35)</f>
        <v>0</v>
      </c>
      <c r="F37" s="151">
        <f t="shared" si="43"/>
        <v>0</v>
      </c>
      <c r="G37" s="151">
        <f t="shared" si="43"/>
        <v>0</v>
      </c>
      <c r="H37" s="151">
        <f t="shared" si="43"/>
        <v>0</v>
      </c>
      <c r="I37" s="151">
        <f t="shared" si="43"/>
        <v>0</v>
      </c>
      <c r="J37" s="151">
        <f t="shared" si="43"/>
        <v>0</v>
      </c>
      <c r="K37" s="151">
        <f t="shared" si="43"/>
        <v>0</v>
      </c>
      <c r="L37" s="151">
        <f t="shared" si="43"/>
        <v>0</v>
      </c>
      <c r="M37" s="151">
        <f t="shared" si="43"/>
        <v>0</v>
      </c>
      <c r="N37" s="151">
        <f t="shared" si="43"/>
        <v>0</v>
      </c>
      <c r="O37" s="158">
        <f t="shared" si="43"/>
        <v>0</v>
      </c>
      <c r="P37" s="151">
        <f t="shared" si="43"/>
        <v>-1287.61952</v>
      </c>
      <c r="Q37" s="151">
        <f t="shared" si="43"/>
        <v>0</v>
      </c>
      <c r="R37" s="151">
        <f t="shared" si="43"/>
        <v>697248.15854761668</v>
      </c>
      <c r="S37" s="151">
        <f t="shared" si="43"/>
        <v>695960.53902761673</v>
      </c>
      <c r="T37" s="151">
        <f t="shared" si="43"/>
        <v>0</v>
      </c>
      <c r="U37" s="151">
        <f t="shared" si="43"/>
        <v>-4.7369358473333332</v>
      </c>
      <c r="V37" s="151">
        <f t="shared" si="43"/>
        <v>0</v>
      </c>
      <c r="W37" s="151">
        <f t="shared" si="43"/>
        <v>9694.8821990593624</v>
      </c>
      <c r="X37" s="151">
        <f t="shared" si="43"/>
        <v>9690.145263212029</v>
      </c>
      <c r="Y37" s="158">
        <f t="shared" si="43"/>
        <v>695960.53902761673</v>
      </c>
      <c r="Z37" s="151">
        <f t="shared" si="43"/>
        <v>-47092.957345870178</v>
      </c>
      <c r="AA37" s="151">
        <f t="shared" si="43"/>
        <v>16285</v>
      </c>
      <c r="AB37" s="151">
        <f t="shared" si="43"/>
        <v>0</v>
      </c>
      <c r="AC37" s="151">
        <f t="shared" si="43"/>
        <v>632582.58168174652</v>
      </c>
      <c r="AD37" s="151">
        <f t="shared" si="43"/>
        <v>9690.145263212029</v>
      </c>
      <c r="AE37" s="151">
        <f t="shared" si="43"/>
        <v>13066.74085405494</v>
      </c>
      <c r="AF37" s="151">
        <f t="shared" si="43"/>
        <v>0</v>
      </c>
      <c r="AG37" s="151">
        <f t="shared" si="43"/>
        <v>0</v>
      </c>
      <c r="AH37" s="151">
        <f t="shared" si="43"/>
        <v>22756.886117266975</v>
      </c>
      <c r="AI37" s="158">
        <f t="shared" si="43"/>
        <v>632582.58168174652</v>
      </c>
      <c r="AJ37" s="151">
        <f t="shared" si="43"/>
        <v>-1078493.0853589985</v>
      </c>
      <c r="AK37" s="151">
        <f t="shared" ref="AK37:BP37" si="44">SUM(AK24:AK35)</f>
        <v>162931.84854761662</v>
      </c>
      <c r="AL37" s="151">
        <f t="shared" si="44"/>
        <v>0</v>
      </c>
      <c r="AM37" s="151">
        <f t="shared" si="44"/>
        <v>0</v>
      </c>
      <c r="AN37" s="151">
        <f t="shared" si="44"/>
        <v>0</v>
      </c>
      <c r="AO37" s="151">
        <f t="shared" si="44"/>
        <v>0</v>
      </c>
      <c r="AP37" s="151">
        <f t="shared" si="44"/>
        <v>-608842.35222486896</v>
      </c>
      <c r="AQ37" s="151">
        <f t="shared" si="44"/>
        <v>22756.886117266975</v>
      </c>
      <c r="AR37" s="151">
        <f t="shared" si="44"/>
        <v>1953.1637924804893</v>
      </c>
      <c r="AS37" s="151">
        <f t="shared" si="44"/>
        <v>-941665.68261650088</v>
      </c>
      <c r="AT37" s="151">
        <f t="shared" si="44"/>
        <v>0</v>
      </c>
      <c r="AU37" s="151">
        <f t="shared" si="44"/>
        <v>966375.73252624832</v>
      </c>
      <c r="AV37" s="158">
        <f t="shared" si="44"/>
        <v>-608842.35222486896</v>
      </c>
      <c r="AW37" s="151">
        <f t="shared" si="44"/>
        <v>3844.8031069724821</v>
      </c>
      <c r="AX37" s="151">
        <f t="shared" si="44"/>
        <v>0</v>
      </c>
      <c r="AY37" s="151">
        <f t="shared" si="44"/>
        <v>0</v>
      </c>
      <c r="AZ37" s="151">
        <f t="shared" si="44"/>
        <v>0</v>
      </c>
      <c r="BA37" s="151">
        <f t="shared" si="44"/>
        <v>0</v>
      </c>
      <c r="BB37" s="151">
        <f t="shared" si="44"/>
        <v>0</v>
      </c>
      <c r="BC37" s="151">
        <f t="shared" si="44"/>
        <v>-604997.54911789636</v>
      </c>
      <c r="BD37" s="151">
        <f t="shared" si="44"/>
        <v>966375.73252624832</v>
      </c>
      <c r="BE37" s="151">
        <f t="shared" si="44"/>
        <v>-8705.9643632656662</v>
      </c>
      <c r="BF37" s="151">
        <f t="shared" si="44"/>
        <v>0</v>
      </c>
      <c r="BG37" s="151">
        <f t="shared" si="44"/>
        <v>0</v>
      </c>
      <c r="BH37" s="151">
        <f t="shared" si="44"/>
        <v>957669.76816298265</v>
      </c>
      <c r="BI37" s="158">
        <f t="shared" si="44"/>
        <v>-423999.71225307684</v>
      </c>
      <c r="BJ37" s="151">
        <f t="shared" si="44"/>
        <v>-15652.726417785698</v>
      </c>
      <c r="BK37" s="151">
        <f t="shared" si="44"/>
        <v>-180997.8368648194</v>
      </c>
      <c r="BL37" s="151">
        <f t="shared" si="44"/>
        <v>973322.4945807684</v>
      </c>
      <c r="BM37" s="158">
        <f t="shared" si="44"/>
        <v>5302.7439296284165</v>
      </c>
      <c r="BN37" s="151">
        <f t="shared" si="44"/>
        <v>2933.7410805561649</v>
      </c>
      <c r="BO37" s="145">
        <f t="shared" si="44"/>
        <v>800561.14272613358</v>
      </c>
      <c r="BP37" s="158">
        <f t="shared" si="44"/>
        <v>354117.52000000008</v>
      </c>
      <c r="BQ37" s="145">
        <f t="shared" si="36"/>
        <v>1445.3009549137787</v>
      </c>
    </row>
    <row r="38" spans="1:69" s="148" customFormat="1" ht="15" x14ac:dyDescent="0.25">
      <c r="A38" s="1"/>
      <c r="B38" s="1"/>
      <c r="C38" s="10" t="s">
        <v>129</v>
      </c>
      <c r="D38" s="10"/>
      <c r="E38" s="180">
        <f t="shared" ref="E38:BN38" si="45">E37-E39</f>
        <v>0</v>
      </c>
      <c r="F38" s="151">
        <f t="shared" si="45"/>
        <v>0</v>
      </c>
      <c r="G38" s="151">
        <f t="shared" si="45"/>
        <v>0</v>
      </c>
      <c r="H38" s="151">
        <f t="shared" si="45"/>
        <v>0</v>
      </c>
      <c r="I38" s="151">
        <f t="shared" si="45"/>
        <v>0</v>
      </c>
      <c r="J38" s="151">
        <f t="shared" si="45"/>
        <v>0</v>
      </c>
      <c r="K38" s="151">
        <f t="shared" si="45"/>
        <v>0</v>
      </c>
      <c r="L38" s="151">
        <f>L37-L39</f>
        <v>0</v>
      </c>
      <c r="M38" s="151">
        <f>M37-M39</f>
        <v>0</v>
      </c>
      <c r="N38" s="152">
        <f>N37-N39</f>
        <v>0</v>
      </c>
      <c r="O38" s="158">
        <f t="shared" si="45"/>
        <v>0</v>
      </c>
      <c r="P38" s="151">
        <f t="shared" si="45"/>
        <v>-1287.61952</v>
      </c>
      <c r="Q38" s="151">
        <f t="shared" si="45"/>
        <v>0</v>
      </c>
      <c r="R38" s="151">
        <f t="shared" si="45"/>
        <v>135272.86854761664</v>
      </c>
      <c r="S38" s="151">
        <f t="shared" si="45"/>
        <v>133985.24902761669</v>
      </c>
      <c r="T38" s="151">
        <f t="shared" si="45"/>
        <v>0</v>
      </c>
      <c r="U38" s="151">
        <f t="shared" si="45"/>
        <v>-4.7369358473333332</v>
      </c>
      <c r="V38" s="151">
        <f t="shared" ref="V38:BL38" si="46">V37-V39</f>
        <v>0</v>
      </c>
      <c r="W38" s="151">
        <f t="shared" si="46"/>
        <v>4089.7808875593628</v>
      </c>
      <c r="X38" s="152">
        <f t="shared" si="46"/>
        <v>4085.0439517120294</v>
      </c>
      <c r="Y38" s="158">
        <f t="shared" si="46"/>
        <v>133985.24902761669</v>
      </c>
      <c r="Z38" s="151">
        <f t="shared" si="46"/>
        <v>-405368.89742635423</v>
      </c>
      <c r="AA38" s="151">
        <f t="shared" si="46"/>
        <v>16285</v>
      </c>
      <c r="AB38" s="151">
        <f t="shared" si="46"/>
        <v>0</v>
      </c>
      <c r="AC38" s="151">
        <f t="shared" si="46"/>
        <v>-287668.64839873754</v>
      </c>
      <c r="AD38" s="151">
        <f t="shared" si="46"/>
        <v>4085.0439517120294</v>
      </c>
      <c r="AE38" s="151">
        <f t="shared" si="46"/>
        <v>2441.6755204862402</v>
      </c>
      <c r="AF38" s="151">
        <f t="shared" si="46"/>
        <v>0</v>
      </c>
      <c r="AG38" s="151">
        <f t="shared" si="46"/>
        <v>0</v>
      </c>
      <c r="AH38" s="152">
        <f t="shared" si="46"/>
        <v>6526.7194721982742</v>
      </c>
      <c r="AI38" s="158">
        <f t="shared" ref="AI38:AU38" si="47">AI37-AI39</f>
        <v>-287668.64839873754</v>
      </c>
      <c r="AJ38" s="151">
        <f t="shared" si="47"/>
        <v>-939642.15970752784</v>
      </c>
      <c r="AK38" s="151">
        <f t="shared" si="47"/>
        <v>-399043.44145238341</v>
      </c>
      <c r="AL38" s="151">
        <f t="shared" si="47"/>
        <v>0</v>
      </c>
      <c r="AM38" s="151">
        <f t="shared" si="47"/>
        <v>0</v>
      </c>
      <c r="AN38" s="151">
        <f t="shared" si="47"/>
        <v>0</v>
      </c>
      <c r="AO38" s="151">
        <f t="shared" si="47"/>
        <v>0</v>
      </c>
      <c r="AP38" s="151">
        <f t="shared" si="47"/>
        <v>-828267.36665388232</v>
      </c>
      <c r="AQ38" s="151">
        <f t="shared" si="47"/>
        <v>6526.7194721982742</v>
      </c>
      <c r="AR38" s="151">
        <f t="shared" si="47"/>
        <v>-5038.9212171588042</v>
      </c>
      <c r="AS38" s="151">
        <f t="shared" si="47"/>
        <v>-958285.50392800092</v>
      </c>
      <c r="AT38" s="151">
        <f t="shared" si="47"/>
        <v>0</v>
      </c>
      <c r="AU38" s="152">
        <f t="shared" si="47"/>
        <v>959773.3021830403</v>
      </c>
      <c r="AV38" s="158">
        <f t="shared" ref="AV38:BH38" si="48">AV37-AV39</f>
        <v>-828267.36665388232</v>
      </c>
      <c r="AW38" s="151">
        <f t="shared" si="48"/>
        <v>-404947.63245033368</v>
      </c>
      <c r="AX38" s="151">
        <f t="shared" si="48"/>
        <v>0</v>
      </c>
      <c r="AY38" s="151">
        <f t="shared" si="48"/>
        <v>0</v>
      </c>
      <c r="AZ38" s="151">
        <f t="shared" si="48"/>
        <v>0</v>
      </c>
      <c r="BA38" s="151">
        <f t="shared" si="48"/>
        <v>0</v>
      </c>
      <c r="BB38" s="151">
        <f t="shared" si="48"/>
        <v>0</v>
      </c>
      <c r="BC38" s="151">
        <f t="shared" si="48"/>
        <v>-1233214.9991042158</v>
      </c>
      <c r="BD38" s="151">
        <f t="shared" si="48"/>
        <v>959773.3021830403</v>
      </c>
      <c r="BE38" s="151">
        <f t="shared" si="48"/>
        <v>-14843.064555455398</v>
      </c>
      <c r="BF38" s="151">
        <f t="shared" si="48"/>
        <v>0</v>
      </c>
      <c r="BG38" s="151">
        <f t="shared" si="48"/>
        <v>0</v>
      </c>
      <c r="BH38" s="152">
        <f t="shared" si="48"/>
        <v>944930.23762758495</v>
      </c>
      <c r="BI38" s="158">
        <f t="shared" si="46"/>
        <v>-643424.72668208985</v>
      </c>
      <c r="BJ38" s="151">
        <f t="shared" si="46"/>
        <v>-26555.877043802298</v>
      </c>
      <c r="BK38" s="151">
        <f t="shared" si="46"/>
        <v>-589790.27242212591</v>
      </c>
      <c r="BL38" s="152">
        <f t="shared" si="46"/>
        <v>971486.11467138724</v>
      </c>
      <c r="BM38" s="151">
        <f t="shared" si="45"/>
        <v>-1781.6874437661454</v>
      </c>
      <c r="BN38" s="151">
        <f t="shared" si="45"/>
        <v>930.6581463253649</v>
      </c>
      <c r="BO38" s="145">
        <f t="shared" si="35"/>
        <v>380844.81295182055</v>
      </c>
      <c r="BP38" s="159">
        <f>BP37-BP39</f>
        <v>-286839.50999999995</v>
      </c>
      <c r="BQ38" s="145">
        <f t="shared" si="36"/>
        <v>1445.2514766308595</v>
      </c>
    </row>
    <row r="39" spans="1:69" s="148" customFormat="1" ht="15" x14ac:dyDescent="0.25">
      <c r="A39" s="1"/>
      <c r="B39" s="1"/>
      <c r="C39" s="11" t="str">
        <f>C30</f>
        <v>RSVA - Global Adjustment</v>
      </c>
      <c r="D39" s="12">
        <v>1589</v>
      </c>
      <c r="E39" s="180">
        <f t="shared" ref="E39:AJ39" si="49">E30</f>
        <v>0</v>
      </c>
      <c r="F39" s="151">
        <f t="shared" si="49"/>
        <v>0</v>
      </c>
      <c r="G39" s="151">
        <f t="shared" si="49"/>
        <v>0</v>
      </c>
      <c r="H39" s="151">
        <f t="shared" si="49"/>
        <v>0</v>
      </c>
      <c r="I39" s="151">
        <f t="shared" si="49"/>
        <v>0</v>
      </c>
      <c r="J39" s="151">
        <f t="shared" si="49"/>
        <v>0</v>
      </c>
      <c r="K39" s="151">
        <f t="shared" si="49"/>
        <v>0</v>
      </c>
      <c r="L39" s="151">
        <f t="shared" si="49"/>
        <v>0</v>
      </c>
      <c r="M39" s="151">
        <f t="shared" si="49"/>
        <v>0</v>
      </c>
      <c r="N39" s="152">
        <f t="shared" si="49"/>
        <v>0</v>
      </c>
      <c r="O39" s="158">
        <f t="shared" si="49"/>
        <v>0</v>
      </c>
      <c r="P39" s="151">
        <f t="shared" si="49"/>
        <v>0</v>
      </c>
      <c r="Q39" s="151">
        <f t="shared" si="49"/>
        <v>0</v>
      </c>
      <c r="R39" s="151">
        <f t="shared" si="49"/>
        <v>561975.29</v>
      </c>
      <c r="S39" s="151">
        <f t="shared" si="49"/>
        <v>561975.29</v>
      </c>
      <c r="T39" s="151">
        <f t="shared" si="49"/>
        <v>0</v>
      </c>
      <c r="U39" s="151">
        <f t="shared" si="49"/>
        <v>0</v>
      </c>
      <c r="V39" s="151">
        <f t="shared" si="49"/>
        <v>0</v>
      </c>
      <c r="W39" s="151">
        <f t="shared" si="49"/>
        <v>5605.1013114999996</v>
      </c>
      <c r="X39" s="152">
        <f t="shared" si="49"/>
        <v>5605.1013114999996</v>
      </c>
      <c r="Y39" s="158">
        <f t="shared" si="49"/>
        <v>561975.29</v>
      </c>
      <c r="Z39" s="151">
        <f t="shared" si="49"/>
        <v>358275.94008048403</v>
      </c>
      <c r="AA39" s="151">
        <f t="shared" si="49"/>
        <v>0</v>
      </c>
      <c r="AB39" s="151">
        <f t="shared" si="49"/>
        <v>0</v>
      </c>
      <c r="AC39" s="151">
        <f t="shared" si="49"/>
        <v>920251.23008048406</v>
      </c>
      <c r="AD39" s="151">
        <f t="shared" si="49"/>
        <v>5605.1013114999996</v>
      </c>
      <c r="AE39" s="151">
        <f t="shared" si="49"/>
        <v>10625.0653335687</v>
      </c>
      <c r="AF39" s="151">
        <f t="shared" si="49"/>
        <v>0</v>
      </c>
      <c r="AG39" s="151">
        <f t="shared" si="49"/>
        <v>0</v>
      </c>
      <c r="AH39" s="152">
        <f t="shared" si="49"/>
        <v>16230.166645068701</v>
      </c>
      <c r="AI39" s="158">
        <f t="shared" si="49"/>
        <v>920251.23008048406</v>
      </c>
      <c r="AJ39" s="151">
        <f t="shared" si="49"/>
        <v>-138850.92565147066</v>
      </c>
      <c r="AK39" s="151">
        <f t="shared" ref="AK39:BN39" si="50">AK30</f>
        <v>561975.29</v>
      </c>
      <c r="AL39" s="151">
        <f t="shared" si="50"/>
        <v>0</v>
      </c>
      <c r="AM39" s="151">
        <f t="shared" si="50"/>
        <v>0</v>
      </c>
      <c r="AN39" s="151">
        <f t="shared" si="50"/>
        <v>0</v>
      </c>
      <c r="AO39" s="151">
        <f t="shared" si="50"/>
        <v>0</v>
      </c>
      <c r="AP39" s="151">
        <f t="shared" si="50"/>
        <v>219425.01442901336</v>
      </c>
      <c r="AQ39" s="151">
        <f t="shared" si="50"/>
        <v>16230.166645068701</v>
      </c>
      <c r="AR39" s="151">
        <f t="shared" si="50"/>
        <v>6992.0850096392933</v>
      </c>
      <c r="AS39" s="151">
        <f t="shared" si="50"/>
        <v>16619.8213115</v>
      </c>
      <c r="AT39" s="151">
        <f t="shared" si="50"/>
        <v>0</v>
      </c>
      <c r="AU39" s="152">
        <f t="shared" si="50"/>
        <v>6602.4303432079942</v>
      </c>
      <c r="AV39" s="158">
        <f t="shared" si="50"/>
        <v>219425.01442901336</v>
      </c>
      <c r="AW39" s="151">
        <f t="shared" si="50"/>
        <v>408792.43555730616</v>
      </c>
      <c r="AX39" s="151">
        <f t="shared" si="50"/>
        <v>0</v>
      </c>
      <c r="AY39" s="151">
        <f t="shared" si="50"/>
        <v>0</v>
      </c>
      <c r="AZ39" s="151">
        <f t="shared" si="50"/>
        <v>0</v>
      </c>
      <c r="BA39" s="151">
        <f t="shared" si="50"/>
        <v>0</v>
      </c>
      <c r="BB39" s="151">
        <f t="shared" si="50"/>
        <v>0</v>
      </c>
      <c r="BC39" s="151">
        <f t="shared" si="50"/>
        <v>628217.44998631952</v>
      </c>
      <c r="BD39" s="151">
        <f t="shared" si="50"/>
        <v>6602.4303432079942</v>
      </c>
      <c r="BE39" s="151">
        <f t="shared" si="50"/>
        <v>6137.1001921897314</v>
      </c>
      <c r="BF39" s="151">
        <f t="shared" si="50"/>
        <v>0</v>
      </c>
      <c r="BG39" s="151">
        <f t="shared" si="50"/>
        <v>0</v>
      </c>
      <c r="BH39" s="152">
        <f t="shared" si="50"/>
        <v>12739.530535397726</v>
      </c>
      <c r="BI39" s="158">
        <f t="shared" si="50"/>
        <v>219425.01442901301</v>
      </c>
      <c r="BJ39" s="151">
        <f t="shared" si="50"/>
        <v>10903.150626016601</v>
      </c>
      <c r="BK39" s="151">
        <f t="shared" si="50"/>
        <v>408792.43555730651</v>
      </c>
      <c r="BL39" s="152">
        <f t="shared" si="50"/>
        <v>1836.3799093811249</v>
      </c>
      <c r="BM39" s="151">
        <f t="shared" si="50"/>
        <v>7084.4313733945619</v>
      </c>
      <c r="BN39" s="151">
        <f t="shared" si="50"/>
        <v>2003.0829342308</v>
      </c>
      <c r="BO39" s="145">
        <f t="shared" si="35"/>
        <v>419716.32977431302</v>
      </c>
      <c r="BP39" s="159">
        <f>BP30</f>
        <v>640957.03</v>
      </c>
      <c r="BQ39" s="145">
        <f t="shared" si="36"/>
        <v>4.9478282802738249E-2</v>
      </c>
    </row>
    <row r="40" spans="1:69" s="148" customFormat="1" ht="15" x14ac:dyDescent="0.25">
      <c r="A40" s="1"/>
      <c r="B40" s="1"/>
      <c r="C40" s="11"/>
      <c r="D40" s="11"/>
      <c r="E40" s="180"/>
      <c r="F40" s="151"/>
      <c r="G40" s="151"/>
      <c r="H40" s="151"/>
      <c r="I40" s="151"/>
      <c r="J40" s="151"/>
      <c r="K40" s="151"/>
      <c r="L40" s="151"/>
      <c r="M40" s="151"/>
      <c r="N40" s="152"/>
      <c r="O40" s="158"/>
      <c r="P40" s="151"/>
      <c r="Q40" s="151"/>
      <c r="R40" s="151"/>
      <c r="S40" s="151"/>
      <c r="T40" s="151"/>
      <c r="U40" s="151"/>
      <c r="V40" s="151"/>
      <c r="W40" s="151"/>
      <c r="X40" s="152"/>
      <c r="Y40" s="158"/>
      <c r="Z40" s="151"/>
      <c r="AA40" s="151"/>
      <c r="AB40" s="151"/>
      <c r="AC40" s="151"/>
      <c r="AD40" s="151"/>
      <c r="AE40" s="151"/>
      <c r="AF40" s="151"/>
      <c r="AG40" s="151"/>
      <c r="AH40" s="152"/>
      <c r="AI40" s="158"/>
      <c r="AJ40" s="151"/>
      <c r="AK40" s="151"/>
      <c r="AL40" s="151"/>
      <c r="AM40" s="151"/>
      <c r="AN40" s="151"/>
      <c r="AO40" s="151"/>
      <c r="AP40" s="151"/>
      <c r="AQ40" s="151"/>
      <c r="AR40" s="151"/>
      <c r="AS40" s="151"/>
      <c r="AT40" s="151"/>
      <c r="AU40" s="152"/>
      <c r="AV40" s="158"/>
      <c r="AW40" s="151"/>
      <c r="AX40" s="151"/>
      <c r="AY40" s="151"/>
      <c r="AZ40" s="151"/>
      <c r="BA40" s="151"/>
      <c r="BB40" s="151"/>
      <c r="BC40" s="151"/>
      <c r="BD40" s="151"/>
      <c r="BE40" s="151"/>
      <c r="BF40" s="151"/>
      <c r="BG40" s="151"/>
      <c r="BH40" s="152"/>
      <c r="BI40" s="158"/>
      <c r="BJ40" s="151"/>
      <c r="BK40" s="151"/>
      <c r="BL40" s="152"/>
      <c r="BM40" s="144"/>
      <c r="BN40" s="144"/>
      <c r="BO40" s="145"/>
      <c r="BP40" s="146"/>
      <c r="BQ40" s="145"/>
    </row>
    <row r="41" spans="1:69" s="148" customFormat="1" ht="35.25" customHeight="1" thickBot="1" x14ac:dyDescent="0.3">
      <c r="A41" s="1"/>
      <c r="B41" s="1"/>
      <c r="C41" s="55" t="s">
        <v>38</v>
      </c>
      <c r="D41" s="11"/>
      <c r="E41" s="180"/>
      <c r="F41" s="151"/>
      <c r="G41" s="151"/>
      <c r="H41" s="151"/>
      <c r="I41" s="151"/>
      <c r="J41" s="151"/>
      <c r="K41" s="151"/>
      <c r="L41" s="151"/>
      <c r="M41" s="151"/>
      <c r="N41" s="152"/>
      <c r="O41" s="158"/>
      <c r="P41" s="151"/>
      <c r="Q41" s="151"/>
      <c r="R41" s="151"/>
      <c r="S41" s="151"/>
      <c r="T41" s="151"/>
      <c r="U41" s="151"/>
      <c r="V41" s="151"/>
      <c r="W41" s="151"/>
      <c r="X41" s="152"/>
      <c r="Y41" s="158"/>
      <c r="Z41" s="151"/>
      <c r="AA41" s="151"/>
      <c r="AB41" s="151"/>
      <c r="AC41" s="151"/>
      <c r="AD41" s="151"/>
      <c r="AE41" s="151"/>
      <c r="AF41" s="151"/>
      <c r="AG41" s="151"/>
      <c r="AH41" s="152"/>
      <c r="AI41" s="158"/>
      <c r="AJ41" s="151"/>
      <c r="AK41" s="151"/>
      <c r="AL41" s="151"/>
      <c r="AM41" s="151"/>
      <c r="AN41" s="151"/>
      <c r="AO41" s="151"/>
      <c r="AP41" s="151"/>
      <c r="AQ41" s="151"/>
      <c r="AR41" s="151"/>
      <c r="AS41" s="151"/>
      <c r="AT41" s="151"/>
      <c r="AU41" s="152"/>
      <c r="AV41" s="158"/>
      <c r="AW41" s="151"/>
      <c r="AX41" s="151"/>
      <c r="AY41" s="151"/>
      <c r="AZ41" s="151"/>
      <c r="BA41" s="151"/>
      <c r="BB41" s="151"/>
      <c r="BC41" s="151"/>
      <c r="BD41" s="151"/>
      <c r="BE41" s="151"/>
      <c r="BF41" s="151"/>
      <c r="BG41" s="151"/>
      <c r="BH41" s="152"/>
      <c r="BI41" s="158"/>
      <c r="BJ41" s="151"/>
      <c r="BK41" s="151"/>
      <c r="BL41" s="152"/>
      <c r="BM41" s="144"/>
      <c r="BN41" s="144"/>
      <c r="BO41" s="145"/>
      <c r="BP41" s="146"/>
      <c r="BQ41" s="145"/>
    </row>
    <row r="42" spans="1:69" s="148" customFormat="1" ht="15" thickBot="1" x14ac:dyDescent="0.25">
      <c r="A42" s="1">
        <v>13</v>
      </c>
      <c r="B42" s="1"/>
      <c r="C42" s="4" t="s">
        <v>44</v>
      </c>
      <c r="D42" s="7">
        <v>1508</v>
      </c>
      <c r="E42" s="179">
        <v>0</v>
      </c>
      <c r="F42" s="150">
        <v>14204.74</v>
      </c>
      <c r="G42" s="150"/>
      <c r="H42" s="150"/>
      <c r="I42" s="151">
        <f t="shared" ref="I42:I60" si="51">E42+F42-G42+H42</f>
        <v>14204.74</v>
      </c>
      <c r="J42" s="150">
        <v>0</v>
      </c>
      <c r="K42" s="150">
        <v>1.1458333333333333</v>
      </c>
      <c r="L42" s="150"/>
      <c r="M42" s="150"/>
      <c r="N42" s="152">
        <f t="shared" ref="N42:N60" si="52">J42+K42-L42+M42</f>
        <v>1.1458333333333333</v>
      </c>
      <c r="O42" s="153">
        <f t="shared" ref="O42:O55" si="53">I42</f>
        <v>14204.74</v>
      </c>
      <c r="P42" s="150">
        <v>52858.91</v>
      </c>
      <c r="Q42" s="150"/>
      <c r="R42" s="150"/>
      <c r="S42" s="151">
        <f t="shared" ref="S42:S60" si="54">O42+P42-Q42+SUM(R42:R42)</f>
        <v>67063.650000000009</v>
      </c>
      <c r="T42" s="154">
        <f t="shared" ref="T42:T60" si="55">N42</f>
        <v>1.1458333333333333</v>
      </c>
      <c r="U42" s="150">
        <v>291.97917433333328</v>
      </c>
      <c r="V42" s="150"/>
      <c r="W42" s="150"/>
      <c r="X42" s="152">
        <f t="shared" ref="X42:X60" si="56">T42+U42-V42+W42</f>
        <v>293.12500766666659</v>
      </c>
      <c r="Y42" s="153">
        <f t="shared" ref="Y42:Y45" si="57">S42</f>
        <v>67063.650000000009</v>
      </c>
      <c r="Z42" s="150">
        <v>-24213.54</v>
      </c>
      <c r="AA42" s="150"/>
      <c r="AB42" s="150"/>
      <c r="AC42" s="151">
        <f t="shared" ref="AC42:AC60" si="58">Y42+Z42-AA42+SUM(AB42:AB42)</f>
        <v>42850.110000000008</v>
      </c>
      <c r="AD42" s="154">
        <f t="shared" ref="AD42:AD60" si="59">X42</f>
        <v>293.12500766666659</v>
      </c>
      <c r="AE42" s="150">
        <v>488.76477999999992</v>
      </c>
      <c r="AF42" s="150"/>
      <c r="AG42" s="150"/>
      <c r="AH42" s="152">
        <f t="shared" ref="AH42:AH45" si="60">AD42+AE42-AF42+AG42</f>
        <v>781.88978766666651</v>
      </c>
      <c r="AI42" s="153">
        <f t="shared" ref="AI42:AI56" si="61">AC42</f>
        <v>42850.110000000008</v>
      </c>
      <c r="AJ42" s="150">
        <v>-4061.1859999999979</v>
      </c>
      <c r="AK42" s="150"/>
      <c r="AL42" s="150"/>
      <c r="AM42" s="150"/>
      <c r="AN42" s="150"/>
      <c r="AO42" s="150"/>
      <c r="AP42" s="151">
        <f t="shared" ref="AP42:AP43" si="62">AI42+AJ42-AK42+SUM(AL42:AO42)</f>
        <v>38788.924000000014</v>
      </c>
      <c r="AQ42" s="154">
        <f t="shared" ref="AQ42:AQ43" si="63">AH42</f>
        <v>781.88978766666651</v>
      </c>
      <c r="AR42" s="150">
        <v>610.00778159999982</v>
      </c>
      <c r="AS42" s="150"/>
      <c r="AT42" s="150"/>
      <c r="AU42" s="152">
        <f t="shared" ref="AU42:AU55" si="64">AQ42+AR42-AS42+AT42</f>
        <v>1391.8975692666663</v>
      </c>
      <c r="AV42" s="153">
        <f t="shared" ref="AV42:AV56" si="65">AP42</f>
        <v>38788.924000000014</v>
      </c>
      <c r="AW42" s="150">
        <v>-24999.960000000006</v>
      </c>
      <c r="AX42" s="150"/>
      <c r="AY42" s="150"/>
      <c r="AZ42" s="150"/>
      <c r="BA42" s="150"/>
      <c r="BB42" s="150"/>
      <c r="BC42" s="151">
        <f t="shared" ref="BC42:BC43" si="66">AV42+AW42-AX42+SUM(AY42:BB42)</f>
        <v>13788.964000000007</v>
      </c>
      <c r="BD42" s="154">
        <f t="shared" ref="BD42:BD43" si="67">AU42</f>
        <v>1391.8975692666663</v>
      </c>
      <c r="BE42" s="150">
        <v>401.75995229999961</v>
      </c>
      <c r="BF42" s="150"/>
      <c r="BG42" s="150"/>
      <c r="BH42" s="152">
        <f t="shared" ref="BH42:BH55" si="68">BD42+BE42-BF42+BG42</f>
        <v>1793.657521566666</v>
      </c>
      <c r="BI42" s="179">
        <f>-23960.95-3000</f>
        <v>-26960.95</v>
      </c>
      <c r="BJ42" s="150"/>
      <c r="BK42" s="154">
        <f t="shared" ref="BK42:BK60" si="69">BC42-BI42</f>
        <v>40749.914000000004</v>
      </c>
      <c r="BL42" s="155">
        <f t="shared" ref="BL42:BL60" si="70">BH42-BJ42</f>
        <v>1793.657521566666</v>
      </c>
      <c r="BM42" s="156">
        <v>327.9351647499999</v>
      </c>
      <c r="BN42" s="150">
        <v>185</v>
      </c>
      <c r="BO42" s="145">
        <f t="shared" si="35"/>
        <v>43056.506686316672</v>
      </c>
      <c r="BP42" s="157">
        <v>15582.58</v>
      </c>
      <c r="BQ42" s="145">
        <f t="shared" ref="BQ42:BQ68" si="71">BP42-SUM(BC42,BH42)</f>
        <v>-4.1521566672599874E-2</v>
      </c>
    </row>
    <row r="43" spans="1:69" s="148" customFormat="1" ht="15" thickBot="1" x14ac:dyDescent="0.25">
      <c r="A43" s="1">
        <v>14</v>
      </c>
      <c r="B43" s="1"/>
      <c r="C43" s="4" t="s">
        <v>45</v>
      </c>
      <c r="D43" s="7">
        <v>1508</v>
      </c>
      <c r="E43" s="179"/>
      <c r="F43" s="150"/>
      <c r="G43" s="150"/>
      <c r="H43" s="150"/>
      <c r="I43" s="151">
        <f>E43+F43-G43+H43</f>
        <v>0</v>
      </c>
      <c r="J43" s="150"/>
      <c r="K43" s="150"/>
      <c r="L43" s="150"/>
      <c r="M43" s="150"/>
      <c r="N43" s="152">
        <f>J43+K43-L43+M43</f>
        <v>0</v>
      </c>
      <c r="O43" s="153">
        <f>I43</f>
        <v>0</v>
      </c>
      <c r="P43" s="150"/>
      <c r="Q43" s="150"/>
      <c r="R43" s="150"/>
      <c r="S43" s="151">
        <f t="shared" si="54"/>
        <v>0</v>
      </c>
      <c r="T43" s="154">
        <f t="shared" si="55"/>
        <v>0</v>
      </c>
      <c r="U43" s="150"/>
      <c r="V43" s="150"/>
      <c r="W43" s="150"/>
      <c r="X43" s="152">
        <f>T43+U43-V43+W43</f>
        <v>0</v>
      </c>
      <c r="Y43" s="153">
        <f t="shared" si="57"/>
        <v>0</v>
      </c>
      <c r="Z43" s="150"/>
      <c r="AA43" s="150"/>
      <c r="AB43" s="150"/>
      <c r="AC43" s="151">
        <f t="shared" si="58"/>
        <v>0</v>
      </c>
      <c r="AD43" s="154">
        <f t="shared" si="59"/>
        <v>0</v>
      </c>
      <c r="AE43" s="150"/>
      <c r="AF43" s="150"/>
      <c r="AG43" s="150"/>
      <c r="AH43" s="152">
        <f t="shared" si="60"/>
        <v>0</v>
      </c>
      <c r="AI43" s="153">
        <f t="shared" si="61"/>
        <v>0</v>
      </c>
      <c r="AJ43" s="150"/>
      <c r="AK43" s="150"/>
      <c r="AL43" s="150"/>
      <c r="AM43" s="150"/>
      <c r="AN43" s="150"/>
      <c r="AO43" s="150"/>
      <c r="AP43" s="151">
        <f t="shared" si="62"/>
        <v>0</v>
      </c>
      <c r="AQ43" s="154">
        <f t="shared" si="63"/>
        <v>0</v>
      </c>
      <c r="AR43" s="150"/>
      <c r="AS43" s="150"/>
      <c r="AT43" s="150"/>
      <c r="AU43" s="152">
        <f t="shared" si="64"/>
        <v>0</v>
      </c>
      <c r="AV43" s="153">
        <f t="shared" si="65"/>
        <v>0</v>
      </c>
      <c r="AW43" s="150"/>
      <c r="AX43" s="150"/>
      <c r="AY43" s="150"/>
      <c r="AZ43" s="150"/>
      <c r="BA43" s="150"/>
      <c r="BB43" s="150"/>
      <c r="BC43" s="151">
        <f t="shared" si="66"/>
        <v>0</v>
      </c>
      <c r="BD43" s="154">
        <f t="shared" si="67"/>
        <v>0</v>
      </c>
      <c r="BE43" s="150"/>
      <c r="BF43" s="150"/>
      <c r="BG43" s="150"/>
      <c r="BH43" s="152">
        <f t="shared" si="68"/>
        <v>0</v>
      </c>
      <c r="BI43" s="149"/>
      <c r="BJ43" s="150"/>
      <c r="BK43" s="154">
        <f t="shared" si="69"/>
        <v>0</v>
      </c>
      <c r="BL43" s="155">
        <f t="shared" si="70"/>
        <v>0</v>
      </c>
      <c r="BM43" s="156"/>
      <c r="BN43" s="150"/>
      <c r="BO43" s="145">
        <f t="shared" si="35"/>
        <v>0</v>
      </c>
      <c r="BP43" s="157">
        <v>0</v>
      </c>
      <c r="BQ43" s="145">
        <f t="shared" si="71"/>
        <v>0</v>
      </c>
    </row>
    <row r="44" spans="1:69" s="148" customFormat="1" ht="31.5" thickBot="1" x14ac:dyDescent="0.25">
      <c r="A44" s="1">
        <v>15</v>
      </c>
      <c r="B44" s="1"/>
      <c r="C44" s="31" t="s">
        <v>69</v>
      </c>
      <c r="D44" s="7">
        <v>1508</v>
      </c>
      <c r="E44" s="180"/>
      <c r="F44" s="160"/>
      <c r="G44" s="160"/>
      <c r="H44" s="160"/>
      <c r="I44" s="151"/>
      <c r="J44" s="154"/>
      <c r="K44" s="160"/>
      <c r="L44" s="160"/>
      <c r="M44" s="160"/>
      <c r="N44" s="152"/>
      <c r="O44" s="153"/>
      <c r="P44" s="160"/>
      <c r="Q44" s="160"/>
      <c r="R44" s="160"/>
      <c r="S44" s="151"/>
      <c r="T44" s="154"/>
      <c r="U44" s="160"/>
      <c r="V44" s="160"/>
      <c r="W44" s="160"/>
      <c r="X44" s="152"/>
      <c r="Y44" s="153">
        <f t="shared" si="57"/>
        <v>0</v>
      </c>
      <c r="Z44" s="150"/>
      <c r="AA44" s="150"/>
      <c r="AB44" s="150"/>
      <c r="AC44" s="151">
        <f t="shared" si="58"/>
        <v>0</v>
      </c>
      <c r="AD44" s="154">
        <f t="shared" si="59"/>
        <v>0</v>
      </c>
      <c r="AE44" s="150"/>
      <c r="AF44" s="150"/>
      <c r="AG44" s="150"/>
      <c r="AH44" s="152">
        <f t="shared" si="60"/>
        <v>0</v>
      </c>
      <c r="AI44" s="153">
        <f t="shared" si="61"/>
        <v>0</v>
      </c>
      <c r="AJ44" s="150"/>
      <c r="AK44" s="150"/>
      <c r="AL44" s="150"/>
      <c r="AM44" s="150"/>
      <c r="AN44" s="150"/>
      <c r="AO44" s="150"/>
      <c r="AP44" s="151">
        <f>AI44+AJ44-AK44+SUM(AL44:AO44)</f>
        <v>0</v>
      </c>
      <c r="AQ44" s="154">
        <f>AH44</f>
        <v>0</v>
      </c>
      <c r="AR44" s="150"/>
      <c r="AS44" s="150"/>
      <c r="AT44" s="150"/>
      <c r="AU44" s="152">
        <f t="shared" si="64"/>
        <v>0</v>
      </c>
      <c r="AV44" s="153">
        <f t="shared" si="65"/>
        <v>0</v>
      </c>
      <c r="AW44" s="150"/>
      <c r="AX44" s="150"/>
      <c r="AY44" s="150"/>
      <c r="AZ44" s="150"/>
      <c r="BA44" s="150"/>
      <c r="BB44" s="150"/>
      <c r="BC44" s="151">
        <f>AV44+AW44-AX44+SUM(AY44:BB44)</f>
        <v>0</v>
      </c>
      <c r="BD44" s="154">
        <f>AU44</f>
        <v>0</v>
      </c>
      <c r="BE44" s="150"/>
      <c r="BF44" s="150"/>
      <c r="BG44" s="150"/>
      <c r="BH44" s="152">
        <f t="shared" si="68"/>
        <v>0</v>
      </c>
      <c r="BI44" s="149"/>
      <c r="BJ44" s="150"/>
      <c r="BK44" s="154">
        <f t="shared" si="69"/>
        <v>0</v>
      </c>
      <c r="BL44" s="155">
        <f t="shared" si="70"/>
        <v>0</v>
      </c>
      <c r="BM44" s="156"/>
      <c r="BN44" s="150"/>
      <c r="BO44" s="145">
        <f t="shared" si="35"/>
        <v>0</v>
      </c>
      <c r="BP44" s="157">
        <v>0</v>
      </c>
      <c r="BQ44" s="145">
        <f t="shared" si="71"/>
        <v>0</v>
      </c>
    </row>
    <row r="45" spans="1:69" s="148" customFormat="1" ht="29.25" thickBot="1" x14ac:dyDescent="0.25">
      <c r="A45" s="1">
        <v>16</v>
      </c>
      <c r="B45" s="1"/>
      <c r="C45" s="31" t="s">
        <v>58</v>
      </c>
      <c r="D45" s="7">
        <v>1508</v>
      </c>
      <c r="E45" s="180"/>
      <c r="F45" s="160"/>
      <c r="G45" s="160"/>
      <c r="H45" s="160"/>
      <c r="I45" s="151"/>
      <c r="J45" s="154"/>
      <c r="K45" s="160"/>
      <c r="L45" s="160"/>
      <c r="M45" s="160"/>
      <c r="N45" s="152"/>
      <c r="O45" s="153"/>
      <c r="P45" s="160"/>
      <c r="Q45" s="160"/>
      <c r="R45" s="160"/>
      <c r="S45" s="151"/>
      <c r="T45" s="154"/>
      <c r="U45" s="160"/>
      <c r="V45" s="160"/>
      <c r="W45" s="160"/>
      <c r="X45" s="152"/>
      <c r="Y45" s="153">
        <f t="shared" si="57"/>
        <v>0</v>
      </c>
      <c r="Z45" s="150"/>
      <c r="AA45" s="150"/>
      <c r="AB45" s="150"/>
      <c r="AC45" s="151">
        <f t="shared" si="58"/>
        <v>0</v>
      </c>
      <c r="AD45" s="154">
        <f t="shared" si="59"/>
        <v>0</v>
      </c>
      <c r="AE45" s="150"/>
      <c r="AF45" s="150"/>
      <c r="AG45" s="150"/>
      <c r="AH45" s="152">
        <f t="shared" si="60"/>
        <v>0</v>
      </c>
      <c r="AI45" s="153">
        <f t="shared" si="61"/>
        <v>0</v>
      </c>
      <c r="AJ45" s="150"/>
      <c r="AK45" s="150"/>
      <c r="AL45" s="150"/>
      <c r="AM45" s="150"/>
      <c r="AN45" s="150"/>
      <c r="AO45" s="150"/>
      <c r="AP45" s="151">
        <f>AI45+AJ45-AK45+SUM(AL45:AO45)</f>
        <v>0</v>
      </c>
      <c r="AQ45" s="154">
        <f>AH45</f>
        <v>0</v>
      </c>
      <c r="AR45" s="150"/>
      <c r="AS45" s="150"/>
      <c r="AT45" s="150"/>
      <c r="AU45" s="152">
        <f t="shared" si="64"/>
        <v>0</v>
      </c>
      <c r="AV45" s="153">
        <f t="shared" si="65"/>
        <v>0</v>
      </c>
      <c r="AW45" s="150"/>
      <c r="AX45" s="150"/>
      <c r="AY45" s="150"/>
      <c r="AZ45" s="150"/>
      <c r="BA45" s="150"/>
      <c r="BB45" s="150"/>
      <c r="BC45" s="151">
        <f>AV45+AW45-AX45+SUM(AY45:BB45)</f>
        <v>0</v>
      </c>
      <c r="BD45" s="154">
        <f>AU45</f>
        <v>0</v>
      </c>
      <c r="BE45" s="150"/>
      <c r="BF45" s="150"/>
      <c r="BG45" s="150"/>
      <c r="BH45" s="152">
        <f t="shared" si="68"/>
        <v>0</v>
      </c>
      <c r="BI45" s="149"/>
      <c r="BJ45" s="150"/>
      <c r="BK45" s="154">
        <f t="shared" si="69"/>
        <v>0</v>
      </c>
      <c r="BL45" s="155">
        <f t="shared" si="70"/>
        <v>0</v>
      </c>
      <c r="BM45" s="156"/>
      <c r="BN45" s="150"/>
      <c r="BO45" s="145">
        <f t="shared" si="35"/>
        <v>0</v>
      </c>
      <c r="BP45" s="157">
        <v>0</v>
      </c>
      <c r="BQ45" s="145">
        <f t="shared" si="71"/>
        <v>0</v>
      </c>
    </row>
    <row r="46" spans="1:69" s="148" customFormat="1" ht="17.25" thickBot="1" x14ac:dyDescent="0.25">
      <c r="A46" s="1">
        <v>17</v>
      </c>
      <c r="B46" s="1"/>
      <c r="C46" s="4" t="s">
        <v>68</v>
      </c>
      <c r="D46" s="7">
        <v>1508</v>
      </c>
      <c r="E46" s="179"/>
      <c r="F46" s="150">
        <f>283.44749244713+380.32-283.44749244713</f>
        <v>380.32000000000005</v>
      </c>
      <c r="G46" s="150"/>
      <c r="H46" s="150"/>
      <c r="I46" s="151">
        <f t="shared" si="51"/>
        <v>380.32000000000005</v>
      </c>
      <c r="J46" s="150"/>
      <c r="K46" s="150">
        <f>0.932186916855488+0.49-0.49</f>
        <v>0.93218691685548793</v>
      </c>
      <c r="L46" s="150"/>
      <c r="M46" s="150"/>
      <c r="N46" s="152">
        <f t="shared" si="52"/>
        <v>0.93218691685548793</v>
      </c>
      <c r="O46" s="153">
        <f t="shared" si="53"/>
        <v>380.32000000000005</v>
      </c>
      <c r="P46" s="150">
        <f>69.7524471299094+261.39-69.7524471299094</f>
        <v>261.39</v>
      </c>
      <c r="Q46" s="150"/>
      <c r="R46" s="150"/>
      <c r="S46" s="151">
        <f t="shared" si="54"/>
        <v>641.71</v>
      </c>
      <c r="T46" s="154">
        <f t="shared" si="55"/>
        <v>0.93218691685548793</v>
      </c>
      <c r="U46" s="150">
        <f>2.75601193989174+4.85-2.75601193989174</f>
        <v>4.8499999999999996</v>
      </c>
      <c r="V46" s="150"/>
      <c r="W46" s="150"/>
      <c r="X46" s="152">
        <f t="shared" si="56"/>
        <v>5.7821869168554878</v>
      </c>
      <c r="Y46" s="153">
        <f t="shared" ref="Y46:Y56" si="72">S46</f>
        <v>641.71</v>
      </c>
      <c r="Z46" s="150">
        <v>0</v>
      </c>
      <c r="AA46" s="150"/>
      <c r="AB46" s="150"/>
      <c r="AC46" s="151">
        <f t="shared" si="58"/>
        <v>641.71</v>
      </c>
      <c r="AD46" s="154">
        <f t="shared" si="59"/>
        <v>5.7821869168554878</v>
      </c>
      <c r="AE46" s="150">
        <f>5.18352862898886+9.43-5.18352862898886</f>
        <v>9.43</v>
      </c>
      <c r="AF46" s="150"/>
      <c r="AG46" s="150"/>
      <c r="AH46" s="152">
        <f t="shared" ref="AH46:AH55" si="73">AD46+AE46-AF46+AG46</f>
        <v>15.212186916855487</v>
      </c>
      <c r="AI46" s="153">
        <f t="shared" si="61"/>
        <v>641.71</v>
      </c>
      <c r="AJ46" s="150"/>
      <c r="AK46" s="150"/>
      <c r="AL46" s="150"/>
      <c r="AM46" s="150"/>
      <c r="AN46" s="150"/>
      <c r="AO46" s="150"/>
      <c r="AP46" s="151">
        <f t="shared" ref="AP46:AP55" si="74">AI46+AJ46-AK46+SUM(AL46:AO46)</f>
        <v>641.71</v>
      </c>
      <c r="AQ46" s="154">
        <f t="shared" ref="AQ46:AQ55" si="75">AH46</f>
        <v>15.212186916855487</v>
      </c>
      <c r="AR46" s="150">
        <f>5.18148452010952+9.43-5.18148452010952</f>
        <v>9.43</v>
      </c>
      <c r="AS46" s="150"/>
      <c r="AT46" s="150"/>
      <c r="AU46" s="152">
        <f t="shared" si="64"/>
        <v>24.642186916855486</v>
      </c>
      <c r="AV46" s="153">
        <f t="shared" si="65"/>
        <v>641.71</v>
      </c>
      <c r="AW46" s="150"/>
      <c r="AX46" s="150"/>
      <c r="AY46" s="150"/>
      <c r="AZ46" s="150"/>
      <c r="BA46" s="150"/>
      <c r="BB46" s="150"/>
      <c r="BC46" s="151">
        <f t="shared" ref="BC46:BC55" si="76">AV46+AW46-AX46+SUM(AY46:BB46)</f>
        <v>641.71</v>
      </c>
      <c r="BD46" s="154">
        <f t="shared" ref="BD46:BD55" si="77">AU46</f>
        <v>24.642186916855486</v>
      </c>
      <c r="BE46" s="150">
        <f>5.18148452010952+9.43-5.18148452010952</f>
        <v>9.43</v>
      </c>
      <c r="BF46" s="150"/>
      <c r="BG46" s="150"/>
      <c r="BH46" s="152">
        <f t="shared" si="68"/>
        <v>34.072186916855486</v>
      </c>
      <c r="BI46" s="149"/>
      <c r="BJ46" s="150"/>
      <c r="BK46" s="154">
        <f t="shared" si="69"/>
        <v>641.71</v>
      </c>
      <c r="BL46" s="155">
        <f t="shared" si="70"/>
        <v>34.072186916855486</v>
      </c>
      <c r="BM46" s="156">
        <f>5.18148452010952+9.43-5.18148452010952</f>
        <v>9.43</v>
      </c>
      <c r="BN46" s="150">
        <f>1.72716150670317+3.14-1.72716150670317</f>
        <v>3.1400000000000006</v>
      </c>
      <c r="BO46" s="145">
        <f t="shared" si="35"/>
        <v>688.35218691685543</v>
      </c>
      <c r="BP46" s="157">
        <v>1047.1199999999999</v>
      </c>
      <c r="BQ46" s="145">
        <f t="shared" si="71"/>
        <v>371.3378130831444</v>
      </c>
    </row>
    <row r="47" spans="1:69" s="148" customFormat="1" ht="15" thickBot="1" x14ac:dyDescent="0.25">
      <c r="A47" s="1">
        <v>18</v>
      </c>
      <c r="B47" s="1"/>
      <c r="C47" s="4" t="s">
        <v>4</v>
      </c>
      <c r="D47" s="7">
        <v>1518</v>
      </c>
      <c r="E47" s="179">
        <v>-126264.57</v>
      </c>
      <c r="F47" s="150">
        <v>-173334.59999999998</v>
      </c>
      <c r="G47" s="150"/>
      <c r="H47" s="150"/>
      <c r="I47" s="151">
        <f t="shared" si="51"/>
        <v>-299599.17</v>
      </c>
      <c r="J47" s="150">
        <v>-6835.9791632500028</v>
      </c>
      <c r="K47" s="150">
        <v>-2086.3624170833336</v>
      </c>
      <c r="L47" s="150"/>
      <c r="M47" s="150"/>
      <c r="N47" s="152">
        <f t="shared" si="52"/>
        <v>-8922.3415803333373</v>
      </c>
      <c r="O47" s="153">
        <f t="shared" si="53"/>
        <v>-299599.17</v>
      </c>
      <c r="P47" s="150">
        <v>-64872.760000000009</v>
      </c>
      <c r="Q47" s="150">
        <v>-126264.57</v>
      </c>
      <c r="R47" s="150"/>
      <c r="S47" s="151">
        <f t="shared" si="54"/>
        <v>-238207.35999999999</v>
      </c>
      <c r="T47" s="154">
        <f t="shared" si="55"/>
        <v>-8922.3415803333373</v>
      </c>
      <c r="U47" s="150">
        <v>-1844.15</v>
      </c>
      <c r="V47" s="150">
        <v>-8503.7800000000007</v>
      </c>
      <c r="W47" s="150"/>
      <c r="X47" s="152">
        <f t="shared" si="56"/>
        <v>-2262.7115803333363</v>
      </c>
      <c r="Y47" s="153">
        <f t="shared" si="72"/>
        <v>-238207.35999999999</v>
      </c>
      <c r="Z47" s="150">
        <v>-60642.47</v>
      </c>
      <c r="AA47" s="150"/>
      <c r="AB47" s="150"/>
      <c r="AC47" s="151">
        <f t="shared" si="58"/>
        <v>-298849.82999999996</v>
      </c>
      <c r="AD47" s="154">
        <f t="shared" si="59"/>
        <v>-2262.7115803333363</v>
      </c>
      <c r="AE47" s="150">
        <v>-3932.4772742499999</v>
      </c>
      <c r="AF47" s="150"/>
      <c r="AG47" s="150"/>
      <c r="AH47" s="152">
        <f t="shared" si="73"/>
        <v>-6195.1888545833363</v>
      </c>
      <c r="AI47" s="153">
        <f t="shared" si="61"/>
        <v>-298849.82999999996</v>
      </c>
      <c r="AJ47" s="150">
        <v>-48382.560000000012</v>
      </c>
      <c r="AK47" s="150"/>
      <c r="AL47" s="150"/>
      <c r="AM47" s="150"/>
      <c r="AN47" s="150"/>
      <c r="AO47" s="150"/>
      <c r="AP47" s="151">
        <f t="shared" si="74"/>
        <v>-347232.38999999996</v>
      </c>
      <c r="AQ47" s="154">
        <f t="shared" si="75"/>
        <v>-6195.1888545833363</v>
      </c>
      <c r="AR47" s="150">
        <v>-4732.6871357500004</v>
      </c>
      <c r="AS47" s="150"/>
      <c r="AT47" s="150"/>
      <c r="AU47" s="152">
        <f t="shared" si="64"/>
        <v>-10927.875990333338</v>
      </c>
      <c r="AV47" s="153">
        <f t="shared" si="65"/>
        <v>-347232.38999999996</v>
      </c>
      <c r="AW47" s="150">
        <v>-42389.919999999998</v>
      </c>
      <c r="AX47" s="150"/>
      <c r="AY47" s="150"/>
      <c r="AZ47" s="150"/>
      <c r="BA47" s="150"/>
      <c r="BB47" s="150"/>
      <c r="BC47" s="151">
        <f t="shared" si="76"/>
        <v>-389622.30999999994</v>
      </c>
      <c r="BD47" s="154">
        <f t="shared" si="77"/>
        <v>-10927.875990333338</v>
      </c>
      <c r="BE47" s="150">
        <v>-5390.9294932500006</v>
      </c>
      <c r="BF47" s="150"/>
      <c r="BG47" s="150"/>
      <c r="BH47" s="152">
        <f t="shared" si="68"/>
        <v>-16318.805483583339</v>
      </c>
      <c r="BI47" s="149"/>
      <c r="BJ47" s="150"/>
      <c r="BK47" s="154">
        <f t="shared" si="69"/>
        <v>-389622.30999999994</v>
      </c>
      <c r="BL47" s="155">
        <f t="shared" si="70"/>
        <v>-16318.805483583339</v>
      </c>
      <c r="BM47" s="149">
        <v>-5727.4479570000003</v>
      </c>
      <c r="BN47" s="150">
        <v>-1909.15</v>
      </c>
      <c r="BO47" s="145">
        <f t="shared" si="35"/>
        <v>-413577.71344058332</v>
      </c>
      <c r="BP47" s="157">
        <v>-405941.11</v>
      </c>
      <c r="BQ47" s="145">
        <f t="shared" si="71"/>
        <v>5.4835833143442869E-3</v>
      </c>
    </row>
    <row r="48" spans="1:69" s="148" customFormat="1" ht="15" thickBot="1" x14ac:dyDescent="0.25">
      <c r="A48" s="1">
        <v>19</v>
      </c>
      <c r="B48" s="1"/>
      <c r="C48" s="4" t="s">
        <v>9</v>
      </c>
      <c r="D48" s="7">
        <v>1525</v>
      </c>
      <c r="E48" s="181"/>
      <c r="F48" s="162"/>
      <c r="G48" s="162"/>
      <c r="H48" s="162"/>
      <c r="I48" s="151">
        <f t="shared" si="51"/>
        <v>0</v>
      </c>
      <c r="J48" s="162"/>
      <c r="K48" s="162"/>
      <c r="L48" s="162"/>
      <c r="M48" s="162"/>
      <c r="N48" s="152">
        <f t="shared" si="52"/>
        <v>0</v>
      </c>
      <c r="O48" s="153">
        <f t="shared" si="53"/>
        <v>0</v>
      </c>
      <c r="P48" s="150">
        <f>30792.5-30792.5</f>
        <v>0</v>
      </c>
      <c r="Q48" s="150"/>
      <c r="R48" s="150"/>
      <c r="S48" s="151">
        <f t="shared" si="54"/>
        <v>0</v>
      </c>
      <c r="T48" s="154">
        <f t="shared" si="55"/>
        <v>0</v>
      </c>
      <c r="U48" s="150">
        <f>16.9525-16.9525</f>
        <v>0</v>
      </c>
      <c r="V48" s="162"/>
      <c r="W48" s="162"/>
      <c r="X48" s="152">
        <f t="shared" si="56"/>
        <v>0</v>
      </c>
      <c r="Y48" s="153">
        <f t="shared" si="72"/>
        <v>0</v>
      </c>
      <c r="Z48" s="150">
        <f>3305-3305</f>
        <v>0</v>
      </c>
      <c r="AA48" s="150"/>
      <c r="AB48" s="150"/>
      <c r="AC48" s="151">
        <f t="shared" si="58"/>
        <v>0</v>
      </c>
      <c r="AD48" s="154">
        <f t="shared" si="59"/>
        <v>0</v>
      </c>
      <c r="AE48" s="150">
        <f>493.136-493.136</f>
        <v>0</v>
      </c>
      <c r="AF48" s="162"/>
      <c r="AG48" s="162"/>
      <c r="AH48" s="152">
        <f t="shared" si="73"/>
        <v>0</v>
      </c>
      <c r="AI48" s="153">
        <f t="shared" si="61"/>
        <v>0</v>
      </c>
      <c r="AJ48" s="150"/>
      <c r="AK48" s="150"/>
      <c r="AL48" s="150"/>
      <c r="AM48" s="150"/>
      <c r="AN48" s="150"/>
      <c r="AO48" s="150"/>
      <c r="AP48" s="151">
        <f t="shared" si="74"/>
        <v>0</v>
      </c>
      <c r="AQ48" s="154">
        <f t="shared" si="75"/>
        <v>0</v>
      </c>
      <c r="AR48" s="150">
        <f>501.23325-501.23325</f>
        <v>0</v>
      </c>
      <c r="AS48" s="162"/>
      <c r="AT48" s="162"/>
      <c r="AU48" s="152">
        <f t="shared" si="64"/>
        <v>0</v>
      </c>
      <c r="AV48" s="153">
        <f t="shared" si="65"/>
        <v>0</v>
      </c>
      <c r="AW48" s="150"/>
      <c r="AX48" s="150"/>
      <c r="AY48" s="150"/>
      <c r="AZ48" s="150"/>
      <c r="BA48" s="150"/>
      <c r="BB48" s="150"/>
      <c r="BC48" s="151">
        <f t="shared" si="76"/>
        <v>0</v>
      </c>
      <c r="BD48" s="154">
        <f t="shared" si="77"/>
        <v>0</v>
      </c>
      <c r="BE48" s="150">
        <f>501.23325-501.23325</f>
        <v>0</v>
      </c>
      <c r="BF48" s="162"/>
      <c r="BG48" s="162"/>
      <c r="BH48" s="152">
        <f t="shared" si="68"/>
        <v>0</v>
      </c>
      <c r="BI48" s="149"/>
      <c r="BJ48" s="150"/>
      <c r="BK48" s="154">
        <f t="shared" si="69"/>
        <v>0</v>
      </c>
      <c r="BL48" s="155">
        <f t="shared" si="70"/>
        <v>0</v>
      </c>
      <c r="BM48" s="156">
        <f>501.23325-501.23325</f>
        <v>0</v>
      </c>
      <c r="BN48" s="150">
        <f>167.08-167.08</f>
        <v>0</v>
      </c>
      <c r="BO48" s="145">
        <f t="shared" si="35"/>
        <v>0</v>
      </c>
      <c r="BP48" s="157">
        <f>35610.07+1681.24</f>
        <v>37291.31</v>
      </c>
      <c r="BQ48" s="145">
        <f t="shared" si="71"/>
        <v>37291.31</v>
      </c>
    </row>
    <row r="49" spans="1:69" s="148" customFormat="1" ht="15" thickBot="1" x14ac:dyDescent="0.25">
      <c r="A49" s="1">
        <v>20</v>
      </c>
      <c r="B49" s="1"/>
      <c r="C49" s="4" t="s">
        <v>41</v>
      </c>
      <c r="D49" s="7">
        <v>1531</v>
      </c>
      <c r="E49" s="182"/>
      <c r="F49" s="162"/>
      <c r="G49" s="162"/>
      <c r="H49" s="162"/>
      <c r="I49" s="151">
        <f t="shared" si="51"/>
        <v>0</v>
      </c>
      <c r="J49" s="162"/>
      <c r="K49" s="162"/>
      <c r="L49" s="162"/>
      <c r="M49" s="162"/>
      <c r="N49" s="152">
        <f t="shared" si="52"/>
        <v>0</v>
      </c>
      <c r="O49" s="153">
        <f t="shared" si="53"/>
        <v>0</v>
      </c>
      <c r="P49" s="150"/>
      <c r="Q49" s="150"/>
      <c r="R49" s="150"/>
      <c r="S49" s="151">
        <f t="shared" si="54"/>
        <v>0</v>
      </c>
      <c r="T49" s="154">
        <f t="shared" si="55"/>
        <v>0</v>
      </c>
      <c r="U49" s="150"/>
      <c r="V49" s="150"/>
      <c r="W49" s="150"/>
      <c r="X49" s="152">
        <f t="shared" si="56"/>
        <v>0</v>
      </c>
      <c r="Y49" s="153">
        <f t="shared" si="72"/>
        <v>0</v>
      </c>
      <c r="Z49" s="150"/>
      <c r="AA49" s="150"/>
      <c r="AB49" s="150"/>
      <c r="AC49" s="151">
        <f t="shared" si="58"/>
        <v>0</v>
      </c>
      <c r="AD49" s="154">
        <f t="shared" si="59"/>
        <v>0</v>
      </c>
      <c r="AE49" s="150"/>
      <c r="AF49" s="150"/>
      <c r="AG49" s="162"/>
      <c r="AH49" s="152">
        <f t="shared" si="73"/>
        <v>0</v>
      </c>
      <c r="AI49" s="153">
        <f t="shared" si="61"/>
        <v>0</v>
      </c>
      <c r="AJ49" s="150"/>
      <c r="AK49" s="150"/>
      <c r="AL49" s="150"/>
      <c r="AM49" s="150"/>
      <c r="AN49" s="150"/>
      <c r="AO49" s="150"/>
      <c r="AP49" s="151">
        <f t="shared" si="74"/>
        <v>0</v>
      </c>
      <c r="AQ49" s="154">
        <f t="shared" si="75"/>
        <v>0</v>
      </c>
      <c r="AR49" s="150"/>
      <c r="AS49" s="150"/>
      <c r="AT49" s="162"/>
      <c r="AU49" s="152">
        <f t="shared" si="64"/>
        <v>0</v>
      </c>
      <c r="AV49" s="153">
        <f t="shared" si="65"/>
        <v>0</v>
      </c>
      <c r="AW49" s="150"/>
      <c r="AX49" s="150"/>
      <c r="AY49" s="150"/>
      <c r="AZ49" s="150"/>
      <c r="BA49" s="150"/>
      <c r="BB49" s="150"/>
      <c r="BC49" s="151">
        <f t="shared" si="76"/>
        <v>0</v>
      </c>
      <c r="BD49" s="154">
        <f t="shared" si="77"/>
        <v>0</v>
      </c>
      <c r="BE49" s="150"/>
      <c r="BF49" s="150"/>
      <c r="BG49" s="162"/>
      <c r="BH49" s="152">
        <f t="shared" si="68"/>
        <v>0</v>
      </c>
      <c r="BI49" s="150"/>
      <c r="BJ49" s="150"/>
      <c r="BK49" s="154">
        <f t="shared" si="69"/>
        <v>0</v>
      </c>
      <c r="BL49" s="155">
        <f t="shared" si="70"/>
        <v>0</v>
      </c>
      <c r="BM49" s="156"/>
      <c r="BN49" s="150"/>
      <c r="BO49" s="145">
        <f t="shared" si="35"/>
        <v>0</v>
      </c>
      <c r="BP49" s="157">
        <v>0</v>
      </c>
      <c r="BQ49" s="145">
        <f t="shared" si="71"/>
        <v>0</v>
      </c>
    </row>
    <row r="50" spans="1:69" s="148" customFormat="1" ht="15" thickBot="1" x14ac:dyDescent="0.25">
      <c r="A50" s="1">
        <v>21</v>
      </c>
      <c r="B50" s="1"/>
      <c r="C50" s="4" t="s">
        <v>42</v>
      </c>
      <c r="D50" s="7">
        <v>1532</v>
      </c>
      <c r="E50" s="182"/>
      <c r="F50" s="162"/>
      <c r="G50" s="162"/>
      <c r="H50" s="162"/>
      <c r="I50" s="151">
        <f t="shared" si="51"/>
        <v>0</v>
      </c>
      <c r="J50" s="162"/>
      <c r="K50" s="162"/>
      <c r="L50" s="162"/>
      <c r="M50" s="162"/>
      <c r="N50" s="152">
        <f t="shared" si="52"/>
        <v>0</v>
      </c>
      <c r="O50" s="153">
        <f t="shared" si="53"/>
        <v>0</v>
      </c>
      <c r="P50" s="150"/>
      <c r="Q50" s="150"/>
      <c r="R50" s="150"/>
      <c r="S50" s="151">
        <f t="shared" si="54"/>
        <v>0</v>
      </c>
      <c r="T50" s="154">
        <f t="shared" si="55"/>
        <v>0</v>
      </c>
      <c r="U50" s="150"/>
      <c r="V50" s="150"/>
      <c r="W50" s="150"/>
      <c r="X50" s="152">
        <f t="shared" si="56"/>
        <v>0</v>
      </c>
      <c r="Y50" s="153">
        <f t="shared" si="72"/>
        <v>0</v>
      </c>
      <c r="Z50" s="150"/>
      <c r="AA50" s="150"/>
      <c r="AB50" s="150"/>
      <c r="AC50" s="151">
        <f t="shared" si="58"/>
        <v>0</v>
      </c>
      <c r="AD50" s="154">
        <f t="shared" si="59"/>
        <v>0</v>
      </c>
      <c r="AE50" s="150"/>
      <c r="AF50" s="150"/>
      <c r="AG50" s="162"/>
      <c r="AH50" s="152">
        <f t="shared" si="73"/>
        <v>0</v>
      </c>
      <c r="AI50" s="153">
        <f t="shared" si="61"/>
        <v>0</v>
      </c>
      <c r="AJ50" s="150"/>
      <c r="AK50" s="150"/>
      <c r="AL50" s="150"/>
      <c r="AM50" s="150"/>
      <c r="AN50" s="150"/>
      <c r="AO50" s="150"/>
      <c r="AP50" s="151">
        <f t="shared" si="74"/>
        <v>0</v>
      </c>
      <c r="AQ50" s="154">
        <f t="shared" si="75"/>
        <v>0</v>
      </c>
      <c r="AR50" s="150"/>
      <c r="AS50" s="150"/>
      <c r="AT50" s="162"/>
      <c r="AU50" s="152">
        <f t="shared" si="64"/>
        <v>0</v>
      </c>
      <c r="AV50" s="153">
        <f t="shared" si="65"/>
        <v>0</v>
      </c>
      <c r="AW50" s="150"/>
      <c r="AX50" s="150"/>
      <c r="AY50" s="150"/>
      <c r="AZ50" s="150"/>
      <c r="BA50" s="150"/>
      <c r="BB50" s="150"/>
      <c r="BC50" s="151">
        <f t="shared" si="76"/>
        <v>0</v>
      </c>
      <c r="BD50" s="154">
        <f t="shared" si="77"/>
        <v>0</v>
      </c>
      <c r="BE50" s="150"/>
      <c r="BF50" s="150"/>
      <c r="BG50" s="162"/>
      <c r="BH50" s="152">
        <f t="shared" si="68"/>
        <v>0</v>
      </c>
      <c r="BI50" s="150"/>
      <c r="BJ50" s="150"/>
      <c r="BK50" s="154">
        <f t="shared" si="69"/>
        <v>0</v>
      </c>
      <c r="BL50" s="155">
        <f t="shared" si="70"/>
        <v>0</v>
      </c>
      <c r="BM50" s="156"/>
      <c r="BN50" s="150"/>
      <c r="BO50" s="145">
        <f t="shared" si="35"/>
        <v>0</v>
      </c>
      <c r="BP50" s="157">
        <v>0</v>
      </c>
      <c r="BQ50" s="145">
        <f t="shared" si="71"/>
        <v>0</v>
      </c>
    </row>
    <row r="51" spans="1:69" s="148" customFormat="1" ht="15" thickBot="1" x14ac:dyDescent="0.25">
      <c r="A51" s="1">
        <v>22</v>
      </c>
      <c r="B51" s="1"/>
      <c r="C51" s="8" t="s">
        <v>25</v>
      </c>
      <c r="D51" s="7">
        <v>1533</v>
      </c>
      <c r="E51" s="182"/>
      <c r="F51" s="162"/>
      <c r="G51" s="162"/>
      <c r="H51" s="162"/>
      <c r="I51" s="151">
        <f t="shared" si="51"/>
        <v>0</v>
      </c>
      <c r="J51" s="162"/>
      <c r="K51" s="162"/>
      <c r="L51" s="162"/>
      <c r="M51" s="162"/>
      <c r="N51" s="152">
        <f t="shared" si="52"/>
        <v>0</v>
      </c>
      <c r="O51" s="153">
        <f t="shared" si="53"/>
        <v>0</v>
      </c>
      <c r="P51" s="150"/>
      <c r="Q51" s="150"/>
      <c r="R51" s="150"/>
      <c r="S51" s="151">
        <f t="shared" si="54"/>
        <v>0</v>
      </c>
      <c r="T51" s="154">
        <f t="shared" si="55"/>
        <v>0</v>
      </c>
      <c r="U51" s="150"/>
      <c r="V51" s="150"/>
      <c r="W51" s="150"/>
      <c r="X51" s="152">
        <f t="shared" si="56"/>
        <v>0</v>
      </c>
      <c r="Y51" s="153">
        <f t="shared" si="72"/>
        <v>0</v>
      </c>
      <c r="Z51" s="150"/>
      <c r="AA51" s="150"/>
      <c r="AB51" s="150"/>
      <c r="AC51" s="151">
        <f t="shared" si="58"/>
        <v>0</v>
      </c>
      <c r="AD51" s="154">
        <f t="shared" si="59"/>
        <v>0</v>
      </c>
      <c r="AE51" s="150"/>
      <c r="AF51" s="150"/>
      <c r="AG51" s="162"/>
      <c r="AH51" s="152">
        <f t="shared" si="73"/>
        <v>0</v>
      </c>
      <c r="AI51" s="153">
        <f t="shared" si="61"/>
        <v>0</v>
      </c>
      <c r="AJ51" s="150"/>
      <c r="AK51" s="150"/>
      <c r="AL51" s="150"/>
      <c r="AM51" s="150"/>
      <c r="AN51" s="150"/>
      <c r="AO51" s="150"/>
      <c r="AP51" s="151">
        <f t="shared" si="74"/>
        <v>0</v>
      </c>
      <c r="AQ51" s="154">
        <f t="shared" si="75"/>
        <v>0</v>
      </c>
      <c r="AR51" s="150"/>
      <c r="AS51" s="150"/>
      <c r="AT51" s="162"/>
      <c r="AU51" s="152">
        <f t="shared" si="64"/>
        <v>0</v>
      </c>
      <c r="AV51" s="153">
        <f t="shared" si="65"/>
        <v>0</v>
      </c>
      <c r="AW51" s="150"/>
      <c r="AX51" s="150"/>
      <c r="AY51" s="150"/>
      <c r="AZ51" s="150"/>
      <c r="BA51" s="150"/>
      <c r="BB51" s="150"/>
      <c r="BC51" s="151">
        <f t="shared" si="76"/>
        <v>0</v>
      </c>
      <c r="BD51" s="154">
        <f t="shared" si="77"/>
        <v>0</v>
      </c>
      <c r="BE51" s="150"/>
      <c r="BF51" s="150"/>
      <c r="BG51" s="162"/>
      <c r="BH51" s="152">
        <f t="shared" si="68"/>
        <v>0</v>
      </c>
      <c r="BI51" s="150"/>
      <c r="BJ51" s="150"/>
      <c r="BK51" s="154">
        <f t="shared" si="69"/>
        <v>0</v>
      </c>
      <c r="BL51" s="155">
        <f t="shared" si="70"/>
        <v>0</v>
      </c>
      <c r="BM51" s="156"/>
      <c r="BN51" s="150"/>
      <c r="BO51" s="145">
        <f t="shared" si="35"/>
        <v>0</v>
      </c>
      <c r="BP51" s="157">
        <v>0</v>
      </c>
      <c r="BQ51" s="145">
        <f t="shared" si="71"/>
        <v>0</v>
      </c>
    </row>
    <row r="52" spans="1:69" s="148" customFormat="1" ht="15" thickBot="1" x14ac:dyDescent="0.25">
      <c r="A52" s="1">
        <v>23</v>
      </c>
      <c r="B52" s="1"/>
      <c r="C52" s="4" t="s">
        <v>17</v>
      </c>
      <c r="D52" s="7">
        <v>1534</v>
      </c>
      <c r="E52" s="182"/>
      <c r="F52" s="162"/>
      <c r="G52" s="162"/>
      <c r="H52" s="162"/>
      <c r="I52" s="151">
        <f t="shared" si="51"/>
        <v>0</v>
      </c>
      <c r="J52" s="162"/>
      <c r="K52" s="162"/>
      <c r="L52" s="162"/>
      <c r="M52" s="162"/>
      <c r="N52" s="152">
        <f t="shared" si="52"/>
        <v>0</v>
      </c>
      <c r="O52" s="153">
        <f t="shared" si="53"/>
        <v>0</v>
      </c>
      <c r="P52" s="150">
        <v>2465.25</v>
      </c>
      <c r="Q52" s="150"/>
      <c r="R52" s="150"/>
      <c r="S52" s="151">
        <f t="shared" si="54"/>
        <v>2465.25</v>
      </c>
      <c r="T52" s="154">
        <f t="shared" si="55"/>
        <v>0</v>
      </c>
      <c r="U52" s="150">
        <v>4.9597583333333333</v>
      </c>
      <c r="V52" s="150"/>
      <c r="W52" s="150"/>
      <c r="X52" s="152">
        <f t="shared" si="56"/>
        <v>4.9597583333333333</v>
      </c>
      <c r="Y52" s="153">
        <f t="shared" si="72"/>
        <v>2465.25</v>
      </c>
      <c r="Z52" s="150">
        <v>123.5</v>
      </c>
      <c r="AA52" s="150"/>
      <c r="AB52" s="150"/>
      <c r="AC52" s="151">
        <f t="shared" si="58"/>
        <v>2588.75</v>
      </c>
      <c r="AD52" s="154">
        <f t="shared" si="59"/>
        <v>4.9597583333333333</v>
      </c>
      <c r="AE52" s="150">
        <v>37.903337500000006</v>
      </c>
      <c r="AF52" s="150"/>
      <c r="AG52" s="162"/>
      <c r="AH52" s="152">
        <f t="shared" si="73"/>
        <v>42.86309583333334</v>
      </c>
      <c r="AI52" s="153">
        <f t="shared" si="61"/>
        <v>2588.75</v>
      </c>
      <c r="AJ52" s="150"/>
      <c r="AK52" s="150"/>
      <c r="AL52" s="150"/>
      <c r="AM52" s="150"/>
      <c r="AN52" s="150"/>
      <c r="AO52" s="150"/>
      <c r="AP52" s="151">
        <f t="shared" si="74"/>
        <v>2588.75</v>
      </c>
      <c r="AQ52" s="154">
        <f t="shared" si="75"/>
        <v>42.86309583333334</v>
      </c>
      <c r="AR52" s="150">
        <v>38.054625000000009</v>
      </c>
      <c r="AS52" s="150"/>
      <c r="AT52" s="162"/>
      <c r="AU52" s="152">
        <f t="shared" si="64"/>
        <v>80.917720833333348</v>
      </c>
      <c r="AV52" s="153">
        <f t="shared" si="65"/>
        <v>2588.75</v>
      </c>
      <c r="AW52" s="150"/>
      <c r="AX52" s="150"/>
      <c r="AY52" s="150"/>
      <c r="AZ52" s="150"/>
      <c r="BA52" s="150"/>
      <c r="BB52" s="150"/>
      <c r="BC52" s="151">
        <f t="shared" si="76"/>
        <v>2588.75</v>
      </c>
      <c r="BD52" s="154">
        <f t="shared" si="77"/>
        <v>80.917720833333348</v>
      </c>
      <c r="BE52" s="150">
        <v>38.054625000000009</v>
      </c>
      <c r="BF52" s="150"/>
      <c r="BG52" s="162"/>
      <c r="BH52" s="152">
        <f t="shared" si="68"/>
        <v>118.97234583333335</v>
      </c>
      <c r="BI52" s="150"/>
      <c r="BJ52" s="150"/>
      <c r="BK52" s="154">
        <f t="shared" si="69"/>
        <v>2588.75</v>
      </c>
      <c r="BL52" s="155">
        <f t="shared" si="70"/>
        <v>118.97234583333335</v>
      </c>
      <c r="BM52" s="156">
        <v>38.054625000000009</v>
      </c>
      <c r="BN52" s="150">
        <v>12.684875</v>
      </c>
      <c r="BO52" s="145">
        <f t="shared" si="35"/>
        <v>2758.4618458333334</v>
      </c>
      <c r="BP52" s="157">
        <v>2707.69</v>
      </c>
      <c r="BQ52" s="145">
        <f t="shared" si="71"/>
        <v>-3.2345833333238261E-2</v>
      </c>
    </row>
    <row r="53" spans="1:69" s="148" customFormat="1" ht="15" thickBot="1" x14ac:dyDescent="0.25">
      <c r="A53" s="1">
        <v>24</v>
      </c>
      <c r="B53" s="1"/>
      <c r="C53" s="4" t="s">
        <v>18</v>
      </c>
      <c r="D53" s="7">
        <v>1535</v>
      </c>
      <c r="E53" s="182"/>
      <c r="F53" s="162"/>
      <c r="G53" s="162"/>
      <c r="H53" s="162"/>
      <c r="I53" s="151">
        <f t="shared" si="51"/>
        <v>0</v>
      </c>
      <c r="J53" s="162"/>
      <c r="K53" s="162"/>
      <c r="L53" s="162"/>
      <c r="M53" s="162"/>
      <c r="N53" s="152">
        <f t="shared" si="52"/>
        <v>0</v>
      </c>
      <c r="O53" s="153">
        <f t="shared" si="53"/>
        <v>0</v>
      </c>
      <c r="P53" s="150">
        <v>4265</v>
      </c>
      <c r="Q53" s="150"/>
      <c r="R53" s="150"/>
      <c r="S53" s="151">
        <f t="shared" si="54"/>
        <v>4265</v>
      </c>
      <c r="T53" s="154">
        <f t="shared" si="55"/>
        <v>0</v>
      </c>
      <c r="U53" s="150">
        <v>15.958208333333332</v>
      </c>
      <c r="V53" s="150"/>
      <c r="W53" s="150"/>
      <c r="X53" s="152">
        <f t="shared" si="56"/>
        <v>15.958208333333332</v>
      </c>
      <c r="Y53" s="153">
        <f t="shared" si="72"/>
        <v>4265</v>
      </c>
      <c r="Z53" s="150"/>
      <c r="AA53" s="150"/>
      <c r="AB53" s="150"/>
      <c r="AC53" s="151">
        <f t="shared" si="58"/>
        <v>4265</v>
      </c>
      <c r="AD53" s="154">
        <f t="shared" si="59"/>
        <v>15.958208333333332</v>
      </c>
      <c r="AE53" s="150">
        <v>62.69550000000001</v>
      </c>
      <c r="AF53" s="150"/>
      <c r="AG53" s="162"/>
      <c r="AH53" s="152">
        <f t="shared" si="73"/>
        <v>78.653708333333341</v>
      </c>
      <c r="AI53" s="153">
        <f t="shared" si="61"/>
        <v>4265</v>
      </c>
      <c r="AJ53" s="150">
        <v>19477</v>
      </c>
      <c r="AK53" s="150"/>
      <c r="AL53" s="150"/>
      <c r="AM53" s="150"/>
      <c r="AN53" s="150"/>
      <c r="AO53" s="150"/>
      <c r="AP53" s="151">
        <f t="shared" si="74"/>
        <v>23742</v>
      </c>
      <c r="AQ53" s="154">
        <f t="shared" si="75"/>
        <v>78.653708333333341</v>
      </c>
      <c r="AR53" s="150">
        <v>205.85144999999997</v>
      </c>
      <c r="AS53" s="150"/>
      <c r="AT53" s="162"/>
      <c r="AU53" s="152">
        <f t="shared" si="64"/>
        <v>284.50515833333333</v>
      </c>
      <c r="AV53" s="153">
        <f t="shared" si="65"/>
        <v>23742</v>
      </c>
      <c r="AW53" s="150">
        <v>33215.29</v>
      </c>
      <c r="AX53" s="150"/>
      <c r="AY53" s="150"/>
      <c r="AZ53" s="150"/>
      <c r="BA53" s="150"/>
      <c r="BB53" s="150"/>
      <c r="BC53" s="151">
        <f t="shared" si="76"/>
        <v>56957.29</v>
      </c>
      <c r="BD53" s="154">
        <f t="shared" si="77"/>
        <v>284.50515833333333</v>
      </c>
      <c r="BE53" s="150">
        <v>450.18702225000004</v>
      </c>
      <c r="BF53" s="150"/>
      <c r="BG53" s="162"/>
      <c r="BH53" s="152">
        <f t="shared" si="68"/>
        <v>734.69218058333331</v>
      </c>
      <c r="BI53" s="150"/>
      <c r="BJ53" s="150"/>
      <c r="BK53" s="154">
        <f t="shared" si="69"/>
        <v>56957.29</v>
      </c>
      <c r="BL53" s="155">
        <f t="shared" si="70"/>
        <v>734.69218058333331</v>
      </c>
      <c r="BM53" s="156">
        <v>837.27216299999998</v>
      </c>
      <c r="BN53" s="150">
        <v>279.09072099999997</v>
      </c>
      <c r="BO53" s="145">
        <f t="shared" si="35"/>
        <v>58808.345064583336</v>
      </c>
      <c r="BP53" s="157">
        <v>57691.85</v>
      </c>
      <c r="BQ53" s="145">
        <f t="shared" si="71"/>
        <v>-0.13218058333586669</v>
      </c>
    </row>
    <row r="54" spans="1:69" s="148" customFormat="1" ht="15" thickBot="1" x14ac:dyDescent="0.25">
      <c r="A54" s="1">
        <v>25</v>
      </c>
      <c r="B54" s="1"/>
      <c r="C54" s="4" t="s">
        <v>23</v>
      </c>
      <c r="D54" s="7">
        <v>1536</v>
      </c>
      <c r="E54" s="182"/>
      <c r="F54" s="162"/>
      <c r="G54" s="162"/>
      <c r="H54" s="162"/>
      <c r="I54" s="151">
        <f t="shared" si="51"/>
        <v>0</v>
      </c>
      <c r="J54" s="162"/>
      <c r="K54" s="162"/>
      <c r="L54" s="162"/>
      <c r="M54" s="162"/>
      <c r="N54" s="152">
        <f t="shared" si="52"/>
        <v>0</v>
      </c>
      <c r="O54" s="153">
        <f t="shared" si="53"/>
        <v>0</v>
      </c>
      <c r="P54" s="150">
        <v>-15761.16</v>
      </c>
      <c r="Q54" s="150"/>
      <c r="R54" s="150"/>
      <c r="S54" s="151">
        <f t="shared" si="54"/>
        <v>-15761.16</v>
      </c>
      <c r="T54" s="154">
        <f t="shared" si="55"/>
        <v>0</v>
      </c>
      <c r="U54" s="150">
        <v>-36.220501166666665</v>
      </c>
      <c r="V54" s="150"/>
      <c r="W54" s="150"/>
      <c r="X54" s="152">
        <f t="shared" si="56"/>
        <v>-36.220501166666665</v>
      </c>
      <c r="Y54" s="153">
        <f t="shared" si="72"/>
        <v>-15761.16</v>
      </c>
      <c r="Z54" s="150">
        <v>-22861.319999999996</v>
      </c>
      <c r="AA54" s="150"/>
      <c r="AB54" s="150"/>
      <c r="AC54" s="151">
        <f t="shared" si="58"/>
        <v>-38622.479999999996</v>
      </c>
      <c r="AD54" s="154">
        <f t="shared" si="59"/>
        <v>-36.220501166666665</v>
      </c>
      <c r="AE54" s="150">
        <v>-385.94255874999993</v>
      </c>
      <c r="AF54" s="150"/>
      <c r="AG54" s="162"/>
      <c r="AH54" s="152">
        <f t="shared" si="73"/>
        <v>-422.16305991666661</v>
      </c>
      <c r="AI54" s="153">
        <f t="shared" si="61"/>
        <v>-38622.479999999996</v>
      </c>
      <c r="AJ54" s="150">
        <v>-22887.47</v>
      </c>
      <c r="AK54" s="150"/>
      <c r="AL54" s="150"/>
      <c r="AM54" s="150"/>
      <c r="AN54" s="150"/>
      <c r="AO54" s="150"/>
      <c r="AP54" s="151">
        <f t="shared" si="74"/>
        <v>-61509.95</v>
      </c>
      <c r="AQ54" s="154">
        <f t="shared" si="75"/>
        <v>-422.16305991666661</v>
      </c>
      <c r="AR54" s="150">
        <v>-726.70621099999983</v>
      </c>
      <c r="AS54" s="150"/>
      <c r="AT54" s="162"/>
      <c r="AU54" s="152">
        <f t="shared" si="64"/>
        <v>-1148.8692709166664</v>
      </c>
      <c r="AV54" s="153">
        <f t="shared" si="65"/>
        <v>-61509.95</v>
      </c>
      <c r="AW54" s="150">
        <v>-7672.5700000000006</v>
      </c>
      <c r="AX54" s="150"/>
      <c r="AY54" s="150"/>
      <c r="AZ54" s="150"/>
      <c r="BA54" s="150"/>
      <c r="BB54" s="150"/>
      <c r="BC54" s="151">
        <f t="shared" si="76"/>
        <v>-69182.52</v>
      </c>
      <c r="BD54" s="154">
        <f t="shared" si="77"/>
        <v>-1148.8692709166664</v>
      </c>
      <c r="BE54" s="150">
        <v>-993.39645299999984</v>
      </c>
      <c r="BF54" s="150"/>
      <c r="BG54" s="162"/>
      <c r="BH54" s="152">
        <f t="shared" si="68"/>
        <v>-2142.2657239166665</v>
      </c>
      <c r="BI54" s="150"/>
      <c r="BJ54" s="150"/>
      <c r="BK54" s="154">
        <f t="shared" si="69"/>
        <v>-69182.52</v>
      </c>
      <c r="BL54" s="155">
        <f t="shared" si="70"/>
        <v>-2142.2657239166665</v>
      </c>
      <c r="BM54" s="156">
        <v>-1016.9830440000001</v>
      </c>
      <c r="BN54" s="150">
        <v>-338.99434799999995</v>
      </c>
      <c r="BO54" s="145">
        <f t="shared" si="35"/>
        <v>-72680.763115916663</v>
      </c>
      <c r="BP54" s="157">
        <v>-71324.88</v>
      </c>
      <c r="BQ54" s="145">
        <f t="shared" si="71"/>
        <v>-9.4276083327713422E-2</v>
      </c>
    </row>
    <row r="55" spans="1:69" s="148" customFormat="1" ht="15" thickBot="1" x14ac:dyDescent="0.25">
      <c r="A55" s="1">
        <v>26</v>
      </c>
      <c r="B55" s="1"/>
      <c r="C55" s="4" t="s">
        <v>5</v>
      </c>
      <c r="D55" s="7">
        <v>1548</v>
      </c>
      <c r="E55" s="181">
        <v>66147.490000000005</v>
      </c>
      <c r="F55" s="162">
        <v>1565.0299999999995</v>
      </c>
      <c r="G55" s="162"/>
      <c r="H55" s="162"/>
      <c r="I55" s="151">
        <f t="shared" si="51"/>
        <v>67712.52</v>
      </c>
      <c r="J55" s="150">
        <v>5437.0412972499989</v>
      </c>
      <c r="K55" s="150">
        <v>745.33934499999987</v>
      </c>
      <c r="L55" s="150"/>
      <c r="M55" s="150"/>
      <c r="N55" s="152">
        <f t="shared" si="52"/>
        <v>6182.3806422499983</v>
      </c>
      <c r="O55" s="153">
        <f t="shared" si="53"/>
        <v>67712.52</v>
      </c>
      <c r="P55" s="150">
        <v>7562.9</v>
      </c>
      <c r="Q55" s="150">
        <v>66147.490000000005</v>
      </c>
      <c r="R55" s="150"/>
      <c r="S55" s="151">
        <f t="shared" si="54"/>
        <v>9127.929999999993</v>
      </c>
      <c r="T55" s="154">
        <f t="shared" si="55"/>
        <v>6182.3806422499983</v>
      </c>
      <c r="U55" s="150">
        <v>156.41999999999999</v>
      </c>
      <c r="V55" s="163">
        <v>6310.74</v>
      </c>
      <c r="W55" s="163"/>
      <c r="X55" s="152">
        <f t="shared" si="56"/>
        <v>28.060642249998637</v>
      </c>
      <c r="Y55" s="153">
        <f t="shared" si="72"/>
        <v>9127.929999999993</v>
      </c>
      <c r="Z55" s="150">
        <v>8219.75</v>
      </c>
      <c r="AA55" s="150"/>
      <c r="AB55" s="150"/>
      <c r="AC55" s="151">
        <f t="shared" si="58"/>
        <v>17347.679999999993</v>
      </c>
      <c r="AD55" s="154">
        <f t="shared" si="59"/>
        <v>28.060642249998637</v>
      </c>
      <c r="AE55" s="150">
        <v>164.38018974999943</v>
      </c>
      <c r="AF55" s="163"/>
      <c r="AG55" s="162"/>
      <c r="AH55" s="152">
        <f t="shared" si="73"/>
        <v>192.44083199999807</v>
      </c>
      <c r="AI55" s="153">
        <f t="shared" si="61"/>
        <v>17347.679999999993</v>
      </c>
      <c r="AJ55" s="150">
        <v>8319.75</v>
      </c>
      <c r="AK55" s="150"/>
      <c r="AL55" s="150"/>
      <c r="AM55" s="150"/>
      <c r="AN55" s="150"/>
      <c r="AO55" s="150"/>
      <c r="AP55" s="151">
        <f t="shared" si="74"/>
        <v>25667.429999999993</v>
      </c>
      <c r="AQ55" s="154">
        <f t="shared" si="75"/>
        <v>192.44083199999807</v>
      </c>
      <c r="AR55" s="150">
        <v>291.88094599999943</v>
      </c>
      <c r="AS55" s="163"/>
      <c r="AT55" s="162"/>
      <c r="AU55" s="152">
        <f t="shared" si="64"/>
        <v>484.32177799999749</v>
      </c>
      <c r="AV55" s="153">
        <f t="shared" si="65"/>
        <v>25667.429999999993</v>
      </c>
      <c r="AW55" s="150">
        <v>8437.25</v>
      </c>
      <c r="AX55" s="150"/>
      <c r="AY55" s="150"/>
      <c r="AZ55" s="150"/>
      <c r="BA55" s="150"/>
      <c r="BB55" s="150"/>
      <c r="BC55" s="151">
        <f t="shared" si="76"/>
        <v>34104.679999999993</v>
      </c>
      <c r="BD55" s="154">
        <f t="shared" si="77"/>
        <v>484.32177799999749</v>
      </c>
      <c r="BE55" s="150">
        <v>415.14320224999932</v>
      </c>
      <c r="BF55" s="163"/>
      <c r="BG55" s="162"/>
      <c r="BH55" s="152">
        <f t="shared" si="68"/>
        <v>899.46498024999687</v>
      </c>
      <c r="BI55" s="149"/>
      <c r="BJ55" s="150"/>
      <c r="BK55" s="154">
        <f t="shared" si="69"/>
        <v>34104.679999999993</v>
      </c>
      <c r="BL55" s="155">
        <f t="shared" si="70"/>
        <v>899.46498024999687</v>
      </c>
      <c r="BM55" s="156">
        <v>501.33879599999938</v>
      </c>
      <c r="BN55" s="150">
        <v>167.11</v>
      </c>
      <c r="BO55" s="145">
        <f t="shared" si="35"/>
        <v>35672.593776249989</v>
      </c>
      <c r="BP55" s="157">
        <v>35003.089999999997</v>
      </c>
      <c r="BQ55" s="145">
        <f t="shared" si="71"/>
        <v>-1.0549802499954239</v>
      </c>
    </row>
    <row r="56" spans="1:69" s="148" customFormat="1" ht="15" thickBot="1" x14ac:dyDescent="0.25">
      <c r="A56" s="1">
        <v>27</v>
      </c>
      <c r="B56" s="1"/>
      <c r="C56" s="4" t="s">
        <v>43</v>
      </c>
      <c r="D56" s="7">
        <v>1567</v>
      </c>
      <c r="E56" s="183"/>
      <c r="F56" s="165"/>
      <c r="G56" s="165"/>
      <c r="H56" s="165"/>
      <c r="I56" s="151"/>
      <c r="J56" s="154"/>
      <c r="K56" s="165"/>
      <c r="L56" s="165"/>
      <c r="M56" s="165"/>
      <c r="N56" s="152">
        <f t="shared" si="52"/>
        <v>0</v>
      </c>
      <c r="O56" s="149"/>
      <c r="P56" s="150"/>
      <c r="Q56" s="150"/>
      <c r="R56" s="150"/>
      <c r="S56" s="151">
        <f t="shared" si="54"/>
        <v>0</v>
      </c>
      <c r="T56" s="154">
        <f t="shared" si="55"/>
        <v>0</v>
      </c>
      <c r="U56" s="150"/>
      <c r="V56" s="150"/>
      <c r="W56" s="150"/>
      <c r="X56" s="152">
        <f>T56+U56-V56+W56</f>
        <v>0</v>
      </c>
      <c r="Y56" s="153">
        <f t="shared" si="72"/>
        <v>0</v>
      </c>
      <c r="Z56" s="150"/>
      <c r="AA56" s="150"/>
      <c r="AB56" s="150"/>
      <c r="AC56" s="151">
        <f t="shared" si="58"/>
        <v>0</v>
      </c>
      <c r="AD56" s="154">
        <f t="shared" si="59"/>
        <v>0</v>
      </c>
      <c r="AE56" s="150"/>
      <c r="AF56" s="150"/>
      <c r="AG56" s="150"/>
      <c r="AH56" s="152">
        <f>AD56+AE56-AF56+AG56</f>
        <v>0</v>
      </c>
      <c r="AI56" s="153">
        <f t="shared" si="61"/>
        <v>0</v>
      </c>
      <c r="AJ56" s="150"/>
      <c r="AK56" s="150"/>
      <c r="AL56" s="150"/>
      <c r="AM56" s="150"/>
      <c r="AN56" s="150"/>
      <c r="AO56" s="150"/>
      <c r="AP56" s="151">
        <f>AI56+AJ56-AK56+SUM(AL56:AO56)</f>
        <v>0</v>
      </c>
      <c r="AQ56" s="154">
        <f>AH56</f>
        <v>0</v>
      </c>
      <c r="AR56" s="150"/>
      <c r="AS56" s="150"/>
      <c r="AT56" s="150"/>
      <c r="AU56" s="152">
        <f>AQ56+AR56-AS56+AT56</f>
        <v>0</v>
      </c>
      <c r="AV56" s="153">
        <f t="shared" si="65"/>
        <v>0</v>
      </c>
      <c r="AW56" s="150"/>
      <c r="AX56" s="150"/>
      <c r="AY56" s="150"/>
      <c r="AZ56" s="150"/>
      <c r="BA56" s="150"/>
      <c r="BB56" s="150"/>
      <c r="BC56" s="151">
        <f>AV56+AW56-AX56+SUM(AY56:BB56)</f>
        <v>0</v>
      </c>
      <c r="BD56" s="154">
        <f>AU56</f>
        <v>0</v>
      </c>
      <c r="BE56" s="150"/>
      <c r="BF56" s="150"/>
      <c r="BG56" s="150"/>
      <c r="BH56" s="152">
        <f>BD56+BE56-BF56+BG56</f>
        <v>0</v>
      </c>
      <c r="BI56" s="149"/>
      <c r="BJ56" s="150"/>
      <c r="BK56" s="154">
        <f t="shared" si="69"/>
        <v>0</v>
      </c>
      <c r="BL56" s="155">
        <f t="shared" si="70"/>
        <v>0</v>
      </c>
      <c r="BM56" s="156"/>
      <c r="BN56" s="150"/>
      <c r="BO56" s="145">
        <f t="shared" si="35"/>
        <v>0</v>
      </c>
      <c r="BP56" s="157">
        <v>0</v>
      </c>
      <c r="BQ56" s="145">
        <f t="shared" si="71"/>
        <v>0</v>
      </c>
    </row>
    <row r="57" spans="1:69" s="148" customFormat="1" ht="15" thickBot="1" x14ac:dyDescent="0.25">
      <c r="A57" s="1">
        <v>28</v>
      </c>
      <c r="B57" s="1"/>
      <c r="C57" s="4" t="s">
        <v>10</v>
      </c>
      <c r="D57" s="7">
        <v>1572</v>
      </c>
      <c r="E57" s="179"/>
      <c r="F57" s="150"/>
      <c r="G57" s="150"/>
      <c r="H57" s="150"/>
      <c r="I57" s="151">
        <f t="shared" si="51"/>
        <v>0</v>
      </c>
      <c r="J57" s="162"/>
      <c r="K57" s="150"/>
      <c r="L57" s="150"/>
      <c r="M57" s="150"/>
      <c r="N57" s="152">
        <f t="shared" si="52"/>
        <v>0</v>
      </c>
      <c r="O57" s="153">
        <f>I57</f>
        <v>0</v>
      </c>
      <c r="P57" s="150"/>
      <c r="Q57" s="150"/>
      <c r="R57" s="150"/>
      <c r="S57" s="151">
        <f t="shared" si="54"/>
        <v>0</v>
      </c>
      <c r="T57" s="154">
        <f t="shared" si="55"/>
        <v>0</v>
      </c>
      <c r="U57" s="150"/>
      <c r="V57" s="150"/>
      <c r="W57" s="150"/>
      <c r="X57" s="152">
        <f t="shared" si="56"/>
        <v>0</v>
      </c>
      <c r="Y57" s="153">
        <f>S57</f>
        <v>0</v>
      </c>
      <c r="Z57" s="150"/>
      <c r="AA57" s="150"/>
      <c r="AB57" s="150"/>
      <c r="AC57" s="151">
        <f t="shared" si="58"/>
        <v>0</v>
      </c>
      <c r="AD57" s="154">
        <f t="shared" si="59"/>
        <v>0</v>
      </c>
      <c r="AE57" s="150"/>
      <c r="AF57" s="150"/>
      <c r="AG57" s="150"/>
      <c r="AH57" s="152">
        <f>AD57+AE57-AF57+AG57</f>
        <v>0</v>
      </c>
      <c r="AI57" s="153">
        <f>AC57</f>
        <v>0</v>
      </c>
      <c r="AJ57" s="150"/>
      <c r="AK57" s="150"/>
      <c r="AL57" s="150"/>
      <c r="AM57" s="150"/>
      <c r="AN57" s="150"/>
      <c r="AO57" s="150"/>
      <c r="AP57" s="151">
        <f t="shared" ref="AP57:AP60" si="78">AI57+AJ57-AK57+SUM(AL57:AO57)</f>
        <v>0</v>
      </c>
      <c r="AQ57" s="154">
        <f t="shared" ref="AQ57:AQ60" si="79">AH57</f>
        <v>0</v>
      </c>
      <c r="AR57" s="150"/>
      <c r="AS57" s="150"/>
      <c r="AT57" s="150"/>
      <c r="AU57" s="152">
        <f>AQ57+AR57-AS57+AT57</f>
        <v>0</v>
      </c>
      <c r="AV57" s="153">
        <f>AP57</f>
        <v>0</v>
      </c>
      <c r="AW57" s="150"/>
      <c r="AX57" s="150"/>
      <c r="AY57" s="150"/>
      <c r="AZ57" s="150"/>
      <c r="BA57" s="150"/>
      <c r="BB57" s="150"/>
      <c r="BC57" s="151">
        <f t="shared" ref="BC57:BC60" si="80">AV57+AW57-AX57+SUM(AY57:BB57)</f>
        <v>0</v>
      </c>
      <c r="BD57" s="154">
        <f t="shared" ref="BD57:BD60" si="81">AU57</f>
        <v>0</v>
      </c>
      <c r="BE57" s="150"/>
      <c r="BF57" s="150"/>
      <c r="BG57" s="150"/>
      <c r="BH57" s="152">
        <f>BD57+BE57-BF57+BG57</f>
        <v>0</v>
      </c>
      <c r="BI57" s="149"/>
      <c r="BJ57" s="150"/>
      <c r="BK57" s="154">
        <f t="shared" si="69"/>
        <v>0</v>
      </c>
      <c r="BL57" s="155">
        <f t="shared" si="70"/>
        <v>0</v>
      </c>
      <c r="BM57" s="156"/>
      <c r="BN57" s="150"/>
      <c r="BO57" s="145">
        <f t="shared" si="35"/>
        <v>0</v>
      </c>
      <c r="BP57" s="157">
        <v>-1838.78</v>
      </c>
      <c r="BQ57" s="145">
        <f t="shared" si="71"/>
        <v>-1838.78</v>
      </c>
    </row>
    <row r="58" spans="1:69" s="148" customFormat="1" ht="15" thickBot="1" x14ac:dyDescent="0.25">
      <c r="A58" s="1">
        <v>29</v>
      </c>
      <c r="B58" s="1"/>
      <c r="C58" s="4" t="s">
        <v>6</v>
      </c>
      <c r="D58" s="7">
        <v>1574</v>
      </c>
      <c r="E58" s="179"/>
      <c r="F58" s="150"/>
      <c r="G58" s="150"/>
      <c r="H58" s="150"/>
      <c r="I58" s="151">
        <f t="shared" si="51"/>
        <v>0</v>
      </c>
      <c r="J58" s="162"/>
      <c r="K58" s="150"/>
      <c r="L58" s="150"/>
      <c r="M58" s="150"/>
      <c r="N58" s="152">
        <f t="shared" si="52"/>
        <v>0</v>
      </c>
      <c r="O58" s="153">
        <f>I58</f>
        <v>0</v>
      </c>
      <c r="P58" s="150"/>
      <c r="Q58" s="150"/>
      <c r="R58" s="150"/>
      <c r="S58" s="151">
        <f t="shared" si="54"/>
        <v>0</v>
      </c>
      <c r="T58" s="154">
        <f t="shared" si="55"/>
        <v>0</v>
      </c>
      <c r="U58" s="150"/>
      <c r="V58" s="150"/>
      <c r="W58" s="150"/>
      <c r="X58" s="152">
        <f t="shared" si="56"/>
        <v>0</v>
      </c>
      <c r="Y58" s="153">
        <f>S58</f>
        <v>0</v>
      </c>
      <c r="Z58" s="150"/>
      <c r="AA58" s="150"/>
      <c r="AB58" s="150"/>
      <c r="AC58" s="151">
        <f t="shared" si="58"/>
        <v>0</v>
      </c>
      <c r="AD58" s="154">
        <f t="shared" si="59"/>
        <v>0</v>
      </c>
      <c r="AE58" s="150"/>
      <c r="AF58" s="150"/>
      <c r="AG58" s="150"/>
      <c r="AH58" s="152">
        <f>AD58+AE58-AF58+AG58</f>
        <v>0</v>
      </c>
      <c r="AI58" s="153">
        <f>AC58</f>
        <v>0</v>
      </c>
      <c r="AJ58" s="150"/>
      <c r="AK58" s="150"/>
      <c r="AL58" s="150"/>
      <c r="AM58" s="150"/>
      <c r="AN58" s="150"/>
      <c r="AO58" s="150"/>
      <c r="AP58" s="151">
        <f t="shared" si="78"/>
        <v>0</v>
      </c>
      <c r="AQ58" s="154">
        <f t="shared" si="79"/>
        <v>0</v>
      </c>
      <c r="AR58" s="150"/>
      <c r="AS58" s="150"/>
      <c r="AT58" s="150"/>
      <c r="AU58" s="152">
        <f>AQ58+AR58-AS58+AT58</f>
        <v>0</v>
      </c>
      <c r="AV58" s="153">
        <f>AP58</f>
        <v>0</v>
      </c>
      <c r="AW58" s="150"/>
      <c r="AX58" s="150"/>
      <c r="AY58" s="150"/>
      <c r="AZ58" s="150"/>
      <c r="BA58" s="150"/>
      <c r="BB58" s="150"/>
      <c r="BC58" s="151">
        <f t="shared" si="80"/>
        <v>0</v>
      </c>
      <c r="BD58" s="154">
        <f t="shared" si="81"/>
        <v>0</v>
      </c>
      <c r="BE58" s="150"/>
      <c r="BF58" s="150"/>
      <c r="BG58" s="150"/>
      <c r="BH58" s="152">
        <f>BD58+BE58-BF58+BG58</f>
        <v>0</v>
      </c>
      <c r="BI58" s="149"/>
      <c r="BJ58" s="150"/>
      <c r="BK58" s="154">
        <f t="shared" si="69"/>
        <v>0</v>
      </c>
      <c r="BL58" s="155">
        <f t="shared" si="70"/>
        <v>0</v>
      </c>
      <c r="BM58" s="156"/>
      <c r="BN58" s="150"/>
      <c r="BO58" s="145">
        <f t="shared" si="35"/>
        <v>0</v>
      </c>
      <c r="BP58" s="157">
        <v>0</v>
      </c>
      <c r="BQ58" s="145">
        <f t="shared" si="71"/>
        <v>0</v>
      </c>
    </row>
    <row r="59" spans="1:69" s="148" customFormat="1" ht="15" thickBot="1" x14ac:dyDescent="0.25">
      <c r="A59" s="1">
        <v>30</v>
      </c>
      <c r="B59" s="1"/>
      <c r="C59" s="8" t="s">
        <v>40</v>
      </c>
      <c r="D59" s="7">
        <v>1582</v>
      </c>
      <c r="E59" s="179"/>
      <c r="F59" s="150"/>
      <c r="G59" s="150"/>
      <c r="H59" s="150"/>
      <c r="I59" s="151">
        <f t="shared" si="51"/>
        <v>0</v>
      </c>
      <c r="J59" s="162"/>
      <c r="K59" s="150"/>
      <c r="L59" s="150"/>
      <c r="M59" s="150"/>
      <c r="N59" s="152">
        <f t="shared" si="52"/>
        <v>0</v>
      </c>
      <c r="O59" s="153">
        <f>I59</f>
        <v>0</v>
      </c>
      <c r="P59" s="150"/>
      <c r="Q59" s="150"/>
      <c r="R59" s="150"/>
      <c r="S59" s="151">
        <f t="shared" si="54"/>
        <v>0</v>
      </c>
      <c r="T59" s="154">
        <f t="shared" si="55"/>
        <v>0</v>
      </c>
      <c r="U59" s="150"/>
      <c r="V59" s="150"/>
      <c r="W59" s="150"/>
      <c r="X59" s="152">
        <f t="shared" si="56"/>
        <v>0</v>
      </c>
      <c r="Y59" s="153">
        <f>S59</f>
        <v>0</v>
      </c>
      <c r="Z59" s="150"/>
      <c r="AA59" s="150"/>
      <c r="AB59" s="150"/>
      <c r="AC59" s="151">
        <f t="shared" si="58"/>
        <v>0</v>
      </c>
      <c r="AD59" s="154">
        <f t="shared" si="59"/>
        <v>0</v>
      </c>
      <c r="AE59" s="150"/>
      <c r="AF59" s="150"/>
      <c r="AG59" s="150"/>
      <c r="AH59" s="152">
        <f>AD59+AE59-AF59+AG59</f>
        <v>0</v>
      </c>
      <c r="AI59" s="153">
        <f>AC59</f>
        <v>0</v>
      </c>
      <c r="AJ59" s="150"/>
      <c r="AK59" s="150"/>
      <c r="AL59" s="150"/>
      <c r="AM59" s="150"/>
      <c r="AN59" s="150"/>
      <c r="AO59" s="150"/>
      <c r="AP59" s="151">
        <f t="shared" si="78"/>
        <v>0</v>
      </c>
      <c r="AQ59" s="154">
        <f t="shared" si="79"/>
        <v>0</v>
      </c>
      <c r="AR59" s="150"/>
      <c r="AS59" s="150"/>
      <c r="AT59" s="150"/>
      <c r="AU59" s="152">
        <f>AQ59+AR59-AS59+AT59</f>
        <v>0</v>
      </c>
      <c r="AV59" s="153">
        <f>AP59</f>
        <v>0</v>
      </c>
      <c r="AW59" s="150"/>
      <c r="AX59" s="150"/>
      <c r="AY59" s="150"/>
      <c r="AZ59" s="150"/>
      <c r="BA59" s="150"/>
      <c r="BB59" s="150"/>
      <c r="BC59" s="151">
        <f t="shared" si="80"/>
        <v>0</v>
      </c>
      <c r="BD59" s="154">
        <f t="shared" si="81"/>
        <v>0</v>
      </c>
      <c r="BE59" s="150"/>
      <c r="BF59" s="150"/>
      <c r="BG59" s="150"/>
      <c r="BH59" s="152">
        <f>BD59+BE59-BF59+BG59</f>
        <v>0</v>
      </c>
      <c r="BI59" s="149"/>
      <c r="BJ59" s="150"/>
      <c r="BK59" s="154">
        <f t="shared" si="69"/>
        <v>0</v>
      </c>
      <c r="BL59" s="155">
        <f t="shared" si="70"/>
        <v>0</v>
      </c>
      <c r="BM59" s="156"/>
      <c r="BN59" s="150"/>
      <c r="BO59" s="145">
        <f t="shared" si="35"/>
        <v>0</v>
      </c>
      <c r="BP59" s="157">
        <v>0</v>
      </c>
      <c r="BQ59" s="145">
        <f t="shared" si="71"/>
        <v>0</v>
      </c>
    </row>
    <row r="60" spans="1:69" s="148" customFormat="1" ht="15" thickBot="1" x14ac:dyDescent="0.25">
      <c r="A60" s="1">
        <v>31</v>
      </c>
      <c r="B60" s="1"/>
      <c r="C60" s="5" t="s">
        <v>7</v>
      </c>
      <c r="D60" s="13">
        <v>2425</v>
      </c>
      <c r="E60" s="179"/>
      <c r="F60" s="150"/>
      <c r="G60" s="150"/>
      <c r="H60" s="150"/>
      <c r="I60" s="151">
        <f t="shared" si="51"/>
        <v>0</v>
      </c>
      <c r="J60" s="162"/>
      <c r="K60" s="150"/>
      <c r="L60" s="150"/>
      <c r="M60" s="150"/>
      <c r="N60" s="152">
        <f t="shared" si="52"/>
        <v>0</v>
      </c>
      <c r="O60" s="153">
        <f>I60</f>
        <v>0</v>
      </c>
      <c r="P60" s="150"/>
      <c r="Q60" s="150"/>
      <c r="R60" s="150"/>
      <c r="S60" s="151">
        <f t="shared" si="54"/>
        <v>0</v>
      </c>
      <c r="T60" s="154">
        <f t="shared" si="55"/>
        <v>0</v>
      </c>
      <c r="U60" s="150"/>
      <c r="V60" s="150"/>
      <c r="W60" s="150"/>
      <c r="X60" s="152">
        <f t="shared" si="56"/>
        <v>0</v>
      </c>
      <c r="Y60" s="153">
        <f>S60</f>
        <v>0</v>
      </c>
      <c r="Z60" s="150"/>
      <c r="AA60" s="150"/>
      <c r="AB60" s="150"/>
      <c r="AC60" s="151">
        <f t="shared" si="58"/>
        <v>0</v>
      </c>
      <c r="AD60" s="154">
        <f t="shared" si="59"/>
        <v>0</v>
      </c>
      <c r="AE60" s="150"/>
      <c r="AF60" s="150"/>
      <c r="AG60" s="150"/>
      <c r="AH60" s="152">
        <f>AD60+AE60-AF60+AG60</f>
        <v>0</v>
      </c>
      <c r="AI60" s="153">
        <f>AC60</f>
        <v>0</v>
      </c>
      <c r="AJ60" s="150"/>
      <c r="AK60" s="150"/>
      <c r="AL60" s="150"/>
      <c r="AM60" s="150"/>
      <c r="AN60" s="150"/>
      <c r="AO60" s="150"/>
      <c r="AP60" s="151">
        <f t="shared" si="78"/>
        <v>0</v>
      </c>
      <c r="AQ60" s="154">
        <f t="shared" si="79"/>
        <v>0</v>
      </c>
      <c r="AR60" s="150"/>
      <c r="AS60" s="150"/>
      <c r="AT60" s="150"/>
      <c r="AU60" s="152">
        <f>AQ60+AR60-AS60+AT60</f>
        <v>0</v>
      </c>
      <c r="AV60" s="153">
        <f>AP60</f>
        <v>0</v>
      </c>
      <c r="AW60" s="150"/>
      <c r="AX60" s="150"/>
      <c r="AY60" s="150"/>
      <c r="AZ60" s="150"/>
      <c r="BA60" s="150"/>
      <c r="BB60" s="150"/>
      <c r="BC60" s="151">
        <f t="shared" si="80"/>
        <v>0</v>
      </c>
      <c r="BD60" s="154">
        <f t="shared" si="81"/>
        <v>0</v>
      </c>
      <c r="BE60" s="150"/>
      <c r="BF60" s="150"/>
      <c r="BG60" s="150"/>
      <c r="BH60" s="152">
        <f>BD60+BE60-BF60+BG60</f>
        <v>0</v>
      </c>
      <c r="BI60" s="149"/>
      <c r="BJ60" s="150"/>
      <c r="BK60" s="154">
        <f t="shared" si="69"/>
        <v>0</v>
      </c>
      <c r="BL60" s="155">
        <f t="shared" si="70"/>
        <v>0</v>
      </c>
      <c r="BM60" s="156"/>
      <c r="BN60" s="150"/>
      <c r="BO60" s="145">
        <f t="shared" si="35"/>
        <v>0</v>
      </c>
      <c r="BP60" s="157">
        <v>0</v>
      </c>
      <c r="BQ60" s="145">
        <f t="shared" si="71"/>
        <v>0</v>
      </c>
    </row>
    <row r="61" spans="1:69" s="148" customFormat="1" ht="14.25" x14ac:dyDescent="0.2">
      <c r="A61" s="1"/>
      <c r="B61" s="1"/>
      <c r="C61" s="5"/>
      <c r="D61" s="5"/>
      <c r="E61" s="180"/>
      <c r="F61" s="151"/>
      <c r="G61" s="151"/>
      <c r="H61" s="151"/>
      <c r="I61" s="151"/>
      <c r="J61" s="151"/>
      <c r="K61" s="151"/>
      <c r="L61" s="151"/>
      <c r="M61" s="151"/>
      <c r="N61" s="152"/>
      <c r="O61" s="158"/>
      <c r="P61" s="151"/>
      <c r="Q61" s="151"/>
      <c r="R61" s="151"/>
      <c r="S61" s="151"/>
      <c r="T61" s="151"/>
      <c r="U61" s="151"/>
      <c r="V61" s="151"/>
      <c r="W61" s="151"/>
      <c r="X61" s="152"/>
      <c r="Y61" s="158"/>
      <c r="Z61" s="151"/>
      <c r="AA61" s="151"/>
      <c r="AB61" s="151"/>
      <c r="AC61" s="151"/>
      <c r="AD61" s="151"/>
      <c r="AE61" s="151"/>
      <c r="AF61" s="151"/>
      <c r="AG61" s="151"/>
      <c r="AH61" s="152"/>
      <c r="AI61" s="158"/>
      <c r="AJ61" s="151"/>
      <c r="AK61" s="151"/>
      <c r="AL61" s="151"/>
      <c r="AM61" s="151"/>
      <c r="AN61" s="151"/>
      <c r="AO61" s="151"/>
      <c r="AP61" s="151"/>
      <c r="AQ61" s="151"/>
      <c r="AR61" s="151"/>
      <c r="AS61" s="151"/>
      <c r="AT61" s="151"/>
      <c r="AU61" s="152"/>
      <c r="AV61" s="158"/>
      <c r="AW61" s="151"/>
      <c r="AX61" s="151"/>
      <c r="AY61" s="151"/>
      <c r="AZ61" s="151"/>
      <c r="BA61" s="151"/>
      <c r="BB61" s="151"/>
      <c r="BC61" s="151"/>
      <c r="BD61" s="151"/>
      <c r="BE61" s="151"/>
      <c r="BF61" s="151"/>
      <c r="BG61" s="151"/>
      <c r="BH61" s="152"/>
      <c r="BI61" s="158"/>
      <c r="BJ61" s="151"/>
      <c r="BK61" s="151"/>
      <c r="BL61" s="152"/>
      <c r="BM61" s="144"/>
      <c r="BN61" s="144"/>
      <c r="BO61" s="145"/>
      <c r="BP61" s="146"/>
      <c r="BQ61" s="145"/>
    </row>
    <row r="62" spans="1:69" s="148" customFormat="1" ht="15" x14ac:dyDescent="0.25">
      <c r="A62" s="1"/>
      <c r="B62" s="1"/>
      <c r="C62" s="14" t="s">
        <v>19</v>
      </c>
      <c r="D62" s="5"/>
      <c r="E62" s="180">
        <f t="shared" ref="E62:AJ62" si="82">SUM(E42:E60)</f>
        <v>-60117.08</v>
      </c>
      <c r="F62" s="151">
        <f t="shared" si="82"/>
        <v>-157184.50999999998</v>
      </c>
      <c r="G62" s="151">
        <f t="shared" si="82"/>
        <v>0</v>
      </c>
      <c r="H62" s="151">
        <f t="shared" si="82"/>
        <v>0</v>
      </c>
      <c r="I62" s="151">
        <f t="shared" si="82"/>
        <v>-217301.58999999997</v>
      </c>
      <c r="J62" s="151">
        <f t="shared" si="82"/>
        <v>-1398.9378660000039</v>
      </c>
      <c r="K62" s="151">
        <f t="shared" si="82"/>
        <v>-1338.945051833145</v>
      </c>
      <c r="L62" s="151">
        <f t="shared" si="82"/>
        <v>0</v>
      </c>
      <c r="M62" s="151">
        <f t="shared" si="82"/>
        <v>0</v>
      </c>
      <c r="N62" s="152">
        <f t="shared" si="82"/>
        <v>-2737.8829178331507</v>
      </c>
      <c r="O62" s="158">
        <f t="shared" si="82"/>
        <v>-217301.58999999997</v>
      </c>
      <c r="P62" s="151">
        <f t="shared" si="82"/>
        <v>-13220.470000000007</v>
      </c>
      <c r="Q62" s="151">
        <f t="shared" si="82"/>
        <v>-60117.08</v>
      </c>
      <c r="R62" s="151">
        <f t="shared" si="82"/>
        <v>0</v>
      </c>
      <c r="S62" s="151">
        <f t="shared" si="82"/>
        <v>-170404.97999999998</v>
      </c>
      <c r="T62" s="151">
        <f t="shared" si="82"/>
        <v>-2737.8829178331507</v>
      </c>
      <c r="U62" s="151">
        <f t="shared" si="82"/>
        <v>-1406.2033601666667</v>
      </c>
      <c r="V62" s="151">
        <f t="shared" si="82"/>
        <v>-2193.0400000000009</v>
      </c>
      <c r="W62" s="151">
        <f t="shared" si="82"/>
        <v>0</v>
      </c>
      <c r="X62" s="152">
        <f t="shared" si="82"/>
        <v>-1951.0462779998156</v>
      </c>
      <c r="Y62" s="158">
        <f t="shared" si="82"/>
        <v>-170404.97999999998</v>
      </c>
      <c r="Z62" s="151">
        <f t="shared" si="82"/>
        <v>-99374.080000000002</v>
      </c>
      <c r="AA62" s="151">
        <f t="shared" si="82"/>
        <v>0</v>
      </c>
      <c r="AB62" s="151">
        <f t="shared" si="82"/>
        <v>0</v>
      </c>
      <c r="AC62" s="151">
        <f t="shared" si="82"/>
        <v>-269779.05999999994</v>
      </c>
      <c r="AD62" s="151">
        <f t="shared" si="82"/>
        <v>-1951.0462779998156</v>
      </c>
      <c r="AE62" s="151">
        <f t="shared" si="82"/>
        <v>-3555.2460257500011</v>
      </c>
      <c r="AF62" s="151">
        <f t="shared" si="82"/>
        <v>0</v>
      </c>
      <c r="AG62" s="151">
        <f t="shared" si="82"/>
        <v>0</v>
      </c>
      <c r="AH62" s="152">
        <f t="shared" si="82"/>
        <v>-5506.2923037498158</v>
      </c>
      <c r="AI62" s="158">
        <f t="shared" si="82"/>
        <v>-269779.05999999994</v>
      </c>
      <c r="AJ62" s="151">
        <f t="shared" si="82"/>
        <v>-47534.466000000015</v>
      </c>
      <c r="AK62" s="151">
        <f t="shared" ref="AK62:BN62" si="83">SUM(AK42:AK60)</f>
        <v>0</v>
      </c>
      <c r="AL62" s="151">
        <f t="shared" si="83"/>
        <v>0</v>
      </c>
      <c r="AM62" s="151">
        <f t="shared" si="83"/>
        <v>0</v>
      </c>
      <c r="AN62" s="151">
        <f t="shared" si="83"/>
        <v>0</v>
      </c>
      <c r="AO62" s="151">
        <f t="shared" si="83"/>
        <v>0</v>
      </c>
      <c r="AP62" s="151">
        <f t="shared" si="83"/>
        <v>-317313.52599999995</v>
      </c>
      <c r="AQ62" s="151">
        <f t="shared" si="83"/>
        <v>-5506.2923037498158</v>
      </c>
      <c r="AR62" s="151">
        <f t="shared" si="83"/>
        <v>-4304.1685441500013</v>
      </c>
      <c r="AS62" s="151">
        <f t="shared" si="83"/>
        <v>0</v>
      </c>
      <c r="AT62" s="151">
        <f t="shared" si="83"/>
        <v>0</v>
      </c>
      <c r="AU62" s="152">
        <f t="shared" si="83"/>
        <v>-9810.460847899818</v>
      </c>
      <c r="AV62" s="158">
        <f t="shared" si="83"/>
        <v>-317313.52599999995</v>
      </c>
      <c r="AW62" s="151">
        <f t="shared" si="83"/>
        <v>-33409.910000000003</v>
      </c>
      <c r="AX62" s="151">
        <f t="shared" si="83"/>
        <v>0</v>
      </c>
      <c r="AY62" s="151">
        <f t="shared" si="83"/>
        <v>0</v>
      </c>
      <c r="AZ62" s="151">
        <f t="shared" si="83"/>
        <v>0</v>
      </c>
      <c r="BA62" s="151">
        <f t="shared" si="83"/>
        <v>0</v>
      </c>
      <c r="BB62" s="151">
        <f t="shared" si="83"/>
        <v>0</v>
      </c>
      <c r="BC62" s="151">
        <f t="shared" si="83"/>
        <v>-350723.43599999999</v>
      </c>
      <c r="BD62" s="151">
        <f t="shared" si="83"/>
        <v>-9810.460847899818</v>
      </c>
      <c r="BE62" s="151">
        <f t="shared" si="83"/>
        <v>-5069.7511444500014</v>
      </c>
      <c r="BF62" s="151">
        <f t="shared" si="83"/>
        <v>0</v>
      </c>
      <c r="BG62" s="151">
        <f t="shared" si="83"/>
        <v>0</v>
      </c>
      <c r="BH62" s="152">
        <f t="shared" si="83"/>
        <v>-14880.211992349819</v>
      </c>
      <c r="BI62" s="158">
        <f t="shared" si="83"/>
        <v>-26960.95</v>
      </c>
      <c r="BJ62" s="151">
        <f t="shared" si="83"/>
        <v>0</v>
      </c>
      <c r="BK62" s="151">
        <f t="shared" si="83"/>
        <v>-323762.48599999998</v>
      </c>
      <c r="BL62" s="152">
        <f t="shared" si="83"/>
        <v>-14880.211992349819</v>
      </c>
      <c r="BM62" s="151">
        <f t="shared" si="83"/>
        <v>-5030.4002522500023</v>
      </c>
      <c r="BN62" s="151">
        <f t="shared" si="83"/>
        <v>-1601.1187520000003</v>
      </c>
      <c r="BO62" s="145">
        <f t="shared" si="35"/>
        <v>-345274.2169965998</v>
      </c>
      <c r="BP62" s="159">
        <f>SUM(BP42:BP60)</f>
        <v>-329781.13</v>
      </c>
      <c r="BQ62" s="145">
        <f t="shared" si="71"/>
        <v>35822.517992349807</v>
      </c>
    </row>
    <row r="63" spans="1:69" s="148" customFormat="1" ht="15" thickBot="1" x14ac:dyDescent="0.25">
      <c r="A63" s="1"/>
      <c r="B63" s="1"/>
      <c r="C63" s="5"/>
      <c r="D63" s="5"/>
      <c r="E63" s="180"/>
      <c r="F63" s="151"/>
      <c r="G63" s="151"/>
      <c r="H63" s="151"/>
      <c r="I63" s="151"/>
      <c r="J63" s="151"/>
      <c r="K63" s="151"/>
      <c r="L63" s="151"/>
      <c r="M63" s="151"/>
      <c r="N63" s="152"/>
      <c r="O63" s="158"/>
      <c r="P63" s="151"/>
      <c r="Q63" s="151"/>
      <c r="R63" s="151"/>
      <c r="S63" s="151"/>
      <c r="T63" s="151"/>
      <c r="U63" s="151"/>
      <c r="V63" s="151"/>
      <c r="W63" s="151"/>
      <c r="X63" s="152"/>
      <c r="Y63" s="158"/>
      <c r="Z63" s="151"/>
      <c r="AA63" s="151"/>
      <c r="AB63" s="151"/>
      <c r="AC63" s="151"/>
      <c r="AD63" s="151"/>
      <c r="AE63" s="151"/>
      <c r="AF63" s="151"/>
      <c r="AG63" s="151"/>
      <c r="AH63" s="152"/>
      <c r="AI63" s="158"/>
      <c r="AJ63" s="151"/>
      <c r="AK63" s="151"/>
      <c r="AL63" s="151"/>
      <c r="AM63" s="151"/>
      <c r="AN63" s="151"/>
      <c r="AO63" s="151"/>
      <c r="AP63" s="151"/>
      <c r="AQ63" s="151"/>
      <c r="AR63" s="151"/>
      <c r="AS63" s="151"/>
      <c r="AT63" s="151"/>
      <c r="AU63" s="152"/>
      <c r="AV63" s="158"/>
      <c r="AW63" s="151"/>
      <c r="AX63" s="151"/>
      <c r="AY63" s="151"/>
      <c r="AZ63" s="151"/>
      <c r="BA63" s="151"/>
      <c r="BB63" s="151"/>
      <c r="BC63" s="151"/>
      <c r="BD63" s="151"/>
      <c r="BE63" s="151"/>
      <c r="BF63" s="151"/>
      <c r="BG63" s="151"/>
      <c r="BH63" s="152"/>
      <c r="BI63" s="158"/>
      <c r="BJ63" s="151"/>
      <c r="BK63" s="151"/>
      <c r="BL63" s="152"/>
      <c r="BM63" s="144"/>
      <c r="BN63" s="144"/>
      <c r="BO63" s="145"/>
      <c r="BP63" s="146"/>
      <c r="BQ63" s="145"/>
    </row>
    <row r="64" spans="1:69" s="148" customFormat="1" ht="15" thickBot="1" x14ac:dyDescent="0.25">
      <c r="A64" s="1">
        <v>32</v>
      </c>
      <c r="B64" s="1"/>
      <c r="C64" s="5" t="s">
        <v>8</v>
      </c>
      <c r="D64" s="7">
        <v>1562</v>
      </c>
      <c r="E64" s="179"/>
      <c r="F64" s="150"/>
      <c r="G64" s="150"/>
      <c r="H64" s="150"/>
      <c r="I64" s="151">
        <f>E64+F64-G64+H64</f>
        <v>0</v>
      </c>
      <c r="J64" s="162"/>
      <c r="K64" s="150"/>
      <c r="L64" s="150"/>
      <c r="M64" s="150"/>
      <c r="N64" s="152">
        <f>J64+K64-L64+M64</f>
        <v>0</v>
      </c>
      <c r="O64" s="153">
        <f>I64</f>
        <v>0</v>
      </c>
      <c r="P64" s="150"/>
      <c r="Q64" s="150"/>
      <c r="R64" s="150"/>
      <c r="S64" s="151">
        <f>O64+P64-Q64+SUM(R64:R64)</f>
        <v>0</v>
      </c>
      <c r="T64" s="154">
        <f>N64</f>
        <v>0</v>
      </c>
      <c r="U64" s="150"/>
      <c r="V64" s="150"/>
      <c r="W64" s="150"/>
      <c r="X64" s="152">
        <f>T64+U64-V64+W64</f>
        <v>0</v>
      </c>
      <c r="Y64" s="153">
        <f>S64</f>
        <v>0</v>
      </c>
      <c r="Z64" s="150"/>
      <c r="AA64" s="150"/>
      <c r="AB64" s="150"/>
      <c r="AC64" s="151">
        <f>Y64+Z64-AA64+SUM(AB64:AB64)</f>
        <v>0</v>
      </c>
      <c r="AD64" s="154">
        <f>X64</f>
        <v>0</v>
      </c>
      <c r="AE64" s="150"/>
      <c r="AF64" s="150"/>
      <c r="AG64" s="150"/>
      <c r="AH64" s="152">
        <f>AD64+AE64-AF64+AG64</f>
        <v>0</v>
      </c>
      <c r="AI64" s="153">
        <f>AC64</f>
        <v>0</v>
      </c>
      <c r="AJ64" s="150"/>
      <c r="AK64" s="150"/>
      <c r="AL64" s="150"/>
      <c r="AM64" s="150"/>
      <c r="AN64" s="150"/>
      <c r="AO64" s="150"/>
      <c r="AP64" s="151">
        <f>AI64+AJ64-AK64+SUM(AL64:AO64)</f>
        <v>0</v>
      </c>
      <c r="AQ64" s="154">
        <f>AH64</f>
        <v>0</v>
      </c>
      <c r="AR64" s="150"/>
      <c r="AS64" s="150"/>
      <c r="AT64" s="150"/>
      <c r="AU64" s="152">
        <f>AQ64+AR64-AS64+AT64</f>
        <v>0</v>
      </c>
      <c r="AV64" s="153">
        <f>AP64</f>
        <v>0</v>
      </c>
      <c r="AW64" s="150"/>
      <c r="AX64" s="150"/>
      <c r="AY64" s="150"/>
      <c r="AZ64" s="150"/>
      <c r="BA64" s="150"/>
      <c r="BB64" s="150"/>
      <c r="BC64" s="151">
        <f>AV64+AW64-AX64+SUM(AY64:BB64)</f>
        <v>0</v>
      </c>
      <c r="BD64" s="154">
        <f>AU64</f>
        <v>0</v>
      </c>
      <c r="BE64" s="150"/>
      <c r="BF64" s="150"/>
      <c r="BG64" s="150"/>
      <c r="BH64" s="152">
        <f>BD64+BE64-BF64+BG64</f>
        <v>0</v>
      </c>
      <c r="BI64" s="149"/>
      <c r="BJ64" s="150"/>
      <c r="BK64" s="154">
        <f t="shared" ref="BK64:BK66" si="84">BC64-BI64</f>
        <v>0</v>
      </c>
      <c r="BL64" s="155">
        <f t="shared" ref="BL64:BL66" si="85">BH64-BJ64</f>
        <v>0</v>
      </c>
      <c r="BM64" s="156"/>
      <c r="BN64" s="150"/>
      <c r="BO64" s="145">
        <f t="shared" si="35"/>
        <v>0</v>
      </c>
      <c r="BP64" s="157"/>
      <c r="BQ64" s="145">
        <f t="shared" si="71"/>
        <v>0</v>
      </c>
    </row>
    <row r="65" spans="1:69" s="148" customFormat="1" ht="29.25" thickBot="1" x14ac:dyDescent="0.25">
      <c r="A65" s="1">
        <v>33</v>
      </c>
      <c r="B65" s="1"/>
      <c r="C65" s="28" t="s">
        <v>48</v>
      </c>
      <c r="D65" s="29">
        <v>1592</v>
      </c>
      <c r="E65" s="179"/>
      <c r="F65" s="150">
        <v>-86.858880017263701</v>
      </c>
      <c r="G65" s="150"/>
      <c r="H65" s="150"/>
      <c r="I65" s="151">
        <f>E65+F65-G65+H65</f>
        <v>-86.858880017263701</v>
      </c>
      <c r="J65" s="162"/>
      <c r="K65" s="150">
        <v>-0.32316240262754459</v>
      </c>
      <c r="L65" s="150"/>
      <c r="M65" s="150"/>
      <c r="N65" s="152">
        <f>J65+K65-L65+M65</f>
        <v>-0.32316240262754459</v>
      </c>
      <c r="O65" s="153">
        <f>I65</f>
        <v>-86.858880017263701</v>
      </c>
      <c r="P65" s="150">
        <v>-75.483767263703072</v>
      </c>
      <c r="Q65" s="150"/>
      <c r="R65" s="150"/>
      <c r="S65" s="151">
        <f>O65+P65-Q65+SUM(R65:R65)</f>
        <v>-162.34264728096679</v>
      </c>
      <c r="T65" s="154">
        <f>N65</f>
        <v>-0.32316240262754459</v>
      </c>
      <c r="U65" s="150">
        <v>-1.0742773714022715</v>
      </c>
      <c r="V65" s="150"/>
      <c r="W65" s="150"/>
      <c r="X65" s="152">
        <f>T65+U65-V65+W65</f>
        <v>-1.3974397740298161</v>
      </c>
      <c r="Y65" s="153">
        <f>S65</f>
        <v>-162.34264728096679</v>
      </c>
      <c r="Z65" s="150">
        <v>-34.625533775490943</v>
      </c>
      <c r="AA65" s="150"/>
      <c r="AB65" s="150"/>
      <c r="AC65" s="151">
        <f>Y65+Z65-AA65+SUM(AB65:AB65)</f>
        <v>-196.96818105645772</v>
      </c>
      <c r="AD65" s="154">
        <f>X65</f>
        <v>-1.3974397740298161</v>
      </c>
      <c r="AE65" s="150">
        <v>-2.7986364097107495</v>
      </c>
      <c r="AF65" s="150"/>
      <c r="AG65" s="150"/>
      <c r="AH65" s="152">
        <f>AD65+AE65-AF65+AG65</f>
        <v>-4.1960761837405656</v>
      </c>
      <c r="AI65" s="153">
        <f>AC65</f>
        <v>-196.96818105645772</v>
      </c>
      <c r="AJ65" s="150"/>
      <c r="AK65" s="150"/>
      <c r="AL65" s="150"/>
      <c r="AM65" s="150"/>
      <c r="AN65" s="150"/>
      <c r="AO65" s="150"/>
      <c r="AP65" s="151">
        <f>AI65+AJ65-AK65+SUM(AL65:AO65)</f>
        <v>-196.96818105645772</v>
      </c>
      <c r="AQ65" s="154">
        <f>AH65</f>
        <v>-4.1960761837405656</v>
      </c>
      <c r="AR65" s="150">
        <v>-2.895481261529929</v>
      </c>
      <c r="AS65" s="150"/>
      <c r="AT65" s="150"/>
      <c r="AU65" s="152">
        <f>AQ65+AR65-AS65+AT65</f>
        <v>-7.0915574452704941</v>
      </c>
      <c r="AV65" s="153">
        <f>AP65</f>
        <v>-196.96818105645772</v>
      </c>
      <c r="AW65" s="150"/>
      <c r="AX65" s="150"/>
      <c r="AY65" s="150"/>
      <c r="AZ65" s="150"/>
      <c r="BA65" s="150"/>
      <c r="BB65" s="150"/>
      <c r="BC65" s="151">
        <f>AV65+AW65-AX65+SUM(AY65:BB65)</f>
        <v>-196.96818105645772</v>
      </c>
      <c r="BD65" s="154">
        <f>AU65</f>
        <v>-7.0915574452704941</v>
      </c>
      <c r="BE65" s="150">
        <v>-2.895481261529929</v>
      </c>
      <c r="BF65" s="150"/>
      <c r="BG65" s="150"/>
      <c r="BH65" s="152">
        <f>BD65+BE65-BF65+BG65</f>
        <v>-9.9870387068004227</v>
      </c>
      <c r="BI65" s="149"/>
      <c r="BJ65" s="150"/>
      <c r="BK65" s="154">
        <f t="shared" si="84"/>
        <v>-196.96818105645772</v>
      </c>
      <c r="BL65" s="155">
        <f t="shared" si="85"/>
        <v>-9.9870387068004227</v>
      </c>
      <c r="BM65" s="156">
        <v>-2.8954322615299293</v>
      </c>
      <c r="BN65" s="150">
        <v>-0.96514408717664291</v>
      </c>
      <c r="BO65" s="145">
        <f t="shared" si="35"/>
        <v>-210.81579611196472</v>
      </c>
      <c r="BP65" s="157">
        <v>-206.91</v>
      </c>
      <c r="BQ65" s="145">
        <f t="shared" si="71"/>
        <v>4.5219763258160128E-2</v>
      </c>
    </row>
    <row r="66" spans="1:69" s="148" customFormat="1" ht="29.25" thickBot="1" x14ac:dyDescent="0.25">
      <c r="A66" s="1">
        <v>34</v>
      </c>
      <c r="B66" s="1"/>
      <c r="C66" s="28" t="s">
        <v>47</v>
      </c>
      <c r="D66" s="29">
        <v>1592</v>
      </c>
      <c r="E66" s="179"/>
      <c r="F66" s="150"/>
      <c r="G66" s="150"/>
      <c r="H66" s="150"/>
      <c r="I66" s="151">
        <f>E66+F66-G66+H66</f>
        <v>0</v>
      </c>
      <c r="J66" s="162"/>
      <c r="K66" s="150"/>
      <c r="L66" s="150"/>
      <c r="M66" s="150"/>
      <c r="N66" s="152">
        <f>J66+K66-L66+M66</f>
        <v>0</v>
      </c>
      <c r="O66" s="153">
        <f>I66</f>
        <v>0</v>
      </c>
      <c r="P66" s="150"/>
      <c r="Q66" s="150"/>
      <c r="R66" s="150"/>
      <c r="S66" s="151">
        <f>O66+P66-Q66+SUM(R66:R66)</f>
        <v>0</v>
      </c>
      <c r="T66" s="154">
        <f>N66</f>
        <v>0</v>
      </c>
      <c r="U66" s="150"/>
      <c r="V66" s="150"/>
      <c r="W66" s="150"/>
      <c r="X66" s="152">
        <f>T66+U66-V66+W66</f>
        <v>0</v>
      </c>
      <c r="Y66" s="153">
        <f>S66</f>
        <v>0</v>
      </c>
      <c r="Z66" s="150"/>
      <c r="AA66" s="150"/>
      <c r="AB66" s="150"/>
      <c r="AC66" s="151">
        <f>Y66+Z66-AA66+SUM(AB66:AB66)</f>
        <v>0</v>
      </c>
      <c r="AD66" s="154">
        <f>X66</f>
        <v>0</v>
      </c>
      <c r="AE66" s="150"/>
      <c r="AF66" s="150"/>
      <c r="AG66" s="150"/>
      <c r="AH66" s="152">
        <f>AD66+AE66-AF66+AG66</f>
        <v>0</v>
      </c>
      <c r="AI66" s="153">
        <f>AC66</f>
        <v>0</v>
      </c>
      <c r="AJ66" s="150"/>
      <c r="AK66" s="150"/>
      <c r="AL66" s="150"/>
      <c r="AM66" s="150"/>
      <c r="AN66" s="150"/>
      <c r="AO66" s="150"/>
      <c r="AP66" s="151">
        <f>AI66+AJ66-AK66+SUM(AL66:AO66)</f>
        <v>0</v>
      </c>
      <c r="AQ66" s="154">
        <f>AH66</f>
        <v>0</v>
      </c>
      <c r="AR66" s="150"/>
      <c r="AS66" s="150"/>
      <c r="AT66" s="150"/>
      <c r="AU66" s="152">
        <f>AQ66+AR66-AS66+AT66</f>
        <v>0</v>
      </c>
      <c r="AV66" s="153">
        <f>AP66</f>
        <v>0</v>
      </c>
      <c r="AW66" s="150"/>
      <c r="AX66" s="150"/>
      <c r="AY66" s="150"/>
      <c r="AZ66" s="150"/>
      <c r="BA66" s="150"/>
      <c r="BB66" s="150"/>
      <c r="BC66" s="151">
        <f>AV66+AW66-AX66+SUM(AY66:BB66)</f>
        <v>0</v>
      </c>
      <c r="BD66" s="154">
        <f>AU66</f>
        <v>0</v>
      </c>
      <c r="BE66" s="150"/>
      <c r="BF66" s="150"/>
      <c r="BG66" s="150"/>
      <c r="BH66" s="152">
        <f>BD66+BE66-BF66+BG66</f>
        <v>0</v>
      </c>
      <c r="BI66" s="149"/>
      <c r="BJ66" s="150"/>
      <c r="BK66" s="154">
        <f t="shared" si="84"/>
        <v>0</v>
      </c>
      <c r="BL66" s="155">
        <f t="shared" si="85"/>
        <v>0</v>
      </c>
      <c r="BM66" s="156"/>
      <c r="BN66" s="150"/>
      <c r="BO66" s="145">
        <f t="shared" si="35"/>
        <v>0</v>
      </c>
      <c r="BP66" s="157">
        <v>0</v>
      </c>
      <c r="BQ66" s="145">
        <f t="shared" si="71"/>
        <v>0</v>
      </c>
    </row>
    <row r="67" spans="1:69" s="148" customFormat="1" ht="14.25" x14ac:dyDescent="0.2">
      <c r="A67" s="1"/>
      <c r="B67" s="1"/>
      <c r="C67" s="5"/>
      <c r="D67" s="5"/>
      <c r="E67" s="180"/>
      <c r="F67" s="151"/>
      <c r="G67" s="151"/>
      <c r="H67" s="151"/>
      <c r="I67" s="151"/>
      <c r="J67" s="151"/>
      <c r="K67" s="151"/>
      <c r="L67" s="151"/>
      <c r="M67" s="151"/>
      <c r="N67" s="152"/>
      <c r="O67" s="158"/>
      <c r="P67" s="151"/>
      <c r="Q67" s="151"/>
      <c r="R67" s="151"/>
      <c r="S67" s="151"/>
      <c r="T67" s="151"/>
      <c r="U67" s="151"/>
      <c r="V67" s="151"/>
      <c r="W67" s="151"/>
      <c r="X67" s="152"/>
      <c r="Y67" s="158"/>
      <c r="Z67" s="151"/>
      <c r="AA67" s="151"/>
      <c r="AB67" s="151"/>
      <c r="AC67" s="151"/>
      <c r="AD67" s="151"/>
      <c r="AE67" s="151"/>
      <c r="AF67" s="151"/>
      <c r="AG67" s="151"/>
      <c r="AH67" s="152"/>
      <c r="AI67" s="158"/>
      <c r="AJ67" s="151"/>
      <c r="AK67" s="151"/>
      <c r="AL67" s="151"/>
      <c r="AM67" s="151"/>
      <c r="AN67" s="151"/>
      <c r="AO67" s="151"/>
      <c r="AP67" s="151"/>
      <c r="AQ67" s="151"/>
      <c r="AR67" s="151"/>
      <c r="AS67" s="151"/>
      <c r="AT67" s="151"/>
      <c r="AU67" s="152"/>
      <c r="AV67" s="158"/>
      <c r="AW67" s="151"/>
      <c r="AX67" s="151"/>
      <c r="AY67" s="151"/>
      <c r="AZ67" s="151"/>
      <c r="BA67" s="151"/>
      <c r="BB67" s="151"/>
      <c r="BC67" s="151"/>
      <c r="BD67" s="151"/>
      <c r="BE67" s="151"/>
      <c r="BF67" s="151"/>
      <c r="BG67" s="151"/>
      <c r="BH67" s="152"/>
      <c r="BI67" s="158"/>
      <c r="BJ67" s="151"/>
      <c r="BK67" s="151"/>
      <c r="BL67" s="152"/>
      <c r="BM67" s="144"/>
      <c r="BN67" s="144"/>
      <c r="BO67" s="145"/>
      <c r="BP67" s="146"/>
      <c r="BQ67" s="145"/>
    </row>
    <row r="68" spans="1:69" s="148" customFormat="1" ht="15" x14ac:dyDescent="0.25">
      <c r="A68" s="1"/>
      <c r="B68" s="1"/>
      <c r="C68" s="14" t="s">
        <v>36</v>
      </c>
      <c r="D68" s="5"/>
      <c r="E68" s="180">
        <f t="shared" ref="E68:AJ68" si="86">+E62+E37+E64+E65+E66</f>
        <v>-60117.08</v>
      </c>
      <c r="F68" s="151">
        <f t="shared" si="86"/>
        <v>-157271.36888001725</v>
      </c>
      <c r="G68" s="151">
        <f t="shared" si="86"/>
        <v>0</v>
      </c>
      <c r="H68" s="151">
        <f t="shared" si="86"/>
        <v>0</v>
      </c>
      <c r="I68" s="151">
        <f t="shared" si="86"/>
        <v>-217388.44888001724</v>
      </c>
      <c r="J68" s="151">
        <f t="shared" si="86"/>
        <v>-1398.9378660000039</v>
      </c>
      <c r="K68" s="151">
        <f t="shared" si="86"/>
        <v>-1339.2682142357726</v>
      </c>
      <c r="L68" s="151">
        <f t="shared" si="86"/>
        <v>0</v>
      </c>
      <c r="M68" s="151">
        <f t="shared" si="86"/>
        <v>0</v>
      </c>
      <c r="N68" s="152">
        <f t="shared" si="86"/>
        <v>-2738.2060802357782</v>
      </c>
      <c r="O68" s="158">
        <f t="shared" si="86"/>
        <v>-217388.44888001724</v>
      </c>
      <c r="P68" s="151">
        <f t="shared" si="86"/>
        <v>-14583.573287263709</v>
      </c>
      <c r="Q68" s="151">
        <f t="shared" si="86"/>
        <v>-60117.08</v>
      </c>
      <c r="R68" s="151">
        <f t="shared" si="86"/>
        <v>697248.15854761668</v>
      </c>
      <c r="S68" s="151">
        <f t="shared" si="86"/>
        <v>525393.21638033574</v>
      </c>
      <c r="T68" s="151">
        <f t="shared" si="86"/>
        <v>-2738.2060802357782</v>
      </c>
      <c r="U68" s="151">
        <f t="shared" si="86"/>
        <v>-1412.0145733854024</v>
      </c>
      <c r="V68" s="151">
        <f t="shared" si="86"/>
        <v>-2193.0400000000009</v>
      </c>
      <c r="W68" s="151">
        <f t="shared" si="86"/>
        <v>9694.8821990593624</v>
      </c>
      <c r="X68" s="152">
        <f t="shared" si="86"/>
        <v>7737.7015454381835</v>
      </c>
      <c r="Y68" s="158">
        <f t="shared" si="86"/>
        <v>525393.21638033574</v>
      </c>
      <c r="Z68" s="151">
        <f t="shared" si="86"/>
        <v>-146501.66287964565</v>
      </c>
      <c r="AA68" s="151">
        <f t="shared" si="86"/>
        <v>16285</v>
      </c>
      <c r="AB68" s="151">
        <f t="shared" si="86"/>
        <v>0</v>
      </c>
      <c r="AC68" s="151">
        <f t="shared" si="86"/>
        <v>362606.55350069015</v>
      </c>
      <c r="AD68" s="151">
        <f t="shared" si="86"/>
        <v>7737.7015454381835</v>
      </c>
      <c r="AE68" s="151">
        <f t="shared" si="86"/>
        <v>9508.6961918952293</v>
      </c>
      <c r="AF68" s="151">
        <f t="shared" si="86"/>
        <v>0</v>
      </c>
      <c r="AG68" s="151">
        <f t="shared" si="86"/>
        <v>0</v>
      </c>
      <c r="AH68" s="152">
        <f t="shared" si="86"/>
        <v>17246.39773733342</v>
      </c>
      <c r="AI68" s="158">
        <f t="shared" si="86"/>
        <v>362606.55350069015</v>
      </c>
      <c r="AJ68" s="151">
        <f t="shared" si="86"/>
        <v>-1126027.5513589985</v>
      </c>
      <c r="AK68" s="151">
        <f t="shared" ref="AK68:BP68" si="87">+AK62+AK37+AK64+AK65+AK66</f>
        <v>162931.84854761662</v>
      </c>
      <c r="AL68" s="151">
        <f t="shared" si="87"/>
        <v>0</v>
      </c>
      <c r="AM68" s="151">
        <f t="shared" si="87"/>
        <v>0</v>
      </c>
      <c r="AN68" s="151">
        <f t="shared" si="87"/>
        <v>0</v>
      </c>
      <c r="AO68" s="151">
        <f t="shared" si="87"/>
        <v>0</v>
      </c>
      <c r="AP68" s="151">
        <f t="shared" si="87"/>
        <v>-926352.84640592535</v>
      </c>
      <c r="AQ68" s="151">
        <f t="shared" si="87"/>
        <v>17246.39773733342</v>
      </c>
      <c r="AR68" s="151">
        <f t="shared" si="87"/>
        <v>-2353.900232931042</v>
      </c>
      <c r="AS68" s="151">
        <f t="shared" si="87"/>
        <v>-941665.68261650088</v>
      </c>
      <c r="AT68" s="151">
        <f t="shared" si="87"/>
        <v>0</v>
      </c>
      <c r="AU68" s="152">
        <f t="shared" si="87"/>
        <v>956558.1801209033</v>
      </c>
      <c r="AV68" s="158">
        <f t="shared" si="87"/>
        <v>-926352.84640592535</v>
      </c>
      <c r="AW68" s="151">
        <f t="shared" si="87"/>
        <v>-29565.106893027521</v>
      </c>
      <c r="AX68" s="151">
        <f t="shared" si="87"/>
        <v>0</v>
      </c>
      <c r="AY68" s="151">
        <f t="shared" si="87"/>
        <v>0</v>
      </c>
      <c r="AZ68" s="151">
        <f t="shared" si="87"/>
        <v>0</v>
      </c>
      <c r="BA68" s="151">
        <f t="shared" si="87"/>
        <v>0</v>
      </c>
      <c r="BB68" s="151">
        <f t="shared" si="87"/>
        <v>0</v>
      </c>
      <c r="BC68" s="151">
        <f t="shared" si="87"/>
        <v>-955917.95329895278</v>
      </c>
      <c r="BD68" s="151">
        <f t="shared" si="87"/>
        <v>956558.1801209033</v>
      </c>
      <c r="BE68" s="151">
        <f t="shared" si="87"/>
        <v>-13778.610988977198</v>
      </c>
      <c r="BF68" s="151">
        <f t="shared" si="87"/>
        <v>0</v>
      </c>
      <c r="BG68" s="151">
        <f t="shared" si="87"/>
        <v>0</v>
      </c>
      <c r="BH68" s="152">
        <f t="shared" si="87"/>
        <v>942779.56913192605</v>
      </c>
      <c r="BI68" s="158">
        <f t="shared" si="87"/>
        <v>-450960.66225307685</v>
      </c>
      <c r="BJ68" s="151">
        <f t="shared" si="87"/>
        <v>-15652.726417785698</v>
      </c>
      <c r="BK68" s="151">
        <f t="shared" si="87"/>
        <v>-504957.29104587581</v>
      </c>
      <c r="BL68" s="152">
        <f t="shared" si="87"/>
        <v>958432.29554971179</v>
      </c>
      <c r="BM68" s="151">
        <f t="shared" si="87"/>
        <v>269.44824511688427</v>
      </c>
      <c r="BN68" s="151">
        <f t="shared" si="87"/>
        <v>1331.6571844689879</v>
      </c>
      <c r="BO68" s="145">
        <f t="shared" si="87"/>
        <v>455076.10993342183</v>
      </c>
      <c r="BP68" s="146">
        <f t="shared" si="87"/>
        <v>24129.480000000072</v>
      </c>
      <c r="BQ68" s="145">
        <f t="shared" si="71"/>
        <v>37267.864167026797</v>
      </c>
    </row>
    <row r="69" spans="1:69" s="148" customFormat="1" ht="14.25" x14ac:dyDescent="0.2">
      <c r="A69" s="1"/>
      <c r="B69" s="1"/>
      <c r="C69" s="15"/>
      <c r="D69" s="15"/>
      <c r="E69" s="180"/>
      <c r="F69" s="151"/>
      <c r="G69" s="151"/>
      <c r="H69" s="151"/>
      <c r="I69" s="151"/>
      <c r="J69" s="151"/>
      <c r="K69" s="151"/>
      <c r="L69" s="151"/>
      <c r="M69" s="151"/>
      <c r="N69" s="152"/>
      <c r="O69" s="158"/>
      <c r="P69" s="151"/>
      <c r="Q69" s="151"/>
      <c r="R69" s="151"/>
      <c r="S69" s="151"/>
      <c r="T69" s="151"/>
      <c r="U69" s="151"/>
      <c r="V69" s="151"/>
      <c r="W69" s="151"/>
      <c r="X69" s="152"/>
      <c r="Y69" s="158"/>
      <c r="Z69" s="151"/>
      <c r="AA69" s="151"/>
      <c r="AB69" s="151"/>
      <c r="AC69" s="151"/>
      <c r="AD69" s="151"/>
      <c r="AE69" s="151"/>
      <c r="AF69" s="151"/>
      <c r="AG69" s="151"/>
      <c r="AH69" s="152"/>
      <c r="AI69" s="158"/>
      <c r="AJ69" s="151"/>
      <c r="AK69" s="151"/>
      <c r="AL69" s="151"/>
      <c r="AM69" s="151"/>
      <c r="AN69" s="151"/>
      <c r="AO69" s="151"/>
      <c r="AP69" s="151"/>
      <c r="AQ69" s="151"/>
      <c r="AR69" s="151"/>
      <c r="AS69" s="151"/>
      <c r="AT69" s="151"/>
      <c r="AU69" s="152"/>
      <c r="AV69" s="158"/>
      <c r="AW69" s="151"/>
      <c r="AX69" s="151"/>
      <c r="AY69" s="151"/>
      <c r="AZ69" s="151"/>
      <c r="BA69" s="151"/>
      <c r="BB69" s="151"/>
      <c r="BC69" s="151"/>
      <c r="BD69" s="151"/>
      <c r="BE69" s="151"/>
      <c r="BF69" s="151"/>
      <c r="BG69" s="151"/>
      <c r="BH69" s="152"/>
      <c r="BI69" s="158"/>
      <c r="BJ69" s="151"/>
      <c r="BK69" s="151"/>
      <c r="BL69" s="152"/>
      <c r="BM69" s="144"/>
      <c r="BN69" s="144"/>
      <c r="BO69" s="145"/>
      <c r="BP69" s="146"/>
      <c r="BQ69" s="145"/>
    </row>
    <row r="70" spans="1:69" s="148" customFormat="1" ht="15" thickBot="1" x14ac:dyDescent="0.25">
      <c r="A70" s="1"/>
      <c r="B70" s="1"/>
      <c r="C70" s="15"/>
      <c r="D70" s="15"/>
      <c r="E70" s="180"/>
      <c r="F70" s="151"/>
      <c r="G70" s="151"/>
      <c r="H70" s="151"/>
      <c r="I70" s="151"/>
      <c r="J70" s="151"/>
      <c r="K70" s="151"/>
      <c r="L70" s="151"/>
      <c r="M70" s="151"/>
      <c r="N70" s="152"/>
      <c r="O70" s="158"/>
      <c r="P70" s="151"/>
      <c r="Q70" s="151"/>
      <c r="R70" s="151"/>
      <c r="S70" s="151"/>
      <c r="T70" s="151"/>
      <c r="U70" s="151"/>
      <c r="V70" s="151"/>
      <c r="W70" s="151"/>
      <c r="X70" s="152"/>
      <c r="Y70" s="158"/>
      <c r="Z70" s="151"/>
      <c r="AA70" s="151"/>
      <c r="AB70" s="151"/>
      <c r="AC70" s="151"/>
      <c r="AD70" s="151"/>
      <c r="AE70" s="151"/>
      <c r="AF70" s="151"/>
      <c r="AG70" s="151"/>
      <c r="AH70" s="152"/>
      <c r="AI70" s="158"/>
      <c r="AJ70" s="151"/>
      <c r="AK70" s="151"/>
      <c r="AL70" s="151"/>
      <c r="AM70" s="151"/>
      <c r="AN70" s="151"/>
      <c r="AO70" s="151"/>
      <c r="AP70" s="151"/>
      <c r="AQ70" s="151"/>
      <c r="AR70" s="151"/>
      <c r="AS70" s="151"/>
      <c r="AT70" s="151"/>
      <c r="AU70" s="152"/>
      <c r="AV70" s="158"/>
      <c r="AW70" s="151"/>
      <c r="AX70" s="151"/>
      <c r="AY70" s="151"/>
      <c r="AZ70" s="151"/>
      <c r="BA70" s="151"/>
      <c r="BB70" s="151"/>
      <c r="BC70" s="151"/>
      <c r="BD70" s="151"/>
      <c r="BE70" s="151"/>
      <c r="BF70" s="151"/>
      <c r="BG70" s="151"/>
      <c r="BH70" s="152"/>
      <c r="BI70" s="158"/>
      <c r="BJ70" s="151"/>
      <c r="BK70" s="151"/>
      <c r="BL70" s="152"/>
      <c r="BM70" s="144"/>
      <c r="BN70" s="144"/>
      <c r="BO70" s="145"/>
      <c r="BP70" s="146"/>
      <c r="BQ70" s="145"/>
    </row>
    <row r="71" spans="1:69" s="148" customFormat="1" ht="15.75" thickBot="1" x14ac:dyDescent="0.3">
      <c r="A71" s="1">
        <v>35</v>
      </c>
      <c r="B71" s="1"/>
      <c r="C71" s="58" t="s">
        <v>98</v>
      </c>
      <c r="D71" s="59">
        <v>1568</v>
      </c>
      <c r="E71" s="184"/>
      <c r="F71" s="166"/>
      <c r="G71" s="166"/>
      <c r="H71" s="166"/>
      <c r="I71" s="166"/>
      <c r="J71" s="166"/>
      <c r="K71" s="166"/>
      <c r="L71" s="166"/>
      <c r="M71" s="166"/>
      <c r="N71" s="167"/>
      <c r="O71" s="168"/>
      <c r="P71" s="169"/>
      <c r="Q71" s="169"/>
      <c r="R71" s="169"/>
      <c r="S71" s="151">
        <f>O71+P71-Q71+SUM(R71:R71)</f>
        <v>0</v>
      </c>
      <c r="T71" s="169"/>
      <c r="U71" s="169"/>
      <c r="V71" s="169"/>
      <c r="W71" s="169"/>
      <c r="X71" s="152">
        <f>T71+U71-V71+W71</f>
        <v>0</v>
      </c>
      <c r="Y71" s="153">
        <f>S71</f>
        <v>0</v>
      </c>
      <c r="Z71" s="169"/>
      <c r="AA71" s="169"/>
      <c r="AB71" s="169"/>
      <c r="AC71" s="151">
        <f>Y71+Z71-AA71+SUM(AB71:AB71)</f>
        <v>0</v>
      </c>
      <c r="AD71" s="151">
        <f>X71</f>
        <v>0</v>
      </c>
      <c r="AE71" s="169"/>
      <c r="AF71" s="169"/>
      <c r="AG71" s="150"/>
      <c r="AH71" s="152">
        <f>AD71+AE71-AF71+AG71</f>
        <v>0</v>
      </c>
      <c r="AI71" s="153">
        <f>AC71</f>
        <v>0</v>
      </c>
      <c r="AJ71" s="169"/>
      <c r="AK71" s="169"/>
      <c r="AL71" s="169"/>
      <c r="AM71" s="169"/>
      <c r="AN71" s="169"/>
      <c r="AO71" s="169"/>
      <c r="AP71" s="151">
        <f>AI71+AJ71-AK71+SUM(AL71:AO71)</f>
        <v>0</v>
      </c>
      <c r="AQ71" s="151">
        <f>AH71</f>
        <v>0</v>
      </c>
      <c r="AR71" s="169"/>
      <c r="AS71" s="169"/>
      <c r="AT71" s="150"/>
      <c r="AU71" s="152">
        <f>AQ71+AR71-AS71+AT71</f>
        <v>0</v>
      </c>
      <c r="AV71" s="153">
        <f>AP71</f>
        <v>0</v>
      </c>
      <c r="AW71" s="169">
        <v>121369.83582945293</v>
      </c>
      <c r="AX71" s="169"/>
      <c r="AY71" s="169"/>
      <c r="AZ71" s="169"/>
      <c r="BA71" s="169"/>
      <c r="BB71" s="169">
        <f>93266.8342861226+27797.9705428015-4.84</f>
        <v>121059.9648289241</v>
      </c>
      <c r="BC71" s="151">
        <f>AV71+AW71-AX71+SUM(AY71:BB71)</f>
        <v>242429.80065837703</v>
      </c>
      <c r="BD71" s="151">
        <f>AU71</f>
        <v>0</v>
      </c>
      <c r="BE71" s="169">
        <v>3821.68</v>
      </c>
      <c r="BF71" s="169"/>
      <c r="BG71" s="150"/>
      <c r="BH71" s="152">
        <f>BD71+BE71-BF71+BG71</f>
        <v>3821.68</v>
      </c>
      <c r="BI71" s="170">
        <v>20505.690658377</v>
      </c>
      <c r="BJ71" s="169">
        <v>458.909999999999</v>
      </c>
      <c r="BK71" s="154">
        <f t="shared" ref="BK71" si="88">BC71-BI71</f>
        <v>221924.11000000004</v>
      </c>
      <c r="BL71" s="155">
        <f t="shared" ref="BL71" si="89">BH71-BJ71</f>
        <v>3362.7700000000009</v>
      </c>
      <c r="BM71" s="170">
        <v>3262.2799999999997</v>
      </c>
      <c r="BN71" s="169">
        <v>1087.42</v>
      </c>
      <c r="BO71" s="145">
        <f t="shared" ref="BO71" si="90">SUM(BK71:BN71)</f>
        <v>229636.58000000005</v>
      </c>
      <c r="BP71" s="171">
        <v>246251.48</v>
      </c>
      <c r="BQ71" s="145">
        <f t="shared" ref="BQ71" si="91">BP71-SUM(BC71,BH71)</f>
        <v>-6.5837701549753547E-4</v>
      </c>
    </row>
    <row r="72" spans="1:69" s="148" customFormat="1" ht="15" x14ac:dyDescent="0.25">
      <c r="A72" s="1"/>
      <c r="B72" s="1"/>
      <c r="C72" s="58"/>
      <c r="D72" s="59"/>
      <c r="E72" s="180"/>
      <c r="F72" s="151"/>
      <c r="G72" s="151"/>
      <c r="H72" s="151"/>
      <c r="I72" s="151"/>
      <c r="J72" s="151"/>
      <c r="K72" s="151"/>
      <c r="L72" s="151"/>
      <c r="M72" s="151"/>
      <c r="N72" s="151"/>
      <c r="O72" s="158"/>
      <c r="P72" s="151"/>
      <c r="Q72" s="151"/>
      <c r="R72" s="151"/>
      <c r="S72" s="151"/>
      <c r="T72" s="151"/>
      <c r="U72" s="151"/>
      <c r="V72" s="151"/>
      <c r="W72" s="151"/>
      <c r="X72" s="151"/>
      <c r="Y72" s="158"/>
      <c r="Z72" s="151"/>
      <c r="AA72" s="151"/>
      <c r="AB72" s="151"/>
      <c r="AC72" s="151"/>
      <c r="AD72" s="151"/>
      <c r="AE72" s="151"/>
      <c r="AF72" s="151"/>
      <c r="AG72" s="151"/>
      <c r="AH72" s="151"/>
      <c r="AI72" s="158"/>
      <c r="AJ72" s="151"/>
      <c r="AK72" s="151"/>
      <c r="AL72" s="151"/>
      <c r="AM72" s="151"/>
      <c r="AN72" s="151"/>
      <c r="AO72" s="151"/>
      <c r="AP72" s="151"/>
      <c r="AQ72" s="151"/>
      <c r="AR72" s="151"/>
      <c r="AS72" s="151"/>
      <c r="AT72" s="151"/>
      <c r="AU72" s="151"/>
      <c r="AV72" s="158"/>
      <c r="AW72" s="151"/>
      <c r="AX72" s="151"/>
      <c r="AY72" s="151"/>
      <c r="AZ72" s="151"/>
      <c r="BA72" s="151"/>
      <c r="BB72" s="151"/>
      <c r="BC72" s="151"/>
      <c r="BD72" s="151"/>
      <c r="BE72" s="151"/>
      <c r="BF72" s="151"/>
      <c r="BG72" s="151"/>
      <c r="BH72" s="151"/>
      <c r="BI72" s="158"/>
      <c r="BJ72" s="151"/>
      <c r="BK72" s="151"/>
      <c r="BL72" s="152"/>
      <c r="BM72" s="144"/>
      <c r="BN72" s="144"/>
      <c r="BO72" s="145"/>
      <c r="BP72" s="146"/>
      <c r="BQ72" s="145"/>
    </row>
    <row r="73" spans="1:69" s="148" customFormat="1" ht="15" x14ac:dyDescent="0.25">
      <c r="A73" s="1"/>
      <c r="B73" s="1"/>
      <c r="C73" s="58"/>
      <c r="D73" s="59"/>
      <c r="E73" s="180"/>
      <c r="F73" s="151"/>
      <c r="G73" s="151"/>
      <c r="H73" s="151"/>
      <c r="I73" s="151"/>
      <c r="J73" s="151"/>
      <c r="K73" s="151"/>
      <c r="L73" s="151"/>
      <c r="M73" s="151"/>
      <c r="N73" s="151"/>
      <c r="O73" s="158"/>
      <c r="P73" s="151"/>
      <c r="Q73" s="151"/>
      <c r="R73" s="151"/>
      <c r="S73" s="151"/>
      <c r="T73" s="151"/>
      <c r="U73" s="151"/>
      <c r="V73" s="151"/>
      <c r="W73" s="151"/>
      <c r="X73" s="151"/>
      <c r="Y73" s="158"/>
      <c r="Z73" s="151"/>
      <c r="AA73" s="151"/>
      <c r="AB73" s="151"/>
      <c r="AC73" s="151"/>
      <c r="AD73" s="151"/>
      <c r="AE73" s="151"/>
      <c r="AF73" s="151"/>
      <c r="AG73" s="151"/>
      <c r="AH73" s="151"/>
      <c r="AI73" s="158"/>
      <c r="AJ73" s="151"/>
      <c r="AK73" s="151"/>
      <c r="AL73" s="151"/>
      <c r="AM73" s="151"/>
      <c r="AN73" s="151"/>
      <c r="AO73" s="151"/>
      <c r="AP73" s="151"/>
      <c r="AQ73" s="151"/>
      <c r="AR73" s="151"/>
      <c r="AS73" s="151"/>
      <c r="AT73" s="151"/>
      <c r="AU73" s="151"/>
      <c r="AV73" s="158"/>
      <c r="AW73" s="151"/>
      <c r="AX73" s="151"/>
      <c r="AY73" s="151"/>
      <c r="AZ73" s="151"/>
      <c r="BA73" s="151"/>
      <c r="BB73" s="151"/>
      <c r="BC73" s="151"/>
      <c r="BD73" s="151"/>
      <c r="BE73" s="151"/>
      <c r="BF73" s="151"/>
      <c r="BG73" s="151"/>
      <c r="BH73" s="151"/>
      <c r="BI73" s="158"/>
      <c r="BJ73" s="151"/>
      <c r="BK73" s="151"/>
      <c r="BL73" s="152"/>
      <c r="BM73" s="144"/>
      <c r="BN73" s="144"/>
      <c r="BO73" s="145"/>
      <c r="BP73" s="146"/>
      <c r="BQ73" s="145"/>
    </row>
    <row r="74" spans="1:69" s="148" customFormat="1" ht="15" x14ac:dyDescent="0.25">
      <c r="A74" s="1"/>
      <c r="B74" s="1"/>
      <c r="C74" s="16" t="s">
        <v>147</v>
      </c>
      <c r="D74" s="15"/>
      <c r="E74" s="180">
        <f t="shared" ref="E74:AB74" si="92">E68+E71</f>
        <v>-60117.08</v>
      </c>
      <c r="F74" s="151">
        <f t="shared" si="92"/>
        <v>-157271.36888001725</v>
      </c>
      <c r="G74" s="151">
        <f t="shared" si="92"/>
        <v>0</v>
      </c>
      <c r="H74" s="151">
        <f t="shared" si="92"/>
        <v>0</v>
      </c>
      <c r="I74" s="151">
        <f t="shared" si="92"/>
        <v>-217388.44888001724</v>
      </c>
      <c r="J74" s="151">
        <f t="shared" si="92"/>
        <v>-1398.9378660000039</v>
      </c>
      <c r="K74" s="151">
        <f t="shared" si="92"/>
        <v>-1339.2682142357726</v>
      </c>
      <c r="L74" s="151">
        <f t="shared" si="92"/>
        <v>0</v>
      </c>
      <c r="M74" s="151">
        <f t="shared" si="92"/>
        <v>0</v>
      </c>
      <c r="N74" s="152">
        <f t="shared" si="92"/>
        <v>-2738.2060802357782</v>
      </c>
      <c r="O74" s="158">
        <f t="shared" si="92"/>
        <v>-217388.44888001724</v>
      </c>
      <c r="P74" s="151">
        <f t="shared" si="92"/>
        <v>-14583.573287263709</v>
      </c>
      <c r="Q74" s="151">
        <f t="shared" si="92"/>
        <v>-60117.08</v>
      </c>
      <c r="R74" s="151">
        <f t="shared" si="92"/>
        <v>697248.15854761668</v>
      </c>
      <c r="S74" s="151">
        <f t="shared" si="92"/>
        <v>525393.21638033574</v>
      </c>
      <c r="T74" s="151">
        <f t="shared" si="92"/>
        <v>-2738.2060802357782</v>
      </c>
      <c r="U74" s="151">
        <f t="shared" si="92"/>
        <v>-1412.0145733854024</v>
      </c>
      <c r="V74" s="151">
        <f t="shared" si="92"/>
        <v>-2193.0400000000009</v>
      </c>
      <c r="W74" s="151">
        <f t="shared" si="92"/>
        <v>9694.8821990593624</v>
      </c>
      <c r="X74" s="152">
        <f t="shared" si="92"/>
        <v>7737.7015454381835</v>
      </c>
      <c r="Y74" s="158">
        <f t="shared" si="92"/>
        <v>525393.21638033574</v>
      </c>
      <c r="Z74" s="151">
        <f t="shared" si="92"/>
        <v>-146501.66287964565</v>
      </c>
      <c r="AA74" s="151">
        <f t="shared" si="92"/>
        <v>16285</v>
      </c>
      <c r="AB74" s="151">
        <f t="shared" si="92"/>
        <v>0</v>
      </c>
      <c r="AC74" s="151">
        <f t="shared" ref="AC74:BP74" si="93">AC68+AC71</f>
        <v>362606.55350069015</v>
      </c>
      <c r="AD74" s="151">
        <f t="shared" si="93"/>
        <v>7737.7015454381835</v>
      </c>
      <c r="AE74" s="151">
        <f t="shared" si="93"/>
        <v>9508.6961918952293</v>
      </c>
      <c r="AF74" s="151">
        <f t="shared" si="93"/>
        <v>0</v>
      </c>
      <c r="AG74" s="151">
        <f t="shared" si="93"/>
        <v>0</v>
      </c>
      <c r="AH74" s="152">
        <f t="shared" si="93"/>
        <v>17246.39773733342</v>
      </c>
      <c r="AI74" s="158">
        <f t="shared" si="93"/>
        <v>362606.55350069015</v>
      </c>
      <c r="AJ74" s="151">
        <f t="shared" si="93"/>
        <v>-1126027.5513589985</v>
      </c>
      <c r="AK74" s="151">
        <f t="shared" si="93"/>
        <v>162931.84854761662</v>
      </c>
      <c r="AL74" s="151">
        <f t="shared" si="93"/>
        <v>0</v>
      </c>
      <c r="AM74" s="151">
        <f t="shared" si="93"/>
        <v>0</v>
      </c>
      <c r="AN74" s="151">
        <f t="shared" si="93"/>
        <v>0</v>
      </c>
      <c r="AO74" s="151">
        <f t="shared" si="93"/>
        <v>0</v>
      </c>
      <c r="AP74" s="151">
        <f t="shared" si="93"/>
        <v>-926352.84640592535</v>
      </c>
      <c r="AQ74" s="151">
        <f t="shared" si="93"/>
        <v>17246.39773733342</v>
      </c>
      <c r="AR74" s="151">
        <f t="shared" si="93"/>
        <v>-2353.900232931042</v>
      </c>
      <c r="AS74" s="151">
        <f t="shared" si="93"/>
        <v>-941665.68261650088</v>
      </c>
      <c r="AT74" s="151">
        <f t="shared" si="93"/>
        <v>0</v>
      </c>
      <c r="AU74" s="152">
        <f t="shared" si="93"/>
        <v>956558.1801209033</v>
      </c>
      <c r="AV74" s="158">
        <f t="shared" ref="AV74:BH74" si="94">AV68+AV71</f>
        <v>-926352.84640592535</v>
      </c>
      <c r="AW74" s="151">
        <f t="shared" si="94"/>
        <v>91804.72893642541</v>
      </c>
      <c r="AX74" s="151">
        <f t="shared" si="94"/>
        <v>0</v>
      </c>
      <c r="AY74" s="151">
        <f t="shared" si="94"/>
        <v>0</v>
      </c>
      <c r="AZ74" s="151">
        <f t="shared" si="94"/>
        <v>0</v>
      </c>
      <c r="BA74" s="151">
        <f t="shared" si="94"/>
        <v>0</v>
      </c>
      <c r="BB74" s="151">
        <f t="shared" si="94"/>
        <v>121059.9648289241</v>
      </c>
      <c r="BC74" s="151">
        <f t="shared" si="94"/>
        <v>-713488.15264057578</v>
      </c>
      <c r="BD74" s="151">
        <f t="shared" si="94"/>
        <v>956558.1801209033</v>
      </c>
      <c r="BE74" s="151">
        <f t="shared" si="94"/>
        <v>-9956.9309889771976</v>
      </c>
      <c r="BF74" s="151">
        <f t="shared" si="94"/>
        <v>0</v>
      </c>
      <c r="BG74" s="151">
        <f t="shared" si="94"/>
        <v>0</v>
      </c>
      <c r="BH74" s="152">
        <f t="shared" si="94"/>
        <v>946601.2491319261</v>
      </c>
      <c r="BI74" s="158">
        <f t="shared" si="93"/>
        <v>-430454.97159469983</v>
      </c>
      <c r="BJ74" s="151">
        <f t="shared" si="93"/>
        <v>-15193.816417785698</v>
      </c>
      <c r="BK74" s="151">
        <f t="shared" si="93"/>
        <v>-283033.18104587577</v>
      </c>
      <c r="BL74" s="152">
        <f t="shared" si="93"/>
        <v>961795.06554971181</v>
      </c>
      <c r="BM74" s="158">
        <f t="shared" si="93"/>
        <v>3531.728245116884</v>
      </c>
      <c r="BN74" s="151">
        <f t="shared" si="93"/>
        <v>2419.077184468988</v>
      </c>
      <c r="BO74" s="152">
        <f t="shared" si="93"/>
        <v>684712.68993342191</v>
      </c>
      <c r="BP74" s="152">
        <f t="shared" si="93"/>
        <v>270380.96000000008</v>
      </c>
      <c r="BQ74" s="145">
        <f t="shared" ref="BQ74" si="95">BP74-SUM(BC74,BH74)</f>
        <v>37267.863508649752</v>
      </c>
    </row>
    <row r="75" spans="1:69" s="148" customFormat="1" ht="15" thickBot="1" x14ac:dyDescent="0.25">
      <c r="A75" s="1"/>
      <c r="B75" s="1"/>
      <c r="C75" s="15"/>
      <c r="D75" s="15"/>
      <c r="E75" s="180"/>
      <c r="F75" s="151"/>
      <c r="G75" s="151"/>
      <c r="H75" s="151"/>
      <c r="I75" s="151"/>
      <c r="J75" s="151"/>
      <c r="K75" s="151"/>
      <c r="L75" s="151"/>
      <c r="M75" s="151"/>
      <c r="N75" s="152"/>
      <c r="O75" s="158"/>
      <c r="P75" s="151"/>
      <c r="Q75" s="151"/>
      <c r="R75" s="151"/>
      <c r="S75" s="151"/>
      <c r="T75" s="151"/>
      <c r="U75" s="151"/>
      <c r="V75" s="151"/>
      <c r="W75" s="151"/>
      <c r="X75" s="152"/>
      <c r="Y75" s="158"/>
      <c r="Z75" s="151"/>
      <c r="AA75" s="151"/>
      <c r="AB75" s="151"/>
      <c r="AC75" s="151"/>
      <c r="AD75" s="151"/>
      <c r="AE75" s="151"/>
      <c r="AF75" s="151"/>
      <c r="AG75" s="151"/>
      <c r="AH75" s="152"/>
      <c r="AI75" s="158"/>
      <c r="AJ75" s="151"/>
      <c r="AK75" s="151"/>
      <c r="AL75" s="151"/>
      <c r="AM75" s="151"/>
      <c r="AN75" s="151"/>
      <c r="AO75" s="151"/>
      <c r="AP75" s="151"/>
      <c r="AQ75" s="151"/>
      <c r="AR75" s="151"/>
      <c r="AS75" s="151"/>
      <c r="AT75" s="151"/>
      <c r="AU75" s="152"/>
      <c r="AV75" s="158"/>
      <c r="AW75" s="151"/>
      <c r="AX75" s="151"/>
      <c r="AY75" s="151"/>
      <c r="AZ75" s="151"/>
      <c r="BA75" s="151"/>
      <c r="BB75" s="151"/>
      <c r="BC75" s="151"/>
      <c r="BD75" s="151"/>
      <c r="BE75" s="151"/>
      <c r="BF75" s="151"/>
      <c r="BG75" s="151"/>
      <c r="BH75" s="152"/>
      <c r="BI75" s="158"/>
      <c r="BJ75" s="151"/>
      <c r="BK75" s="151"/>
      <c r="BL75" s="152"/>
      <c r="BM75" s="144"/>
      <c r="BN75" s="144"/>
      <c r="BO75" s="145"/>
      <c r="BP75" s="146"/>
      <c r="BQ75" s="145"/>
    </row>
    <row r="76" spans="1:69" s="148" customFormat="1" ht="17.25" thickBot="1" x14ac:dyDescent="0.25">
      <c r="A76" s="1">
        <v>36</v>
      </c>
      <c r="B76" s="1"/>
      <c r="C76" s="4" t="s">
        <v>143</v>
      </c>
      <c r="D76" s="7">
        <v>1555</v>
      </c>
      <c r="E76" s="181">
        <v>60967.60333333334</v>
      </c>
      <c r="F76" s="162">
        <v>2168451.79</v>
      </c>
      <c r="G76" s="162"/>
      <c r="H76" s="162"/>
      <c r="I76" s="151">
        <f>E76+F76-G76+H76</f>
        <v>2229419.3933333335</v>
      </c>
      <c r="J76" s="162">
        <v>2477.3502230000004</v>
      </c>
      <c r="K76" s="150">
        <v>3326.9247958333335</v>
      </c>
      <c r="L76" s="150"/>
      <c r="M76" s="150"/>
      <c r="N76" s="152">
        <f>J76+K76-L76+M76</f>
        <v>5804.2750188333339</v>
      </c>
      <c r="O76" s="153">
        <f>I76</f>
        <v>2229419.3933333335</v>
      </c>
      <c r="P76" s="162">
        <v>237904.43999999992</v>
      </c>
      <c r="Q76" s="150"/>
      <c r="R76" s="150"/>
      <c r="S76" s="151">
        <f>O76+P76-Q76+SUM(R76:R76)</f>
        <v>2467323.8333333335</v>
      </c>
      <c r="T76" s="154">
        <f>N76</f>
        <v>5804.2750188333339</v>
      </c>
      <c r="U76" s="150">
        <v>20286.187851583338</v>
      </c>
      <c r="V76" s="163"/>
      <c r="W76" s="163"/>
      <c r="X76" s="152">
        <f>T76+U76-V76+W76</f>
        <v>26090.462870416672</v>
      </c>
      <c r="Y76" s="153">
        <f>S76</f>
        <v>2467323.8333333335</v>
      </c>
      <c r="Z76" s="150">
        <v>-57300.881801587282</v>
      </c>
      <c r="AA76" s="150"/>
      <c r="AB76" s="150"/>
      <c r="AC76" s="151">
        <f>Y76+Z76-AA76+SUM(AB76:AB76)</f>
        <v>2410022.9515317464</v>
      </c>
      <c r="AD76" s="154">
        <f>X76</f>
        <v>26090.462870416672</v>
      </c>
      <c r="AE76" s="150">
        <v>40914.170779125008</v>
      </c>
      <c r="AF76" s="163"/>
      <c r="AG76" s="163"/>
      <c r="AH76" s="152">
        <f>AD76+AE76-AF76+AG76</f>
        <v>67004.633649541676</v>
      </c>
      <c r="AI76" s="153">
        <f>AC76</f>
        <v>2410022.9515317464</v>
      </c>
      <c r="AJ76" s="150">
        <v>-126240.29497301587</v>
      </c>
      <c r="AK76" s="150"/>
      <c r="AL76" s="150"/>
      <c r="AM76" s="150"/>
      <c r="AN76" s="150"/>
      <c r="AO76" s="150"/>
      <c r="AP76" s="151">
        <f>AI76+AJ76-AK76+SUM(AL76:AO76)</f>
        <v>2283782.6565587306</v>
      </c>
      <c r="AQ76" s="154">
        <f>AH76</f>
        <v>67004.633649541676</v>
      </c>
      <c r="AR76" s="150">
        <v>42212.00792305002</v>
      </c>
      <c r="AS76" s="163"/>
      <c r="AT76" s="163"/>
      <c r="AU76" s="152">
        <f>AQ76+AR76-AS76+AT76</f>
        <v>109216.6415725917</v>
      </c>
      <c r="AV76" s="153">
        <f>AP76</f>
        <v>2283782.6565587306</v>
      </c>
      <c r="AW76" s="150">
        <f>268225.75-0.02</f>
        <v>268225.73</v>
      </c>
      <c r="AX76" s="150"/>
      <c r="AY76" s="150"/>
      <c r="AZ76" s="150"/>
      <c r="BA76" s="150"/>
      <c r="BB76" s="150"/>
      <c r="BC76" s="151">
        <f>AV76+AW76-AX76+SUM(AY76:BB76)</f>
        <v>2552008.3865587306</v>
      </c>
      <c r="BD76" s="154">
        <f>AU76</f>
        <v>109216.6415725917</v>
      </c>
      <c r="BE76" s="150">
        <v>48576.542744800012</v>
      </c>
      <c r="BF76" s="163"/>
      <c r="BG76" s="163"/>
      <c r="BH76" s="152">
        <f>BD76+BE76-BF76+BG76</f>
        <v>157793.18431739172</v>
      </c>
      <c r="BI76" s="149">
        <f>2473620.09+78388.3</f>
        <v>2552008.3899999997</v>
      </c>
      <c r="BJ76" s="150">
        <f>174595.94-16798.92-3.77</f>
        <v>157793.25000000003</v>
      </c>
      <c r="BK76" s="154">
        <f t="shared" ref="BK76:BK79" si="96">BC76-BI76</f>
        <v>-3.4412690438330173E-3</v>
      </c>
      <c r="BL76" s="155">
        <f t="shared" ref="BL76:BL79" si="97">BH76-BJ76</f>
        <v>-6.568260831409134E-2</v>
      </c>
      <c r="BM76" s="156"/>
      <c r="BN76" s="150"/>
      <c r="BO76" s="145">
        <f t="shared" si="35"/>
        <v>-6.9123877357924357E-2</v>
      </c>
      <c r="BP76" s="157">
        <v>2626798.0700000003</v>
      </c>
      <c r="BQ76" s="145">
        <f t="shared" ref="BQ76:BQ79" si="98">BP76-SUM(BC76,BH76)</f>
        <v>-83003.500876122154</v>
      </c>
    </row>
    <row r="77" spans="1:69" s="148" customFormat="1" ht="17.25" thickBot="1" x14ac:dyDescent="0.25">
      <c r="A77" s="1">
        <v>37</v>
      </c>
      <c r="B77" s="1"/>
      <c r="C77" s="4" t="s">
        <v>144</v>
      </c>
      <c r="D77" s="7">
        <v>1555</v>
      </c>
      <c r="E77" s="181">
        <v>-220355.13</v>
      </c>
      <c r="F77" s="162">
        <v>-315926.38</v>
      </c>
      <c r="G77" s="162"/>
      <c r="H77" s="162"/>
      <c r="I77" s="151">
        <f>E77+F77-G77+H77</f>
        <v>-536281.51</v>
      </c>
      <c r="J77" s="162">
        <v>-12648.738885416667</v>
      </c>
      <c r="K77" s="150">
        <v>-3030.7349120833337</v>
      </c>
      <c r="L77" s="150"/>
      <c r="M77" s="150"/>
      <c r="N77" s="152">
        <f>J77+K77-L77+M77</f>
        <v>-15679.473797500001</v>
      </c>
      <c r="O77" s="153">
        <f>I77</f>
        <v>-536281.51</v>
      </c>
      <c r="P77" s="150">
        <v>-430153.94</v>
      </c>
      <c r="Q77" s="150"/>
      <c r="R77" s="150"/>
      <c r="S77" s="151">
        <f>O77+P77-Q77+SUM(R77:R77)</f>
        <v>-966435.45</v>
      </c>
      <c r="T77" s="154">
        <f>N77</f>
        <v>-15679.473797500001</v>
      </c>
      <c r="U77" s="150">
        <v>-5828.8729641666669</v>
      </c>
      <c r="V77" s="163"/>
      <c r="W77" s="163"/>
      <c r="X77" s="152">
        <f>T77+U77-V77+W77</f>
        <v>-21508.346761666668</v>
      </c>
      <c r="Y77" s="153">
        <f>S77</f>
        <v>-966435.45</v>
      </c>
      <c r="Z77" s="150">
        <v>-419904.24999999994</v>
      </c>
      <c r="AA77" s="150"/>
      <c r="AB77" s="150"/>
      <c r="AC77" s="151">
        <f>Y77+Z77-AA77+SUM(AB77:AB77)</f>
        <v>-1386339.7</v>
      </c>
      <c r="AD77" s="154">
        <f>X77</f>
        <v>-21508.346761666668</v>
      </c>
      <c r="AE77" s="150">
        <v>-17039.335141500007</v>
      </c>
      <c r="AF77" s="163"/>
      <c r="AG77" s="163"/>
      <c r="AH77" s="152">
        <f>AD77+AE77-AF77+AG77</f>
        <v>-38547.681903166675</v>
      </c>
      <c r="AI77" s="153">
        <f>AC77</f>
        <v>-1386339.7</v>
      </c>
      <c r="AJ77" s="150">
        <v>-140493.41999999995</v>
      </c>
      <c r="AK77" s="150"/>
      <c r="AL77" s="150"/>
      <c r="AM77" s="150"/>
      <c r="AN77" s="150"/>
      <c r="AO77" s="150"/>
      <c r="AP77" s="151">
        <f>AI77+AJ77-AK77+SUM(AL77:AO77)</f>
        <v>-1526833.1199999999</v>
      </c>
      <c r="AQ77" s="154">
        <f>AH77</f>
        <v>-38547.681903166675</v>
      </c>
      <c r="AR77" s="150">
        <v>-22014.978487250009</v>
      </c>
      <c r="AS77" s="163"/>
      <c r="AT77" s="163"/>
      <c r="AU77" s="152">
        <f>AQ77+AR77-AS77+AT77</f>
        <v>-60562.660390416684</v>
      </c>
      <c r="AV77" s="153">
        <f>AP77</f>
        <v>-1526833.1199999999</v>
      </c>
      <c r="AW77" s="150">
        <v>-23.889999999999993</v>
      </c>
      <c r="AX77" s="150"/>
      <c r="AY77" s="150"/>
      <c r="AZ77" s="150"/>
      <c r="BA77" s="150"/>
      <c r="BB77" s="150"/>
      <c r="BC77" s="151">
        <f>AV77+AW77-AX77+SUM(AY77:BB77)</f>
        <v>-1526857.0099999998</v>
      </c>
      <c r="BD77" s="154">
        <f>AU77</f>
        <v>-60562.660390416684</v>
      </c>
      <c r="BE77" s="150">
        <v>-22444.701125000007</v>
      </c>
      <c r="BF77" s="163"/>
      <c r="BG77" s="163"/>
      <c r="BH77" s="152">
        <f>BD77+BE77-BF77+BG77</f>
        <v>-83007.361515416691</v>
      </c>
      <c r="BI77" s="149">
        <v>-1526857.01</v>
      </c>
      <c r="BJ77" s="150">
        <f>-90488.96+7481.6</f>
        <v>-83007.360000000001</v>
      </c>
      <c r="BK77" s="154">
        <f t="shared" si="96"/>
        <v>0</v>
      </c>
      <c r="BL77" s="155">
        <f t="shared" si="97"/>
        <v>-1.5154166903812438E-3</v>
      </c>
      <c r="BM77" s="156"/>
      <c r="BN77" s="150"/>
      <c r="BO77" s="145">
        <f t="shared" si="35"/>
        <v>-1.5154166903812438E-3</v>
      </c>
      <c r="BP77" s="157">
        <v>-1526857.01</v>
      </c>
      <c r="BQ77" s="145">
        <f t="shared" si="98"/>
        <v>83007.361515416531</v>
      </c>
    </row>
    <row r="78" spans="1:69" s="148" customFormat="1" ht="17.25" thickBot="1" x14ac:dyDescent="0.25">
      <c r="A78" s="1">
        <v>38</v>
      </c>
      <c r="B78" s="1"/>
      <c r="C78" s="4" t="s">
        <v>145</v>
      </c>
      <c r="D78" s="7">
        <v>1555</v>
      </c>
      <c r="E78" s="181"/>
      <c r="F78" s="162"/>
      <c r="G78" s="162"/>
      <c r="H78" s="162"/>
      <c r="I78" s="151">
        <f>E78+F78-G78+H78</f>
        <v>0</v>
      </c>
      <c r="J78" s="162"/>
      <c r="K78" s="150"/>
      <c r="L78" s="150"/>
      <c r="M78" s="150"/>
      <c r="N78" s="152">
        <f>J78+K78-L78+M78</f>
        <v>0</v>
      </c>
      <c r="O78" s="153">
        <f>I78</f>
        <v>0</v>
      </c>
      <c r="P78" s="150"/>
      <c r="Q78" s="150"/>
      <c r="R78" s="150"/>
      <c r="S78" s="151">
        <f>O78+P78-Q78+SUM(R78:R78)</f>
        <v>0</v>
      </c>
      <c r="T78" s="154">
        <f>N78</f>
        <v>0</v>
      </c>
      <c r="U78" s="150"/>
      <c r="V78" s="150"/>
      <c r="W78" s="150"/>
      <c r="X78" s="152">
        <f>T78+U78-V78+W78</f>
        <v>0</v>
      </c>
      <c r="Y78" s="153">
        <f>S78</f>
        <v>0</v>
      </c>
      <c r="Z78" s="150"/>
      <c r="AA78" s="150"/>
      <c r="AB78" s="150"/>
      <c r="AC78" s="151">
        <f>Y78+Z78-AA78+SUM(AB78:AB78)</f>
        <v>0</v>
      </c>
      <c r="AD78" s="154">
        <f>X78</f>
        <v>0</v>
      </c>
      <c r="AE78" s="150"/>
      <c r="AF78" s="150"/>
      <c r="AG78" s="150"/>
      <c r="AH78" s="152">
        <f>AD78+AE78-AF78+AG78</f>
        <v>0</v>
      </c>
      <c r="AI78" s="153">
        <f>AC78</f>
        <v>0</v>
      </c>
      <c r="AJ78" s="150"/>
      <c r="AK78" s="150"/>
      <c r="AL78" s="150"/>
      <c r="AM78" s="150"/>
      <c r="AN78" s="150"/>
      <c r="AO78" s="150"/>
      <c r="AP78" s="151">
        <f>AI78+AJ78-AK78+SUM(AL78:AO78)</f>
        <v>0</v>
      </c>
      <c r="AQ78" s="154">
        <f>AH78</f>
        <v>0</v>
      </c>
      <c r="AR78" s="150"/>
      <c r="AS78" s="150"/>
      <c r="AT78" s="150"/>
      <c r="AU78" s="152">
        <f>AQ78+AR78-AS78+AT78</f>
        <v>0</v>
      </c>
      <c r="AV78" s="153">
        <f>AP78</f>
        <v>0</v>
      </c>
      <c r="AW78" s="150"/>
      <c r="AX78" s="150"/>
      <c r="AY78" s="150"/>
      <c r="AZ78" s="150"/>
      <c r="BA78" s="150"/>
      <c r="BB78" s="150"/>
      <c r="BC78" s="151">
        <f>AV78+AW78-AX78+SUM(AY78:BB78)</f>
        <v>0</v>
      </c>
      <c r="BD78" s="154">
        <f>AU78</f>
        <v>0</v>
      </c>
      <c r="BE78" s="150"/>
      <c r="BF78" s="150"/>
      <c r="BG78" s="150"/>
      <c r="BH78" s="152">
        <f>BD78+BE78-BF78+BG78</f>
        <v>0</v>
      </c>
      <c r="BI78" s="149">
        <v>0</v>
      </c>
      <c r="BJ78" s="150"/>
      <c r="BK78" s="154">
        <f t="shared" si="96"/>
        <v>0</v>
      </c>
      <c r="BL78" s="155">
        <f t="shared" si="97"/>
        <v>0</v>
      </c>
      <c r="BM78" s="156"/>
      <c r="BN78" s="150"/>
      <c r="BO78" s="145">
        <f t="shared" si="35"/>
        <v>0</v>
      </c>
      <c r="BP78" s="157">
        <v>0</v>
      </c>
      <c r="BQ78" s="145">
        <f t="shared" si="98"/>
        <v>0</v>
      </c>
    </row>
    <row r="79" spans="1:69" s="148" customFormat="1" ht="17.25" thickBot="1" x14ac:dyDescent="0.25">
      <c r="A79" s="1">
        <v>39</v>
      </c>
      <c r="B79" s="1"/>
      <c r="C79" s="4" t="s">
        <v>146</v>
      </c>
      <c r="D79" s="7">
        <v>1556</v>
      </c>
      <c r="E79" s="181">
        <v>14459.976666666666</v>
      </c>
      <c r="F79" s="162">
        <v>204879.51</v>
      </c>
      <c r="G79" s="162"/>
      <c r="H79" s="162"/>
      <c r="I79" s="151">
        <f>E79+F79-G79+H79</f>
        <v>219339.48666666666</v>
      </c>
      <c r="J79" s="162">
        <v>535.65618153472235</v>
      </c>
      <c r="K79" s="162">
        <v>525.20564395833333</v>
      </c>
      <c r="L79" s="162"/>
      <c r="M79" s="162"/>
      <c r="N79" s="152">
        <f>J79+K79-L79+M79</f>
        <v>1060.8618254930557</v>
      </c>
      <c r="O79" s="172">
        <f>I79</f>
        <v>219339.48666666666</v>
      </c>
      <c r="P79" s="162">
        <v>273463.97000000003</v>
      </c>
      <c r="Q79" s="162"/>
      <c r="R79" s="162"/>
      <c r="S79" s="151">
        <f>O79+P79-Q79+SUM(R79:R79)</f>
        <v>492803.45666666667</v>
      </c>
      <c r="T79" s="173">
        <f>N79</f>
        <v>1060.8618254930557</v>
      </c>
      <c r="U79" s="162">
        <v>2144.1850457916667</v>
      </c>
      <c r="V79" s="162"/>
      <c r="W79" s="162"/>
      <c r="X79" s="152">
        <f>T79+U79-V79+W79</f>
        <v>3205.0468712847223</v>
      </c>
      <c r="Y79" s="172">
        <f>S79</f>
        <v>492803.45666666667</v>
      </c>
      <c r="Z79" s="162">
        <v>369004.10080158722</v>
      </c>
      <c r="AA79" s="162"/>
      <c r="AB79" s="162"/>
      <c r="AC79" s="151">
        <f>Y79+Z79-AA79+SUM(AB79:AB79)</f>
        <v>861807.55746825389</v>
      </c>
      <c r="AD79" s="173">
        <f>X79</f>
        <v>3205.0468712847223</v>
      </c>
      <c r="AE79" s="162">
        <v>6947.0317809695825</v>
      </c>
      <c r="AF79" s="162"/>
      <c r="AG79" s="162"/>
      <c r="AH79" s="152">
        <f>AD79+AE79-AF79+AG79</f>
        <v>10152.078652254306</v>
      </c>
      <c r="AI79" s="172">
        <f>AC79</f>
        <v>861807.55746825389</v>
      </c>
      <c r="AJ79" s="162">
        <v>205329.4849730159</v>
      </c>
      <c r="AK79" s="162"/>
      <c r="AL79" s="162"/>
      <c r="AM79" s="162"/>
      <c r="AN79" s="162"/>
      <c r="AO79" s="162"/>
      <c r="AP79" s="151">
        <f>AI79+AJ79-AK79+SUM(AL79:AO79)</f>
        <v>1067137.0424412698</v>
      </c>
      <c r="AQ79" s="173">
        <f>AH79</f>
        <v>10152.078652254306</v>
      </c>
      <c r="AR79" s="162">
        <v>10037.083317208886</v>
      </c>
      <c r="AS79" s="162"/>
      <c r="AT79" s="162"/>
      <c r="AU79" s="152">
        <f>AQ79+AR79-AS79+AT79</f>
        <v>20189.161969463192</v>
      </c>
      <c r="AV79" s="172">
        <f>AP79</f>
        <v>1067137.0424412698</v>
      </c>
      <c r="AW79" s="162">
        <v>221743.00999999995</v>
      </c>
      <c r="AX79" s="162"/>
      <c r="AY79" s="162"/>
      <c r="AZ79" s="162"/>
      <c r="BA79" s="162"/>
      <c r="BB79" s="162"/>
      <c r="BC79" s="151">
        <f>AV79+AW79-AX79+SUM(AY79:BB79)</f>
        <v>1288880.0524412699</v>
      </c>
      <c r="BD79" s="173">
        <f>AU79</f>
        <v>20189.161969463192</v>
      </c>
      <c r="BE79" s="162">
        <f>11612.2400340683-3.8</f>
        <v>11608.440034068301</v>
      </c>
      <c r="BF79" s="162"/>
      <c r="BG79" s="162"/>
      <c r="BH79" s="152">
        <f>BD79+BE79-BF79+BG79</f>
        <v>31797.602003531494</v>
      </c>
      <c r="BI79" s="161">
        <f>1367278.58-78388.32-10.25</f>
        <v>1288880.01</v>
      </c>
      <c r="BJ79" s="162">
        <f>36038.13-4240.48</f>
        <v>31797.649999999998</v>
      </c>
      <c r="BK79" s="154">
        <f t="shared" si="96"/>
        <v>4.2441269848495722E-2</v>
      </c>
      <c r="BL79" s="155">
        <f t="shared" si="97"/>
        <v>-4.7996468503697542E-2</v>
      </c>
      <c r="BM79" s="174"/>
      <c r="BN79" s="162"/>
      <c r="BO79" s="145">
        <f t="shared" si="35"/>
        <v>-5.5551986552018207E-3</v>
      </c>
      <c r="BP79" s="175">
        <v>1320687.8700000001</v>
      </c>
      <c r="BQ79" s="145">
        <f t="shared" si="98"/>
        <v>10.21555519872345</v>
      </c>
    </row>
    <row r="80" spans="1:69" s="148" customFormat="1" ht="15" thickBot="1" x14ac:dyDescent="0.25">
      <c r="A80" s="1"/>
      <c r="B80" s="1"/>
      <c r="C80" s="4"/>
      <c r="D80" s="7"/>
      <c r="E80" s="180"/>
      <c r="F80" s="151"/>
      <c r="G80" s="151"/>
      <c r="H80" s="151"/>
      <c r="I80" s="151"/>
      <c r="J80" s="151"/>
      <c r="K80" s="151"/>
      <c r="L80" s="151"/>
      <c r="M80" s="151"/>
      <c r="N80" s="151"/>
      <c r="O80" s="158"/>
      <c r="P80" s="151"/>
      <c r="Q80" s="151"/>
      <c r="R80" s="151"/>
      <c r="S80" s="151"/>
      <c r="T80" s="151"/>
      <c r="U80" s="151"/>
      <c r="V80" s="151"/>
      <c r="W80" s="151"/>
      <c r="X80" s="151"/>
      <c r="Y80" s="158"/>
      <c r="Z80" s="151"/>
      <c r="AA80" s="151"/>
      <c r="AB80" s="151"/>
      <c r="AC80" s="151"/>
      <c r="AD80" s="151"/>
      <c r="AE80" s="151"/>
      <c r="AF80" s="151"/>
      <c r="AG80" s="151"/>
      <c r="AH80" s="151"/>
      <c r="AI80" s="158"/>
      <c r="AJ80" s="151"/>
      <c r="AK80" s="151"/>
      <c r="AL80" s="151"/>
      <c r="AM80" s="151"/>
      <c r="AN80" s="151"/>
      <c r="AO80" s="151"/>
      <c r="AP80" s="151"/>
      <c r="AQ80" s="151"/>
      <c r="AR80" s="151"/>
      <c r="AS80" s="151"/>
      <c r="AT80" s="151"/>
      <c r="AU80" s="151"/>
      <c r="AV80" s="158"/>
      <c r="AW80" s="151"/>
      <c r="AX80" s="151"/>
      <c r="AY80" s="151"/>
      <c r="AZ80" s="151"/>
      <c r="BA80" s="151"/>
      <c r="BB80" s="151"/>
      <c r="BC80" s="151"/>
      <c r="BD80" s="151"/>
      <c r="BE80" s="151"/>
      <c r="BF80" s="151"/>
      <c r="BG80" s="151"/>
      <c r="BH80" s="151"/>
      <c r="BI80" s="158"/>
      <c r="BJ80" s="151"/>
      <c r="BK80" s="151"/>
      <c r="BL80" s="151"/>
      <c r="BM80" s="158"/>
      <c r="BN80" s="151"/>
      <c r="BO80" s="151"/>
      <c r="BP80" s="158"/>
      <c r="BQ80" s="159"/>
    </row>
    <row r="81" spans="1:69" s="148" customFormat="1" ht="17.25" thickBot="1" x14ac:dyDescent="0.25">
      <c r="A81" s="1">
        <v>40</v>
      </c>
      <c r="B81" s="1"/>
      <c r="C81" s="28" t="s">
        <v>228</v>
      </c>
      <c r="D81" s="29">
        <v>1575</v>
      </c>
      <c r="E81" s="185"/>
      <c r="F81" s="160"/>
      <c r="G81" s="160"/>
      <c r="H81" s="160"/>
      <c r="I81" s="151"/>
      <c r="J81" s="164"/>
      <c r="K81" s="160"/>
      <c r="L81" s="160"/>
      <c r="M81" s="160"/>
      <c r="N81" s="152"/>
      <c r="O81" s="176"/>
      <c r="P81" s="160"/>
      <c r="Q81" s="160"/>
      <c r="R81" s="160"/>
      <c r="S81" s="151"/>
      <c r="T81" s="164"/>
      <c r="U81" s="160"/>
      <c r="V81" s="160"/>
      <c r="W81" s="160"/>
      <c r="X81" s="152"/>
      <c r="Y81" s="176"/>
      <c r="Z81" s="160"/>
      <c r="AA81" s="160"/>
      <c r="AB81" s="160"/>
      <c r="AC81" s="151"/>
      <c r="AD81" s="164"/>
      <c r="AE81" s="160"/>
      <c r="AF81" s="160"/>
      <c r="AG81" s="160"/>
      <c r="AH81" s="152"/>
      <c r="AI81" s="176"/>
      <c r="AJ81" s="160"/>
      <c r="AK81" s="160"/>
      <c r="AL81" s="160"/>
      <c r="AM81" s="160"/>
      <c r="AN81" s="160"/>
      <c r="AO81" s="163">
        <v>0</v>
      </c>
      <c r="AP81" s="151">
        <f>AI81+AJ81-AK81+SUM(AL81:AO81)</f>
        <v>0</v>
      </c>
      <c r="AQ81" s="164">
        <f>AH81</f>
        <v>0</v>
      </c>
      <c r="AR81" s="160"/>
      <c r="AS81" s="160"/>
      <c r="AT81" s="160"/>
      <c r="AU81" s="152">
        <f>AQ81+AR81-AS81+AT81</f>
        <v>0</v>
      </c>
      <c r="AV81" s="176"/>
      <c r="AW81" s="160"/>
      <c r="AX81" s="160"/>
      <c r="AY81" s="160"/>
      <c r="AZ81" s="160"/>
      <c r="BA81" s="160"/>
      <c r="BB81" s="163">
        <v>69206.86997326347</v>
      </c>
      <c r="BC81" s="151">
        <f>AV81+AW81-AX81+SUM(AY81:BB81)</f>
        <v>69206.86997326347</v>
      </c>
      <c r="BD81" s="164">
        <f>AU81</f>
        <v>0</v>
      </c>
      <c r="BE81" s="160"/>
      <c r="BF81" s="160"/>
      <c r="BG81" s="160"/>
      <c r="BH81" s="152">
        <f>BD81+BE81-BF81+BG81</f>
        <v>0</v>
      </c>
      <c r="BI81" s="160"/>
      <c r="BJ81" s="160"/>
      <c r="BK81" s="154">
        <f t="shared" ref="BK81:BK82" si="99">BC81-BI81</f>
        <v>69206.86997326347</v>
      </c>
      <c r="BL81" s="155">
        <f t="shared" ref="BL81:BL82" si="100">BH81-BJ81</f>
        <v>0</v>
      </c>
      <c r="BM81" s="160"/>
      <c r="BN81" s="160"/>
      <c r="BO81" s="145">
        <f>SUM(BK81:BN81)</f>
        <v>69206.86997326347</v>
      </c>
      <c r="BP81" s="175">
        <v>0</v>
      </c>
      <c r="BQ81" s="145">
        <f t="shared" ref="BQ81:BQ82" si="101">BP81-SUM(BC81,BH81)</f>
        <v>-69206.86997326347</v>
      </c>
    </row>
    <row r="82" spans="1:69" s="148" customFormat="1" ht="17.25" thickBot="1" x14ac:dyDescent="0.25">
      <c r="A82" s="1">
        <v>41</v>
      </c>
      <c r="B82" s="1"/>
      <c r="C82" s="28" t="s">
        <v>229</v>
      </c>
      <c r="D82" s="29">
        <v>1576</v>
      </c>
      <c r="E82" s="186"/>
      <c r="F82" s="160"/>
      <c r="G82" s="160"/>
      <c r="H82" s="160"/>
      <c r="I82" s="151"/>
      <c r="J82" s="154"/>
      <c r="K82" s="160"/>
      <c r="L82" s="160"/>
      <c r="M82" s="160"/>
      <c r="N82" s="152"/>
      <c r="O82" s="153"/>
      <c r="P82" s="160"/>
      <c r="Q82" s="160"/>
      <c r="R82" s="160"/>
      <c r="S82" s="151"/>
      <c r="T82" s="154"/>
      <c r="U82" s="160"/>
      <c r="V82" s="160"/>
      <c r="W82" s="160"/>
      <c r="X82" s="152"/>
      <c r="Y82" s="153"/>
      <c r="Z82" s="160"/>
      <c r="AA82" s="160"/>
      <c r="AB82" s="160"/>
      <c r="AC82" s="151"/>
      <c r="AD82" s="154"/>
      <c r="AE82" s="160"/>
      <c r="AF82" s="160"/>
      <c r="AG82" s="160"/>
      <c r="AH82" s="152"/>
      <c r="AI82" s="153"/>
      <c r="AJ82" s="160"/>
      <c r="AK82" s="160"/>
      <c r="AL82" s="160"/>
      <c r="AM82" s="160"/>
      <c r="AN82" s="160"/>
      <c r="AO82" s="163"/>
      <c r="AP82" s="151">
        <f>AI82+AJ82-AK82+SUM(AL82:AO82)</f>
        <v>0</v>
      </c>
      <c r="AQ82" s="154">
        <f>AH82</f>
        <v>0</v>
      </c>
      <c r="AR82" s="160"/>
      <c r="AS82" s="160"/>
      <c r="AT82" s="160"/>
      <c r="AU82" s="152">
        <f>AQ82+AR82-AS82+AT82</f>
        <v>0</v>
      </c>
      <c r="AV82" s="153"/>
      <c r="AW82" s="160"/>
      <c r="AX82" s="160"/>
      <c r="AY82" s="160"/>
      <c r="AZ82" s="160"/>
      <c r="BA82" s="160"/>
      <c r="BB82" s="163">
        <v>-3862584.0630856263</v>
      </c>
      <c r="BC82" s="151">
        <f>AV82+AW82-AX82+SUM(AY82:BB82)</f>
        <v>-3862584.0630856263</v>
      </c>
      <c r="BD82" s="154">
        <f>AU82</f>
        <v>0</v>
      </c>
      <c r="BE82" s="160"/>
      <c r="BF82" s="160"/>
      <c r="BG82" s="160"/>
      <c r="BH82" s="152">
        <f>BD82+BE82-BF82+BG82</f>
        <v>0</v>
      </c>
      <c r="BI82" s="160"/>
      <c r="BJ82" s="160"/>
      <c r="BK82" s="154">
        <f t="shared" si="99"/>
        <v>-3862584.0630856263</v>
      </c>
      <c r="BL82" s="155">
        <f t="shared" si="100"/>
        <v>0</v>
      </c>
      <c r="BM82" s="160"/>
      <c r="BN82" s="160"/>
      <c r="BO82" s="145">
        <f>SUM(BK82:BN82)</f>
        <v>-3862584.0630856263</v>
      </c>
      <c r="BP82" s="175">
        <v>-2297538.0299999998</v>
      </c>
      <c r="BQ82" s="145">
        <f t="shared" si="101"/>
        <v>1565046.0330856266</v>
      </c>
    </row>
    <row r="83" spans="1:69" s="148" customFormat="1" ht="15" thickBot="1" x14ac:dyDescent="0.25">
      <c r="A83" s="1"/>
      <c r="B83" s="1"/>
      <c r="C83" s="4"/>
      <c r="D83" s="7"/>
      <c r="E83" s="187"/>
      <c r="F83" s="188"/>
      <c r="G83" s="188"/>
      <c r="H83" s="188"/>
      <c r="I83" s="188"/>
      <c r="J83" s="188"/>
      <c r="K83" s="188"/>
      <c r="L83" s="188"/>
      <c r="M83" s="188"/>
      <c r="N83" s="188"/>
      <c r="O83" s="187"/>
      <c r="P83" s="188"/>
      <c r="Q83" s="188"/>
      <c r="R83" s="188"/>
      <c r="S83" s="188"/>
      <c r="T83" s="188"/>
      <c r="U83" s="188"/>
      <c r="V83" s="188"/>
      <c r="W83" s="188"/>
      <c r="X83" s="188"/>
      <c r="Y83" s="187"/>
      <c r="Z83" s="188"/>
      <c r="AA83" s="188"/>
      <c r="AB83" s="188"/>
      <c r="AC83" s="188"/>
      <c r="AD83" s="188"/>
      <c r="AE83" s="188"/>
      <c r="AF83" s="188"/>
      <c r="AG83" s="188"/>
      <c r="AH83" s="188"/>
      <c r="AI83" s="187"/>
      <c r="AJ83" s="188"/>
      <c r="AK83" s="188"/>
      <c r="AL83" s="188"/>
      <c r="AM83" s="188"/>
      <c r="AN83" s="188"/>
      <c r="AO83" s="188"/>
      <c r="AP83" s="188"/>
      <c r="AQ83" s="188"/>
      <c r="AR83" s="188"/>
      <c r="AS83" s="188"/>
      <c r="AT83" s="188"/>
      <c r="AU83" s="188"/>
      <c r="AV83" s="187"/>
      <c r="AW83" s="188"/>
      <c r="AX83" s="188"/>
      <c r="AY83" s="188"/>
      <c r="AZ83" s="188"/>
      <c r="BA83" s="188"/>
      <c r="BB83" s="188"/>
      <c r="BC83" s="188"/>
      <c r="BD83" s="188"/>
      <c r="BE83" s="188"/>
      <c r="BF83" s="188"/>
      <c r="BG83" s="188"/>
      <c r="BH83" s="188"/>
      <c r="BI83" s="187"/>
      <c r="BJ83" s="188"/>
      <c r="BK83" s="188"/>
      <c r="BL83" s="188"/>
      <c r="BM83" s="187"/>
      <c r="BN83" s="188"/>
      <c r="BO83" s="189"/>
      <c r="BP83" s="188"/>
      <c r="BQ83" s="190"/>
    </row>
    <row r="86" spans="1:69" ht="30.75" customHeight="1" x14ac:dyDescent="0.2">
      <c r="B86" s="2"/>
      <c r="C86" s="258" t="s">
        <v>51</v>
      </c>
      <c r="D86" s="258"/>
      <c r="E86" s="258"/>
      <c r="F86" s="258"/>
    </row>
    <row r="87" spans="1:69" ht="16.5" x14ac:dyDescent="0.2">
      <c r="B87" s="17">
        <v>1</v>
      </c>
      <c r="C87" s="191" t="s">
        <v>33</v>
      </c>
      <c r="D87" s="192"/>
      <c r="E87" s="193"/>
      <c r="F87" s="193"/>
      <c r="G87" s="193"/>
      <c r="H87" s="193"/>
      <c r="I87" s="193"/>
      <c r="L87" s="121"/>
      <c r="M87" s="121"/>
      <c r="V87" s="121"/>
      <c r="W87" s="121"/>
      <c r="AF87" s="121"/>
      <c r="AG87" s="121"/>
      <c r="AS87" s="121"/>
      <c r="AT87" s="121"/>
      <c r="BF87" s="121"/>
      <c r="BG87" s="121"/>
      <c r="BI87" s="121"/>
      <c r="BJ87" s="121"/>
      <c r="BK87" s="121"/>
      <c r="BL87" s="121"/>
    </row>
    <row r="88" spans="1:69" ht="16.5" x14ac:dyDescent="0.2">
      <c r="B88" s="18" t="s">
        <v>61</v>
      </c>
      <c r="C88" s="191" t="s">
        <v>46</v>
      </c>
      <c r="D88" s="192"/>
      <c r="E88" s="193"/>
      <c r="F88" s="193"/>
      <c r="G88" s="193"/>
      <c r="H88" s="193"/>
      <c r="I88" s="193"/>
      <c r="L88" s="121"/>
      <c r="M88" s="121"/>
      <c r="V88" s="121"/>
      <c r="W88" s="121"/>
      <c r="AF88" s="121"/>
      <c r="AG88" s="121"/>
      <c r="AS88" s="121"/>
      <c r="AT88" s="121"/>
      <c r="BF88" s="121"/>
      <c r="BG88" s="121"/>
      <c r="BI88" s="121"/>
      <c r="BJ88" s="121"/>
      <c r="BK88" s="121"/>
      <c r="BL88" s="121"/>
      <c r="BQ88" s="122"/>
    </row>
    <row r="89" spans="1:69" ht="16.5" x14ac:dyDescent="0.2">
      <c r="B89" s="17">
        <v>2</v>
      </c>
      <c r="C89" s="192" t="s">
        <v>35</v>
      </c>
      <c r="D89" s="192"/>
      <c r="E89" s="193"/>
      <c r="F89" s="193"/>
      <c r="G89" s="193"/>
      <c r="H89" s="193"/>
      <c r="I89" s="193"/>
      <c r="L89" s="121"/>
      <c r="M89" s="121"/>
      <c r="V89" s="121"/>
      <c r="W89" s="121"/>
      <c r="AF89" s="121"/>
      <c r="AG89" s="121"/>
      <c r="AS89" s="121"/>
      <c r="AT89" s="121"/>
      <c r="BF89" s="121"/>
      <c r="BG89" s="121"/>
      <c r="BI89" s="121"/>
      <c r="BJ89" s="121"/>
      <c r="BK89" s="121"/>
      <c r="BL89" s="121"/>
    </row>
    <row r="90" spans="1:69" ht="16.5" x14ac:dyDescent="0.2">
      <c r="B90" s="17">
        <v>3</v>
      </c>
      <c r="C90" s="191" t="s">
        <v>34</v>
      </c>
      <c r="D90" s="192"/>
      <c r="E90" s="193"/>
      <c r="F90" s="193"/>
      <c r="G90" s="193"/>
      <c r="H90" s="193"/>
      <c r="I90" s="193"/>
      <c r="L90" s="121"/>
      <c r="M90" s="121"/>
      <c r="V90" s="121"/>
      <c r="W90" s="121"/>
      <c r="AF90" s="121"/>
      <c r="AG90" s="121"/>
      <c r="AS90" s="121"/>
      <c r="AT90" s="121"/>
      <c r="BF90" s="121"/>
      <c r="BG90" s="121"/>
      <c r="BI90" s="121"/>
      <c r="BJ90" s="121"/>
      <c r="BK90" s="121"/>
      <c r="BL90" s="121"/>
    </row>
    <row r="91" spans="1:69" ht="16.5" x14ac:dyDescent="0.2">
      <c r="B91" s="17">
        <v>4</v>
      </c>
      <c r="C91" s="191" t="s">
        <v>11</v>
      </c>
      <c r="D91" s="192"/>
      <c r="E91" s="193"/>
      <c r="F91" s="193"/>
      <c r="G91" s="193"/>
      <c r="H91" s="193"/>
      <c r="I91" s="193"/>
      <c r="L91" s="121"/>
      <c r="M91" s="121"/>
      <c r="V91" s="121"/>
      <c r="W91" s="121"/>
      <c r="AF91" s="121"/>
      <c r="AG91" s="121"/>
      <c r="AS91" s="121"/>
      <c r="AT91" s="121"/>
      <c r="BF91" s="121"/>
      <c r="BG91" s="121"/>
      <c r="BI91" s="121"/>
      <c r="BJ91" s="121"/>
      <c r="BK91" s="121"/>
      <c r="BL91" s="121"/>
    </row>
    <row r="92" spans="1:69" ht="16.5" x14ac:dyDescent="0.2">
      <c r="B92" s="17">
        <v>5</v>
      </c>
      <c r="C92" s="191" t="s">
        <v>12</v>
      </c>
      <c r="D92" s="192"/>
      <c r="E92" s="193"/>
      <c r="F92" s="193"/>
      <c r="G92" s="193"/>
      <c r="H92" s="193"/>
      <c r="I92" s="193"/>
      <c r="L92" s="121"/>
      <c r="M92" s="121"/>
      <c r="V92" s="121"/>
      <c r="W92" s="121"/>
      <c r="AF92" s="121"/>
      <c r="AG92" s="121"/>
      <c r="AS92" s="121"/>
      <c r="AT92" s="121"/>
      <c r="BF92" s="121"/>
      <c r="BG92" s="121"/>
      <c r="BI92" s="121"/>
      <c r="BJ92" s="121"/>
      <c r="BK92" s="121"/>
      <c r="BL92" s="121"/>
    </row>
    <row r="93" spans="1:69" ht="16.5" customHeight="1" x14ac:dyDescent="0.2">
      <c r="B93" s="17">
        <v>6</v>
      </c>
      <c r="C93" s="250" t="s">
        <v>282</v>
      </c>
      <c r="D93" s="251"/>
      <c r="E93" s="193"/>
      <c r="F93" s="193"/>
      <c r="G93" s="193"/>
      <c r="H93" s="193"/>
      <c r="I93" s="193"/>
      <c r="L93" s="121"/>
      <c r="M93" s="121"/>
      <c r="V93" s="121"/>
      <c r="W93" s="121"/>
      <c r="AF93" s="121"/>
      <c r="AG93" s="121"/>
      <c r="AS93" s="121"/>
      <c r="AT93" s="121"/>
      <c r="BF93" s="121"/>
      <c r="BG93" s="121"/>
      <c r="BI93" s="121"/>
      <c r="BJ93" s="121"/>
      <c r="BK93" s="121"/>
      <c r="BL93" s="121"/>
    </row>
    <row r="94" spans="1:69" ht="19.5" customHeight="1" x14ac:dyDescent="0.2">
      <c r="B94" s="17"/>
      <c r="C94" s="251"/>
      <c r="D94" s="251"/>
      <c r="E94" s="193"/>
      <c r="F94" s="193"/>
      <c r="G94" s="193"/>
      <c r="H94" s="193"/>
      <c r="I94" s="193"/>
      <c r="L94" s="121"/>
      <c r="M94" s="121"/>
      <c r="V94" s="121"/>
      <c r="W94" s="121"/>
      <c r="AF94" s="121"/>
      <c r="AG94" s="121"/>
      <c r="AS94" s="121"/>
      <c r="AT94" s="121"/>
      <c r="BF94" s="121"/>
      <c r="BG94" s="121"/>
      <c r="BI94" s="121"/>
      <c r="BJ94" s="121"/>
      <c r="BK94" s="121"/>
      <c r="BL94" s="121"/>
    </row>
    <row r="95" spans="1:69" ht="3.75" customHeight="1" x14ac:dyDescent="0.2">
      <c r="B95" s="17"/>
      <c r="C95" s="251"/>
      <c r="D95" s="251"/>
      <c r="E95" s="193"/>
      <c r="F95" s="193"/>
      <c r="G95" s="193"/>
      <c r="H95" s="193"/>
      <c r="I95" s="193"/>
      <c r="L95" s="121"/>
      <c r="M95" s="121"/>
      <c r="V95" s="121"/>
      <c r="W95" s="121"/>
      <c r="AF95" s="121"/>
      <c r="AG95" s="121"/>
      <c r="AS95" s="121"/>
      <c r="AT95" s="121"/>
      <c r="BF95" s="121"/>
      <c r="BG95" s="121"/>
      <c r="BI95" s="121"/>
      <c r="BJ95" s="121"/>
      <c r="BK95" s="121"/>
      <c r="BL95" s="121"/>
    </row>
    <row r="96" spans="1:69" ht="16.5" x14ac:dyDescent="0.2">
      <c r="B96" s="17">
        <v>8</v>
      </c>
      <c r="C96" s="191" t="s">
        <v>59</v>
      </c>
      <c r="D96" s="192"/>
      <c r="E96" s="193"/>
      <c r="F96" s="193"/>
      <c r="G96" s="193"/>
      <c r="H96" s="193"/>
      <c r="I96" s="193"/>
    </row>
    <row r="97" spans="2:9" x14ac:dyDescent="0.2">
      <c r="C97" s="191" t="s">
        <v>76</v>
      </c>
      <c r="D97" s="192"/>
      <c r="E97" s="193"/>
      <c r="F97" s="193"/>
      <c r="G97" s="193"/>
      <c r="H97" s="193"/>
      <c r="I97" s="193"/>
    </row>
    <row r="98" spans="2:9" ht="14.25" x14ac:dyDescent="0.2">
      <c r="C98" s="191" t="s">
        <v>60</v>
      </c>
      <c r="D98" s="194"/>
      <c r="E98" s="193"/>
      <c r="F98" s="193"/>
      <c r="G98" s="193"/>
      <c r="H98" s="193"/>
      <c r="I98" s="193"/>
    </row>
    <row r="99" spans="2:9" ht="40.5" customHeight="1" x14ac:dyDescent="0.2">
      <c r="B99" s="118">
        <v>9</v>
      </c>
      <c r="C99" s="250" t="s">
        <v>155</v>
      </c>
      <c r="D99" s="250"/>
      <c r="E99" s="250"/>
      <c r="F99" s="250"/>
      <c r="G99" s="250"/>
      <c r="H99" s="250"/>
      <c r="I99" s="250"/>
    </row>
    <row r="100" spans="2:9" ht="16.5" x14ac:dyDescent="0.2">
      <c r="B100" s="17">
        <v>10</v>
      </c>
      <c r="C100" s="191" t="s">
        <v>73</v>
      </c>
      <c r="D100" s="192"/>
      <c r="E100" s="193"/>
      <c r="F100" s="193"/>
      <c r="G100" s="193"/>
      <c r="H100" s="193"/>
      <c r="I100" s="193"/>
    </row>
    <row r="101" spans="2:9" x14ac:dyDescent="0.2">
      <c r="C101" s="191" t="s">
        <v>74</v>
      </c>
      <c r="D101" s="192"/>
      <c r="E101" s="193"/>
      <c r="F101" s="193"/>
      <c r="G101" s="193"/>
      <c r="H101" s="193"/>
      <c r="I101" s="193"/>
    </row>
  </sheetData>
  <sheetProtection password="F8BD" sheet="1" objects="1" scenarios="1"/>
  <mergeCells count="77">
    <mergeCell ref="C99:I99"/>
    <mergeCell ref="AV19:BH19"/>
    <mergeCell ref="AV20:AV22"/>
    <mergeCell ref="AW20:AW22"/>
    <mergeCell ref="AX20:AX22"/>
    <mergeCell ref="AY20:AY22"/>
    <mergeCell ref="AZ20:AZ22"/>
    <mergeCell ref="BA20:BA22"/>
    <mergeCell ref="BB20:BB22"/>
    <mergeCell ref="BC20:BC22"/>
    <mergeCell ref="BD20:BD22"/>
    <mergeCell ref="BE20:BE22"/>
    <mergeCell ref="BF20:BF22"/>
    <mergeCell ref="BG20:BG22"/>
    <mergeCell ref="BH20:BH22"/>
    <mergeCell ref="Y19:AH19"/>
    <mergeCell ref="C93:D95"/>
    <mergeCell ref="C20:C22"/>
    <mergeCell ref="D20:D22"/>
    <mergeCell ref="M20:M22"/>
    <mergeCell ref="I20:I22"/>
    <mergeCell ref="L20:L22"/>
    <mergeCell ref="J20:J22"/>
    <mergeCell ref="G20:G22"/>
    <mergeCell ref="H20:H22"/>
    <mergeCell ref="C86:F86"/>
    <mergeCell ref="O19:X19"/>
    <mergeCell ref="AF20:AF22"/>
    <mergeCell ref="AG20:AG22"/>
    <mergeCell ref="W20:W22"/>
    <mergeCell ref="BP20:BP22"/>
    <mergeCell ref="BJ20:BJ22"/>
    <mergeCell ref="BI19:BL19"/>
    <mergeCell ref="BK20:BK22"/>
    <mergeCell ref="BL20:BL22"/>
    <mergeCell ref="BI20:BI22"/>
    <mergeCell ref="AH20:AH22"/>
    <mergeCell ref="U20:U22"/>
    <mergeCell ref="AE20:AE22"/>
    <mergeCell ref="X20:X22"/>
    <mergeCell ref="V20:V22"/>
    <mergeCell ref="O20:O22"/>
    <mergeCell ref="BQ20:BQ22"/>
    <mergeCell ref="BM19:BO19"/>
    <mergeCell ref="BO20:BO22"/>
    <mergeCell ref="BN20:BN22"/>
    <mergeCell ref="BM20:BM22"/>
    <mergeCell ref="E19:N19"/>
    <mergeCell ref="E20:E22"/>
    <mergeCell ref="F20:F22"/>
    <mergeCell ref="AI19:AU19"/>
    <mergeCell ref="AI20:AI22"/>
    <mergeCell ref="AJ20:AJ22"/>
    <mergeCell ref="AK20:AK22"/>
    <mergeCell ref="AL20:AL22"/>
    <mergeCell ref="AM20:AM22"/>
    <mergeCell ref="AN20:AN22"/>
    <mergeCell ref="AO20:AO22"/>
    <mergeCell ref="AP20:AP22"/>
    <mergeCell ref="AQ20:AQ22"/>
    <mergeCell ref="R20:R22"/>
    <mergeCell ref="S20:S22"/>
    <mergeCell ref="T20:T22"/>
    <mergeCell ref="AU20:AU22"/>
    <mergeCell ref="AR20:AR22"/>
    <mergeCell ref="AS20:AS22"/>
    <mergeCell ref="AT20:AT22"/>
    <mergeCell ref="K20:K22"/>
    <mergeCell ref="AD20:AD22"/>
    <mergeCell ref="N20:N22"/>
    <mergeCell ref="P20:P22"/>
    <mergeCell ref="Q20:Q22"/>
    <mergeCell ref="Y20:Y22"/>
    <mergeCell ref="Z20:Z22"/>
    <mergeCell ref="AA20:AA22"/>
    <mergeCell ref="AB20:AB22"/>
    <mergeCell ref="AC20:AC22"/>
  </mergeCells>
  <phoneticPr fontId="13" type="noConversion"/>
  <pageMargins left="0.36" right="0.41" top="0.64" bottom="0.98425196850393704" header="0.32" footer="0.511811023622047"/>
  <pageSetup scale="34" orientation="landscape" r:id="rId1"/>
  <headerFooter alignWithMargins="0">
    <oddFooter>&amp;A</oddFooter>
  </headerFooter>
  <rowBreaks count="1" manualBreakCount="1">
    <brk id="84" max="16383" man="1"/>
  </rowBreaks>
  <colBreaks count="6" manualBreakCount="6">
    <brk id="4" max="1048575" man="1"/>
    <brk id="14" max="1048575" man="1"/>
    <brk id="24" max="1048575" man="1"/>
    <brk id="34" max="1048575" man="1"/>
    <brk id="47" max="83" man="1"/>
    <brk id="60" max="8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67"/>
  <sheetViews>
    <sheetView showGridLines="0" view="pageBreakPreview" topLeftCell="A33" zoomScale="60" zoomScaleNormal="70" workbookViewId="0">
      <selection activeCell="E61" sqref="E61:E62"/>
    </sheetView>
  </sheetViews>
  <sheetFormatPr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62" t="s">
        <v>126</v>
      </c>
      <c r="C16" s="262"/>
      <c r="D16" s="262"/>
      <c r="E16" s="262"/>
    </row>
    <row r="18" spans="1:6" ht="38.25" customHeight="1" thickBot="1" x14ac:dyDescent="0.25">
      <c r="B18"/>
      <c r="C18"/>
      <c r="D18"/>
    </row>
    <row r="19" spans="1:6" ht="29.25" thickBot="1" x14ac:dyDescent="0.5">
      <c r="C19" s="24"/>
      <c r="D19" s="21"/>
      <c r="E19" s="22"/>
      <c r="F19" s="21"/>
    </row>
    <row r="20" spans="1:6" ht="14.25" customHeight="1" x14ac:dyDescent="0.2">
      <c r="C20" s="259" t="s">
        <v>24</v>
      </c>
      <c r="D20" s="256" t="s">
        <v>0</v>
      </c>
      <c r="E20" s="227" t="s">
        <v>265</v>
      </c>
      <c r="F20" s="255" t="s">
        <v>30</v>
      </c>
    </row>
    <row r="21" spans="1:6" ht="24.75" customHeight="1" x14ac:dyDescent="0.2">
      <c r="C21" s="260"/>
      <c r="D21" s="256"/>
      <c r="E21" s="228"/>
      <c r="F21" s="256"/>
    </row>
    <row r="22" spans="1:6" ht="36.75" customHeight="1" thickBot="1" x14ac:dyDescent="0.25">
      <c r="B22" s="19"/>
      <c r="C22" s="261"/>
      <c r="D22" s="257"/>
      <c r="E22" s="229"/>
      <c r="F22" s="257"/>
    </row>
    <row r="23" spans="1:6" ht="33.75" customHeight="1" x14ac:dyDescent="0.2">
      <c r="C23" s="27" t="s">
        <v>37</v>
      </c>
      <c r="D23" s="20"/>
      <c r="E23" s="23"/>
      <c r="F23" s="6"/>
    </row>
    <row r="24" spans="1:6" ht="30.75" customHeight="1" x14ac:dyDescent="0.2">
      <c r="A24" s="1">
        <v>1</v>
      </c>
      <c r="C24" s="33" t="s">
        <v>39</v>
      </c>
      <c r="D24" s="32">
        <v>1550</v>
      </c>
      <c r="E24" s="25">
        <f>IF(ISERROR(VLOOKUP($A24, '2. 2014 Continuity Schedule'!$A$20:$BQ$85, MATCH('3. Appendix A'!$E$20, '2. 2014 Continuity Schedule'!$A$20:$BQ$20,0),FALSE)), 0, VLOOKUP($A24, '2. 2014 Continuity Schedule'!$A$20:$BQ$85, MATCH('3. Appendix A'!$E$20, '2. 2014 Continuity Schedule'!$A$20:$BQ$20,0),FALSE))</f>
        <v>-1.487450427521253E-2</v>
      </c>
      <c r="F24" s="30"/>
    </row>
    <row r="25" spans="1:6" ht="30.75" customHeight="1" x14ac:dyDescent="0.2">
      <c r="A25" s="1">
        <v>2</v>
      </c>
      <c r="C25" s="33" t="s">
        <v>244</v>
      </c>
      <c r="D25" s="32">
        <v>1551</v>
      </c>
      <c r="E25" s="25">
        <f>IF(ISERROR(VLOOKUP($A25, '2. 2014 Continuity Schedule'!$A$20:$BQ$85, MATCH('3. Appendix A'!$E$20, '2. 2014 Continuity Schedule'!$A$20:$BQ$20,0),FALSE)), 0, VLOOKUP($A25, '2. 2014 Continuity Schedule'!$A$20:$BQ$85, MATCH('3. Appendix A'!$E$20, '2. 2014 Continuity Schedule'!$A$20:$BQ$20,0),FALSE))</f>
        <v>-7.7894999958516564E-3</v>
      </c>
      <c r="F25" s="30"/>
    </row>
    <row r="26" spans="1:6" ht="30.75" customHeight="1" x14ac:dyDescent="0.2">
      <c r="A26" s="1">
        <v>3</v>
      </c>
      <c r="C26" s="33" t="s">
        <v>1</v>
      </c>
      <c r="D26" s="32">
        <v>1580</v>
      </c>
      <c r="E26" s="25">
        <f>IF(ISERROR(VLOOKUP($A26, '2. 2014 Continuity Schedule'!$A$20:$BQ$85, MATCH('3. Appendix A'!$E$20, '2. 2014 Continuity Schedule'!$A$20:$BQ$20,0),FALSE)), 0, VLOOKUP($A26, '2. 2014 Continuity Schedule'!$A$20:$BQ$85, MATCH('3. Appendix A'!$E$20, '2. 2014 Continuity Schedule'!$A$20:$BQ$20,0),FALSE))</f>
        <v>-2.4940217146649957E-2</v>
      </c>
      <c r="F26" s="30"/>
    </row>
    <row r="27" spans="1:6" ht="30.75" customHeight="1" x14ac:dyDescent="0.2">
      <c r="A27" s="1">
        <v>4</v>
      </c>
      <c r="C27" s="33" t="s">
        <v>2</v>
      </c>
      <c r="D27" s="32">
        <v>1584</v>
      </c>
      <c r="E27" s="25">
        <f>IF(ISERROR(VLOOKUP($A27, '2. 2014 Continuity Schedule'!$A$20:$BQ$85, MATCH('3. Appendix A'!$E$20, '2. 2014 Continuity Schedule'!$A$20:$BQ$20,0),FALSE)), 0, VLOOKUP($A27, '2. 2014 Continuity Schedule'!$A$20:$BQ$85, MATCH('3. Appendix A'!$E$20, '2. 2014 Continuity Schedule'!$A$20:$BQ$20,0),FALSE))</f>
        <v>2.566998079419136E-2</v>
      </c>
      <c r="F27" s="30"/>
    </row>
    <row r="28" spans="1:6" ht="30.75" customHeight="1" x14ac:dyDescent="0.2">
      <c r="A28" s="1">
        <v>5</v>
      </c>
      <c r="C28" s="33" t="s">
        <v>3</v>
      </c>
      <c r="D28" s="32">
        <v>1586</v>
      </c>
      <c r="E28" s="25">
        <f>IF(ISERROR(VLOOKUP($A28, '2. 2014 Continuity Schedule'!$A$20:$BQ$85, MATCH('3. Appendix A'!$E$20, '2. 2014 Continuity Schedule'!$A$20:$BQ$20,0),FALSE)), 0, VLOOKUP($A28, '2. 2014 Continuity Schedule'!$A$20:$BQ$85, MATCH('3. Appendix A'!$E$20, '2. 2014 Continuity Schedule'!$A$20:$BQ$20,0),FALSE))</f>
        <v>3.3258952491451055E-2</v>
      </c>
      <c r="F28" s="30"/>
    </row>
    <row r="29" spans="1:6" ht="30.75" customHeight="1" x14ac:dyDescent="0.2">
      <c r="A29" s="1">
        <v>6</v>
      </c>
      <c r="C29" s="33" t="s">
        <v>75</v>
      </c>
      <c r="D29" s="32">
        <v>1588</v>
      </c>
      <c r="E29" s="25">
        <f>IF(ISERROR(VLOOKUP($A29, '2. 2014 Continuity Schedule'!$A$20:$BQ$85, MATCH('3. Appendix A'!$E$20, '2. 2014 Continuity Schedule'!$A$20:$BQ$20,0),FALSE)), 0, VLOOKUP($A29, '2. 2014 Continuity Schedule'!$A$20:$BQ$85, MATCH('3. Appendix A'!$E$20, '2. 2014 Continuity Schedule'!$A$20:$BQ$20,0),FALSE))</f>
        <v>-4.7893555391055997E-2</v>
      </c>
      <c r="F29" s="30"/>
    </row>
    <row r="30" spans="1:6" ht="30.75" customHeight="1" x14ac:dyDescent="0.2">
      <c r="A30" s="1">
        <v>7</v>
      </c>
      <c r="C30" s="33" t="s">
        <v>127</v>
      </c>
      <c r="D30" s="32">
        <v>1589</v>
      </c>
      <c r="E30" s="25">
        <f>IF(ISERROR(VLOOKUP($A30, '2. 2014 Continuity Schedule'!$A$20:$BQ$85, MATCH('3. Appendix A'!$E$20, '2. 2014 Continuity Schedule'!$A$20:$BQ$20,0),FALSE)), 0, VLOOKUP($A30, '2. 2014 Continuity Schedule'!$A$20:$BQ$85, MATCH('3. Appendix A'!$E$20, '2. 2014 Continuity Schedule'!$A$20:$BQ$20,0),FALSE))</f>
        <v>4.9478282802738249E-2</v>
      </c>
      <c r="F30" s="30"/>
    </row>
    <row r="31" spans="1:6" ht="30.75" hidden="1" customHeight="1" x14ac:dyDescent="0.2">
      <c r="A31" s="1">
        <v>8</v>
      </c>
      <c r="C31" s="35" t="s">
        <v>108</v>
      </c>
      <c r="D31" s="32">
        <v>1595</v>
      </c>
      <c r="E31" s="25">
        <f>IF(ISERROR(VLOOKUP($A31, '2. 2014 Continuity Schedule'!$A$20:$BQ$85, MATCH('3. Appendix A'!$E$20, '2. 2014 Continuity Schedule'!$A$20:$BQ$20,0),FALSE)), 0, VLOOKUP($A31, '2. 2014 Continuity Schedule'!$A$20:$BQ$85, MATCH('3. Appendix A'!$E$20, '2. 2014 Continuity Schedule'!$A$20:$BQ$20,0),FALSE))</f>
        <v>0</v>
      </c>
      <c r="F31" s="30"/>
    </row>
    <row r="32" spans="1:6" ht="30.75" hidden="1" customHeight="1" x14ac:dyDescent="0.2">
      <c r="A32" s="1">
        <v>9</v>
      </c>
      <c r="C32" s="35" t="s">
        <v>109</v>
      </c>
      <c r="D32" s="32">
        <v>1595</v>
      </c>
      <c r="E32" s="25">
        <f>IF(ISERROR(VLOOKUP($A32, '2. 2014 Continuity Schedule'!$A$20:$BQ$85, MATCH('3. Appendix A'!$E$20, '2. 2014 Continuity Schedule'!$A$20:$BQ$20,0),FALSE)), 0, VLOOKUP($A32, '2. 2014 Continuity Schedule'!$A$20:$BQ$85, MATCH('3. Appendix A'!$E$20, '2. 2014 Continuity Schedule'!$A$20:$BQ$20,0),FALSE))</f>
        <v>0</v>
      </c>
      <c r="F32" s="30"/>
    </row>
    <row r="33" spans="1:6" ht="30.75" customHeight="1" x14ac:dyDescent="0.2">
      <c r="A33" s="1">
        <v>10</v>
      </c>
      <c r="C33" s="35" t="s">
        <v>110</v>
      </c>
      <c r="D33" s="32">
        <v>1595</v>
      </c>
      <c r="E33" s="25">
        <f>IF(ISERROR(VLOOKUP($A33, '2. 2014 Continuity Schedule'!$A$20:$BQ$85, MATCH('3. Appendix A'!$E$20, '2. 2014 Continuity Schedule'!$A$20:$BQ$20,0),FALSE)), 0, VLOOKUP($A33, '2. 2014 Continuity Schedule'!$A$20:$BQ$85, MATCH('3. Appendix A'!$E$20, '2. 2014 Continuity Schedule'!$A$20:$BQ$20,0),FALSE))</f>
        <v>1445.2756864743333</v>
      </c>
      <c r="F33" s="208" t="s">
        <v>300</v>
      </c>
    </row>
    <row r="34" spans="1:6" ht="30.75" hidden="1" customHeight="1" x14ac:dyDescent="0.2">
      <c r="A34" s="1">
        <v>11</v>
      </c>
      <c r="C34" s="35" t="s">
        <v>227</v>
      </c>
      <c r="D34" s="32">
        <v>1595</v>
      </c>
      <c r="E34" s="25">
        <f>IF(ISERROR(VLOOKUP($A34, '2. 2014 Continuity Schedule'!$A$20:$BQ$85, MATCH('3. Appendix A'!$E$20, '2. 2014 Continuity Schedule'!$A$20:$BQ$20,0),FALSE)), 0, VLOOKUP($A34, '2. 2014 Continuity Schedule'!$A$20:$BQ$85, MATCH('3. Appendix A'!$E$20, '2. 2014 Continuity Schedule'!$A$20:$BQ$20,0),FALSE))</f>
        <v>0</v>
      </c>
      <c r="F34" s="30"/>
    </row>
    <row r="35" spans="1:6" ht="30.75" customHeight="1" x14ac:dyDescent="0.2">
      <c r="A35" s="1">
        <v>12</v>
      </c>
      <c r="C35" s="35" t="s">
        <v>274</v>
      </c>
      <c r="D35" s="32">
        <v>1595</v>
      </c>
      <c r="E35" s="25">
        <f>IF(ISERROR(VLOOKUP($A35, '2. 2014 Continuity Schedule'!$A$20:$BQ$85, MATCH('3. Appendix A'!$E$20, '2. 2014 Continuity Schedule'!$A$20:$BQ$20,0),FALSE)), 0, VLOOKUP($A35, '2. 2014 Continuity Schedule'!$A$20:$BQ$85, MATCH('3. Appendix A'!$E$20, '2. 2014 Continuity Schedule'!$A$20:$BQ$20,0),FALSE))</f>
        <v>1.2358999927528203E-2</v>
      </c>
      <c r="F35" s="30"/>
    </row>
    <row r="36" spans="1:6" ht="30.75" customHeight="1" x14ac:dyDescent="0.2">
      <c r="C36" s="35"/>
      <c r="D36" s="32"/>
      <c r="E36" s="25"/>
      <c r="F36" s="117"/>
    </row>
    <row r="37" spans="1:6" ht="30.75" customHeight="1" thickBot="1" x14ac:dyDescent="0.25">
      <c r="C37" s="27" t="s">
        <v>38</v>
      </c>
      <c r="D37" s="26"/>
      <c r="E37" s="25"/>
      <c r="F37" s="205"/>
    </row>
    <row r="38" spans="1:6" ht="30.75" customHeight="1" x14ac:dyDescent="0.2">
      <c r="A38" s="1">
        <v>13</v>
      </c>
      <c r="C38" s="33" t="s">
        <v>44</v>
      </c>
      <c r="D38" s="32">
        <v>1508</v>
      </c>
      <c r="E38" s="25">
        <f>IF(ISERROR(VLOOKUP($A38, '2. 2014 Continuity Schedule'!$A$20:$BQ$85, MATCH('3. Appendix A'!$E$20, '2. 2014 Continuity Schedule'!$A$20:$BQ$20,0),FALSE)), 0, VLOOKUP($A38, '2. 2014 Continuity Schedule'!$A$20:$BQ$85, MATCH('3. Appendix A'!$E$20, '2. 2014 Continuity Schedule'!$A$20:$BQ$20,0),FALSE))</f>
        <v>-4.1521566672599874E-2</v>
      </c>
      <c r="F38" s="204"/>
    </row>
    <row r="39" spans="1:6" ht="30.75" hidden="1" customHeight="1" x14ac:dyDescent="0.2">
      <c r="A39" s="1">
        <v>14</v>
      </c>
      <c r="C39" s="33" t="s">
        <v>45</v>
      </c>
      <c r="D39" s="32">
        <v>1508</v>
      </c>
      <c r="E39" s="25">
        <f>IF(ISERROR(VLOOKUP($A39, '2. 2014 Continuity Schedule'!$A$20:$BQ$85, MATCH('3. Appendix A'!$E$20, '2. 2014 Continuity Schedule'!$A$20:$BQ$20,0),FALSE)), 0, VLOOKUP($A39, '2. 2014 Continuity Schedule'!$A$20:$BQ$85, MATCH('3. Appendix A'!$E$20, '2. 2014 Continuity Schedule'!$A$20:$BQ$20,0),FALSE))</f>
        <v>0</v>
      </c>
      <c r="F39" s="30"/>
    </row>
    <row r="40" spans="1:6" ht="30.75" hidden="1" customHeight="1" x14ac:dyDescent="0.2">
      <c r="A40" s="1">
        <v>15</v>
      </c>
      <c r="C40" s="34" t="s">
        <v>111</v>
      </c>
      <c r="D40" s="32">
        <v>1508</v>
      </c>
      <c r="E40" s="25">
        <f>IF(ISERROR(VLOOKUP($A40, '2. 2014 Continuity Schedule'!$A$20:$BQ$85, MATCH('3. Appendix A'!$E$20, '2. 2014 Continuity Schedule'!$A$20:$BQ$20,0),FALSE)), 0, VLOOKUP($A40, '2. 2014 Continuity Schedule'!$A$20:$BQ$85, MATCH('3. Appendix A'!$E$20, '2. 2014 Continuity Schedule'!$A$20:$BQ$20,0),FALSE))</f>
        <v>0</v>
      </c>
      <c r="F40" s="30"/>
    </row>
    <row r="41" spans="1:6" ht="30.75" hidden="1" customHeight="1" x14ac:dyDescent="0.2">
      <c r="A41" s="1">
        <v>16</v>
      </c>
      <c r="C41" s="34" t="s">
        <v>58</v>
      </c>
      <c r="D41" s="32">
        <v>1508</v>
      </c>
      <c r="E41" s="25">
        <f>IF(ISERROR(VLOOKUP($A41, '2. 2014 Continuity Schedule'!$A$20:$BQ$85, MATCH('3. Appendix A'!$E$20, '2. 2014 Continuity Schedule'!$A$20:$BQ$20,0),FALSE)), 0, VLOOKUP($A41, '2. 2014 Continuity Schedule'!$A$20:$BQ$85, MATCH('3. Appendix A'!$E$20, '2. 2014 Continuity Schedule'!$A$20:$BQ$20,0),FALSE))</f>
        <v>0</v>
      </c>
      <c r="F41" s="30"/>
    </row>
    <row r="42" spans="1:6" ht="30.75" customHeight="1" x14ac:dyDescent="0.2">
      <c r="A42" s="1">
        <v>17</v>
      </c>
      <c r="C42" s="34" t="s">
        <v>273</v>
      </c>
      <c r="D42" s="32">
        <v>1508</v>
      </c>
      <c r="E42" s="25">
        <f>IF(ISERROR(VLOOKUP($A42, '2. 2014 Continuity Schedule'!$A$20:$BQ$85, MATCH('3. Appendix A'!$E$20, '2. 2014 Continuity Schedule'!$A$20:$BQ$20,0),FALSE)), 0, VLOOKUP($A42, '2. 2014 Continuity Schedule'!$A$20:$BQ$85, MATCH('3. Appendix A'!$E$20, '2. 2014 Continuity Schedule'!$A$20:$BQ$20,0),FALSE))</f>
        <v>371.3378130831444</v>
      </c>
      <c r="F42" s="30"/>
    </row>
    <row r="43" spans="1:6" ht="30.75" customHeight="1" x14ac:dyDescent="0.2">
      <c r="A43" s="1">
        <v>18</v>
      </c>
      <c r="C43" s="34" t="s">
        <v>4</v>
      </c>
      <c r="D43" s="32">
        <v>1518</v>
      </c>
      <c r="E43" s="25">
        <f>IF(ISERROR(VLOOKUP($A43, '2. 2014 Continuity Schedule'!$A$20:$BQ$85, MATCH('3. Appendix A'!$E$20, '2. 2014 Continuity Schedule'!$A$20:$BQ$20,0),FALSE)), 0, VLOOKUP($A43, '2. 2014 Continuity Schedule'!$A$20:$BQ$85, MATCH('3. Appendix A'!$E$20, '2. 2014 Continuity Schedule'!$A$20:$BQ$20,0),FALSE))</f>
        <v>5.4835833143442869E-3</v>
      </c>
      <c r="F43" s="30"/>
    </row>
    <row r="44" spans="1:6" ht="30.75" customHeight="1" x14ac:dyDescent="0.2">
      <c r="A44" s="1">
        <v>19</v>
      </c>
      <c r="C44" s="33" t="s">
        <v>9</v>
      </c>
      <c r="D44" s="32">
        <v>1525</v>
      </c>
      <c r="E44" s="25">
        <f>IF(ISERROR(VLOOKUP($A44, '2. 2014 Continuity Schedule'!$A$20:$BQ$85, MATCH('3. Appendix A'!$E$20, '2. 2014 Continuity Schedule'!$A$20:$BQ$20,0),FALSE)), 0, VLOOKUP($A44, '2. 2014 Continuity Schedule'!$A$20:$BQ$85, MATCH('3. Appendix A'!$E$20, '2. 2014 Continuity Schedule'!$A$20:$BQ$20,0),FALSE))</f>
        <v>37291.31</v>
      </c>
      <c r="F44" s="208" t="s">
        <v>303</v>
      </c>
    </row>
    <row r="45" spans="1:6" ht="30.75" hidden="1" customHeight="1" x14ac:dyDescent="0.2">
      <c r="A45" s="1">
        <v>20</v>
      </c>
      <c r="C45" s="33" t="s">
        <v>41</v>
      </c>
      <c r="D45" s="32">
        <v>1531</v>
      </c>
      <c r="E45" s="25">
        <f>IF(ISERROR(VLOOKUP($A45, '2. 2014 Continuity Schedule'!$A$20:$BQ$85, MATCH('3. Appendix A'!$E$20, '2. 2014 Continuity Schedule'!$A$20:$BQ$20,0),FALSE)), 0, VLOOKUP($A45, '2. 2014 Continuity Schedule'!$A$20:$BQ$85, MATCH('3. Appendix A'!$E$20, '2. 2014 Continuity Schedule'!$A$20:$BQ$20,0),FALSE))</f>
        <v>0</v>
      </c>
      <c r="F45" s="30"/>
    </row>
    <row r="46" spans="1:6" ht="30.75" hidden="1" customHeight="1" x14ac:dyDescent="0.2">
      <c r="A46" s="1">
        <v>21</v>
      </c>
      <c r="C46" s="33" t="s">
        <v>42</v>
      </c>
      <c r="D46" s="32">
        <v>1532</v>
      </c>
      <c r="E46" s="25">
        <f>IF(ISERROR(VLOOKUP($A46, '2. 2014 Continuity Schedule'!$A$20:$BQ$85, MATCH('3. Appendix A'!$E$20, '2. 2014 Continuity Schedule'!$A$20:$BQ$20,0),FALSE)), 0, VLOOKUP($A46, '2. 2014 Continuity Schedule'!$A$20:$BQ$85, MATCH('3. Appendix A'!$E$20, '2. 2014 Continuity Schedule'!$A$20:$BQ$20,0),FALSE))</f>
        <v>0</v>
      </c>
      <c r="F46" s="30"/>
    </row>
    <row r="47" spans="1:6" ht="30.75" hidden="1" customHeight="1" x14ac:dyDescent="0.2">
      <c r="A47" s="1">
        <v>22</v>
      </c>
      <c r="C47" s="33" t="s">
        <v>25</v>
      </c>
      <c r="D47" s="32">
        <v>1533</v>
      </c>
      <c r="E47" s="25">
        <f>IF(ISERROR(VLOOKUP($A47, '2. 2014 Continuity Schedule'!$A$20:$BQ$85, MATCH('3. Appendix A'!$E$20, '2. 2014 Continuity Schedule'!$A$20:$BQ$20,0),FALSE)), 0, VLOOKUP($A47, '2. 2014 Continuity Schedule'!$A$20:$BQ$85, MATCH('3. Appendix A'!$E$20, '2. 2014 Continuity Schedule'!$A$20:$BQ$20,0),FALSE))</f>
        <v>0</v>
      </c>
      <c r="F47" s="30"/>
    </row>
    <row r="48" spans="1:6" ht="30.75" customHeight="1" x14ac:dyDescent="0.2">
      <c r="A48" s="1">
        <v>23</v>
      </c>
      <c r="C48" s="33" t="s">
        <v>17</v>
      </c>
      <c r="D48" s="32">
        <v>1534</v>
      </c>
      <c r="E48" s="25">
        <f>IF(ISERROR(VLOOKUP($A48, '2. 2014 Continuity Schedule'!$A$20:$BQ$85, MATCH('3. Appendix A'!$E$20, '2. 2014 Continuity Schedule'!$A$20:$BQ$20,0),FALSE)), 0, VLOOKUP($A48, '2. 2014 Continuity Schedule'!$A$20:$BQ$85, MATCH('3. Appendix A'!$E$20, '2. 2014 Continuity Schedule'!$A$20:$BQ$20,0),FALSE))</f>
        <v>-3.2345833333238261E-2</v>
      </c>
      <c r="F48" s="30"/>
    </row>
    <row r="49" spans="1:6" ht="30.75" customHeight="1" x14ac:dyDescent="0.2">
      <c r="A49" s="1">
        <v>24</v>
      </c>
      <c r="C49" s="33" t="s">
        <v>18</v>
      </c>
      <c r="D49" s="32">
        <v>1535</v>
      </c>
      <c r="E49" s="25">
        <f>IF(ISERROR(VLOOKUP($A49, '2. 2014 Continuity Schedule'!$A$20:$BQ$85, MATCH('3. Appendix A'!$E$20, '2. 2014 Continuity Schedule'!$A$20:$BQ$20,0),FALSE)), 0, VLOOKUP($A49, '2. 2014 Continuity Schedule'!$A$20:$BQ$85, MATCH('3. Appendix A'!$E$20, '2. 2014 Continuity Schedule'!$A$20:$BQ$20,0),FALSE))</f>
        <v>-0.13218058333586669</v>
      </c>
      <c r="F49" s="30"/>
    </row>
    <row r="50" spans="1:6" ht="30.75" customHeight="1" x14ac:dyDescent="0.2">
      <c r="A50" s="1">
        <v>25</v>
      </c>
      <c r="C50" s="33" t="s">
        <v>23</v>
      </c>
      <c r="D50" s="32">
        <v>1536</v>
      </c>
      <c r="E50" s="25">
        <f>IF(ISERROR(VLOOKUP($A50, '2. 2014 Continuity Schedule'!$A$20:$BQ$85, MATCH('3. Appendix A'!$E$20, '2. 2014 Continuity Schedule'!$A$20:$BQ$20,0),FALSE)), 0, VLOOKUP($A50, '2. 2014 Continuity Schedule'!$A$20:$BQ$85, MATCH('3. Appendix A'!$E$20, '2. 2014 Continuity Schedule'!$A$20:$BQ$20,0),FALSE))</f>
        <v>-9.4276083327713422E-2</v>
      </c>
      <c r="F50" s="30"/>
    </row>
    <row r="51" spans="1:6" ht="30.75" customHeight="1" x14ac:dyDescent="0.2">
      <c r="A51" s="1">
        <v>26</v>
      </c>
      <c r="C51" s="33" t="s">
        <v>5</v>
      </c>
      <c r="D51" s="32">
        <v>1548</v>
      </c>
      <c r="E51" s="25">
        <f>IF(ISERROR(VLOOKUP($A51, '2. 2014 Continuity Schedule'!$A$20:$BQ$85, MATCH('3. Appendix A'!$E$20, '2. 2014 Continuity Schedule'!$A$20:$BQ$20,0),FALSE)), 0, VLOOKUP($A51, '2. 2014 Continuity Schedule'!$A$20:$BQ$85, MATCH('3. Appendix A'!$E$20, '2. 2014 Continuity Schedule'!$A$20:$BQ$20,0),FALSE))</f>
        <v>-1.0549802499954239</v>
      </c>
      <c r="F51" s="30"/>
    </row>
    <row r="52" spans="1:6" ht="30.75" hidden="1" customHeight="1" x14ac:dyDescent="0.2">
      <c r="A52" s="1">
        <v>27</v>
      </c>
      <c r="C52" s="33" t="s">
        <v>43</v>
      </c>
      <c r="D52" s="32">
        <v>1567</v>
      </c>
      <c r="E52" s="25">
        <f>IF(ISERROR(VLOOKUP($A52, '2. 2014 Continuity Schedule'!$A$20:$BQ$85, MATCH('3. Appendix A'!$E$20, '2. 2014 Continuity Schedule'!$A$20:$BQ$20,0),FALSE)), 0, VLOOKUP($A52, '2. 2014 Continuity Schedule'!$A$20:$BQ$85, MATCH('3. Appendix A'!$E$20, '2. 2014 Continuity Schedule'!$A$20:$BQ$20,0),FALSE))</f>
        <v>0</v>
      </c>
      <c r="F52" s="30"/>
    </row>
    <row r="53" spans="1:6" ht="30.75" customHeight="1" x14ac:dyDescent="0.2">
      <c r="A53" s="1">
        <v>28</v>
      </c>
      <c r="C53" s="33" t="s">
        <v>10</v>
      </c>
      <c r="D53" s="32">
        <v>1572</v>
      </c>
      <c r="E53" s="25">
        <f>IF(ISERROR(VLOOKUP($A53, '2. 2014 Continuity Schedule'!$A$20:$BQ$85, MATCH('3. Appendix A'!$E$20, '2. 2014 Continuity Schedule'!$A$20:$BQ$20,0),FALSE)), 0, VLOOKUP($A53, '2. 2014 Continuity Schedule'!$A$20:$BQ$85, MATCH('3. Appendix A'!$E$20, '2. 2014 Continuity Schedule'!$A$20:$BQ$20,0),FALSE))</f>
        <v>-1838.78</v>
      </c>
      <c r="F53" s="208" t="s">
        <v>304</v>
      </c>
    </row>
    <row r="54" spans="1:6" ht="30.75" hidden="1" customHeight="1" x14ac:dyDescent="0.2">
      <c r="A54" s="1">
        <v>29</v>
      </c>
      <c r="C54" s="33" t="s">
        <v>6</v>
      </c>
      <c r="D54" s="32">
        <v>1574</v>
      </c>
      <c r="E54" s="25">
        <f>IF(ISERROR(VLOOKUP($A54, '2. 2014 Continuity Schedule'!$A$20:$BQ$85, MATCH('3. Appendix A'!$E$20, '2. 2014 Continuity Schedule'!$A$20:$BQ$20,0),FALSE)), 0, VLOOKUP($A54, '2. 2014 Continuity Schedule'!$A$20:$BQ$85, MATCH('3. Appendix A'!$E$20, '2. 2014 Continuity Schedule'!$A$20:$BQ$20,0),FALSE))</f>
        <v>0</v>
      </c>
      <c r="F54" s="30"/>
    </row>
    <row r="55" spans="1:6" ht="30.75" hidden="1" customHeight="1" x14ac:dyDescent="0.2">
      <c r="A55" s="1">
        <v>30</v>
      </c>
      <c r="C55" s="33" t="s">
        <v>40</v>
      </c>
      <c r="D55" s="32">
        <v>1582</v>
      </c>
      <c r="E55" s="25">
        <f>IF(ISERROR(VLOOKUP($A55, '2. 2014 Continuity Schedule'!$A$20:$BQ$85, MATCH('3. Appendix A'!$E$20, '2. 2014 Continuity Schedule'!$A$20:$BQ$20,0),FALSE)), 0, VLOOKUP($A55, '2. 2014 Continuity Schedule'!$A$20:$BQ$85, MATCH('3. Appendix A'!$E$20, '2. 2014 Continuity Schedule'!$A$20:$BQ$20,0),FALSE))</f>
        <v>0</v>
      </c>
      <c r="F55" s="30"/>
    </row>
    <row r="56" spans="1:6" ht="30.75" hidden="1" customHeight="1" x14ac:dyDescent="0.2">
      <c r="A56" s="1">
        <v>31</v>
      </c>
      <c r="C56" s="33" t="s">
        <v>7</v>
      </c>
      <c r="D56" s="32">
        <v>2425</v>
      </c>
      <c r="E56" s="25">
        <f>IF(ISERROR(VLOOKUP($A56, '2. 2014 Continuity Schedule'!$A$20:$BQ$85, MATCH('3. Appendix A'!$E$20, '2. 2014 Continuity Schedule'!$A$20:$BQ$20,0),FALSE)), 0, VLOOKUP($A56, '2. 2014 Continuity Schedule'!$A$20:$BQ$85, MATCH('3. Appendix A'!$E$20, '2. 2014 Continuity Schedule'!$A$20:$BQ$20,0),FALSE))</f>
        <v>0</v>
      </c>
      <c r="F56" s="30"/>
    </row>
    <row r="57" spans="1:6" ht="30.75" hidden="1" customHeight="1" x14ac:dyDescent="0.2">
      <c r="A57" s="1">
        <v>32</v>
      </c>
      <c r="C57" s="33" t="s">
        <v>8</v>
      </c>
      <c r="D57" s="32">
        <v>1562</v>
      </c>
      <c r="E57" s="25">
        <f>IF(ISERROR(VLOOKUP($A57, '2. 2014 Continuity Schedule'!$A$20:$BQ$85, MATCH('3. Appendix A'!$E$20, '2. 2014 Continuity Schedule'!$A$20:$BQ$20,0),FALSE)), 0, VLOOKUP($A57, '2. 2014 Continuity Schedule'!$A$20:$BQ$85, MATCH('3. Appendix A'!$E$20, '2. 2014 Continuity Schedule'!$A$20:$BQ$20,0),FALSE))</f>
        <v>0</v>
      </c>
      <c r="F57" s="30"/>
    </row>
    <row r="58" spans="1:6" ht="30.75" customHeight="1" x14ac:dyDescent="0.2">
      <c r="A58" s="1">
        <v>33</v>
      </c>
      <c r="C58" s="33" t="s">
        <v>48</v>
      </c>
      <c r="D58" s="29">
        <v>1592</v>
      </c>
      <c r="E58" s="25">
        <f>IF(ISERROR(VLOOKUP($A58, '2. 2014 Continuity Schedule'!$A$20:$BQ$85, MATCH('3. Appendix A'!$E$20, '2. 2014 Continuity Schedule'!$A$20:$BQ$20,0),FALSE)), 0, VLOOKUP($A58, '2. 2014 Continuity Schedule'!$A$20:$BQ$85, MATCH('3. Appendix A'!$E$20, '2. 2014 Continuity Schedule'!$A$20:$BQ$20,0),FALSE))</f>
        <v>4.5219763258160128E-2</v>
      </c>
      <c r="F58" s="30"/>
    </row>
    <row r="59" spans="1:6" ht="30.75" hidden="1" customHeight="1" x14ac:dyDescent="0.2">
      <c r="A59" s="1">
        <v>34</v>
      </c>
      <c r="B59" s="6"/>
      <c r="C59" s="128" t="s">
        <v>47</v>
      </c>
      <c r="D59" s="32">
        <v>1592</v>
      </c>
      <c r="E59" s="25">
        <f>IF(ISERROR(VLOOKUP($A59, '2. 2014 Continuity Schedule'!$A$20:$BQ$85, MATCH('3. Appendix A'!$E$20, '2. 2014 Continuity Schedule'!$A$20:$BQ$20,0),FALSE)), 0, VLOOKUP($A59, '2. 2014 Continuity Schedule'!$A$20:$BQ$85, MATCH('3. Appendix A'!$E$20, '2. 2014 Continuity Schedule'!$A$20:$BQ$20,0),FALSE))</f>
        <v>0</v>
      </c>
      <c r="F59" s="30"/>
    </row>
    <row r="60" spans="1:6" ht="30.75" customHeight="1" x14ac:dyDescent="0.2">
      <c r="A60" s="1">
        <v>35</v>
      </c>
      <c r="B60" s="6"/>
      <c r="C60" s="128" t="s">
        <v>98</v>
      </c>
      <c r="D60" s="32">
        <v>1568</v>
      </c>
      <c r="E60" s="25">
        <f>IF(ISERROR(VLOOKUP($A60, '2. 2014 Continuity Schedule'!$A$20:$BQ$85, MATCH('3. Appendix A'!$E$20, '2. 2014 Continuity Schedule'!$A$20:$BQ$20,0),FALSE)), 0, VLOOKUP($A60, '2. 2014 Continuity Schedule'!$A$20:$BQ$85, MATCH('3. Appendix A'!$E$20, '2. 2014 Continuity Schedule'!$A$20:$BQ$20,0),FALSE))</f>
        <v>-6.5837701549753547E-4</v>
      </c>
      <c r="F60" s="30"/>
    </row>
    <row r="61" spans="1:6" ht="30.75" customHeight="1" x14ac:dyDescent="0.2">
      <c r="A61" s="1">
        <v>36</v>
      </c>
      <c r="B61" s="6"/>
      <c r="C61" s="129" t="s">
        <v>272</v>
      </c>
      <c r="D61" s="29">
        <v>1555</v>
      </c>
      <c r="E61" s="25">
        <f>IF(ISERROR(VLOOKUP($A61, '2. 2014 Continuity Schedule'!$A$20:$BQ$85, MATCH('3. Appendix A'!$E$20, '2. 2014 Continuity Schedule'!$A$20:$BQ$20,0),FALSE)), 0, VLOOKUP($A61, '2. 2014 Continuity Schedule'!$A$20:$BQ$85, MATCH('3. Appendix A'!$E$20, '2. 2014 Continuity Schedule'!$A$20:$BQ$20,0),FALSE))</f>
        <v>-83003.500876122154</v>
      </c>
      <c r="F61" s="208" t="s">
        <v>289</v>
      </c>
    </row>
    <row r="62" spans="1:6" ht="30.75" customHeight="1" x14ac:dyDescent="0.2">
      <c r="A62" s="1">
        <v>37</v>
      </c>
      <c r="B62" s="6"/>
      <c r="C62" s="129" t="s">
        <v>271</v>
      </c>
      <c r="D62" s="29">
        <v>1555</v>
      </c>
      <c r="E62" s="25">
        <f>IF(ISERROR(VLOOKUP($A62, '2. 2014 Continuity Schedule'!$A$20:$BQ$85, MATCH('3. Appendix A'!$E$20, '2. 2014 Continuity Schedule'!$A$20:$BQ$20,0),FALSE)), 0, VLOOKUP($A62, '2. 2014 Continuity Schedule'!$A$20:$BQ$85, MATCH('3. Appendix A'!$E$20, '2. 2014 Continuity Schedule'!$A$20:$BQ$20,0),FALSE))</f>
        <v>83007.361515416531</v>
      </c>
      <c r="F62" s="208" t="s">
        <v>289</v>
      </c>
    </row>
    <row r="63" spans="1:6" ht="30.75" hidden="1" customHeight="1" x14ac:dyDescent="0.2">
      <c r="A63" s="1">
        <v>38</v>
      </c>
      <c r="B63" s="6"/>
      <c r="C63" s="5" t="s">
        <v>270</v>
      </c>
      <c r="D63" s="7">
        <v>1555</v>
      </c>
      <c r="E63" s="25">
        <f>IF(ISERROR(VLOOKUP($A63, '2. 2014 Continuity Schedule'!$A$20:$BQ$85, MATCH('3. Appendix A'!$E$20, '2. 2014 Continuity Schedule'!$A$20:$BQ$20,0),FALSE)), 0, VLOOKUP($A63, '2. 2014 Continuity Schedule'!$A$20:$BQ$85, MATCH('3. Appendix A'!$E$20, '2. 2014 Continuity Schedule'!$A$20:$BQ$20,0),FALSE))</f>
        <v>0</v>
      </c>
      <c r="F63" s="30"/>
    </row>
    <row r="64" spans="1:6" ht="30.75" customHeight="1" x14ac:dyDescent="0.2">
      <c r="A64" s="1">
        <v>39</v>
      </c>
      <c r="B64" s="6"/>
      <c r="C64" s="5" t="s">
        <v>269</v>
      </c>
      <c r="D64" s="7">
        <v>1556</v>
      </c>
      <c r="E64" s="25">
        <f>IF(ISERROR(VLOOKUP($A64, '2. 2014 Continuity Schedule'!$A$20:$BQ$85, MATCH('3. Appendix A'!$E$20, '2. 2014 Continuity Schedule'!$A$20:$BQ$20,0),FALSE)), 0, VLOOKUP($A64, '2. 2014 Continuity Schedule'!$A$20:$BQ$85, MATCH('3. Appendix A'!$E$20, '2. 2014 Continuity Schedule'!$A$20:$BQ$20,0),FALSE))</f>
        <v>10.21555519872345</v>
      </c>
      <c r="F64" s="208" t="s">
        <v>302</v>
      </c>
    </row>
    <row r="65" spans="1:6" ht="30.75" customHeight="1" x14ac:dyDescent="0.2">
      <c r="A65" s="1">
        <v>40</v>
      </c>
      <c r="B65" s="6"/>
      <c r="C65" s="5" t="s">
        <v>230</v>
      </c>
      <c r="D65" s="7">
        <v>1575</v>
      </c>
      <c r="E65" s="25">
        <f>IF(ISERROR(VLOOKUP($A65, '2. 2014 Continuity Schedule'!$A$20:$BQ$85, MATCH('3. Appendix A'!$E$20, '2. 2014 Continuity Schedule'!$A$20:$BQ$20,0),FALSE)), 0, VLOOKUP($A65, '2. 2014 Continuity Schedule'!$A$20:$BQ$85, MATCH('3. Appendix A'!$E$20, '2. 2014 Continuity Schedule'!$A$20:$BQ$20,0),FALSE))</f>
        <v>-69206.86997326347</v>
      </c>
      <c r="F65" s="30"/>
    </row>
    <row r="66" spans="1:6" ht="30.75" customHeight="1" thickBot="1" x14ac:dyDescent="0.25">
      <c r="A66" s="1">
        <v>41</v>
      </c>
      <c r="B66" s="6"/>
      <c r="C66" s="203" t="s">
        <v>231</v>
      </c>
      <c r="D66" s="7">
        <v>1576</v>
      </c>
      <c r="E66" s="25">
        <f>IF(ISERROR(VLOOKUP($A66, '2. 2014 Continuity Schedule'!$A$20:$BQ$85, MATCH('3. Appendix A'!$E$20, '2. 2014 Continuity Schedule'!$A$20:$BQ$20,0),FALSE)), 0, VLOOKUP($A66, '2. 2014 Continuity Schedule'!$A$20:$BQ$85, MATCH('3. Appendix A'!$E$20, '2. 2014 Continuity Schedule'!$A$20:$BQ$20,0),FALSE))</f>
        <v>1565046.0330856266</v>
      </c>
      <c r="F66" s="208" t="s">
        <v>301</v>
      </c>
    </row>
    <row r="67" spans="1:6" x14ac:dyDescent="0.2">
      <c r="C67" s="36"/>
      <c r="D67" s="36"/>
      <c r="E67" s="36"/>
    </row>
  </sheetData>
  <sheetProtection password="F8BD" sheet="1" objects="1" scenarios="1"/>
  <mergeCells count="5">
    <mergeCell ref="E20:E22"/>
    <mergeCell ref="F20:F22"/>
    <mergeCell ref="C20:C22"/>
    <mergeCell ref="D20:D22"/>
    <mergeCell ref="B16:E16"/>
  </mergeCells>
  <phoneticPr fontId="13" type="noConversion"/>
  <conditionalFormatting sqref="F24:F32 F38:F60 F34:F36">
    <cfRule type="expression" dxfId="9" priority="6" stopIfTrue="1">
      <formula>ISBLANK(F24)</formula>
    </cfRule>
  </conditionalFormatting>
  <conditionalFormatting sqref="F33">
    <cfRule type="expression" dxfId="8" priority="2" stopIfTrue="1">
      <formula>ISBLANK(F33)</formula>
    </cfRule>
  </conditionalFormatting>
  <conditionalFormatting sqref="F61:F66">
    <cfRule type="expression" dxfId="7" priority="1" stopIfTrue="1">
      <formula>ISBLANK(F61)</formula>
    </cfRule>
  </conditionalFormatting>
  <pageMargins left="0.35433070866141703" right="0.39370078740157499" top="0.61" bottom="0.63" header="0.37" footer="0.31"/>
  <pageSetup scale="42" orientation="portrait" r:id="rId1"/>
  <headerFooter alignWithMargins="0">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3:P47"/>
  <sheetViews>
    <sheetView showGridLines="0" zoomScaleNormal="100" workbookViewId="0">
      <pane xSplit="3" ySplit="20" topLeftCell="D21" activePane="bottomRight" state="frozen"/>
      <selection pane="topRight" activeCell="D1" sqref="D1"/>
      <selection pane="bottomLeft" activeCell="A21" sqref="A21"/>
      <selection pane="bottomRight" activeCell="H21" sqref="H21"/>
    </sheetView>
  </sheetViews>
  <sheetFormatPr defaultRowHeight="12.75" x14ac:dyDescent="0.2"/>
  <cols>
    <col min="2" max="2" width="41.285156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5" width="23.28515625" customWidth="1"/>
    <col min="16" max="16" width="20" customWidth="1"/>
  </cols>
  <sheetData>
    <row r="13" spans="2:9" ht="3" customHeight="1" x14ac:dyDescent="0.2"/>
    <row r="14" spans="2:9" ht="3" customHeight="1" x14ac:dyDescent="0.2"/>
    <row r="15" spans="2:9" ht="3" customHeight="1" x14ac:dyDescent="0.2"/>
    <row r="16" spans="2:9" ht="12.75" customHeight="1" x14ac:dyDescent="0.2">
      <c r="B16" s="250" t="s">
        <v>104</v>
      </c>
      <c r="C16" s="250"/>
      <c r="D16" s="250"/>
      <c r="E16" s="250"/>
      <c r="F16" s="250"/>
      <c r="G16" s="250"/>
      <c r="H16" s="250"/>
      <c r="I16" s="250"/>
    </row>
    <row r="17" spans="2:16" x14ac:dyDescent="0.2">
      <c r="B17" s="250"/>
      <c r="C17" s="250"/>
      <c r="D17" s="250"/>
      <c r="E17" s="250"/>
      <c r="F17" s="250"/>
      <c r="G17" s="250"/>
      <c r="H17" s="250"/>
      <c r="I17" s="250"/>
    </row>
    <row r="19" spans="2:16" x14ac:dyDescent="0.2">
      <c r="B19" s="269" t="s">
        <v>116</v>
      </c>
      <c r="C19" s="268" t="s">
        <v>102</v>
      </c>
      <c r="D19" s="263" t="s">
        <v>115</v>
      </c>
      <c r="E19" s="263" t="s">
        <v>96</v>
      </c>
      <c r="F19" s="263" t="s">
        <v>97</v>
      </c>
      <c r="G19" s="267" t="s">
        <v>90</v>
      </c>
      <c r="H19" s="267" t="s">
        <v>91</v>
      </c>
      <c r="I19" s="267" t="s">
        <v>92</v>
      </c>
      <c r="J19" s="267" t="s">
        <v>105</v>
      </c>
      <c r="K19" s="264" t="s">
        <v>93</v>
      </c>
      <c r="L19" s="264" t="s">
        <v>94</v>
      </c>
      <c r="M19" s="264" t="s">
        <v>95</v>
      </c>
      <c r="N19" s="264" t="s">
        <v>236</v>
      </c>
      <c r="O19" s="264" t="s">
        <v>275</v>
      </c>
      <c r="P19" s="265" t="s">
        <v>99</v>
      </c>
    </row>
    <row r="20" spans="2:16" ht="45.75" customHeight="1" x14ac:dyDescent="0.2">
      <c r="B20" s="270"/>
      <c r="C20" s="268"/>
      <c r="D20" s="263"/>
      <c r="E20" s="263"/>
      <c r="F20" s="263"/>
      <c r="G20" s="267"/>
      <c r="H20" s="267"/>
      <c r="I20" s="267"/>
      <c r="J20" s="267"/>
      <c r="K20" s="264"/>
      <c r="L20" s="264"/>
      <c r="M20" s="264"/>
      <c r="N20" s="264"/>
      <c r="O20" s="264"/>
      <c r="P20" s="265"/>
    </row>
    <row r="21" spans="2:16" x14ac:dyDescent="0.2">
      <c r="B21" s="132" t="s">
        <v>291</v>
      </c>
      <c r="C21" s="133" t="s">
        <v>276</v>
      </c>
      <c r="D21" s="134">
        <v>21124</v>
      </c>
      <c r="E21" s="134">
        <v>205497424.88810688</v>
      </c>
      <c r="F21" s="134"/>
      <c r="G21" s="134">
        <v>15203484.48999998</v>
      </c>
      <c r="H21" s="114">
        <f>IF(ISERROR(F21/E21*G21), 0, F21/E21*G21)</f>
        <v>0</v>
      </c>
      <c r="I21" s="134"/>
      <c r="J21" s="136"/>
      <c r="K21" s="136"/>
      <c r="L21" s="136"/>
      <c r="M21" s="136"/>
      <c r="N21" s="136">
        <v>0.5530548152664938</v>
      </c>
      <c r="O21" s="136">
        <v>0.16551549843168181</v>
      </c>
      <c r="P21" s="134">
        <v>42101.483403091697</v>
      </c>
    </row>
    <row r="22" spans="2:16" x14ac:dyDescent="0.2">
      <c r="B22" s="132" t="s">
        <v>290</v>
      </c>
      <c r="C22" s="133" t="s">
        <v>276</v>
      </c>
      <c r="D22" s="134">
        <v>2668</v>
      </c>
      <c r="E22" s="134">
        <v>85361037.046016753</v>
      </c>
      <c r="F22" s="134"/>
      <c r="G22" s="134">
        <v>12745379.629999999</v>
      </c>
      <c r="H22" s="114">
        <f t="shared" ref="H22:H40" si="0">IF(ISERROR(F22/E22*G22), 0, F22/E22*G22)</f>
        <v>0</v>
      </c>
      <c r="I22" s="134"/>
      <c r="J22" s="136"/>
      <c r="K22" s="136"/>
      <c r="L22" s="136"/>
      <c r="M22" s="136"/>
      <c r="N22" s="136">
        <v>0.17922333822871878</v>
      </c>
      <c r="O22" s="136">
        <v>6.9382706302327207E-2</v>
      </c>
      <c r="P22" s="134">
        <v>76441.591489594619</v>
      </c>
    </row>
    <row r="23" spans="2:16" x14ac:dyDescent="0.2">
      <c r="B23" s="132" t="s">
        <v>292</v>
      </c>
      <c r="C23" s="133" t="s">
        <v>297</v>
      </c>
      <c r="D23" s="134">
        <v>247</v>
      </c>
      <c r="E23" s="134">
        <v>209884489.37657064</v>
      </c>
      <c r="F23" s="134">
        <v>519864.63481550448</v>
      </c>
      <c r="G23" s="134">
        <v>206834489.37657064</v>
      </c>
      <c r="H23" s="114">
        <f t="shared" si="0"/>
        <v>512310.06448542891</v>
      </c>
      <c r="I23" s="134"/>
      <c r="J23" s="136"/>
      <c r="K23" s="136"/>
      <c r="L23" s="136"/>
      <c r="M23" s="136"/>
      <c r="N23" s="136">
        <v>0.1994891766078514</v>
      </c>
      <c r="O23" s="136">
        <v>0.64004186373399108</v>
      </c>
      <c r="P23" s="134">
        <v>37574.997756618999</v>
      </c>
    </row>
    <row r="24" spans="2:16" x14ac:dyDescent="0.2">
      <c r="B24" s="132" t="s">
        <v>293</v>
      </c>
      <c r="C24" s="133" t="s">
        <v>297</v>
      </c>
      <c r="D24" s="134">
        <v>1</v>
      </c>
      <c r="E24" s="134">
        <v>17254810.307607245</v>
      </c>
      <c r="F24" s="134">
        <v>33801.425697666316</v>
      </c>
      <c r="G24" s="134">
        <v>17254810.307607245</v>
      </c>
      <c r="H24" s="114">
        <f t="shared" si="0"/>
        <v>33801.425697666316</v>
      </c>
      <c r="I24" s="134"/>
      <c r="J24" s="136"/>
      <c r="K24" s="136"/>
      <c r="L24" s="136"/>
      <c r="M24" s="136"/>
      <c r="N24" s="136">
        <v>1.7910630819499992E-2</v>
      </c>
      <c r="O24" s="136">
        <v>0.11882558302426328</v>
      </c>
      <c r="P24" s="134">
        <v>0</v>
      </c>
    </row>
    <row r="25" spans="2:16" x14ac:dyDescent="0.2">
      <c r="B25" s="132" t="s">
        <v>294</v>
      </c>
      <c r="C25" s="133" t="s">
        <v>276</v>
      </c>
      <c r="D25" s="134">
        <v>7</v>
      </c>
      <c r="E25" s="134">
        <v>32044.660431652101</v>
      </c>
      <c r="F25" s="134"/>
      <c r="G25" s="134"/>
      <c r="H25" s="114">
        <f t="shared" si="0"/>
        <v>0</v>
      </c>
      <c r="I25" s="134"/>
      <c r="J25" s="136"/>
      <c r="K25" s="136"/>
      <c r="L25" s="136"/>
      <c r="M25" s="136"/>
      <c r="N25" s="136">
        <v>1.0086776555049306E-3</v>
      </c>
      <c r="O25" s="136">
        <v>1.4450451896430829E-4</v>
      </c>
      <c r="P25" s="134">
        <v>0</v>
      </c>
    </row>
    <row r="26" spans="2:16" x14ac:dyDescent="0.2">
      <c r="B26" s="132" t="s">
        <v>295</v>
      </c>
      <c r="C26" s="133" t="s">
        <v>297</v>
      </c>
      <c r="D26" s="134">
        <v>412</v>
      </c>
      <c r="E26" s="134">
        <v>405959.29373617272</v>
      </c>
      <c r="F26" s="134">
        <v>1193.4344347067597</v>
      </c>
      <c r="G26" s="134">
        <v>29218.75</v>
      </c>
      <c r="H26" s="114">
        <f t="shared" si="0"/>
        <v>85.896943184037795</v>
      </c>
      <c r="I26" s="134"/>
      <c r="J26" s="136"/>
      <c r="K26" s="136"/>
      <c r="L26" s="136"/>
      <c r="M26" s="136"/>
      <c r="N26" s="136">
        <v>4.1030180496400307E-3</v>
      </c>
      <c r="O26" s="136">
        <v>9.7380486494989251E-5</v>
      </c>
      <c r="P26" s="134">
        <v>0</v>
      </c>
    </row>
    <row r="27" spans="2:16" x14ac:dyDescent="0.2">
      <c r="B27" s="132" t="s">
        <v>296</v>
      </c>
      <c r="C27" s="133" t="s">
        <v>297</v>
      </c>
      <c r="D27" s="134">
        <v>5419</v>
      </c>
      <c r="E27" s="134">
        <v>2018762.3305114082</v>
      </c>
      <c r="F27" s="134">
        <v>5641.08</v>
      </c>
      <c r="G27" s="134">
        <v>2018762.3305114082</v>
      </c>
      <c r="H27" s="114">
        <f t="shared" si="0"/>
        <v>5641.08</v>
      </c>
      <c r="I27" s="134"/>
      <c r="J27" s="136"/>
      <c r="K27" s="136"/>
      <c r="L27" s="136"/>
      <c r="M27" s="136"/>
      <c r="N27" s="136">
        <v>4.5210343372291295E-2</v>
      </c>
      <c r="O27" s="136">
        <v>5.9924635022772215E-3</v>
      </c>
      <c r="P27" s="134">
        <v>73518.511319126701</v>
      </c>
    </row>
    <row r="28" spans="2:16" x14ac:dyDescent="0.2">
      <c r="B28" s="132"/>
      <c r="C28" s="133"/>
      <c r="D28" s="134"/>
      <c r="E28" s="134"/>
      <c r="F28" s="134"/>
      <c r="G28" s="134"/>
      <c r="H28" s="114">
        <f t="shared" si="0"/>
        <v>0</v>
      </c>
      <c r="I28" s="134"/>
      <c r="J28" s="136"/>
      <c r="K28" s="136"/>
      <c r="L28" s="136"/>
      <c r="M28" s="136"/>
      <c r="N28" s="136"/>
      <c r="O28" s="136"/>
      <c r="P28" s="134"/>
    </row>
    <row r="29" spans="2:16" x14ac:dyDescent="0.2">
      <c r="B29" s="132"/>
      <c r="C29" s="133"/>
      <c r="D29" s="134"/>
      <c r="E29" s="134"/>
      <c r="F29" s="134"/>
      <c r="G29" s="134"/>
      <c r="H29" s="114">
        <f t="shared" si="0"/>
        <v>0</v>
      </c>
      <c r="I29" s="134"/>
      <c r="J29" s="136"/>
      <c r="K29" s="136"/>
      <c r="L29" s="136"/>
      <c r="M29" s="136"/>
      <c r="N29" s="136"/>
      <c r="O29" s="136"/>
      <c r="P29" s="134"/>
    </row>
    <row r="30" spans="2:16" x14ac:dyDescent="0.2">
      <c r="B30" s="132"/>
      <c r="C30" s="133"/>
      <c r="D30" s="134"/>
      <c r="E30" s="134"/>
      <c r="F30" s="134"/>
      <c r="G30" s="134"/>
      <c r="H30" s="114">
        <f t="shared" si="0"/>
        <v>0</v>
      </c>
      <c r="I30" s="134"/>
      <c r="J30" s="136"/>
      <c r="K30" s="136"/>
      <c r="L30" s="136"/>
      <c r="M30" s="136"/>
      <c r="N30" s="136"/>
      <c r="O30" s="136"/>
      <c r="P30" s="134"/>
    </row>
    <row r="31" spans="2:16" x14ac:dyDescent="0.2">
      <c r="B31" s="132"/>
      <c r="C31" s="133"/>
      <c r="D31" s="134"/>
      <c r="E31" s="134"/>
      <c r="F31" s="134"/>
      <c r="G31" s="134"/>
      <c r="H31" s="114">
        <f t="shared" si="0"/>
        <v>0</v>
      </c>
      <c r="I31" s="134"/>
      <c r="J31" s="136"/>
      <c r="K31" s="136"/>
      <c r="L31" s="136"/>
      <c r="M31" s="136"/>
      <c r="N31" s="136"/>
      <c r="O31" s="136"/>
      <c r="P31" s="134"/>
    </row>
    <row r="32" spans="2:16" x14ac:dyDescent="0.2">
      <c r="B32" s="132"/>
      <c r="C32" s="133"/>
      <c r="D32" s="134"/>
      <c r="E32" s="134"/>
      <c r="F32" s="134"/>
      <c r="G32" s="134"/>
      <c r="H32" s="114">
        <f t="shared" si="0"/>
        <v>0</v>
      </c>
      <c r="I32" s="134"/>
      <c r="J32" s="136"/>
      <c r="K32" s="136"/>
      <c r="L32" s="136"/>
      <c r="M32" s="136"/>
      <c r="N32" s="136"/>
      <c r="O32" s="136"/>
      <c r="P32" s="134"/>
    </row>
    <row r="33" spans="1:16" x14ac:dyDescent="0.2">
      <c r="B33" s="132"/>
      <c r="C33" s="133"/>
      <c r="D33" s="134"/>
      <c r="E33" s="134"/>
      <c r="F33" s="134"/>
      <c r="G33" s="134"/>
      <c r="H33" s="114">
        <f t="shared" si="0"/>
        <v>0</v>
      </c>
      <c r="I33" s="134"/>
      <c r="J33" s="136"/>
      <c r="K33" s="136"/>
      <c r="L33" s="136"/>
      <c r="M33" s="136"/>
      <c r="N33" s="136"/>
      <c r="O33" s="136"/>
      <c r="P33" s="134"/>
    </row>
    <row r="34" spans="1:16" x14ac:dyDescent="0.2">
      <c r="B34" s="132"/>
      <c r="C34" s="133"/>
      <c r="D34" s="134"/>
      <c r="E34" s="134"/>
      <c r="F34" s="134"/>
      <c r="G34" s="134"/>
      <c r="H34" s="114">
        <f t="shared" si="0"/>
        <v>0</v>
      </c>
      <c r="I34" s="134"/>
      <c r="J34" s="136"/>
      <c r="K34" s="136"/>
      <c r="L34" s="136"/>
      <c r="M34" s="136"/>
      <c r="N34" s="136"/>
      <c r="O34" s="136"/>
      <c r="P34" s="134"/>
    </row>
    <row r="35" spans="1:16" x14ac:dyDescent="0.2">
      <c r="B35" s="132"/>
      <c r="C35" s="133"/>
      <c r="D35" s="134"/>
      <c r="E35" s="134"/>
      <c r="F35" s="134"/>
      <c r="G35" s="134"/>
      <c r="H35" s="114">
        <f t="shared" si="0"/>
        <v>0</v>
      </c>
      <c r="I35" s="134"/>
      <c r="J35" s="136"/>
      <c r="K35" s="136"/>
      <c r="L35" s="136"/>
      <c r="M35" s="136"/>
      <c r="N35" s="136"/>
      <c r="O35" s="136"/>
      <c r="P35" s="134"/>
    </row>
    <row r="36" spans="1:16" x14ac:dyDescent="0.2">
      <c r="B36" s="132"/>
      <c r="C36" s="133"/>
      <c r="D36" s="134"/>
      <c r="E36" s="134"/>
      <c r="F36" s="134"/>
      <c r="G36" s="134"/>
      <c r="H36" s="114">
        <f t="shared" si="0"/>
        <v>0</v>
      </c>
      <c r="I36" s="134"/>
      <c r="J36" s="136"/>
      <c r="K36" s="136"/>
      <c r="L36" s="136"/>
      <c r="M36" s="136"/>
      <c r="N36" s="136"/>
      <c r="O36" s="136"/>
      <c r="P36" s="134"/>
    </row>
    <row r="37" spans="1:16" x14ac:dyDescent="0.2">
      <c r="B37" s="132"/>
      <c r="C37" s="133"/>
      <c r="D37" s="134"/>
      <c r="E37" s="134"/>
      <c r="F37" s="134"/>
      <c r="G37" s="134"/>
      <c r="H37" s="114">
        <f t="shared" si="0"/>
        <v>0</v>
      </c>
      <c r="I37" s="134"/>
      <c r="J37" s="136"/>
      <c r="K37" s="136"/>
      <c r="L37" s="136"/>
      <c r="M37" s="136"/>
      <c r="N37" s="136"/>
      <c r="O37" s="136"/>
      <c r="P37" s="134"/>
    </row>
    <row r="38" spans="1:16" x14ac:dyDescent="0.2">
      <c r="B38" s="132"/>
      <c r="C38" s="133"/>
      <c r="D38" s="134"/>
      <c r="E38" s="134"/>
      <c r="F38" s="134"/>
      <c r="G38" s="134"/>
      <c r="H38" s="114">
        <f t="shared" si="0"/>
        <v>0</v>
      </c>
      <c r="I38" s="134"/>
      <c r="J38" s="136"/>
      <c r="K38" s="136"/>
      <c r="L38" s="136"/>
      <c r="M38" s="136"/>
      <c r="N38" s="136"/>
      <c r="O38" s="136"/>
      <c r="P38" s="134"/>
    </row>
    <row r="39" spans="1:16" x14ac:dyDescent="0.2">
      <c r="B39" s="132"/>
      <c r="C39" s="133"/>
      <c r="D39" s="134"/>
      <c r="E39" s="134"/>
      <c r="F39" s="134"/>
      <c r="G39" s="134"/>
      <c r="H39" s="114">
        <f t="shared" si="0"/>
        <v>0</v>
      </c>
      <c r="I39" s="134"/>
      <c r="J39" s="136"/>
      <c r="K39" s="136"/>
      <c r="L39" s="136"/>
      <c r="M39" s="136"/>
      <c r="N39" s="136"/>
      <c r="O39" s="136"/>
      <c r="P39" s="134"/>
    </row>
    <row r="40" spans="1:16" x14ac:dyDescent="0.2">
      <c r="B40" s="132"/>
      <c r="C40" s="133"/>
      <c r="D40" s="134"/>
      <c r="E40" s="134"/>
      <c r="F40" s="134"/>
      <c r="G40" s="134"/>
      <c r="H40" s="114">
        <f t="shared" si="0"/>
        <v>0</v>
      </c>
      <c r="I40" s="134"/>
      <c r="J40" s="136"/>
      <c r="K40" s="136"/>
      <c r="L40" s="136"/>
      <c r="M40" s="136"/>
      <c r="N40" s="136"/>
      <c r="O40" s="136"/>
      <c r="P40" s="134"/>
    </row>
    <row r="41" spans="1:16" x14ac:dyDescent="0.2">
      <c r="B41" s="61" t="s">
        <v>103</v>
      </c>
      <c r="C41" s="60"/>
      <c r="D41" s="91">
        <f>SUM(D21:D40)</f>
        <v>29878</v>
      </c>
      <c r="E41" s="91">
        <f>SUM(E21:E40)</f>
        <v>520454527.90298069</v>
      </c>
      <c r="F41" s="91">
        <f t="shared" ref="F41:P41" si="1">SUM(F21:F40)</f>
        <v>560500.57494787755</v>
      </c>
      <c r="G41" s="91">
        <f t="shared" si="1"/>
        <v>254086144.88468927</v>
      </c>
      <c r="H41" s="91">
        <f t="shared" si="1"/>
        <v>551838.46712627925</v>
      </c>
      <c r="I41" s="62">
        <f t="shared" si="1"/>
        <v>0</v>
      </c>
      <c r="J41" s="92">
        <f t="shared" si="1"/>
        <v>0</v>
      </c>
      <c r="K41" s="92">
        <f t="shared" si="1"/>
        <v>0</v>
      </c>
      <c r="L41" s="92">
        <f t="shared" si="1"/>
        <v>0</v>
      </c>
      <c r="M41" s="92">
        <f t="shared" si="1"/>
        <v>0</v>
      </c>
      <c r="N41" s="92">
        <f t="shared" si="1"/>
        <v>1.0000000000000002</v>
      </c>
      <c r="O41" s="92">
        <f t="shared" ref="O41" si="2">SUM(O21:O40)</f>
        <v>0.99999999999999989</v>
      </c>
      <c r="P41" s="62">
        <f t="shared" si="1"/>
        <v>229636.58396843201</v>
      </c>
    </row>
    <row r="42" spans="1:16" x14ac:dyDescent="0.2">
      <c r="B42" s="56"/>
      <c r="M42" s="63"/>
      <c r="O42" s="63" t="s">
        <v>106</v>
      </c>
      <c r="P42" s="64">
        <f>'2. 2014 Continuity Schedule'!BO71</f>
        <v>229636.58000000005</v>
      </c>
    </row>
    <row r="43" spans="1:16" x14ac:dyDescent="0.2">
      <c r="B43" s="56"/>
      <c r="M43" s="63"/>
      <c r="O43" s="63" t="s">
        <v>107</v>
      </c>
      <c r="P43" s="65">
        <f>P41-P42</f>
        <v>3.9684319635853171E-3</v>
      </c>
    </row>
    <row r="44" spans="1:16" x14ac:dyDescent="0.2">
      <c r="B44" s="56"/>
    </row>
    <row r="45" spans="1:16" x14ac:dyDescent="0.2">
      <c r="A45" s="266" t="s">
        <v>100</v>
      </c>
      <c r="B45" s="266"/>
      <c r="C45" s="266"/>
      <c r="D45" s="266"/>
      <c r="E45" s="266"/>
      <c r="F45" s="266"/>
      <c r="G45" s="266"/>
      <c r="H45" s="266"/>
    </row>
    <row r="46" spans="1:16" ht="25.5" customHeight="1" x14ac:dyDescent="0.2">
      <c r="A46" s="266"/>
      <c r="B46" s="266"/>
      <c r="C46" s="266"/>
      <c r="D46" s="266"/>
      <c r="E46" s="266"/>
      <c r="F46" s="266"/>
      <c r="G46" s="266"/>
      <c r="H46" s="266"/>
    </row>
    <row r="47" spans="1:16" ht="17.25" x14ac:dyDescent="0.2">
      <c r="A47" s="266" t="s">
        <v>101</v>
      </c>
      <c r="B47" s="266"/>
      <c r="C47" s="266"/>
      <c r="D47" s="266"/>
      <c r="E47" s="266"/>
      <c r="F47" s="266"/>
      <c r="G47" s="266"/>
      <c r="H47" s="266"/>
    </row>
  </sheetData>
  <sheetProtection password="F8BD" sheet="1" objects="1" scenarios="1"/>
  <mergeCells count="18">
    <mergeCell ref="A47:H47"/>
    <mergeCell ref="F19:F20"/>
    <mergeCell ref="E19:E20"/>
    <mergeCell ref="C19:C20"/>
    <mergeCell ref="B19:B20"/>
    <mergeCell ref="G19:G20"/>
    <mergeCell ref="H19:H20"/>
    <mergeCell ref="B16:I17"/>
    <mergeCell ref="D19:D20"/>
    <mergeCell ref="M19:M20"/>
    <mergeCell ref="P19:P20"/>
    <mergeCell ref="A45:H46"/>
    <mergeCell ref="I19:I20"/>
    <mergeCell ref="J19:J20"/>
    <mergeCell ref="K19:K20"/>
    <mergeCell ref="L19:L20"/>
    <mergeCell ref="N19:N20"/>
    <mergeCell ref="O19:O20"/>
  </mergeCells>
  <dataValidations disablePrompts="1" count="1">
    <dataValidation type="list" allowBlank="1" showInputMessage="1" showErrorMessage="1" sqref="C21:C40">
      <formula1>"kW, kWh"</formula1>
    </dataValidation>
  </dataValidations>
  <pageMargins left="0.26" right="0.38" top="0.75" bottom="0.75" header="0.3" footer="0.3"/>
  <pageSetup scale="42" orientation="landscape"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55"/>
  <sheetViews>
    <sheetView showGridLines="0" zoomScaleNormal="100" workbookViewId="0">
      <pane xSplit="5" ySplit="4" topLeftCell="F14" activePane="bottomRight" state="frozen"/>
      <selection pane="topRight" activeCell="F1" sqref="F1"/>
      <selection pane="bottomLeft" activeCell="A5" sqref="A5"/>
      <selection pane="bottomRight" activeCell="I31" sqref="I29:I31"/>
    </sheetView>
  </sheetViews>
  <sheetFormatPr defaultRowHeight="12.75" x14ac:dyDescent="0.2"/>
  <cols>
    <col min="1" max="1" width="1.140625" style="56" customWidth="1"/>
    <col min="2" max="2" width="64" style="56" customWidth="1"/>
    <col min="3" max="3" width="9.140625" style="56"/>
    <col min="4" max="4" width="14.5703125" style="56" customWidth="1"/>
    <col min="5" max="5" width="14.7109375" style="56" customWidth="1"/>
    <col min="6" max="25" width="24.140625" style="56" customWidth="1"/>
    <col min="26" max="16384" width="9.140625" style="56"/>
  </cols>
  <sheetData>
    <row r="1" spans="2:25" ht="143.25" customHeight="1" x14ac:dyDescent="0.2"/>
    <row r="4" spans="2:25" ht="39" customHeight="1" x14ac:dyDescent="0.2">
      <c r="D4" s="67" t="s">
        <v>120</v>
      </c>
      <c r="E4" s="66" t="s">
        <v>113</v>
      </c>
      <c r="F4" s="67" t="str">
        <f>IF(LEN(TRIM('4. Billing Determinants'!$B21))=0, "", '4. Billing Determinants'!$B21)</f>
        <v>RESIDENTIAL</v>
      </c>
      <c r="G4" s="67" t="str">
        <f>IF(LEN(TRIM('4. Billing Determinants'!$B22))=0, "", '4. Billing Determinants'!$B22)</f>
        <v>GENERAL SERVICE LESS THAN 50 KW</v>
      </c>
      <c r="H4" s="67" t="str">
        <f>IF(LEN(TRIM('4. Billing Determinants'!$B23))=0, "", '4. Billing Determinants'!$B23)</f>
        <v>GENERAL SERVICE 50 TO 2,999 KW</v>
      </c>
      <c r="I4" s="67" t="str">
        <f>IF(LEN(TRIM('4. Billing Determinants'!$B24))=0, "", '4. Billing Determinants'!$B24)</f>
        <v>GENERAL SERVICE 3,000 TO 4,999 KW</v>
      </c>
      <c r="J4" s="67" t="str">
        <f>IF(LEN(TRIM('4. Billing Determinants'!$B25))=0, "", '4. Billing Determinants'!$B25)</f>
        <v>UNMETERED SCATTERED LOAD</v>
      </c>
      <c r="K4" s="67" t="str">
        <f>IF(LEN(TRIM('4. Billing Determinants'!$B26))=0, "", '4. Billing Determinants'!$B26)</f>
        <v>SENTINEL LIGHTING</v>
      </c>
      <c r="L4" s="67" t="str">
        <f>IF(LEN(TRIM('4. Billing Determinants'!$B27))=0, "", '4. Billing Determinants'!$B27)</f>
        <v>STREET LIGHTING</v>
      </c>
      <c r="M4" s="67" t="str">
        <f>IF(LEN(TRIM('4. Billing Determinants'!$B28))=0, "", '4. Billing Determinants'!$B28)</f>
        <v/>
      </c>
      <c r="N4" s="67" t="str">
        <f>IF(LEN(TRIM('4. Billing Determinants'!$B29))=0, "", '4. Billing Determinants'!$B29)</f>
        <v/>
      </c>
      <c r="O4" s="67" t="str">
        <f>IF(LEN(TRIM('4. Billing Determinants'!$B30))=0, "", '4. Billing Determinants'!$B30)</f>
        <v/>
      </c>
      <c r="P4" s="67" t="str">
        <f>IF(LEN(TRIM('4. Billing Determinants'!$B31))=0, "", '4. Billing Determinants'!$B31)</f>
        <v/>
      </c>
      <c r="Q4" s="67" t="str">
        <f>IF(LEN(TRIM('4. Billing Determinants'!$B32))=0, "", '4. Billing Determinants'!$B32)</f>
        <v/>
      </c>
      <c r="R4" s="67" t="str">
        <f>IF(LEN(TRIM('4. Billing Determinants'!$B33))=0, "", '4. Billing Determinants'!$B33)</f>
        <v/>
      </c>
      <c r="S4" s="67" t="str">
        <f>IF(LEN(TRIM('4. Billing Determinants'!$B34))=0, "", '4. Billing Determinants'!$B34)</f>
        <v/>
      </c>
      <c r="T4" s="67" t="str">
        <f>IF(LEN(TRIM('4. Billing Determinants'!$B35))=0, "", '4. Billing Determinants'!$B35)</f>
        <v/>
      </c>
      <c r="U4" s="67" t="str">
        <f>IF(LEN(TRIM('4. Billing Determinants'!$B36))=0, "", '4. Billing Determinants'!$B36)</f>
        <v/>
      </c>
      <c r="V4" s="67" t="str">
        <f>IF(LEN(TRIM('4. Billing Determinants'!$B37))=0, "", '4. Billing Determinants'!$B37)</f>
        <v/>
      </c>
      <c r="W4" s="67" t="str">
        <f>IF(LEN(TRIM('4. Billing Determinants'!$B38))=0, "", '4. Billing Determinants'!$B38)</f>
        <v/>
      </c>
      <c r="X4" s="67" t="str">
        <f>IF(LEN(TRIM('4. Billing Determinants'!$B39))=0, "", '4. Billing Determinants'!$B39)</f>
        <v/>
      </c>
      <c r="Y4" s="67" t="str">
        <f>IF(LEN(TRIM('4. Billing Determinants'!$B40))=0, "", '4. Billing Determinants'!$B40)</f>
        <v/>
      </c>
    </row>
    <row r="5" spans="2:25" x14ac:dyDescent="0.2">
      <c r="B5" s="68" t="s">
        <v>39</v>
      </c>
      <c r="C5" s="69">
        <v>1550</v>
      </c>
      <c r="D5" s="70">
        <f>'2. 2014 Continuity Schedule'!BO24</f>
        <v>13931.794874504278</v>
      </c>
      <c r="E5" s="130" t="s">
        <v>276</v>
      </c>
      <c r="F5" s="70">
        <f>IFERROR(IF(F$4="",0,IF($E5="kWh",VLOOKUP(F$4,'4. Billing Determinants'!$B$19:$P$41,4,0)/'4. Billing Determinants'!$E$41*$D5,IF($E5="kW",VLOOKUP(F$4,'4. Billing Determinants'!$B$19:$P$41,5,0)/'4. Billing Determinants'!$F$41*$D5,IF($E5="Non-RPP kWh",VLOOKUP(F$4,'4. Billing Determinants'!$B$19:$P$41,6,0)/'4. Billing Determinants'!$G$41*$D5,IF($E5="Distribution Rev.",VLOOKUP(F$4,'4. Billing Determinants'!$B$19:$P$41,8,0)/'4. Billing Determinants'!$I$41*$D5, VLOOKUP(F$4,'4. Billing Determinants'!$B$19:$P$41,3,0)/'4. Billing Determinants'!$D$41*$D5))))),0)</f>
        <v>5500.8609153913349</v>
      </c>
      <c r="G5" s="70">
        <f>IFERROR(IF(G$4="",0,IF($E5="kWh",VLOOKUP(G$4,'4. Billing Determinants'!$B$19:$P$41,4,0)/'4. Billing Determinants'!$E$41*$D5,IF($E5="kW",VLOOKUP(G$4,'4. Billing Determinants'!$B$19:$P$41,5,0)/'4. Billing Determinants'!$F$41*$D5,IF($E5="Non-RPP kWh",VLOOKUP(G$4,'4. Billing Determinants'!$B$19:$P$41,6,0)/'4. Billing Determinants'!$G$41*$D5,IF($E5="Distribution Rev.",VLOOKUP(G$4,'4. Billing Determinants'!$B$19:$P$41,8,0)/'4. Billing Determinants'!$I$41*$D5, VLOOKUP(G$4,'4. Billing Determinants'!$B$19:$P$41,3,0)/'4. Billing Determinants'!$D$41*$D5))))),0)</f>
        <v>2284.9882067348522</v>
      </c>
      <c r="H5" s="70">
        <f>IFERROR(IF(H$4="",0,IF($E5="kWh",VLOOKUP(H$4,'4. Billing Determinants'!$B$19:$P$41,4,0)/'4. Billing Determinants'!$E$41*$D5,IF($E5="kW",VLOOKUP(H$4,'4. Billing Determinants'!$B$19:$P$41,5,0)/'4. Billing Determinants'!$F$41*$D5,IF($E5="Non-RPP kWh",VLOOKUP(H$4,'4. Billing Determinants'!$B$19:$P$41,6,0)/'4. Billing Determinants'!$G$41*$D5,IF($E5="Distribution Rev.",VLOOKUP(H$4,'4. Billing Determinants'!$B$19:$P$41,8,0)/'4. Billing Determinants'!$I$41*$D5, VLOOKUP(H$4,'4. Billing Determinants'!$B$19:$P$41,3,0)/'4. Billing Determinants'!$D$41*$D5))))),0)</f>
        <v>5618.2961172729729</v>
      </c>
      <c r="I5" s="70">
        <f>IFERROR(IF(I$4="",0,IF($E5="kWh",VLOOKUP(I$4,'4. Billing Determinants'!$B$19:$P$41,4,0)/'4. Billing Determinants'!$E$41*$D5,IF($E5="kW",VLOOKUP(I$4,'4. Billing Determinants'!$B$19:$P$41,5,0)/'4. Billing Determinants'!$F$41*$D5,IF($E5="Non-RPP kWh",VLOOKUP(I$4,'4. Billing Determinants'!$B$19:$P$41,6,0)/'4. Billing Determinants'!$G$41*$D5,IF($E5="Distribution Rev.",VLOOKUP(I$4,'4. Billing Determinants'!$B$19:$P$41,8,0)/'4. Billing Determinants'!$I$41*$D5, VLOOKUP(I$4,'4. Billing Determinants'!$B$19:$P$41,3,0)/'4. Billing Determinants'!$D$41*$D5))))),0)</f>
        <v>461.88564978510095</v>
      </c>
      <c r="J5" s="70">
        <f>IFERROR(IF(J$4="",0,IF($E5="kWh",VLOOKUP(J$4,'4. Billing Determinants'!$B$19:$P$41,4,0)/'4. Billing Determinants'!$E$41*$D5,IF($E5="kW",VLOOKUP(J$4,'4. Billing Determinants'!$B$19:$P$41,5,0)/'4. Billing Determinants'!$F$41*$D5,IF($E5="Non-RPP kWh",VLOOKUP(J$4,'4. Billing Determinants'!$B$19:$P$41,6,0)/'4. Billing Determinants'!$G$41*$D5,IF($E5="Distribution Rev.",VLOOKUP(J$4,'4. Billing Determinants'!$B$19:$P$41,8,0)/'4. Billing Determinants'!$I$41*$D5, VLOOKUP(J$4,'4. Billing Determinants'!$B$19:$P$41,3,0)/'4. Billing Determinants'!$D$41*$D5))))),0)</f>
        <v>0.85778797574443</v>
      </c>
      <c r="K5" s="70">
        <f>IFERROR(IF(K$4="",0,IF($E5="kWh",VLOOKUP(K$4,'4. Billing Determinants'!$B$19:$P$41,4,0)/'4. Billing Determinants'!$E$41*$D5,IF($E5="kW",VLOOKUP(K$4,'4. Billing Determinants'!$B$19:$P$41,5,0)/'4. Billing Determinants'!$F$41*$D5,IF($E5="Non-RPP kWh",VLOOKUP(K$4,'4. Billing Determinants'!$B$19:$P$41,6,0)/'4. Billing Determinants'!$G$41*$D5,IF($E5="Distribution Rev.",VLOOKUP(K$4,'4. Billing Determinants'!$B$19:$P$41,8,0)/'4. Billing Determinants'!$I$41*$D5, VLOOKUP(K$4,'4. Billing Determinants'!$B$19:$P$41,3,0)/'4. Billing Determinants'!$D$41*$D5))))),0)</f>
        <v>10.866927473028516</v>
      </c>
      <c r="L5" s="70">
        <f>IFERROR(IF(L$4="",0,IF($E5="kWh",VLOOKUP(L$4,'4. Billing Determinants'!$B$19:$P$41,4,0)/'4. Billing Determinants'!$E$41*$D5,IF($E5="kW",VLOOKUP(L$4,'4. Billing Determinants'!$B$19:$P$41,5,0)/'4. Billing Determinants'!$F$41*$D5,IF($E5="Non-RPP kWh",VLOOKUP(L$4,'4. Billing Determinants'!$B$19:$P$41,6,0)/'4. Billing Determinants'!$G$41*$D5,IF($E5="Distribution Rev.",VLOOKUP(L$4,'4. Billing Determinants'!$B$19:$P$41,8,0)/'4. Billing Determinants'!$I$41*$D5, VLOOKUP(L$4,'4. Billing Determinants'!$B$19:$P$41,3,0)/'4. Billing Determinants'!$D$41*$D5))))),0)</f>
        <v>54.039269871246084</v>
      </c>
      <c r="M5" s="70">
        <f>IFERROR(IF(M$4="",0,IF($E5="kWh",VLOOKUP(M$4,'4. Billing Determinants'!$B$19:$P$41,4,0)/'4. Billing Determinants'!$E$41*$D5,IF($E5="kW",VLOOKUP(M$4,'4. Billing Determinants'!$B$19:$P$41,5,0)/'4. Billing Determinants'!$F$41*$D5,IF($E5="Non-RPP kWh",VLOOKUP(M$4,'4. Billing Determinants'!$B$19:$P$41,6,0)/'4. Billing Determinants'!$G$41*$D5,IF($E5="Distribution Rev.",VLOOKUP(M$4,'4. Billing Determinants'!$B$19:$P$41,8,0)/'4. Billing Determinants'!$I$41*$D5, VLOOKUP(M$4,'4. Billing Determinants'!$B$19:$P$41,3,0)/'4. Billing Determinants'!$D$41*$D5))))),0)</f>
        <v>0</v>
      </c>
      <c r="N5" s="70">
        <f>IFERROR(IF(N$4="",0,IF($E5="kWh",VLOOKUP(N$4,'4. Billing Determinants'!$B$19:$P$41,4,0)/'4. Billing Determinants'!$E$41*$D5,IF($E5="kW",VLOOKUP(N$4,'4. Billing Determinants'!$B$19:$P$41,5,0)/'4. Billing Determinants'!$F$41*$D5,IF($E5="Non-RPP kWh",VLOOKUP(N$4,'4. Billing Determinants'!$B$19:$P$41,6,0)/'4. Billing Determinants'!$G$41*$D5,IF($E5="Distribution Rev.",VLOOKUP(N$4,'4. Billing Determinants'!$B$19:$P$41,8,0)/'4. Billing Determinants'!$I$41*$D5, VLOOKUP(N$4,'4. Billing Determinants'!$B$19:$P$41,3,0)/'4. Billing Determinants'!$D$41*$D5))))),0)</f>
        <v>0</v>
      </c>
      <c r="O5" s="70">
        <f>IFERROR(IF(O$4="",0,IF($E5="kWh",VLOOKUP(O$4,'4. Billing Determinants'!$B$19:$P$41,4,0)/'4. Billing Determinants'!$E$41*$D5,IF($E5="kW",VLOOKUP(O$4,'4. Billing Determinants'!$B$19:$P$41,5,0)/'4. Billing Determinants'!$F$41*$D5,IF($E5="Non-RPP kWh",VLOOKUP(O$4,'4. Billing Determinants'!$B$19:$P$41,6,0)/'4. Billing Determinants'!$G$41*$D5,IF($E5="Distribution Rev.",VLOOKUP(O$4,'4. Billing Determinants'!$B$19:$P$41,8,0)/'4. Billing Determinants'!$I$41*$D5, VLOOKUP(O$4,'4. Billing Determinants'!$B$19:$P$41,3,0)/'4. Billing Determinants'!$D$41*$D5))))),0)</f>
        <v>0</v>
      </c>
      <c r="P5" s="70">
        <f>IFERROR(IF(P$4="",0,IF($E5="kWh",VLOOKUP(P$4,'4. Billing Determinants'!$B$19:$P$41,4,0)/'4. Billing Determinants'!$E$41*$D5,IF($E5="kW",VLOOKUP(P$4,'4. Billing Determinants'!$B$19:$P$41,5,0)/'4. Billing Determinants'!$F$41*$D5,IF($E5="Non-RPP kWh",VLOOKUP(P$4,'4. Billing Determinants'!$B$19:$P$41,6,0)/'4. Billing Determinants'!$G$41*$D5,IF($E5="Distribution Rev.",VLOOKUP(P$4,'4. Billing Determinants'!$B$19:$P$41,8,0)/'4. Billing Determinants'!$I$41*$D5, VLOOKUP(P$4,'4. Billing Determinants'!$B$19:$P$41,3,0)/'4. Billing Determinants'!$D$41*$D5))))),0)</f>
        <v>0</v>
      </c>
      <c r="Q5" s="70">
        <f>IFERROR(IF(Q$4="",0,IF($E5="kWh",VLOOKUP(Q$4,'4. Billing Determinants'!$B$19:$P$41,4,0)/'4. Billing Determinants'!$E$41*$D5,IF($E5="kW",VLOOKUP(Q$4,'4. Billing Determinants'!$B$19:$P$41,5,0)/'4. Billing Determinants'!$F$41*$D5,IF($E5="Non-RPP kWh",VLOOKUP(Q$4,'4. Billing Determinants'!$B$19:$P$41,6,0)/'4. Billing Determinants'!$G$41*$D5,IF($E5="Distribution Rev.",VLOOKUP(Q$4,'4. Billing Determinants'!$B$19:$P$41,8,0)/'4. Billing Determinants'!$I$41*$D5, VLOOKUP(Q$4,'4. Billing Determinants'!$B$19:$P$41,3,0)/'4. Billing Determinants'!$D$41*$D5))))),0)</f>
        <v>0</v>
      </c>
      <c r="R5" s="70">
        <f>IFERROR(IF(R$4="",0,IF($E5="kWh",VLOOKUP(R$4,'4. Billing Determinants'!$B$19:$P$41,4,0)/'4. Billing Determinants'!$E$41*$D5,IF($E5="kW",VLOOKUP(R$4,'4. Billing Determinants'!$B$19:$P$41,5,0)/'4. Billing Determinants'!$F$41*$D5,IF($E5="Non-RPP kWh",VLOOKUP(R$4,'4. Billing Determinants'!$B$19:$P$41,6,0)/'4. Billing Determinants'!$G$41*$D5,IF($E5="Distribution Rev.",VLOOKUP(R$4,'4. Billing Determinants'!$B$19:$P$41,8,0)/'4. Billing Determinants'!$I$41*$D5, VLOOKUP(R$4,'4. Billing Determinants'!$B$19:$P$41,3,0)/'4. Billing Determinants'!$D$41*$D5))))),0)</f>
        <v>0</v>
      </c>
      <c r="S5" s="70">
        <f>IFERROR(IF(S$4="",0,IF($E5="kWh",VLOOKUP(S$4,'4. Billing Determinants'!$B$19:$P$41,4,0)/'4. Billing Determinants'!$E$41*$D5,IF($E5="kW",VLOOKUP(S$4,'4. Billing Determinants'!$B$19:$P$41,5,0)/'4. Billing Determinants'!$F$41*$D5,IF($E5="Non-RPP kWh",VLOOKUP(S$4,'4. Billing Determinants'!$B$19:$P$41,6,0)/'4. Billing Determinants'!$G$41*$D5,IF($E5="Distribution Rev.",VLOOKUP(S$4,'4. Billing Determinants'!$B$19:$P$41,8,0)/'4. Billing Determinants'!$I$41*$D5, VLOOKUP(S$4,'4. Billing Determinants'!$B$19:$P$41,3,0)/'4. Billing Determinants'!$D$41*$D5))))),0)</f>
        <v>0</v>
      </c>
      <c r="T5" s="70">
        <f>IFERROR(IF(T$4="",0,IF($E5="kWh",VLOOKUP(T$4,'4. Billing Determinants'!$B$19:$P$41,4,0)/'4. Billing Determinants'!$E$41*$D5,IF($E5="kW",VLOOKUP(T$4,'4. Billing Determinants'!$B$19:$P$41,5,0)/'4. Billing Determinants'!$F$41*$D5,IF($E5="Non-RPP kWh",VLOOKUP(T$4,'4. Billing Determinants'!$B$19:$P$41,6,0)/'4. Billing Determinants'!$G$41*$D5,IF($E5="Distribution Rev.",VLOOKUP(T$4,'4. Billing Determinants'!$B$19:$P$41,8,0)/'4. Billing Determinants'!$I$41*$D5, VLOOKUP(T$4,'4. Billing Determinants'!$B$19:$P$41,3,0)/'4. Billing Determinants'!$D$41*$D5))))),0)</f>
        <v>0</v>
      </c>
      <c r="U5" s="70">
        <f>IFERROR(IF(U$4="",0,IF($E5="kWh",VLOOKUP(U$4,'4. Billing Determinants'!$B$19:$P$41,4,0)/'4. Billing Determinants'!$E$41*$D5,IF($E5="kW",VLOOKUP(U$4,'4. Billing Determinants'!$B$19:$P$41,5,0)/'4. Billing Determinants'!$F$41*$D5,IF($E5="Non-RPP kWh",VLOOKUP(U$4,'4. Billing Determinants'!$B$19:$P$41,6,0)/'4. Billing Determinants'!$G$41*$D5,IF($E5="Distribution Rev.",VLOOKUP(U$4,'4. Billing Determinants'!$B$19:$P$41,8,0)/'4. Billing Determinants'!$I$41*$D5, VLOOKUP(U$4,'4. Billing Determinants'!$B$19:$P$41,3,0)/'4. Billing Determinants'!$D$41*$D5))))),0)</f>
        <v>0</v>
      </c>
      <c r="V5" s="70">
        <f>IFERROR(IF(V$4="",0,IF($E5="kWh",VLOOKUP(V$4,'4. Billing Determinants'!$B$19:$P$41,4,0)/'4. Billing Determinants'!$E$41*$D5,IF($E5="kW",VLOOKUP(V$4,'4. Billing Determinants'!$B$19:$P$41,5,0)/'4. Billing Determinants'!$F$41*$D5,IF($E5="Non-RPP kWh",VLOOKUP(V$4,'4. Billing Determinants'!$B$19:$P$41,6,0)/'4. Billing Determinants'!$G$41*$D5,IF($E5="Distribution Rev.",VLOOKUP(V$4,'4. Billing Determinants'!$B$19:$P$41,8,0)/'4. Billing Determinants'!$I$41*$D5, VLOOKUP(V$4,'4. Billing Determinants'!$B$19:$P$41,3,0)/'4. Billing Determinants'!$D$41*$D5))))),0)</f>
        <v>0</v>
      </c>
      <c r="W5" s="70">
        <f>IFERROR(IF(W$4="",0,IF($E5="kWh",VLOOKUP(W$4,'4. Billing Determinants'!$B$19:$P$41,4,0)/'4. Billing Determinants'!$E$41*$D5,IF($E5="kW",VLOOKUP(W$4,'4. Billing Determinants'!$B$19:$P$41,5,0)/'4. Billing Determinants'!$F$41*$D5,IF($E5="Non-RPP kWh",VLOOKUP(W$4,'4. Billing Determinants'!$B$19:$P$41,6,0)/'4. Billing Determinants'!$G$41*$D5,IF($E5="Distribution Rev.",VLOOKUP(W$4,'4. Billing Determinants'!$B$19:$P$41,8,0)/'4. Billing Determinants'!$I$41*$D5, VLOOKUP(W$4,'4. Billing Determinants'!$B$19:$P$41,3,0)/'4. Billing Determinants'!$D$41*$D5))))),0)</f>
        <v>0</v>
      </c>
      <c r="X5" s="70">
        <f>IFERROR(IF(X$4="",0,IF($E5="kWh",VLOOKUP(X$4,'4. Billing Determinants'!$B$19:$P$41,4,0)/'4. Billing Determinants'!$E$41*$D5,IF($E5="kW",VLOOKUP(X$4,'4. Billing Determinants'!$B$19:$P$41,5,0)/'4. Billing Determinants'!$F$41*$D5,IF($E5="Non-RPP kWh",VLOOKUP(X$4,'4. Billing Determinants'!$B$19:$P$41,6,0)/'4. Billing Determinants'!$G$41*$D5,IF($E5="Distribution Rev.",VLOOKUP(X$4,'4. Billing Determinants'!$B$19:$P$41,8,0)/'4. Billing Determinants'!$I$41*$D5, VLOOKUP(X$4,'4. Billing Determinants'!$B$19:$P$41,3,0)/'4. Billing Determinants'!$D$41*$D5))))),0)</f>
        <v>0</v>
      </c>
      <c r="Y5" s="70">
        <f>IFERROR(IF(Y$4="",0,IF($E5="kWh",VLOOKUP(Y$4,'4. Billing Determinants'!$B$19:$P$41,4,0)/'4. Billing Determinants'!$E$41*$D5,IF($E5="kW",VLOOKUP(Y$4,'4. Billing Determinants'!$B$19:$P$41,5,0)/'4. Billing Determinants'!$F$41*$D5,IF($E5="Non-RPP kWh",VLOOKUP(Y$4,'4. Billing Determinants'!$B$19:$P$41,6,0)/'4. Billing Determinants'!$G$41*$D5,IF($E5="Distribution Rev.",VLOOKUP(Y$4,'4. Billing Determinants'!$B$19:$P$41,8,0)/'4. Billing Determinants'!$I$41*$D5, VLOOKUP(Y$4,'4. Billing Determinants'!$B$19:$P$41,3,0)/'4. Billing Determinants'!$D$41*$D5))))),0)</f>
        <v>0</v>
      </c>
    </row>
    <row r="6" spans="2:25" x14ac:dyDescent="0.2">
      <c r="B6" s="71" t="s">
        <v>244</v>
      </c>
      <c r="C6" s="69">
        <v>1551</v>
      </c>
      <c r="D6" s="70">
        <f>'2. 2014 Continuity Schedule'!BO25</f>
        <v>18587.302095899999</v>
      </c>
      <c r="E6" s="130" t="s">
        <v>276</v>
      </c>
      <c r="F6" s="70">
        <f>IFERROR(IF(F$4="",0,IF($E6="kWh",VLOOKUP(F$4,'4. Billing Determinants'!$B$19:$P$41,4,0)/'4. Billing Determinants'!$E$41*$D6,IF($E6="kW",VLOOKUP(F$4,'4. Billing Determinants'!$B$19:$P$41,5,0)/'4. Billing Determinants'!$F$41*$D6,IF($E6="Non-RPP kWh",VLOOKUP(F$4,'4. Billing Determinants'!$B$19:$P$41,6,0)/'4. Billing Determinants'!$G$41*$D6,IF($E6="Distribution Rev.",VLOOKUP(F$4,'4. Billing Determinants'!$B$19:$P$41,8,0)/'4. Billing Determinants'!$I$41*$D6, VLOOKUP(F$4,'4. Billing Determinants'!$B$19:$P$41,3,0)/'4. Billing Determinants'!$D$41*$D6))))),0)</f>
        <v>7339.0517548476237</v>
      </c>
      <c r="G6" s="70">
        <f>IFERROR(IF(G$4="",0,IF($E6="kWh",VLOOKUP(G$4,'4. Billing Determinants'!$B$19:$P$41,4,0)/'4. Billing Determinants'!$E$41*$D6,IF($E6="kW",VLOOKUP(G$4,'4. Billing Determinants'!$B$19:$P$41,5,0)/'4. Billing Determinants'!$F$41*$D6,IF($E6="Non-RPP kWh",VLOOKUP(G$4,'4. Billing Determinants'!$B$19:$P$41,6,0)/'4. Billing Determinants'!$G$41*$D6,IF($E6="Distribution Rev.",VLOOKUP(G$4,'4. Billing Determinants'!$B$19:$P$41,8,0)/'4. Billing Determinants'!$I$41*$D6, VLOOKUP(G$4,'4. Billing Determinants'!$B$19:$P$41,3,0)/'4. Billing Determinants'!$D$41*$D6))))),0)</f>
        <v>3048.5494845947287</v>
      </c>
      <c r="H6" s="70">
        <f>IFERROR(IF(H$4="",0,IF($E6="kWh",VLOOKUP(H$4,'4. Billing Determinants'!$B$19:$P$41,4,0)/'4. Billing Determinants'!$E$41*$D6,IF($E6="kW",VLOOKUP(H$4,'4. Billing Determinants'!$B$19:$P$41,5,0)/'4. Billing Determinants'!$F$41*$D6,IF($E6="Non-RPP kWh",VLOOKUP(H$4,'4. Billing Determinants'!$B$19:$P$41,6,0)/'4. Billing Determinants'!$G$41*$D6,IF($E6="Distribution Rev.",VLOOKUP(H$4,'4. Billing Determinants'!$B$19:$P$41,8,0)/'4. Billing Determinants'!$I$41*$D6, VLOOKUP(H$4,'4. Billing Determinants'!$B$19:$P$41,3,0)/'4. Billing Determinants'!$D$41*$D6))))),0)</f>
        <v>7495.7295981355419</v>
      </c>
      <c r="I6" s="70">
        <f>IFERROR(IF(I$4="",0,IF($E6="kWh",VLOOKUP(I$4,'4. Billing Determinants'!$B$19:$P$41,4,0)/'4. Billing Determinants'!$E$41*$D6,IF($E6="kW",VLOOKUP(I$4,'4. Billing Determinants'!$B$19:$P$41,5,0)/'4. Billing Determinants'!$F$41*$D6,IF($E6="Non-RPP kWh",VLOOKUP(I$4,'4. Billing Determinants'!$B$19:$P$41,6,0)/'4. Billing Determinants'!$G$41*$D6,IF($E6="Distribution Rev.",VLOOKUP(I$4,'4. Billing Determinants'!$B$19:$P$41,8,0)/'4. Billing Determinants'!$I$41*$D6, VLOOKUP(I$4,'4. Billing Determinants'!$B$19:$P$41,3,0)/'4. Billing Determinants'!$D$41*$D6))))),0)</f>
        <v>616.231302832918</v>
      </c>
      <c r="J6" s="70">
        <f>IFERROR(IF(J$4="",0,IF($E6="kWh",VLOOKUP(J$4,'4. Billing Determinants'!$B$19:$P$41,4,0)/'4. Billing Determinants'!$E$41*$D6,IF($E6="kW",VLOOKUP(J$4,'4. Billing Determinants'!$B$19:$P$41,5,0)/'4. Billing Determinants'!$F$41*$D6,IF($E6="Non-RPP kWh",VLOOKUP(J$4,'4. Billing Determinants'!$B$19:$P$41,6,0)/'4. Billing Determinants'!$G$41*$D6,IF($E6="Distribution Rev.",VLOOKUP(J$4,'4. Billing Determinants'!$B$19:$P$41,8,0)/'4. Billing Determinants'!$I$41*$D6, VLOOKUP(J$4,'4. Billing Determinants'!$B$19:$P$41,3,0)/'4. Billing Determinants'!$D$41*$D6))))),0)</f>
        <v>1.1444300165925017</v>
      </c>
      <c r="K6" s="70">
        <f>IFERROR(IF(K$4="",0,IF($E6="kWh",VLOOKUP(K$4,'4. Billing Determinants'!$B$19:$P$41,4,0)/'4. Billing Determinants'!$E$41*$D6,IF($E6="kW",VLOOKUP(K$4,'4. Billing Determinants'!$B$19:$P$41,5,0)/'4. Billing Determinants'!$F$41*$D6,IF($E6="Non-RPP kWh",VLOOKUP(K$4,'4. Billing Determinants'!$B$19:$P$41,6,0)/'4. Billing Determinants'!$G$41*$D6,IF($E6="Distribution Rev.",VLOOKUP(K$4,'4. Billing Determinants'!$B$19:$P$41,8,0)/'4. Billing Determinants'!$I$41*$D6, VLOOKUP(K$4,'4. Billing Determinants'!$B$19:$P$41,3,0)/'4. Billing Determinants'!$D$41*$D6))))),0)</f>
        <v>14.498265701934788</v>
      </c>
      <c r="L6" s="70">
        <f>IFERROR(IF(L$4="",0,IF($E6="kWh",VLOOKUP(L$4,'4. Billing Determinants'!$B$19:$P$41,4,0)/'4. Billing Determinants'!$E$41*$D6,IF($E6="kW",VLOOKUP(L$4,'4. Billing Determinants'!$B$19:$P$41,5,0)/'4. Billing Determinants'!$F$41*$D6,IF($E6="Non-RPP kWh",VLOOKUP(L$4,'4. Billing Determinants'!$B$19:$P$41,6,0)/'4. Billing Determinants'!$G$41*$D6,IF($E6="Distribution Rev.",VLOOKUP(L$4,'4. Billing Determinants'!$B$19:$P$41,8,0)/'4. Billing Determinants'!$I$41*$D6, VLOOKUP(L$4,'4. Billing Determinants'!$B$19:$P$41,3,0)/'4. Billing Determinants'!$D$41*$D6))))),0)</f>
        <v>72.097259770662404</v>
      </c>
      <c r="M6" s="70">
        <f>IFERROR(IF(M$4="",0,IF($E6="kWh",VLOOKUP(M$4,'4. Billing Determinants'!$B$19:$P$41,4,0)/'4. Billing Determinants'!$E$41*$D6,IF($E6="kW",VLOOKUP(M$4,'4. Billing Determinants'!$B$19:$P$41,5,0)/'4. Billing Determinants'!$F$41*$D6,IF($E6="Non-RPP kWh",VLOOKUP(M$4,'4. Billing Determinants'!$B$19:$P$41,6,0)/'4. Billing Determinants'!$G$41*$D6,IF($E6="Distribution Rev.",VLOOKUP(M$4,'4. Billing Determinants'!$B$19:$P$41,8,0)/'4. Billing Determinants'!$I$41*$D6, VLOOKUP(M$4,'4. Billing Determinants'!$B$19:$P$41,3,0)/'4. Billing Determinants'!$D$41*$D6))))),0)</f>
        <v>0</v>
      </c>
      <c r="N6" s="70">
        <f>IFERROR(IF(N$4="",0,IF($E6="kWh",VLOOKUP(N$4,'4. Billing Determinants'!$B$19:$P$41,4,0)/'4. Billing Determinants'!$E$41*$D6,IF($E6="kW",VLOOKUP(N$4,'4. Billing Determinants'!$B$19:$P$41,5,0)/'4. Billing Determinants'!$F$41*$D6,IF($E6="Non-RPP kWh",VLOOKUP(N$4,'4. Billing Determinants'!$B$19:$P$41,6,0)/'4. Billing Determinants'!$G$41*$D6,IF($E6="Distribution Rev.",VLOOKUP(N$4,'4. Billing Determinants'!$B$19:$P$41,8,0)/'4. Billing Determinants'!$I$41*$D6, VLOOKUP(N$4,'4. Billing Determinants'!$B$19:$P$41,3,0)/'4. Billing Determinants'!$D$41*$D6))))),0)</f>
        <v>0</v>
      </c>
      <c r="O6" s="70">
        <f>IFERROR(IF(O$4="",0,IF($E6="kWh",VLOOKUP(O$4,'4. Billing Determinants'!$B$19:$P$41,4,0)/'4. Billing Determinants'!$E$41*$D6,IF($E6="kW",VLOOKUP(O$4,'4. Billing Determinants'!$B$19:$P$41,5,0)/'4. Billing Determinants'!$F$41*$D6,IF($E6="Non-RPP kWh",VLOOKUP(O$4,'4. Billing Determinants'!$B$19:$P$41,6,0)/'4. Billing Determinants'!$G$41*$D6,IF($E6="Distribution Rev.",VLOOKUP(O$4,'4. Billing Determinants'!$B$19:$P$41,8,0)/'4. Billing Determinants'!$I$41*$D6, VLOOKUP(O$4,'4. Billing Determinants'!$B$19:$P$41,3,0)/'4. Billing Determinants'!$D$41*$D6))))),0)</f>
        <v>0</v>
      </c>
      <c r="P6" s="70">
        <f>IFERROR(IF(P$4="",0,IF($E6="kWh",VLOOKUP(P$4,'4. Billing Determinants'!$B$19:$P$41,4,0)/'4. Billing Determinants'!$E$41*$D6,IF($E6="kW",VLOOKUP(P$4,'4. Billing Determinants'!$B$19:$P$41,5,0)/'4. Billing Determinants'!$F$41*$D6,IF($E6="Non-RPP kWh",VLOOKUP(P$4,'4. Billing Determinants'!$B$19:$P$41,6,0)/'4. Billing Determinants'!$G$41*$D6,IF($E6="Distribution Rev.",VLOOKUP(P$4,'4. Billing Determinants'!$B$19:$P$41,8,0)/'4. Billing Determinants'!$I$41*$D6, VLOOKUP(P$4,'4. Billing Determinants'!$B$19:$P$41,3,0)/'4. Billing Determinants'!$D$41*$D6))))),0)</f>
        <v>0</v>
      </c>
      <c r="Q6" s="70">
        <f>IFERROR(IF(Q$4="",0,IF($E6="kWh",VLOOKUP(Q$4,'4. Billing Determinants'!$B$19:$P$41,4,0)/'4. Billing Determinants'!$E$41*$D6,IF($E6="kW",VLOOKUP(Q$4,'4. Billing Determinants'!$B$19:$P$41,5,0)/'4. Billing Determinants'!$F$41*$D6,IF($E6="Non-RPP kWh",VLOOKUP(Q$4,'4. Billing Determinants'!$B$19:$P$41,6,0)/'4. Billing Determinants'!$G$41*$D6,IF($E6="Distribution Rev.",VLOOKUP(Q$4,'4. Billing Determinants'!$B$19:$P$41,8,0)/'4. Billing Determinants'!$I$41*$D6, VLOOKUP(Q$4,'4. Billing Determinants'!$B$19:$P$41,3,0)/'4. Billing Determinants'!$D$41*$D6))))),0)</f>
        <v>0</v>
      </c>
      <c r="R6" s="70">
        <f>IFERROR(IF(R$4="",0,IF($E6="kWh",VLOOKUP(R$4,'4. Billing Determinants'!$B$19:$P$41,4,0)/'4. Billing Determinants'!$E$41*$D6,IF($E6="kW",VLOOKUP(R$4,'4. Billing Determinants'!$B$19:$P$41,5,0)/'4. Billing Determinants'!$F$41*$D6,IF($E6="Non-RPP kWh",VLOOKUP(R$4,'4. Billing Determinants'!$B$19:$P$41,6,0)/'4. Billing Determinants'!$G$41*$D6,IF($E6="Distribution Rev.",VLOOKUP(R$4,'4. Billing Determinants'!$B$19:$P$41,8,0)/'4. Billing Determinants'!$I$41*$D6, VLOOKUP(R$4,'4. Billing Determinants'!$B$19:$P$41,3,0)/'4. Billing Determinants'!$D$41*$D6))))),0)</f>
        <v>0</v>
      </c>
      <c r="S6" s="70">
        <f>IFERROR(IF(S$4="",0,IF($E6="kWh",VLOOKUP(S$4,'4. Billing Determinants'!$B$19:$P$41,4,0)/'4. Billing Determinants'!$E$41*$D6,IF($E6="kW",VLOOKUP(S$4,'4. Billing Determinants'!$B$19:$P$41,5,0)/'4. Billing Determinants'!$F$41*$D6,IF($E6="Non-RPP kWh",VLOOKUP(S$4,'4. Billing Determinants'!$B$19:$P$41,6,0)/'4. Billing Determinants'!$G$41*$D6,IF($E6="Distribution Rev.",VLOOKUP(S$4,'4. Billing Determinants'!$B$19:$P$41,8,0)/'4. Billing Determinants'!$I$41*$D6, VLOOKUP(S$4,'4. Billing Determinants'!$B$19:$P$41,3,0)/'4. Billing Determinants'!$D$41*$D6))))),0)</f>
        <v>0</v>
      </c>
      <c r="T6" s="70">
        <f>IFERROR(IF(T$4="",0,IF($E6="kWh",VLOOKUP(T$4,'4. Billing Determinants'!$B$19:$P$41,4,0)/'4. Billing Determinants'!$E$41*$D6,IF($E6="kW",VLOOKUP(T$4,'4. Billing Determinants'!$B$19:$P$41,5,0)/'4. Billing Determinants'!$F$41*$D6,IF($E6="Non-RPP kWh",VLOOKUP(T$4,'4. Billing Determinants'!$B$19:$P$41,6,0)/'4. Billing Determinants'!$G$41*$D6,IF($E6="Distribution Rev.",VLOOKUP(T$4,'4. Billing Determinants'!$B$19:$P$41,8,0)/'4. Billing Determinants'!$I$41*$D6, VLOOKUP(T$4,'4. Billing Determinants'!$B$19:$P$41,3,0)/'4. Billing Determinants'!$D$41*$D6))))),0)</f>
        <v>0</v>
      </c>
      <c r="U6" s="70">
        <f>IFERROR(IF(U$4="",0,IF($E6="kWh",VLOOKUP(U$4,'4. Billing Determinants'!$B$19:$P$41,4,0)/'4. Billing Determinants'!$E$41*$D6,IF($E6="kW",VLOOKUP(U$4,'4. Billing Determinants'!$B$19:$P$41,5,0)/'4. Billing Determinants'!$F$41*$D6,IF($E6="Non-RPP kWh",VLOOKUP(U$4,'4. Billing Determinants'!$B$19:$P$41,6,0)/'4. Billing Determinants'!$G$41*$D6,IF($E6="Distribution Rev.",VLOOKUP(U$4,'4. Billing Determinants'!$B$19:$P$41,8,0)/'4. Billing Determinants'!$I$41*$D6, VLOOKUP(U$4,'4. Billing Determinants'!$B$19:$P$41,3,0)/'4. Billing Determinants'!$D$41*$D6))))),0)</f>
        <v>0</v>
      </c>
      <c r="V6" s="70">
        <f>IFERROR(IF(V$4="",0,IF($E6="kWh",VLOOKUP(V$4,'4. Billing Determinants'!$B$19:$P$41,4,0)/'4. Billing Determinants'!$E$41*$D6,IF($E6="kW",VLOOKUP(V$4,'4. Billing Determinants'!$B$19:$P$41,5,0)/'4. Billing Determinants'!$F$41*$D6,IF($E6="Non-RPP kWh",VLOOKUP(V$4,'4. Billing Determinants'!$B$19:$P$41,6,0)/'4. Billing Determinants'!$G$41*$D6,IF($E6="Distribution Rev.",VLOOKUP(V$4,'4. Billing Determinants'!$B$19:$P$41,8,0)/'4. Billing Determinants'!$I$41*$D6, VLOOKUP(V$4,'4. Billing Determinants'!$B$19:$P$41,3,0)/'4. Billing Determinants'!$D$41*$D6))))),0)</f>
        <v>0</v>
      </c>
      <c r="W6" s="70">
        <f>IFERROR(IF(W$4="",0,IF($E6="kWh",VLOOKUP(W$4,'4. Billing Determinants'!$B$19:$P$41,4,0)/'4. Billing Determinants'!$E$41*$D6,IF($E6="kW",VLOOKUP(W$4,'4. Billing Determinants'!$B$19:$P$41,5,0)/'4. Billing Determinants'!$F$41*$D6,IF($E6="Non-RPP kWh",VLOOKUP(W$4,'4. Billing Determinants'!$B$19:$P$41,6,0)/'4. Billing Determinants'!$G$41*$D6,IF($E6="Distribution Rev.",VLOOKUP(W$4,'4. Billing Determinants'!$B$19:$P$41,8,0)/'4. Billing Determinants'!$I$41*$D6, VLOOKUP(W$4,'4. Billing Determinants'!$B$19:$P$41,3,0)/'4. Billing Determinants'!$D$41*$D6))))),0)</f>
        <v>0</v>
      </c>
      <c r="X6" s="70">
        <f>IFERROR(IF(X$4="",0,IF($E6="kWh",VLOOKUP(X$4,'4. Billing Determinants'!$B$19:$P$41,4,0)/'4. Billing Determinants'!$E$41*$D6,IF($E6="kW",VLOOKUP(X$4,'4. Billing Determinants'!$B$19:$P$41,5,0)/'4. Billing Determinants'!$F$41*$D6,IF($E6="Non-RPP kWh",VLOOKUP(X$4,'4. Billing Determinants'!$B$19:$P$41,6,0)/'4. Billing Determinants'!$G$41*$D6,IF($E6="Distribution Rev.",VLOOKUP(X$4,'4. Billing Determinants'!$B$19:$P$41,8,0)/'4. Billing Determinants'!$I$41*$D6, VLOOKUP(X$4,'4. Billing Determinants'!$B$19:$P$41,3,0)/'4. Billing Determinants'!$D$41*$D6))))),0)</f>
        <v>0</v>
      </c>
      <c r="Y6" s="70">
        <f>IFERROR(IF(Y$4="",0,IF($E6="kWh",VLOOKUP(Y$4,'4. Billing Determinants'!$B$19:$P$41,4,0)/'4. Billing Determinants'!$E$41*$D6,IF($E6="kW",VLOOKUP(Y$4,'4. Billing Determinants'!$B$19:$P$41,5,0)/'4. Billing Determinants'!$F$41*$D6,IF($E6="Non-RPP kWh",VLOOKUP(Y$4,'4. Billing Determinants'!$B$19:$P$41,6,0)/'4. Billing Determinants'!$G$41*$D6,IF($E6="Distribution Rev.",VLOOKUP(Y$4,'4. Billing Determinants'!$B$19:$P$41,8,0)/'4. Billing Determinants'!$I$41*$D6, VLOOKUP(Y$4,'4. Billing Determinants'!$B$19:$P$41,3,0)/'4. Billing Determinants'!$D$41*$D6))))),0)</f>
        <v>0</v>
      </c>
    </row>
    <row r="7" spans="2:25" x14ac:dyDescent="0.2">
      <c r="B7" s="71" t="s">
        <v>1</v>
      </c>
      <c r="C7" s="69">
        <v>1580</v>
      </c>
      <c r="D7" s="70">
        <f>'2. 2014 Continuity Schedule'!BO26</f>
        <v>-386876.37757452385</v>
      </c>
      <c r="E7" s="130" t="s">
        <v>276</v>
      </c>
      <c r="F7" s="70">
        <f>IFERROR(IF(F$4="",0,IF($E7="kWh",VLOOKUP(F$4,'4. Billing Determinants'!$B$19:$P$41,4,0)/'4. Billing Determinants'!$E$41*$D7,IF($E7="kW",VLOOKUP(F$4,'4. Billing Determinants'!$B$19:$P$41,5,0)/'4. Billing Determinants'!$F$41*$D7,IF($E7="Non-RPP kWh",VLOOKUP(F$4,'4. Billing Determinants'!$B$19:$P$41,6,0)/'4. Billing Determinants'!$G$41*$D7,IF($E7="Distribution Rev.",VLOOKUP(F$4,'4. Billing Determinants'!$B$19:$P$41,8,0)/'4. Billing Determinants'!$I$41*$D7, VLOOKUP(F$4,'4. Billing Determinants'!$B$19:$P$41,3,0)/'4. Billing Determinants'!$D$41*$D7))))),0)</f>
        <v>-152755.13052395577</v>
      </c>
      <c r="G7" s="70">
        <f>IFERROR(IF(G$4="",0,IF($E7="kWh",VLOOKUP(G$4,'4. Billing Determinants'!$B$19:$P$41,4,0)/'4. Billing Determinants'!$E$41*$D7,IF($E7="kW",VLOOKUP(G$4,'4. Billing Determinants'!$B$19:$P$41,5,0)/'4. Billing Determinants'!$F$41*$D7,IF($E7="Non-RPP kWh",VLOOKUP(G$4,'4. Billing Determinants'!$B$19:$P$41,6,0)/'4. Billing Determinants'!$G$41*$D7,IF($E7="Distribution Rev.",VLOOKUP(G$4,'4. Billing Determinants'!$B$19:$P$41,8,0)/'4. Billing Determinants'!$I$41*$D7, VLOOKUP(G$4,'4. Billing Determinants'!$B$19:$P$41,3,0)/'4. Billing Determinants'!$D$41*$D7))))),0)</f>
        <v>-63452.553542821362</v>
      </c>
      <c r="H7" s="70">
        <f>IFERROR(IF(H$4="",0,IF($E7="kWh",VLOOKUP(H$4,'4. Billing Determinants'!$B$19:$P$41,4,0)/'4. Billing Determinants'!$E$41*$D7,IF($E7="kW",VLOOKUP(H$4,'4. Billing Determinants'!$B$19:$P$41,5,0)/'4. Billing Determinants'!$F$41*$D7,IF($E7="Non-RPP kWh",VLOOKUP(H$4,'4. Billing Determinants'!$B$19:$P$41,6,0)/'4. Billing Determinants'!$G$41*$D7,IF($E7="Distribution Rev.",VLOOKUP(H$4,'4. Billing Determinants'!$B$19:$P$41,8,0)/'4. Billing Determinants'!$I$41*$D7, VLOOKUP(H$4,'4. Billing Determinants'!$B$19:$P$41,3,0)/'4. Billing Determinants'!$D$41*$D7))))),0)</f>
        <v>-156016.22544481518</v>
      </c>
      <c r="I7" s="70">
        <f>IFERROR(IF(I$4="",0,IF($E7="kWh",VLOOKUP(I$4,'4. Billing Determinants'!$B$19:$P$41,4,0)/'4. Billing Determinants'!$E$41*$D7,IF($E7="kW",VLOOKUP(I$4,'4. Billing Determinants'!$B$19:$P$41,5,0)/'4. Billing Determinants'!$F$41*$D7,IF($E7="Non-RPP kWh",VLOOKUP(I$4,'4. Billing Determinants'!$B$19:$P$41,6,0)/'4. Billing Determinants'!$G$41*$D7,IF($E7="Distribution Rev.",VLOOKUP(I$4,'4. Billing Determinants'!$B$19:$P$41,8,0)/'4. Billing Determinants'!$I$41*$D7, VLOOKUP(I$4,'4. Billing Determinants'!$B$19:$P$41,3,0)/'4. Billing Determinants'!$D$41*$D7))))),0)</f>
        <v>-12826.247346602084</v>
      </c>
      <c r="J7" s="70">
        <f>IFERROR(IF(J$4="",0,IF($E7="kWh",VLOOKUP(J$4,'4. Billing Determinants'!$B$19:$P$41,4,0)/'4. Billing Determinants'!$E$41*$D7,IF($E7="kW",VLOOKUP(J$4,'4. Billing Determinants'!$B$19:$P$41,5,0)/'4. Billing Determinants'!$F$41*$D7,IF($E7="Non-RPP kWh",VLOOKUP(J$4,'4. Billing Determinants'!$B$19:$P$41,6,0)/'4. Billing Determinants'!$G$41*$D7,IF($E7="Distribution Rev.",VLOOKUP(J$4,'4. Billing Determinants'!$B$19:$P$41,8,0)/'4. Billing Determinants'!$I$41*$D7, VLOOKUP(J$4,'4. Billing Determinants'!$B$19:$P$41,3,0)/'4. Billing Determinants'!$D$41*$D7))))),0)</f>
        <v>-23.820183097175896</v>
      </c>
      <c r="K7" s="70">
        <f>IFERROR(IF(K$4="",0,IF($E7="kWh",VLOOKUP(K$4,'4. Billing Determinants'!$B$19:$P$41,4,0)/'4. Billing Determinants'!$E$41*$D7,IF($E7="kW",VLOOKUP(K$4,'4. Billing Determinants'!$B$19:$P$41,5,0)/'4. Billing Determinants'!$F$41*$D7,IF($E7="Non-RPP kWh",VLOOKUP(K$4,'4. Billing Determinants'!$B$19:$P$41,6,0)/'4. Billing Determinants'!$G$41*$D7,IF($E7="Distribution Rev.",VLOOKUP(K$4,'4. Billing Determinants'!$B$19:$P$41,8,0)/'4. Billing Determinants'!$I$41*$D7, VLOOKUP(K$4,'4. Billing Determinants'!$B$19:$P$41,3,0)/'4. Billing Determinants'!$D$41*$D7))))),0)</f>
        <v>-301.76711428791685</v>
      </c>
      <c r="L7" s="70">
        <f>IFERROR(IF(L$4="",0,IF($E7="kWh",VLOOKUP(L$4,'4. Billing Determinants'!$B$19:$P$41,4,0)/'4. Billing Determinants'!$E$41*$D7,IF($E7="kW",VLOOKUP(L$4,'4. Billing Determinants'!$B$19:$P$41,5,0)/'4. Billing Determinants'!$F$41*$D7,IF($E7="Non-RPP kWh",VLOOKUP(L$4,'4. Billing Determinants'!$B$19:$P$41,6,0)/'4. Billing Determinants'!$G$41*$D7,IF($E7="Distribution Rev.",VLOOKUP(L$4,'4. Billing Determinants'!$B$19:$P$41,8,0)/'4. Billing Determinants'!$I$41*$D7, VLOOKUP(L$4,'4. Billing Determinants'!$B$19:$P$41,3,0)/'4. Billing Determinants'!$D$41*$D7))))),0)</f>
        <v>-1500.6334189444265</v>
      </c>
      <c r="M7" s="70">
        <f>IFERROR(IF(M$4="",0,IF($E7="kWh",VLOOKUP(M$4,'4. Billing Determinants'!$B$19:$P$41,4,0)/'4. Billing Determinants'!$E$41*$D7,IF($E7="kW",VLOOKUP(M$4,'4. Billing Determinants'!$B$19:$P$41,5,0)/'4. Billing Determinants'!$F$41*$D7,IF($E7="Non-RPP kWh",VLOOKUP(M$4,'4. Billing Determinants'!$B$19:$P$41,6,0)/'4. Billing Determinants'!$G$41*$D7,IF($E7="Distribution Rev.",VLOOKUP(M$4,'4. Billing Determinants'!$B$19:$P$41,8,0)/'4. Billing Determinants'!$I$41*$D7, VLOOKUP(M$4,'4. Billing Determinants'!$B$19:$P$41,3,0)/'4. Billing Determinants'!$D$41*$D7))))),0)</f>
        <v>0</v>
      </c>
      <c r="N7" s="70">
        <f>IFERROR(IF(N$4="",0,IF($E7="kWh",VLOOKUP(N$4,'4. Billing Determinants'!$B$19:$P$41,4,0)/'4. Billing Determinants'!$E$41*$D7,IF($E7="kW",VLOOKUP(N$4,'4. Billing Determinants'!$B$19:$P$41,5,0)/'4. Billing Determinants'!$F$41*$D7,IF($E7="Non-RPP kWh",VLOOKUP(N$4,'4. Billing Determinants'!$B$19:$P$41,6,0)/'4. Billing Determinants'!$G$41*$D7,IF($E7="Distribution Rev.",VLOOKUP(N$4,'4. Billing Determinants'!$B$19:$P$41,8,0)/'4. Billing Determinants'!$I$41*$D7, VLOOKUP(N$4,'4. Billing Determinants'!$B$19:$P$41,3,0)/'4. Billing Determinants'!$D$41*$D7))))),0)</f>
        <v>0</v>
      </c>
      <c r="O7" s="70">
        <f>IFERROR(IF(O$4="",0,IF($E7="kWh",VLOOKUP(O$4,'4. Billing Determinants'!$B$19:$P$41,4,0)/'4. Billing Determinants'!$E$41*$D7,IF($E7="kW",VLOOKUP(O$4,'4. Billing Determinants'!$B$19:$P$41,5,0)/'4. Billing Determinants'!$F$41*$D7,IF($E7="Non-RPP kWh",VLOOKUP(O$4,'4. Billing Determinants'!$B$19:$P$41,6,0)/'4. Billing Determinants'!$G$41*$D7,IF($E7="Distribution Rev.",VLOOKUP(O$4,'4. Billing Determinants'!$B$19:$P$41,8,0)/'4. Billing Determinants'!$I$41*$D7, VLOOKUP(O$4,'4. Billing Determinants'!$B$19:$P$41,3,0)/'4. Billing Determinants'!$D$41*$D7))))),0)</f>
        <v>0</v>
      </c>
      <c r="P7" s="70">
        <f>IFERROR(IF(P$4="",0,IF($E7="kWh",VLOOKUP(P$4,'4. Billing Determinants'!$B$19:$P$41,4,0)/'4. Billing Determinants'!$E$41*$D7,IF($E7="kW",VLOOKUP(P$4,'4. Billing Determinants'!$B$19:$P$41,5,0)/'4. Billing Determinants'!$F$41*$D7,IF($E7="Non-RPP kWh",VLOOKUP(P$4,'4. Billing Determinants'!$B$19:$P$41,6,0)/'4. Billing Determinants'!$G$41*$D7,IF($E7="Distribution Rev.",VLOOKUP(P$4,'4. Billing Determinants'!$B$19:$P$41,8,0)/'4. Billing Determinants'!$I$41*$D7, VLOOKUP(P$4,'4. Billing Determinants'!$B$19:$P$41,3,0)/'4. Billing Determinants'!$D$41*$D7))))),0)</f>
        <v>0</v>
      </c>
      <c r="Q7" s="70">
        <f>IFERROR(IF(Q$4="",0,IF($E7="kWh",VLOOKUP(Q$4,'4. Billing Determinants'!$B$19:$P$41,4,0)/'4. Billing Determinants'!$E$41*$D7,IF($E7="kW",VLOOKUP(Q$4,'4. Billing Determinants'!$B$19:$P$41,5,0)/'4. Billing Determinants'!$F$41*$D7,IF($E7="Non-RPP kWh",VLOOKUP(Q$4,'4. Billing Determinants'!$B$19:$P$41,6,0)/'4. Billing Determinants'!$G$41*$D7,IF($E7="Distribution Rev.",VLOOKUP(Q$4,'4. Billing Determinants'!$B$19:$P$41,8,0)/'4. Billing Determinants'!$I$41*$D7, VLOOKUP(Q$4,'4. Billing Determinants'!$B$19:$P$41,3,0)/'4. Billing Determinants'!$D$41*$D7))))),0)</f>
        <v>0</v>
      </c>
      <c r="R7" s="70">
        <f>IFERROR(IF(R$4="",0,IF($E7="kWh",VLOOKUP(R$4,'4. Billing Determinants'!$B$19:$P$41,4,0)/'4. Billing Determinants'!$E$41*$D7,IF($E7="kW",VLOOKUP(R$4,'4. Billing Determinants'!$B$19:$P$41,5,0)/'4. Billing Determinants'!$F$41*$D7,IF($E7="Non-RPP kWh",VLOOKUP(R$4,'4. Billing Determinants'!$B$19:$P$41,6,0)/'4. Billing Determinants'!$G$41*$D7,IF($E7="Distribution Rev.",VLOOKUP(R$4,'4. Billing Determinants'!$B$19:$P$41,8,0)/'4. Billing Determinants'!$I$41*$D7, VLOOKUP(R$4,'4. Billing Determinants'!$B$19:$P$41,3,0)/'4. Billing Determinants'!$D$41*$D7))))),0)</f>
        <v>0</v>
      </c>
      <c r="S7" s="70">
        <f>IFERROR(IF(S$4="",0,IF($E7="kWh",VLOOKUP(S$4,'4. Billing Determinants'!$B$19:$P$41,4,0)/'4. Billing Determinants'!$E$41*$D7,IF($E7="kW",VLOOKUP(S$4,'4. Billing Determinants'!$B$19:$P$41,5,0)/'4. Billing Determinants'!$F$41*$D7,IF($E7="Non-RPP kWh",VLOOKUP(S$4,'4. Billing Determinants'!$B$19:$P$41,6,0)/'4. Billing Determinants'!$G$41*$D7,IF($E7="Distribution Rev.",VLOOKUP(S$4,'4. Billing Determinants'!$B$19:$P$41,8,0)/'4. Billing Determinants'!$I$41*$D7, VLOOKUP(S$4,'4. Billing Determinants'!$B$19:$P$41,3,0)/'4. Billing Determinants'!$D$41*$D7))))),0)</f>
        <v>0</v>
      </c>
      <c r="T7" s="70">
        <f>IFERROR(IF(T$4="",0,IF($E7="kWh",VLOOKUP(T$4,'4. Billing Determinants'!$B$19:$P$41,4,0)/'4. Billing Determinants'!$E$41*$D7,IF($E7="kW",VLOOKUP(T$4,'4. Billing Determinants'!$B$19:$P$41,5,0)/'4. Billing Determinants'!$F$41*$D7,IF($E7="Non-RPP kWh",VLOOKUP(T$4,'4. Billing Determinants'!$B$19:$P$41,6,0)/'4. Billing Determinants'!$G$41*$D7,IF($E7="Distribution Rev.",VLOOKUP(T$4,'4. Billing Determinants'!$B$19:$P$41,8,0)/'4. Billing Determinants'!$I$41*$D7, VLOOKUP(T$4,'4. Billing Determinants'!$B$19:$P$41,3,0)/'4. Billing Determinants'!$D$41*$D7))))),0)</f>
        <v>0</v>
      </c>
      <c r="U7" s="70">
        <f>IFERROR(IF(U$4="",0,IF($E7="kWh",VLOOKUP(U$4,'4. Billing Determinants'!$B$19:$P$41,4,0)/'4. Billing Determinants'!$E$41*$D7,IF($E7="kW",VLOOKUP(U$4,'4. Billing Determinants'!$B$19:$P$41,5,0)/'4. Billing Determinants'!$F$41*$D7,IF($E7="Non-RPP kWh",VLOOKUP(U$4,'4. Billing Determinants'!$B$19:$P$41,6,0)/'4. Billing Determinants'!$G$41*$D7,IF($E7="Distribution Rev.",VLOOKUP(U$4,'4. Billing Determinants'!$B$19:$P$41,8,0)/'4. Billing Determinants'!$I$41*$D7, VLOOKUP(U$4,'4. Billing Determinants'!$B$19:$P$41,3,0)/'4. Billing Determinants'!$D$41*$D7))))),0)</f>
        <v>0</v>
      </c>
      <c r="V7" s="70">
        <f>IFERROR(IF(V$4="",0,IF($E7="kWh",VLOOKUP(V$4,'4. Billing Determinants'!$B$19:$P$41,4,0)/'4. Billing Determinants'!$E$41*$D7,IF($E7="kW",VLOOKUP(V$4,'4. Billing Determinants'!$B$19:$P$41,5,0)/'4. Billing Determinants'!$F$41*$D7,IF($E7="Non-RPP kWh",VLOOKUP(V$4,'4. Billing Determinants'!$B$19:$P$41,6,0)/'4. Billing Determinants'!$G$41*$D7,IF($E7="Distribution Rev.",VLOOKUP(V$4,'4. Billing Determinants'!$B$19:$P$41,8,0)/'4. Billing Determinants'!$I$41*$D7, VLOOKUP(V$4,'4. Billing Determinants'!$B$19:$P$41,3,0)/'4. Billing Determinants'!$D$41*$D7))))),0)</f>
        <v>0</v>
      </c>
      <c r="W7" s="70">
        <f>IFERROR(IF(W$4="",0,IF($E7="kWh",VLOOKUP(W$4,'4. Billing Determinants'!$B$19:$P$41,4,0)/'4. Billing Determinants'!$E$41*$D7,IF($E7="kW",VLOOKUP(W$4,'4. Billing Determinants'!$B$19:$P$41,5,0)/'4. Billing Determinants'!$F$41*$D7,IF($E7="Non-RPP kWh",VLOOKUP(W$4,'4. Billing Determinants'!$B$19:$P$41,6,0)/'4. Billing Determinants'!$G$41*$D7,IF($E7="Distribution Rev.",VLOOKUP(W$4,'4. Billing Determinants'!$B$19:$P$41,8,0)/'4. Billing Determinants'!$I$41*$D7, VLOOKUP(W$4,'4. Billing Determinants'!$B$19:$P$41,3,0)/'4. Billing Determinants'!$D$41*$D7))))),0)</f>
        <v>0</v>
      </c>
      <c r="X7" s="70">
        <f>IFERROR(IF(X$4="",0,IF($E7="kWh",VLOOKUP(X$4,'4. Billing Determinants'!$B$19:$P$41,4,0)/'4. Billing Determinants'!$E$41*$D7,IF($E7="kW",VLOOKUP(X$4,'4. Billing Determinants'!$B$19:$P$41,5,0)/'4. Billing Determinants'!$F$41*$D7,IF($E7="Non-RPP kWh",VLOOKUP(X$4,'4. Billing Determinants'!$B$19:$P$41,6,0)/'4. Billing Determinants'!$G$41*$D7,IF($E7="Distribution Rev.",VLOOKUP(X$4,'4. Billing Determinants'!$B$19:$P$41,8,0)/'4. Billing Determinants'!$I$41*$D7, VLOOKUP(X$4,'4. Billing Determinants'!$B$19:$P$41,3,0)/'4. Billing Determinants'!$D$41*$D7))))),0)</f>
        <v>0</v>
      </c>
      <c r="Y7" s="70">
        <f>IFERROR(IF(Y$4="",0,IF($E7="kWh",VLOOKUP(Y$4,'4. Billing Determinants'!$B$19:$P$41,4,0)/'4. Billing Determinants'!$E$41*$D7,IF($E7="kW",VLOOKUP(Y$4,'4. Billing Determinants'!$B$19:$P$41,5,0)/'4. Billing Determinants'!$F$41*$D7,IF($E7="Non-RPP kWh",VLOOKUP(Y$4,'4. Billing Determinants'!$B$19:$P$41,6,0)/'4. Billing Determinants'!$G$41*$D7,IF($E7="Distribution Rev.",VLOOKUP(Y$4,'4. Billing Determinants'!$B$19:$P$41,8,0)/'4. Billing Determinants'!$I$41*$D7, VLOOKUP(Y$4,'4. Billing Determinants'!$B$19:$P$41,3,0)/'4. Billing Determinants'!$D$41*$D7))))),0)</f>
        <v>0</v>
      </c>
    </row>
    <row r="8" spans="2:25" x14ac:dyDescent="0.2">
      <c r="B8" s="71" t="s">
        <v>2</v>
      </c>
      <c r="C8" s="69">
        <v>1584</v>
      </c>
      <c r="D8" s="70">
        <f>'2. 2014 Continuity Schedule'!BO27</f>
        <v>191702.69668615199</v>
      </c>
      <c r="E8" s="130" t="s">
        <v>276</v>
      </c>
      <c r="F8" s="70">
        <f>IFERROR(IF(F$4="",0,IF($E8="kWh",VLOOKUP(F$4,'4. Billing Determinants'!$B$19:$P$41,4,0)/'4. Billing Determinants'!$E$41*$D8,IF($E8="kW",VLOOKUP(F$4,'4. Billing Determinants'!$B$19:$P$41,5,0)/'4. Billing Determinants'!$F$41*$D8,IF($E8="Non-RPP kWh",VLOOKUP(F$4,'4. Billing Determinants'!$B$19:$P$41,6,0)/'4. Billing Determinants'!$G$41*$D8,IF($E8="Distribution Rev.",VLOOKUP(F$4,'4. Billing Determinants'!$B$19:$P$41,8,0)/'4. Billing Determinants'!$I$41*$D8, VLOOKUP(F$4,'4. Billing Determinants'!$B$19:$P$41,3,0)/'4. Billing Determinants'!$D$41*$D8))))),0)</f>
        <v>75692.31969570581</v>
      </c>
      <c r="G8" s="70">
        <f>IFERROR(IF(G$4="",0,IF($E8="kWh",VLOOKUP(G$4,'4. Billing Determinants'!$B$19:$P$41,4,0)/'4. Billing Determinants'!$E$41*$D8,IF($E8="kW",VLOOKUP(G$4,'4. Billing Determinants'!$B$19:$P$41,5,0)/'4. Billing Determinants'!$F$41*$D8,IF($E8="Non-RPP kWh",VLOOKUP(G$4,'4. Billing Determinants'!$B$19:$P$41,6,0)/'4. Billing Determinants'!$G$41*$D8,IF($E8="Distribution Rev.",VLOOKUP(G$4,'4. Billing Determinants'!$B$19:$P$41,8,0)/'4. Billing Determinants'!$I$41*$D8, VLOOKUP(G$4,'4. Billing Determinants'!$B$19:$P$41,3,0)/'4. Billing Determinants'!$D$41*$D8))))),0)</f>
        <v>31441.634410563489</v>
      </c>
      <c r="H8" s="70">
        <f>IFERROR(IF(H$4="",0,IF($E8="kWh",VLOOKUP(H$4,'4. Billing Determinants'!$B$19:$P$41,4,0)/'4. Billing Determinants'!$E$41*$D8,IF($E8="kW",VLOOKUP(H$4,'4. Billing Determinants'!$B$19:$P$41,5,0)/'4. Billing Determinants'!$F$41*$D8,IF($E8="Non-RPP kWh",VLOOKUP(H$4,'4. Billing Determinants'!$B$19:$P$41,6,0)/'4. Billing Determinants'!$G$41*$D8,IF($E8="Distribution Rev.",VLOOKUP(H$4,'4. Billing Determinants'!$B$19:$P$41,8,0)/'4. Billing Determinants'!$I$41*$D8, VLOOKUP(H$4,'4. Billing Determinants'!$B$19:$P$41,3,0)/'4. Billing Determinants'!$D$41*$D8))))),0)</f>
        <v>77308.238182116474</v>
      </c>
      <c r="I8" s="70">
        <f>IFERROR(IF(I$4="",0,IF($E8="kWh",VLOOKUP(I$4,'4. Billing Determinants'!$B$19:$P$41,4,0)/'4. Billing Determinants'!$E$41*$D8,IF($E8="kW",VLOOKUP(I$4,'4. Billing Determinants'!$B$19:$P$41,5,0)/'4. Billing Determinants'!$F$41*$D8,IF($E8="Non-RPP kWh",VLOOKUP(I$4,'4. Billing Determinants'!$B$19:$P$41,6,0)/'4. Billing Determinants'!$G$41*$D8,IF($E8="Distribution Rev.",VLOOKUP(I$4,'4. Billing Determinants'!$B$19:$P$41,8,0)/'4. Billing Determinants'!$I$41*$D8, VLOOKUP(I$4,'4. Billing Determinants'!$B$19:$P$41,3,0)/'4. Billing Determinants'!$D$41*$D8))))),0)</f>
        <v>6355.5862989685338</v>
      </c>
      <c r="J8" s="70">
        <f>IFERROR(IF(J$4="",0,IF($E8="kWh",VLOOKUP(J$4,'4. Billing Determinants'!$B$19:$P$41,4,0)/'4. Billing Determinants'!$E$41*$D8,IF($E8="kW",VLOOKUP(J$4,'4. Billing Determinants'!$B$19:$P$41,5,0)/'4. Billing Determinants'!$F$41*$D8,IF($E8="Non-RPP kWh",VLOOKUP(J$4,'4. Billing Determinants'!$B$19:$P$41,6,0)/'4. Billing Determinants'!$G$41*$D8,IF($E8="Distribution Rev.",VLOOKUP(J$4,'4. Billing Determinants'!$B$19:$P$41,8,0)/'4. Billing Determinants'!$I$41*$D8, VLOOKUP(J$4,'4. Billing Determinants'!$B$19:$P$41,3,0)/'4. Billing Determinants'!$D$41*$D8))))),0)</f>
        <v>11.803236382420099</v>
      </c>
      <c r="K8" s="70">
        <f>IFERROR(IF(K$4="",0,IF($E8="kWh",VLOOKUP(K$4,'4. Billing Determinants'!$B$19:$P$41,4,0)/'4. Billing Determinants'!$E$41*$D8,IF($E8="kW",VLOOKUP(K$4,'4. Billing Determinants'!$B$19:$P$41,5,0)/'4. Billing Determinants'!$F$41*$D8,IF($E8="Non-RPP kWh",VLOOKUP(K$4,'4. Billing Determinants'!$B$19:$P$41,6,0)/'4. Billing Determinants'!$G$41*$D8,IF($E8="Distribution Rev.",VLOOKUP(K$4,'4. Billing Determinants'!$B$19:$P$41,8,0)/'4. Billing Determinants'!$I$41*$D8, VLOOKUP(K$4,'4. Billing Determinants'!$B$19:$P$41,3,0)/'4. Billing Determinants'!$D$41*$D8))))),0)</f>
        <v>149.5298574259638</v>
      </c>
      <c r="L8" s="70">
        <f>IFERROR(IF(L$4="",0,IF($E8="kWh",VLOOKUP(L$4,'4. Billing Determinants'!$B$19:$P$41,4,0)/'4. Billing Determinants'!$E$41*$D8,IF($E8="kW",VLOOKUP(L$4,'4. Billing Determinants'!$B$19:$P$41,5,0)/'4. Billing Determinants'!$F$41*$D8,IF($E8="Non-RPP kWh",VLOOKUP(L$4,'4. Billing Determinants'!$B$19:$P$41,6,0)/'4. Billing Determinants'!$G$41*$D8,IF($E8="Distribution Rev.",VLOOKUP(L$4,'4. Billing Determinants'!$B$19:$P$41,8,0)/'4. Billing Determinants'!$I$41*$D8, VLOOKUP(L$4,'4. Billing Determinants'!$B$19:$P$41,3,0)/'4. Billing Determinants'!$D$41*$D8))))),0)</f>
        <v>743.58500498933097</v>
      </c>
      <c r="M8" s="70">
        <f>IFERROR(IF(M$4="",0,IF($E8="kWh",VLOOKUP(M$4,'4. Billing Determinants'!$B$19:$P$41,4,0)/'4. Billing Determinants'!$E$41*$D8,IF($E8="kW",VLOOKUP(M$4,'4. Billing Determinants'!$B$19:$P$41,5,0)/'4. Billing Determinants'!$F$41*$D8,IF($E8="Non-RPP kWh",VLOOKUP(M$4,'4. Billing Determinants'!$B$19:$P$41,6,0)/'4. Billing Determinants'!$G$41*$D8,IF($E8="Distribution Rev.",VLOOKUP(M$4,'4. Billing Determinants'!$B$19:$P$41,8,0)/'4. Billing Determinants'!$I$41*$D8, VLOOKUP(M$4,'4. Billing Determinants'!$B$19:$P$41,3,0)/'4. Billing Determinants'!$D$41*$D8))))),0)</f>
        <v>0</v>
      </c>
      <c r="N8" s="70">
        <f>IFERROR(IF(N$4="",0,IF($E8="kWh",VLOOKUP(N$4,'4. Billing Determinants'!$B$19:$P$41,4,0)/'4. Billing Determinants'!$E$41*$D8,IF($E8="kW",VLOOKUP(N$4,'4. Billing Determinants'!$B$19:$P$41,5,0)/'4. Billing Determinants'!$F$41*$D8,IF($E8="Non-RPP kWh",VLOOKUP(N$4,'4. Billing Determinants'!$B$19:$P$41,6,0)/'4. Billing Determinants'!$G$41*$D8,IF($E8="Distribution Rev.",VLOOKUP(N$4,'4. Billing Determinants'!$B$19:$P$41,8,0)/'4. Billing Determinants'!$I$41*$D8, VLOOKUP(N$4,'4. Billing Determinants'!$B$19:$P$41,3,0)/'4. Billing Determinants'!$D$41*$D8))))),0)</f>
        <v>0</v>
      </c>
      <c r="O8" s="70">
        <f>IFERROR(IF(O$4="",0,IF($E8="kWh",VLOOKUP(O$4,'4. Billing Determinants'!$B$19:$P$41,4,0)/'4. Billing Determinants'!$E$41*$D8,IF($E8="kW",VLOOKUP(O$4,'4. Billing Determinants'!$B$19:$P$41,5,0)/'4. Billing Determinants'!$F$41*$D8,IF($E8="Non-RPP kWh",VLOOKUP(O$4,'4. Billing Determinants'!$B$19:$P$41,6,0)/'4. Billing Determinants'!$G$41*$D8,IF($E8="Distribution Rev.",VLOOKUP(O$4,'4. Billing Determinants'!$B$19:$P$41,8,0)/'4. Billing Determinants'!$I$41*$D8, VLOOKUP(O$4,'4. Billing Determinants'!$B$19:$P$41,3,0)/'4. Billing Determinants'!$D$41*$D8))))),0)</f>
        <v>0</v>
      </c>
      <c r="P8" s="70">
        <f>IFERROR(IF(P$4="",0,IF($E8="kWh",VLOOKUP(P$4,'4. Billing Determinants'!$B$19:$P$41,4,0)/'4. Billing Determinants'!$E$41*$D8,IF($E8="kW",VLOOKUP(P$4,'4. Billing Determinants'!$B$19:$P$41,5,0)/'4. Billing Determinants'!$F$41*$D8,IF($E8="Non-RPP kWh",VLOOKUP(P$4,'4. Billing Determinants'!$B$19:$P$41,6,0)/'4. Billing Determinants'!$G$41*$D8,IF($E8="Distribution Rev.",VLOOKUP(P$4,'4. Billing Determinants'!$B$19:$P$41,8,0)/'4. Billing Determinants'!$I$41*$D8, VLOOKUP(P$4,'4. Billing Determinants'!$B$19:$P$41,3,0)/'4. Billing Determinants'!$D$41*$D8))))),0)</f>
        <v>0</v>
      </c>
      <c r="Q8" s="70">
        <f>IFERROR(IF(Q$4="",0,IF($E8="kWh",VLOOKUP(Q$4,'4. Billing Determinants'!$B$19:$P$41,4,0)/'4. Billing Determinants'!$E$41*$D8,IF($E8="kW",VLOOKUP(Q$4,'4. Billing Determinants'!$B$19:$P$41,5,0)/'4. Billing Determinants'!$F$41*$D8,IF($E8="Non-RPP kWh",VLOOKUP(Q$4,'4. Billing Determinants'!$B$19:$P$41,6,0)/'4. Billing Determinants'!$G$41*$D8,IF($E8="Distribution Rev.",VLOOKUP(Q$4,'4. Billing Determinants'!$B$19:$P$41,8,0)/'4. Billing Determinants'!$I$41*$D8, VLOOKUP(Q$4,'4. Billing Determinants'!$B$19:$P$41,3,0)/'4. Billing Determinants'!$D$41*$D8))))),0)</f>
        <v>0</v>
      </c>
      <c r="R8" s="70">
        <f>IFERROR(IF(R$4="",0,IF($E8="kWh",VLOOKUP(R$4,'4. Billing Determinants'!$B$19:$P$41,4,0)/'4. Billing Determinants'!$E$41*$D8,IF($E8="kW",VLOOKUP(R$4,'4. Billing Determinants'!$B$19:$P$41,5,0)/'4. Billing Determinants'!$F$41*$D8,IF($E8="Non-RPP kWh",VLOOKUP(R$4,'4. Billing Determinants'!$B$19:$P$41,6,0)/'4. Billing Determinants'!$G$41*$D8,IF($E8="Distribution Rev.",VLOOKUP(R$4,'4. Billing Determinants'!$B$19:$P$41,8,0)/'4. Billing Determinants'!$I$41*$D8, VLOOKUP(R$4,'4. Billing Determinants'!$B$19:$P$41,3,0)/'4. Billing Determinants'!$D$41*$D8))))),0)</f>
        <v>0</v>
      </c>
      <c r="S8" s="70">
        <f>IFERROR(IF(S$4="",0,IF($E8="kWh",VLOOKUP(S$4,'4. Billing Determinants'!$B$19:$P$41,4,0)/'4. Billing Determinants'!$E$41*$D8,IF($E8="kW",VLOOKUP(S$4,'4. Billing Determinants'!$B$19:$P$41,5,0)/'4. Billing Determinants'!$F$41*$D8,IF($E8="Non-RPP kWh",VLOOKUP(S$4,'4. Billing Determinants'!$B$19:$P$41,6,0)/'4. Billing Determinants'!$G$41*$D8,IF($E8="Distribution Rev.",VLOOKUP(S$4,'4. Billing Determinants'!$B$19:$P$41,8,0)/'4. Billing Determinants'!$I$41*$D8, VLOOKUP(S$4,'4. Billing Determinants'!$B$19:$P$41,3,0)/'4. Billing Determinants'!$D$41*$D8))))),0)</f>
        <v>0</v>
      </c>
      <c r="T8" s="70">
        <f>IFERROR(IF(T$4="",0,IF($E8="kWh",VLOOKUP(T$4,'4. Billing Determinants'!$B$19:$P$41,4,0)/'4. Billing Determinants'!$E$41*$D8,IF($E8="kW",VLOOKUP(T$4,'4. Billing Determinants'!$B$19:$P$41,5,0)/'4. Billing Determinants'!$F$41*$D8,IF($E8="Non-RPP kWh",VLOOKUP(T$4,'4. Billing Determinants'!$B$19:$P$41,6,0)/'4. Billing Determinants'!$G$41*$D8,IF($E8="Distribution Rev.",VLOOKUP(T$4,'4. Billing Determinants'!$B$19:$P$41,8,0)/'4. Billing Determinants'!$I$41*$D8, VLOOKUP(T$4,'4. Billing Determinants'!$B$19:$P$41,3,0)/'4. Billing Determinants'!$D$41*$D8))))),0)</f>
        <v>0</v>
      </c>
      <c r="U8" s="70">
        <f>IFERROR(IF(U$4="",0,IF($E8="kWh",VLOOKUP(U$4,'4. Billing Determinants'!$B$19:$P$41,4,0)/'4. Billing Determinants'!$E$41*$D8,IF($E8="kW",VLOOKUP(U$4,'4. Billing Determinants'!$B$19:$P$41,5,0)/'4. Billing Determinants'!$F$41*$D8,IF($E8="Non-RPP kWh",VLOOKUP(U$4,'4. Billing Determinants'!$B$19:$P$41,6,0)/'4. Billing Determinants'!$G$41*$D8,IF($E8="Distribution Rev.",VLOOKUP(U$4,'4. Billing Determinants'!$B$19:$P$41,8,0)/'4. Billing Determinants'!$I$41*$D8, VLOOKUP(U$4,'4. Billing Determinants'!$B$19:$P$41,3,0)/'4. Billing Determinants'!$D$41*$D8))))),0)</f>
        <v>0</v>
      </c>
      <c r="V8" s="70">
        <f>IFERROR(IF(V$4="",0,IF($E8="kWh",VLOOKUP(V$4,'4. Billing Determinants'!$B$19:$P$41,4,0)/'4. Billing Determinants'!$E$41*$D8,IF($E8="kW",VLOOKUP(V$4,'4. Billing Determinants'!$B$19:$P$41,5,0)/'4. Billing Determinants'!$F$41*$D8,IF($E8="Non-RPP kWh",VLOOKUP(V$4,'4. Billing Determinants'!$B$19:$P$41,6,0)/'4. Billing Determinants'!$G$41*$D8,IF($E8="Distribution Rev.",VLOOKUP(V$4,'4. Billing Determinants'!$B$19:$P$41,8,0)/'4. Billing Determinants'!$I$41*$D8, VLOOKUP(V$4,'4. Billing Determinants'!$B$19:$P$41,3,0)/'4. Billing Determinants'!$D$41*$D8))))),0)</f>
        <v>0</v>
      </c>
      <c r="W8" s="70">
        <f>IFERROR(IF(W$4="",0,IF($E8="kWh",VLOOKUP(W$4,'4. Billing Determinants'!$B$19:$P$41,4,0)/'4. Billing Determinants'!$E$41*$D8,IF($E8="kW",VLOOKUP(W$4,'4. Billing Determinants'!$B$19:$P$41,5,0)/'4. Billing Determinants'!$F$41*$D8,IF($E8="Non-RPP kWh",VLOOKUP(W$4,'4. Billing Determinants'!$B$19:$P$41,6,0)/'4. Billing Determinants'!$G$41*$D8,IF($E8="Distribution Rev.",VLOOKUP(W$4,'4. Billing Determinants'!$B$19:$P$41,8,0)/'4. Billing Determinants'!$I$41*$D8, VLOOKUP(W$4,'4. Billing Determinants'!$B$19:$P$41,3,0)/'4. Billing Determinants'!$D$41*$D8))))),0)</f>
        <v>0</v>
      </c>
      <c r="X8" s="70">
        <f>IFERROR(IF(X$4="",0,IF($E8="kWh",VLOOKUP(X$4,'4. Billing Determinants'!$B$19:$P$41,4,0)/'4. Billing Determinants'!$E$41*$D8,IF($E8="kW",VLOOKUP(X$4,'4. Billing Determinants'!$B$19:$P$41,5,0)/'4. Billing Determinants'!$F$41*$D8,IF($E8="Non-RPP kWh",VLOOKUP(X$4,'4. Billing Determinants'!$B$19:$P$41,6,0)/'4. Billing Determinants'!$G$41*$D8,IF($E8="Distribution Rev.",VLOOKUP(X$4,'4. Billing Determinants'!$B$19:$P$41,8,0)/'4. Billing Determinants'!$I$41*$D8, VLOOKUP(X$4,'4. Billing Determinants'!$B$19:$P$41,3,0)/'4. Billing Determinants'!$D$41*$D8))))),0)</f>
        <v>0</v>
      </c>
      <c r="Y8" s="70">
        <f>IFERROR(IF(Y$4="",0,IF($E8="kWh",VLOOKUP(Y$4,'4. Billing Determinants'!$B$19:$P$41,4,0)/'4. Billing Determinants'!$E$41*$D8,IF($E8="kW",VLOOKUP(Y$4,'4. Billing Determinants'!$B$19:$P$41,5,0)/'4. Billing Determinants'!$F$41*$D8,IF($E8="Non-RPP kWh",VLOOKUP(Y$4,'4. Billing Determinants'!$B$19:$P$41,6,0)/'4. Billing Determinants'!$G$41*$D8,IF($E8="Distribution Rev.",VLOOKUP(Y$4,'4. Billing Determinants'!$B$19:$P$41,8,0)/'4. Billing Determinants'!$I$41*$D8, VLOOKUP(Y$4,'4. Billing Determinants'!$B$19:$P$41,3,0)/'4. Billing Determinants'!$D$41*$D8))))),0)</f>
        <v>0</v>
      </c>
    </row>
    <row r="9" spans="2:25" x14ac:dyDescent="0.2">
      <c r="B9" s="71" t="s">
        <v>3</v>
      </c>
      <c r="C9" s="69">
        <v>1586</v>
      </c>
      <c r="D9" s="70">
        <f>'2. 2014 Continuity Schedule'!BO28</f>
        <v>163467.66713740764</v>
      </c>
      <c r="E9" s="130" t="s">
        <v>276</v>
      </c>
      <c r="F9" s="70">
        <f>IFERROR(IF(F$4="",0,IF($E9="kWh",VLOOKUP(F$4,'4. Billing Determinants'!$B$19:$P$41,4,0)/'4. Billing Determinants'!$E$41*$D9,IF($E9="kW",VLOOKUP(F$4,'4. Billing Determinants'!$B$19:$P$41,5,0)/'4. Billing Determinants'!$F$41*$D9,IF($E9="Non-RPP kWh",VLOOKUP(F$4,'4. Billing Determinants'!$B$19:$P$41,6,0)/'4. Billing Determinants'!$G$41*$D9,IF($E9="Distribution Rev.",VLOOKUP(F$4,'4. Billing Determinants'!$B$19:$P$41,8,0)/'4. Billing Determinants'!$I$41*$D9, VLOOKUP(F$4,'4. Billing Determinants'!$B$19:$P$41,3,0)/'4. Billing Determinants'!$D$41*$D9))))),0)</f>
        <v>64543.93774717144</v>
      </c>
      <c r="G9" s="70">
        <f>IFERROR(IF(G$4="",0,IF($E9="kWh",VLOOKUP(G$4,'4. Billing Determinants'!$B$19:$P$41,4,0)/'4. Billing Determinants'!$E$41*$D9,IF($E9="kW",VLOOKUP(G$4,'4. Billing Determinants'!$B$19:$P$41,5,0)/'4. Billing Determinants'!$F$41*$D9,IF($E9="Non-RPP kWh",VLOOKUP(G$4,'4. Billing Determinants'!$B$19:$P$41,6,0)/'4. Billing Determinants'!$G$41*$D9,IF($E9="Distribution Rev.",VLOOKUP(G$4,'4. Billing Determinants'!$B$19:$P$41,8,0)/'4. Billing Determinants'!$I$41*$D9, VLOOKUP(G$4,'4. Billing Determinants'!$B$19:$P$41,3,0)/'4. Billing Determinants'!$D$41*$D9))))),0)</f>
        <v>26810.7372349412</v>
      </c>
      <c r="H9" s="70">
        <f>IFERROR(IF(H$4="",0,IF($E9="kWh",VLOOKUP(H$4,'4. Billing Determinants'!$B$19:$P$41,4,0)/'4. Billing Determinants'!$E$41*$D9,IF($E9="kW",VLOOKUP(H$4,'4. Billing Determinants'!$B$19:$P$41,5,0)/'4. Billing Determinants'!$F$41*$D9,IF($E9="Non-RPP kWh",VLOOKUP(H$4,'4. Billing Determinants'!$B$19:$P$41,6,0)/'4. Billing Determinants'!$G$41*$D9,IF($E9="Distribution Rev.",VLOOKUP(H$4,'4. Billing Determinants'!$B$19:$P$41,8,0)/'4. Billing Determinants'!$I$41*$D9, VLOOKUP(H$4,'4. Billing Determinants'!$B$19:$P$41,3,0)/'4. Billing Determinants'!$D$41*$D9))))),0)</f>
        <v>65921.854854358608</v>
      </c>
      <c r="I9" s="70">
        <f>IFERROR(IF(I$4="",0,IF($E9="kWh",VLOOKUP(I$4,'4. Billing Determinants'!$B$19:$P$41,4,0)/'4. Billing Determinants'!$E$41*$D9,IF($E9="kW",VLOOKUP(I$4,'4. Billing Determinants'!$B$19:$P$41,5,0)/'4. Billing Determinants'!$F$41*$D9,IF($E9="Non-RPP kWh",VLOOKUP(I$4,'4. Billing Determinants'!$B$19:$P$41,6,0)/'4. Billing Determinants'!$G$41*$D9,IF($E9="Distribution Rev.",VLOOKUP(I$4,'4. Billing Determinants'!$B$19:$P$41,8,0)/'4. Billing Determinants'!$I$41*$D9, VLOOKUP(I$4,'4. Billing Determinants'!$B$19:$P$41,3,0)/'4. Billing Determinants'!$D$41*$D9))))),0)</f>
        <v>5419.5005262954455</v>
      </c>
      <c r="J9" s="70">
        <f>IFERROR(IF(J$4="",0,IF($E9="kWh",VLOOKUP(J$4,'4. Billing Determinants'!$B$19:$P$41,4,0)/'4. Billing Determinants'!$E$41*$D9,IF($E9="kW",VLOOKUP(J$4,'4. Billing Determinants'!$B$19:$P$41,5,0)/'4. Billing Determinants'!$F$41*$D9,IF($E9="Non-RPP kWh",VLOOKUP(J$4,'4. Billing Determinants'!$B$19:$P$41,6,0)/'4. Billing Determinants'!$G$41*$D9,IF($E9="Distribution Rev.",VLOOKUP(J$4,'4. Billing Determinants'!$B$19:$P$41,8,0)/'4. Billing Determinants'!$I$41*$D9, VLOOKUP(J$4,'4. Billing Determinants'!$B$19:$P$41,3,0)/'4. Billing Determinants'!$D$41*$D9))))),0)</f>
        <v>10.064790686092449</v>
      </c>
      <c r="K9" s="70">
        <f>IFERROR(IF(K$4="",0,IF($E9="kWh",VLOOKUP(K$4,'4. Billing Determinants'!$B$19:$P$41,4,0)/'4. Billing Determinants'!$E$41*$D9,IF($E9="kW",VLOOKUP(K$4,'4. Billing Determinants'!$B$19:$P$41,5,0)/'4. Billing Determinants'!$F$41*$D9,IF($E9="Non-RPP kWh",VLOOKUP(K$4,'4. Billing Determinants'!$B$19:$P$41,6,0)/'4. Billing Determinants'!$G$41*$D9,IF($E9="Distribution Rev.",VLOOKUP(K$4,'4. Billing Determinants'!$B$19:$P$41,8,0)/'4. Billing Determinants'!$I$41*$D9, VLOOKUP(K$4,'4. Billing Determinants'!$B$19:$P$41,3,0)/'4. Billing Determinants'!$D$41*$D9))))),0)</f>
        <v>127.50627603757219</v>
      </c>
      <c r="L9" s="70">
        <f>IFERROR(IF(L$4="",0,IF($E9="kWh",VLOOKUP(L$4,'4. Billing Determinants'!$B$19:$P$41,4,0)/'4. Billing Determinants'!$E$41*$D9,IF($E9="kW",VLOOKUP(L$4,'4. Billing Determinants'!$B$19:$P$41,5,0)/'4. Billing Determinants'!$F$41*$D9,IF($E9="Non-RPP kWh",VLOOKUP(L$4,'4. Billing Determinants'!$B$19:$P$41,6,0)/'4. Billing Determinants'!$G$41*$D9,IF($E9="Distribution Rev.",VLOOKUP(L$4,'4. Billing Determinants'!$B$19:$P$41,8,0)/'4. Billing Determinants'!$I$41*$D9, VLOOKUP(L$4,'4. Billing Determinants'!$B$19:$P$41,3,0)/'4. Billing Determinants'!$D$41*$D9))))),0)</f>
        <v>634.06570791731644</v>
      </c>
      <c r="M9" s="70">
        <f>IFERROR(IF(M$4="",0,IF($E9="kWh",VLOOKUP(M$4,'4. Billing Determinants'!$B$19:$P$41,4,0)/'4. Billing Determinants'!$E$41*$D9,IF($E9="kW",VLOOKUP(M$4,'4. Billing Determinants'!$B$19:$P$41,5,0)/'4. Billing Determinants'!$F$41*$D9,IF($E9="Non-RPP kWh",VLOOKUP(M$4,'4. Billing Determinants'!$B$19:$P$41,6,0)/'4. Billing Determinants'!$G$41*$D9,IF($E9="Distribution Rev.",VLOOKUP(M$4,'4. Billing Determinants'!$B$19:$P$41,8,0)/'4. Billing Determinants'!$I$41*$D9, VLOOKUP(M$4,'4. Billing Determinants'!$B$19:$P$41,3,0)/'4. Billing Determinants'!$D$41*$D9))))),0)</f>
        <v>0</v>
      </c>
      <c r="N9" s="70">
        <f>IFERROR(IF(N$4="",0,IF($E9="kWh",VLOOKUP(N$4,'4. Billing Determinants'!$B$19:$P$41,4,0)/'4. Billing Determinants'!$E$41*$D9,IF($E9="kW",VLOOKUP(N$4,'4. Billing Determinants'!$B$19:$P$41,5,0)/'4. Billing Determinants'!$F$41*$D9,IF($E9="Non-RPP kWh",VLOOKUP(N$4,'4. Billing Determinants'!$B$19:$P$41,6,0)/'4. Billing Determinants'!$G$41*$D9,IF($E9="Distribution Rev.",VLOOKUP(N$4,'4. Billing Determinants'!$B$19:$P$41,8,0)/'4. Billing Determinants'!$I$41*$D9, VLOOKUP(N$4,'4. Billing Determinants'!$B$19:$P$41,3,0)/'4. Billing Determinants'!$D$41*$D9))))),0)</f>
        <v>0</v>
      </c>
      <c r="O9" s="70">
        <f>IFERROR(IF(O$4="",0,IF($E9="kWh",VLOOKUP(O$4,'4. Billing Determinants'!$B$19:$P$41,4,0)/'4. Billing Determinants'!$E$41*$D9,IF($E9="kW",VLOOKUP(O$4,'4. Billing Determinants'!$B$19:$P$41,5,0)/'4. Billing Determinants'!$F$41*$D9,IF($E9="Non-RPP kWh",VLOOKUP(O$4,'4. Billing Determinants'!$B$19:$P$41,6,0)/'4. Billing Determinants'!$G$41*$D9,IF($E9="Distribution Rev.",VLOOKUP(O$4,'4. Billing Determinants'!$B$19:$P$41,8,0)/'4. Billing Determinants'!$I$41*$D9, VLOOKUP(O$4,'4. Billing Determinants'!$B$19:$P$41,3,0)/'4. Billing Determinants'!$D$41*$D9))))),0)</f>
        <v>0</v>
      </c>
      <c r="P9" s="70">
        <f>IFERROR(IF(P$4="",0,IF($E9="kWh",VLOOKUP(P$4,'4. Billing Determinants'!$B$19:$P$41,4,0)/'4. Billing Determinants'!$E$41*$D9,IF($E9="kW",VLOOKUP(P$4,'4. Billing Determinants'!$B$19:$P$41,5,0)/'4. Billing Determinants'!$F$41*$D9,IF($E9="Non-RPP kWh",VLOOKUP(P$4,'4. Billing Determinants'!$B$19:$P$41,6,0)/'4. Billing Determinants'!$G$41*$D9,IF($E9="Distribution Rev.",VLOOKUP(P$4,'4. Billing Determinants'!$B$19:$P$41,8,0)/'4. Billing Determinants'!$I$41*$D9, VLOOKUP(P$4,'4. Billing Determinants'!$B$19:$P$41,3,0)/'4. Billing Determinants'!$D$41*$D9))))),0)</f>
        <v>0</v>
      </c>
      <c r="Q9" s="70">
        <f>IFERROR(IF(Q$4="",0,IF($E9="kWh",VLOOKUP(Q$4,'4. Billing Determinants'!$B$19:$P$41,4,0)/'4. Billing Determinants'!$E$41*$D9,IF($E9="kW",VLOOKUP(Q$4,'4. Billing Determinants'!$B$19:$P$41,5,0)/'4. Billing Determinants'!$F$41*$D9,IF($E9="Non-RPP kWh",VLOOKUP(Q$4,'4. Billing Determinants'!$B$19:$P$41,6,0)/'4. Billing Determinants'!$G$41*$D9,IF($E9="Distribution Rev.",VLOOKUP(Q$4,'4. Billing Determinants'!$B$19:$P$41,8,0)/'4. Billing Determinants'!$I$41*$D9, VLOOKUP(Q$4,'4. Billing Determinants'!$B$19:$P$41,3,0)/'4. Billing Determinants'!$D$41*$D9))))),0)</f>
        <v>0</v>
      </c>
      <c r="R9" s="70">
        <f>IFERROR(IF(R$4="",0,IF($E9="kWh",VLOOKUP(R$4,'4. Billing Determinants'!$B$19:$P$41,4,0)/'4. Billing Determinants'!$E$41*$D9,IF($E9="kW",VLOOKUP(R$4,'4. Billing Determinants'!$B$19:$P$41,5,0)/'4. Billing Determinants'!$F$41*$D9,IF($E9="Non-RPP kWh",VLOOKUP(R$4,'4. Billing Determinants'!$B$19:$P$41,6,0)/'4. Billing Determinants'!$G$41*$D9,IF($E9="Distribution Rev.",VLOOKUP(R$4,'4. Billing Determinants'!$B$19:$P$41,8,0)/'4. Billing Determinants'!$I$41*$D9, VLOOKUP(R$4,'4. Billing Determinants'!$B$19:$P$41,3,0)/'4. Billing Determinants'!$D$41*$D9))))),0)</f>
        <v>0</v>
      </c>
      <c r="S9" s="70">
        <f>IFERROR(IF(S$4="",0,IF($E9="kWh",VLOOKUP(S$4,'4. Billing Determinants'!$B$19:$P$41,4,0)/'4. Billing Determinants'!$E$41*$D9,IF($E9="kW",VLOOKUP(S$4,'4. Billing Determinants'!$B$19:$P$41,5,0)/'4. Billing Determinants'!$F$41*$D9,IF($E9="Non-RPP kWh",VLOOKUP(S$4,'4. Billing Determinants'!$B$19:$P$41,6,0)/'4. Billing Determinants'!$G$41*$D9,IF($E9="Distribution Rev.",VLOOKUP(S$4,'4. Billing Determinants'!$B$19:$P$41,8,0)/'4. Billing Determinants'!$I$41*$D9, VLOOKUP(S$4,'4. Billing Determinants'!$B$19:$P$41,3,0)/'4. Billing Determinants'!$D$41*$D9))))),0)</f>
        <v>0</v>
      </c>
      <c r="T9" s="70">
        <f>IFERROR(IF(T$4="",0,IF($E9="kWh",VLOOKUP(T$4,'4. Billing Determinants'!$B$19:$P$41,4,0)/'4. Billing Determinants'!$E$41*$D9,IF($E9="kW",VLOOKUP(T$4,'4. Billing Determinants'!$B$19:$P$41,5,0)/'4. Billing Determinants'!$F$41*$D9,IF($E9="Non-RPP kWh",VLOOKUP(T$4,'4. Billing Determinants'!$B$19:$P$41,6,0)/'4. Billing Determinants'!$G$41*$D9,IF($E9="Distribution Rev.",VLOOKUP(T$4,'4. Billing Determinants'!$B$19:$P$41,8,0)/'4. Billing Determinants'!$I$41*$D9, VLOOKUP(T$4,'4. Billing Determinants'!$B$19:$P$41,3,0)/'4. Billing Determinants'!$D$41*$D9))))),0)</f>
        <v>0</v>
      </c>
      <c r="U9" s="70">
        <f>IFERROR(IF(U$4="",0,IF($E9="kWh",VLOOKUP(U$4,'4. Billing Determinants'!$B$19:$P$41,4,0)/'4. Billing Determinants'!$E$41*$D9,IF($E9="kW",VLOOKUP(U$4,'4. Billing Determinants'!$B$19:$P$41,5,0)/'4. Billing Determinants'!$F$41*$D9,IF($E9="Non-RPP kWh",VLOOKUP(U$4,'4. Billing Determinants'!$B$19:$P$41,6,0)/'4. Billing Determinants'!$G$41*$D9,IF($E9="Distribution Rev.",VLOOKUP(U$4,'4. Billing Determinants'!$B$19:$P$41,8,0)/'4. Billing Determinants'!$I$41*$D9, VLOOKUP(U$4,'4. Billing Determinants'!$B$19:$P$41,3,0)/'4. Billing Determinants'!$D$41*$D9))))),0)</f>
        <v>0</v>
      </c>
      <c r="V9" s="70">
        <f>IFERROR(IF(V$4="",0,IF($E9="kWh",VLOOKUP(V$4,'4. Billing Determinants'!$B$19:$P$41,4,0)/'4. Billing Determinants'!$E$41*$D9,IF($E9="kW",VLOOKUP(V$4,'4. Billing Determinants'!$B$19:$P$41,5,0)/'4. Billing Determinants'!$F$41*$D9,IF($E9="Non-RPP kWh",VLOOKUP(V$4,'4. Billing Determinants'!$B$19:$P$41,6,0)/'4. Billing Determinants'!$G$41*$D9,IF($E9="Distribution Rev.",VLOOKUP(V$4,'4. Billing Determinants'!$B$19:$P$41,8,0)/'4. Billing Determinants'!$I$41*$D9, VLOOKUP(V$4,'4. Billing Determinants'!$B$19:$P$41,3,0)/'4. Billing Determinants'!$D$41*$D9))))),0)</f>
        <v>0</v>
      </c>
      <c r="W9" s="70">
        <f>IFERROR(IF(W$4="",0,IF($E9="kWh",VLOOKUP(W$4,'4. Billing Determinants'!$B$19:$P$41,4,0)/'4. Billing Determinants'!$E$41*$D9,IF($E9="kW",VLOOKUP(W$4,'4. Billing Determinants'!$B$19:$P$41,5,0)/'4. Billing Determinants'!$F$41*$D9,IF($E9="Non-RPP kWh",VLOOKUP(W$4,'4. Billing Determinants'!$B$19:$P$41,6,0)/'4. Billing Determinants'!$G$41*$D9,IF($E9="Distribution Rev.",VLOOKUP(W$4,'4. Billing Determinants'!$B$19:$P$41,8,0)/'4. Billing Determinants'!$I$41*$D9, VLOOKUP(W$4,'4. Billing Determinants'!$B$19:$P$41,3,0)/'4. Billing Determinants'!$D$41*$D9))))),0)</f>
        <v>0</v>
      </c>
      <c r="X9" s="70">
        <f>IFERROR(IF(X$4="",0,IF($E9="kWh",VLOOKUP(X$4,'4. Billing Determinants'!$B$19:$P$41,4,0)/'4. Billing Determinants'!$E$41*$D9,IF($E9="kW",VLOOKUP(X$4,'4. Billing Determinants'!$B$19:$P$41,5,0)/'4. Billing Determinants'!$F$41*$D9,IF($E9="Non-RPP kWh",VLOOKUP(X$4,'4. Billing Determinants'!$B$19:$P$41,6,0)/'4. Billing Determinants'!$G$41*$D9,IF($E9="Distribution Rev.",VLOOKUP(X$4,'4. Billing Determinants'!$B$19:$P$41,8,0)/'4. Billing Determinants'!$I$41*$D9, VLOOKUP(X$4,'4. Billing Determinants'!$B$19:$P$41,3,0)/'4. Billing Determinants'!$D$41*$D9))))),0)</f>
        <v>0</v>
      </c>
      <c r="Y9" s="70">
        <f>IFERROR(IF(Y$4="",0,IF($E9="kWh",VLOOKUP(Y$4,'4. Billing Determinants'!$B$19:$P$41,4,0)/'4. Billing Determinants'!$E$41*$D9,IF($E9="kW",VLOOKUP(Y$4,'4. Billing Determinants'!$B$19:$P$41,5,0)/'4. Billing Determinants'!$F$41*$D9,IF($E9="Non-RPP kWh",VLOOKUP(Y$4,'4. Billing Determinants'!$B$19:$P$41,6,0)/'4. Billing Determinants'!$G$41*$D9,IF($E9="Distribution Rev.",VLOOKUP(Y$4,'4. Billing Determinants'!$B$19:$P$41,8,0)/'4. Billing Determinants'!$I$41*$D9, VLOOKUP(Y$4,'4. Billing Determinants'!$B$19:$P$41,3,0)/'4. Billing Determinants'!$D$41*$D9))))),0)</f>
        <v>0</v>
      </c>
    </row>
    <row r="10" spans="2:25" x14ac:dyDescent="0.2">
      <c r="B10" s="71" t="s">
        <v>75</v>
      </c>
      <c r="C10" s="69">
        <v>1588</v>
      </c>
      <c r="D10" s="70">
        <f>'2. 2014 Continuity Schedule'!BO29</f>
        <v>263931.08718452678</v>
      </c>
      <c r="E10" s="130" t="s">
        <v>276</v>
      </c>
      <c r="F10" s="70">
        <f>IFERROR(IF(F$4="",0,IF($E10="kWh",VLOOKUP(F$4,'4. Billing Determinants'!$B$19:$P$41,4,0)/'4. Billing Determinants'!$E$41*$D10,IF($E10="kW",VLOOKUP(F$4,'4. Billing Determinants'!$B$19:$P$41,5,0)/'4. Billing Determinants'!$F$41*$D10,IF($E10="Non-RPP kWh",VLOOKUP(F$4,'4. Billing Determinants'!$B$19:$P$41,6,0)/'4. Billing Determinants'!$G$41*$D10,IF($E10="Distribution Rev.",VLOOKUP(F$4,'4. Billing Determinants'!$B$19:$P$41,8,0)/'4. Billing Determinants'!$I$41*$D10, VLOOKUP(F$4,'4. Billing Determinants'!$B$19:$P$41,3,0)/'4. Billing Determinants'!$D$41*$D10))))),0)</f>
        <v>104211.13825807502</v>
      </c>
      <c r="G10" s="70">
        <f>IFERROR(IF(G$4="",0,IF($E10="kWh",VLOOKUP(G$4,'4. Billing Determinants'!$B$19:$P$41,4,0)/'4. Billing Determinants'!$E$41*$D10,IF($E10="kW",VLOOKUP(G$4,'4. Billing Determinants'!$B$19:$P$41,5,0)/'4. Billing Determinants'!$F$41*$D10,IF($E10="Non-RPP kWh",VLOOKUP(G$4,'4. Billing Determinants'!$B$19:$P$41,6,0)/'4. Billing Determinants'!$G$41*$D10,IF($E10="Distribution Rev.",VLOOKUP(G$4,'4. Billing Determinants'!$B$19:$P$41,8,0)/'4. Billing Determinants'!$I$41*$D10, VLOOKUP(G$4,'4. Billing Determinants'!$B$19:$P$41,3,0)/'4. Billing Determinants'!$D$41*$D10))))),0)</f>
        <v>43287.991751228721</v>
      </c>
      <c r="H10" s="70">
        <f>IFERROR(IF(H$4="",0,IF($E10="kWh",VLOOKUP(H$4,'4. Billing Determinants'!$B$19:$P$41,4,0)/'4. Billing Determinants'!$E$41*$D10,IF($E10="kW",VLOOKUP(H$4,'4. Billing Determinants'!$B$19:$P$41,5,0)/'4. Billing Determinants'!$F$41*$D10,IF($E10="Non-RPP kWh",VLOOKUP(H$4,'4. Billing Determinants'!$B$19:$P$41,6,0)/'4. Billing Determinants'!$G$41*$D10,IF($E10="Distribution Rev.",VLOOKUP(H$4,'4. Billing Determinants'!$B$19:$P$41,8,0)/'4. Billing Determinants'!$I$41*$D10, VLOOKUP(H$4,'4. Billing Determinants'!$B$19:$P$41,3,0)/'4. Billing Determinants'!$D$41*$D10))))),0)</f>
        <v>106435.89111910637</v>
      </c>
      <c r="I10" s="70">
        <f>IFERROR(IF(I$4="",0,IF($E10="kWh",VLOOKUP(I$4,'4. Billing Determinants'!$B$19:$P$41,4,0)/'4. Billing Determinants'!$E$41*$D10,IF($E10="kW",VLOOKUP(I$4,'4. Billing Determinants'!$B$19:$P$41,5,0)/'4. Billing Determinants'!$F$41*$D10,IF($E10="Non-RPP kWh",VLOOKUP(I$4,'4. Billing Determinants'!$B$19:$P$41,6,0)/'4. Billing Determinants'!$G$41*$D10,IF($E10="Distribution Rev.",VLOOKUP(I$4,'4. Billing Determinants'!$B$19:$P$41,8,0)/'4. Billing Determinants'!$I$41*$D10, VLOOKUP(I$4,'4. Billing Determinants'!$B$19:$P$41,3,0)/'4. Billing Determinants'!$D$41*$D10))))),0)</f>
        <v>8750.1992959863292</v>
      </c>
      <c r="J10" s="70">
        <f>IFERROR(IF(J$4="",0,IF($E10="kWh",VLOOKUP(J$4,'4. Billing Determinants'!$B$19:$P$41,4,0)/'4. Billing Determinants'!$E$41*$D10,IF($E10="kW",VLOOKUP(J$4,'4. Billing Determinants'!$B$19:$P$41,5,0)/'4. Billing Determinants'!$F$41*$D10,IF($E10="Non-RPP kWh",VLOOKUP(J$4,'4. Billing Determinants'!$B$19:$P$41,6,0)/'4. Billing Determinants'!$G$41*$D10,IF($E10="Distribution Rev.",VLOOKUP(J$4,'4. Billing Determinants'!$B$19:$P$41,8,0)/'4. Billing Determinants'!$I$41*$D10, VLOOKUP(J$4,'4. Billing Determinants'!$B$19:$P$41,3,0)/'4. Billing Determinants'!$D$41*$D10))))),0)</f>
        <v>16.25037657038412</v>
      </c>
      <c r="K10" s="70">
        <f>IFERROR(IF(K$4="",0,IF($E10="kWh",VLOOKUP(K$4,'4. Billing Determinants'!$B$19:$P$41,4,0)/'4. Billing Determinants'!$E$41*$D10,IF($E10="kW",VLOOKUP(K$4,'4. Billing Determinants'!$B$19:$P$41,5,0)/'4. Billing Determinants'!$F$41*$D10,IF($E10="Non-RPP kWh",VLOOKUP(K$4,'4. Billing Determinants'!$B$19:$P$41,6,0)/'4. Billing Determinants'!$G$41*$D10,IF($E10="Distribution Rev.",VLOOKUP(K$4,'4. Billing Determinants'!$B$19:$P$41,8,0)/'4. Billing Determinants'!$I$41*$D10, VLOOKUP(K$4,'4. Billing Determinants'!$B$19:$P$41,3,0)/'4. Billing Determinants'!$D$41*$D10))))),0)</f>
        <v>205.868662878506</v>
      </c>
      <c r="L10" s="70">
        <f>IFERROR(IF(L$4="",0,IF($E10="kWh",VLOOKUP(L$4,'4. Billing Determinants'!$B$19:$P$41,4,0)/'4. Billing Determinants'!$E$41*$D10,IF($E10="kW",VLOOKUP(L$4,'4. Billing Determinants'!$B$19:$P$41,5,0)/'4. Billing Determinants'!$F$41*$D10,IF($E10="Non-RPP kWh",VLOOKUP(L$4,'4. Billing Determinants'!$B$19:$P$41,6,0)/'4. Billing Determinants'!$G$41*$D10,IF($E10="Distribution Rev.",VLOOKUP(L$4,'4. Billing Determinants'!$B$19:$P$41,8,0)/'4. Billing Determinants'!$I$41*$D10, VLOOKUP(L$4,'4. Billing Determinants'!$B$19:$P$41,3,0)/'4. Billing Determinants'!$D$41*$D10))))),0)</f>
        <v>1023.7477206815045</v>
      </c>
      <c r="M10" s="70">
        <f>IFERROR(IF(M$4="",0,IF($E10="kWh",VLOOKUP(M$4,'4. Billing Determinants'!$B$19:$P$41,4,0)/'4. Billing Determinants'!$E$41*$D10,IF($E10="kW",VLOOKUP(M$4,'4. Billing Determinants'!$B$19:$P$41,5,0)/'4. Billing Determinants'!$F$41*$D10,IF($E10="Non-RPP kWh",VLOOKUP(M$4,'4. Billing Determinants'!$B$19:$P$41,6,0)/'4. Billing Determinants'!$G$41*$D10,IF($E10="Distribution Rev.",VLOOKUP(M$4,'4. Billing Determinants'!$B$19:$P$41,8,0)/'4. Billing Determinants'!$I$41*$D10, VLOOKUP(M$4,'4. Billing Determinants'!$B$19:$P$41,3,0)/'4. Billing Determinants'!$D$41*$D10))))),0)</f>
        <v>0</v>
      </c>
      <c r="N10" s="70">
        <f>IFERROR(IF(N$4="",0,IF($E10="kWh",VLOOKUP(N$4,'4. Billing Determinants'!$B$19:$P$41,4,0)/'4. Billing Determinants'!$E$41*$D10,IF($E10="kW",VLOOKUP(N$4,'4. Billing Determinants'!$B$19:$P$41,5,0)/'4. Billing Determinants'!$F$41*$D10,IF($E10="Non-RPP kWh",VLOOKUP(N$4,'4. Billing Determinants'!$B$19:$P$41,6,0)/'4. Billing Determinants'!$G$41*$D10,IF($E10="Distribution Rev.",VLOOKUP(N$4,'4. Billing Determinants'!$B$19:$P$41,8,0)/'4. Billing Determinants'!$I$41*$D10, VLOOKUP(N$4,'4. Billing Determinants'!$B$19:$P$41,3,0)/'4. Billing Determinants'!$D$41*$D10))))),0)</f>
        <v>0</v>
      </c>
      <c r="O10" s="70">
        <f>IFERROR(IF(O$4="",0,IF($E10="kWh",VLOOKUP(O$4,'4. Billing Determinants'!$B$19:$P$41,4,0)/'4. Billing Determinants'!$E$41*$D10,IF($E10="kW",VLOOKUP(O$4,'4. Billing Determinants'!$B$19:$P$41,5,0)/'4. Billing Determinants'!$F$41*$D10,IF($E10="Non-RPP kWh",VLOOKUP(O$4,'4. Billing Determinants'!$B$19:$P$41,6,0)/'4. Billing Determinants'!$G$41*$D10,IF($E10="Distribution Rev.",VLOOKUP(O$4,'4. Billing Determinants'!$B$19:$P$41,8,0)/'4. Billing Determinants'!$I$41*$D10, VLOOKUP(O$4,'4. Billing Determinants'!$B$19:$P$41,3,0)/'4. Billing Determinants'!$D$41*$D10))))),0)</f>
        <v>0</v>
      </c>
      <c r="P10" s="70">
        <f>IFERROR(IF(P$4="",0,IF($E10="kWh",VLOOKUP(P$4,'4. Billing Determinants'!$B$19:$P$41,4,0)/'4. Billing Determinants'!$E$41*$D10,IF($E10="kW",VLOOKUP(P$4,'4. Billing Determinants'!$B$19:$P$41,5,0)/'4. Billing Determinants'!$F$41*$D10,IF($E10="Non-RPP kWh",VLOOKUP(P$4,'4. Billing Determinants'!$B$19:$P$41,6,0)/'4. Billing Determinants'!$G$41*$D10,IF($E10="Distribution Rev.",VLOOKUP(P$4,'4. Billing Determinants'!$B$19:$P$41,8,0)/'4. Billing Determinants'!$I$41*$D10, VLOOKUP(P$4,'4. Billing Determinants'!$B$19:$P$41,3,0)/'4. Billing Determinants'!$D$41*$D10))))),0)</f>
        <v>0</v>
      </c>
      <c r="Q10" s="70">
        <f>IFERROR(IF(Q$4="",0,IF($E10="kWh",VLOOKUP(Q$4,'4. Billing Determinants'!$B$19:$P$41,4,0)/'4. Billing Determinants'!$E$41*$D10,IF($E10="kW",VLOOKUP(Q$4,'4. Billing Determinants'!$B$19:$P$41,5,0)/'4. Billing Determinants'!$F$41*$D10,IF($E10="Non-RPP kWh",VLOOKUP(Q$4,'4. Billing Determinants'!$B$19:$P$41,6,0)/'4. Billing Determinants'!$G$41*$D10,IF($E10="Distribution Rev.",VLOOKUP(Q$4,'4. Billing Determinants'!$B$19:$P$41,8,0)/'4. Billing Determinants'!$I$41*$D10, VLOOKUP(Q$4,'4. Billing Determinants'!$B$19:$P$41,3,0)/'4. Billing Determinants'!$D$41*$D10))))),0)</f>
        <v>0</v>
      </c>
      <c r="R10" s="70">
        <f>IFERROR(IF(R$4="",0,IF($E10="kWh",VLOOKUP(R$4,'4. Billing Determinants'!$B$19:$P$41,4,0)/'4. Billing Determinants'!$E$41*$D10,IF($E10="kW",VLOOKUP(R$4,'4. Billing Determinants'!$B$19:$P$41,5,0)/'4. Billing Determinants'!$F$41*$D10,IF($E10="Non-RPP kWh",VLOOKUP(R$4,'4. Billing Determinants'!$B$19:$P$41,6,0)/'4. Billing Determinants'!$G$41*$D10,IF($E10="Distribution Rev.",VLOOKUP(R$4,'4. Billing Determinants'!$B$19:$P$41,8,0)/'4. Billing Determinants'!$I$41*$D10, VLOOKUP(R$4,'4. Billing Determinants'!$B$19:$P$41,3,0)/'4. Billing Determinants'!$D$41*$D10))))),0)</f>
        <v>0</v>
      </c>
      <c r="S10" s="70">
        <f>IFERROR(IF(S$4="",0,IF($E10="kWh",VLOOKUP(S$4,'4. Billing Determinants'!$B$19:$P$41,4,0)/'4. Billing Determinants'!$E$41*$D10,IF($E10="kW",VLOOKUP(S$4,'4. Billing Determinants'!$B$19:$P$41,5,0)/'4. Billing Determinants'!$F$41*$D10,IF($E10="Non-RPP kWh",VLOOKUP(S$4,'4. Billing Determinants'!$B$19:$P$41,6,0)/'4. Billing Determinants'!$G$41*$D10,IF($E10="Distribution Rev.",VLOOKUP(S$4,'4. Billing Determinants'!$B$19:$P$41,8,0)/'4. Billing Determinants'!$I$41*$D10, VLOOKUP(S$4,'4. Billing Determinants'!$B$19:$P$41,3,0)/'4. Billing Determinants'!$D$41*$D10))))),0)</f>
        <v>0</v>
      </c>
      <c r="T10" s="70">
        <f>IFERROR(IF(T$4="",0,IF($E10="kWh",VLOOKUP(T$4,'4. Billing Determinants'!$B$19:$P$41,4,0)/'4. Billing Determinants'!$E$41*$D10,IF($E10="kW",VLOOKUP(T$4,'4. Billing Determinants'!$B$19:$P$41,5,0)/'4. Billing Determinants'!$F$41*$D10,IF($E10="Non-RPP kWh",VLOOKUP(T$4,'4. Billing Determinants'!$B$19:$P$41,6,0)/'4. Billing Determinants'!$G$41*$D10,IF($E10="Distribution Rev.",VLOOKUP(T$4,'4. Billing Determinants'!$B$19:$P$41,8,0)/'4. Billing Determinants'!$I$41*$D10, VLOOKUP(T$4,'4. Billing Determinants'!$B$19:$P$41,3,0)/'4. Billing Determinants'!$D$41*$D10))))),0)</f>
        <v>0</v>
      </c>
      <c r="U10" s="70">
        <f>IFERROR(IF(U$4="",0,IF($E10="kWh",VLOOKUP(U$4,'4. Billing Determinants'!$B$19:$P$41,4,0)/'4. Billing Determinants'!$E$41*$D10,IF($E10="kW",VLOOKUP(U$4,'4. Billing Determinants'!$B$19:$P$41,5,0)/'4. Billing Determinants'!$F$41*$D10,IF($E10="Non-RPP kWh",VLOOKUP(U$4,'4. Billing Determinants'!$B$19:$P$41,6,0)/'4. Billing Determinants'!$G$41*$D10,IF($E10="Distribution Rev.",VLOOKUP(U$4,'4. Billing Determinants'!$B$19:$P$41,8,0)/'4. Billing Determinants'!$I$41*$D10, VLOOKUP(U$4,'4. Billing Determinants'!$B$19:$P$41,3,0)/'4. Billing Determinants'!$D$41*$D10))))),0)</f>
        <v>0</v>
      </c>
      <c r="V10" s="70">
        <f>IFERROR(IF(V$4="",0,IF($E10="kWh",VLOOKUP(V$4,'4. Billing Determinants'!$B$19:$P$41,4,0)/'4. Billing Determinants'!$E$41*$D10,IF($E10="kW",VLOOKUP(V$4,'4. Billing Determinants'!$B$19:$P$41,5,0)/'4. Billing Determinants'!$F$41*$D10,IF($E10="Non-RPP kWh",VLOOKUP(V$4,'4. Billing Determinants'!$B$19:$P$41,6,0)/'4. Billing Determinants'!$G$41*$D10,IF($E10="Distribution Rev.",VLOOKUP(V$4,'4. Billing Determinants'!$B$19:$P$41,8,0)/'4. Billing Determinants'!$I$41*$D10, VLOOKUP(V$4,'4. Billing Determinants'!$B$19:$P$41,3,0)/'4. Billing Determinants'!$D$41*$D10))))),0)</f>
        <v>0</v>
      </c>
      <c r="W10" s="70">
        <f>IFERROR(IF(W$4="",0,IF($E10="kWh",VLOOKUP(W$4,'4. Billing Determinants'!$B$19:$P$41,4,0)/'4. Billing Determinants'!$E$41*$D10,IF($E10="kW",VLOOKUP(W$4,'4. Billing Determinants'!$B$19:$P$41,5,0)/'4. Billing Determinants'!$F$41*$D10,IF($E10="Non-RPP kWh",VLOOKUP(W$4,'4. Billing Determinants'!$B$19:$P$41,6,0)/'4. Billing Determinants'!$G$41*$D10,IF($E10="Distribution Rev.",VLOOKUP(W$4,'4. Billing Determinants'!$B$19:$P$41,8,0)/'4. Billing Determinants'!$I$41*$D10, VLOOKUP(W$4,'4. Billing Determinants'!$B$19:$P$41,3,0)/'4. Billing Determinants'!$D$41*$D10))))),0)</f>
        <v>0</v>
      </c>
      <c r="X10" s="70">
        <f>IFERROR(IF(X$4="",0,IF($E10="kWh",VLOOKUP(X$4,'4. Billing Determinants'!$B$19:$P$41,4,0)/'4. Billing Determinants'!$E$41*$D10,IF($E10="kW",VLOOKUP(X$4,'4. Billing Determinants'!$B$19:$P$41,5,0)/'4. Billing Determinants'!$F$41*$D10,IF($E10="Non-RPP kWh",VLOOKUP(X$4,'4. Billing Determinants'!$B$19:$P$41,6,0)/'4. Billing Determinants'!$G$41*$D10,IF($E10="Distribution Rev.",VLOOKUP(X$4,'4. Billing Determinants'!$B$19:$P$41,8,0)/'4. Billing Determinants'!$I$41*$D10, VLOOKUP(X$4,'4. Billing Determinants'!$B$19:$P$41,3,0)/'4. Billing Determinants'!$D$41*$D10))))),0)</f>
        <v>0</v>
      </c>
      <c r="Y10" s="70">
        <f>IFERROR(IF(Y$4="",0,IF($E10="kWh",VLOOKUP(Y$4,'4. Billing Determinants'!$B$19:$P$41,4,0)/'4. Billing Determinants'!$E$41*$D10,IF($E10="kW",VLOOKUP(Y$4,'4. Billing Determinants'!$B$19:$P$41,5,0)/'4. Billing Determinants'!$F$41*$D10,IF($E10="Non-RPP kWh",VLOOKUP(Y$4,'4. Billing Determinants'!$B$19:$P$41,6,0)/'4. Billing Determinants'!$G$41*$D10,IF($E10="Distribution Rev.",VLOOKUP(Y$4,'4. Billing Determinants'!$B$19:$P$41,8,0)/'4. Billing Determinants'!$I$41*$D10, VLOOKUP(Y$4,'4. Billing Determinants'!$B$19:$P$41,3,0)/'4. Billing Determinants'!$D$41*$D10))))),0)</f>
        <v>0</v>
      </c>
    </row>
    <row r="11" spans="2:25" x14ac:dyDescent="0.2">
      <c r="B11" s="68" t="s">
        <v>127</v>
      </c>
      <c r="C11" s="69">
        <v>1589</v>
      </c>
      <c r="D11" s="70">
        <f>'2. 2014 Continuity Schedule'!BO30</f>
        <v>419716.32977431302</v>
      </c>
      <c r="E11" s="130" t="s">
        <v>298</v>
      </c>
      <c r="F11" s="70">
        <f>IFERROR(IF(F$4="",0,IF($E11="kWh",VLOOKUP(F$4,'4. Billing Determinants'!$B$19:$P$41,4,0)/'4. Billing Determinants'!$E$41*$D11,IF($E11="kW",VLOOKUP(F$4,'4. Billing Determinants'!$B$19:$P$41,5,0)/'4. Billing Determinants'!$F$41*$D11,IF($E11="Non-RPP kWh",VLOOKUP(F$4,'4. Billing Determinants'!$B$19:$P$41,6,0)/'4. Billing Determinants'!$G$41*$D11,IF($E11="Distribution Rev.",VLOOKUP(F$4,'4. Billing Determinants'!$B$19:$P$41,8,0)/'4. Billing Determinants'!$I$41*$D11, VLOOKUP(F$4,'4. Billing Determinants'!$B$19:$P$41,3,0)/'4. Billing Determinants'!$D$41*$D11))))),0)</f>
        <v>25114.123057829118</v>
      </c>
      <c r="G11" s="70">
        <f>IFERROR(IF(G$4="",0,IF($E11="kWh",VLOOKUP(G$4,'4. Billing Determinants'!$B$19:$P$41,4,0)/'4. Billing Determinants'!$E$41*$D11,IF($E11="kW",VLOOKUP(G$4,'4. Billing Determinants'!$B$19:$P$41,5,0)/'4. Billing Determinants'!$F$41*$D11,IF($E11="Non-RPP kWh",VLOOKUP(G$4,'4. Billing Determinants'!$B$19:$P$41,6,0)/'4. Billing Determinants'!$G$41*$D11,IF($E11="Distribution Rev.",VLOOKUP(G$4,'4. Billing Determinants'!$B$19:$P$41,8,0)/'4. Billing Determinants'!$I$41*$D11, VLOOKUP(G$4,'4. Billing Determinants'!$B$19:$P$41,3,0)/'4. Billing Determinants'!$D$41*$D11))))),0)</f>
        <v>21053.66257696422</v>
      </c>
      <c r="H11" s="70">
        <f>IFERROR(IF(H$4="",0,IF($E11="kWh",VLOOKUP(H$4,'4. Billing Determinants'!$B$19:$P$41,4,0)/'4. Billing Determinants'!$E$41*$D11,IF($E11="kW",VLOOKUP(H$4,'4. Billing Determinants'!$B$19:$P$41,5,0)/'4. Billing Determinants'!$F$41*$D11,IF($E11="Non-RPP kWh",VLOOKUP(H$4,'4. Billing Determinants'!$B$19:$P$41,6,0)/'4. Billing Determinants'!$G$41*$D11,IF($E11="Distribution Rev.",VLOOKUP(H$4,'4. Billing Determinants'!$B$19:$P$41,8,0)/'4. Billing Determinants'!$I$41*$D11, VLOOKUP(H$4,'4. Billing Determinants'!$B$19:$P$41,3,0)/'4. Billing Determinants'!$D$41*$D11))))),0)</f>
        <v>341662.91432882246</v>
      </c>
      <c r="I11" s="70">
        <f>IFERROR(IF(I$4="",0,IF($E11="kWh",VLOOKUP(I$4,'4. Billing Determinants'!$B$19:$P$41,4,0)/'4. Billing Determinants'!$E$41*$D11,IF($E11="kW",VLOOKUP(I$4,'4. Billing Determinants'!$B$19:$P$41,5,0)/'4. Billing Determinants'!$F$41*$D11,IF($E11="Non-RPP kWh",VLOOKUP(I$4,'4. Billing Determinants'!$B$19:$P$41,6,0)/'4. Billing Determinants'!$G$41*$D11,IF($E11="Distribution Rev.",VLOOKUP(I$4,'4. Billing Determinants'!$B$19:$P$41,8,0)/'4. Billing Determinants'!$I$41*$D11, VLOOKUP(I$4,'4. Billing Determinants'!$B$19:$P$41,3,0)/'4. Billing Determinants'!$D$41*$D11))))),0)</f>
        <v>28502.63896344115</v>
      </c>
      <c r="J11" s="70">
        <f>IFERROR(IF(J$4="",0,IF($E11="kWh",VLOOKUP(J$4,'4. Billing Determinants'!$B$19:$P$41,4,0)/'4. Billing Determinants'!$E$41*$D11,IF($E11="kW",VLOOKUP(J$4,'4. Billing Determinants'!$B$19:$P$41,5,0)/'4. Billing Determinants'!$F$41*$D11,IF($E11="Non-RPP kWh",VLOOKUP(J$4,'4. Billing Determinants'!$B$19:$P$41,6,0)/'4. Billing Determinants'!$G$41*$D11,IF($E11="Distribution Rev.",VLOOKUP(J$4,'4. Billing Determinants'!$B$19:$P$41,8,0)/'4. Billing Determinants'!$I$41*$D11, VLOOKUP(J$4,'4. Billing Determinants'!$B$19:$P$41,3,0)/'4. Billing Determinants'!$D$41*$D11))))),0)</f>
        <v>0</v>
      </c>
      <c r="K11" s="70">
        <f>IFERROR(IF(K$4="",0,IF($E11="kWh",VLOOKUP(K$4,'4. Billing Determinants'!$B$19:$P$41,4,0)/'4. Billing Determinants'!$E$41*$D11,IF($E11="kW",VLOOKUP(K$4,'4. Billing Determinants'!$B$19:$P$41,5,0)/'4. Billing Determinants'!$F$41*$D11,IF($E11="Non-RPP kWh",VLOOKUP(K$4,'4. Billing Determinants'!$B$19:$P$41,6,0)/'4. Billing Determinants'!$G$41*$D11,IF($E11="Distribution Rev.",VLOOKUP(K$4,'4. Billing Determinants'!$B$19:$P$41,8,0)/'4. Billing Determinants'!$I$41*$D11, VLOOKUP(K$4,'4. Billing Determinants'!$B$19:$P$41,3,0)/'4. Billing Determinants'!$D$41*$D11))))),0)</f>
        <v>48.265467273545099</v>
      </c>
      <c r="L11" s="70">
        <f>IFERROR(IF(L$4="",0,IF($E11="kWh",VLOOKUP(L$4,'4. Billing Determinants'!$B$19:$P$41,4,0)/'4. Billing Determinants'!$E$41*$D11,IF($E11="kW",VLOOKUP(L$4,'4. Billing Determinants'!$B$19:$P$41,5,0)/'4. Billing Determinants'!$F$41*$D11,IF($E11="Non-RPP kWh",VLOOKUP(L$4,'4. Billing Determinants'!$B$19:$P$41,6,0)/'4. Billing Determinants'!$G$41*$D11,IF($E11="Distribution Rev.",VLOOKUP(L$4,'4. Billing Determinants'!$B$19:$P$41,8,0)/'4. Billing Determinants'!$I$41*$D11, VLOOKUP(L$4,'4. Billing Determinants'!$B$19:$P$41,3,0)/'4. Billing Determinants'!$D$41*$D11))))),0)</f>
        <v>3334.7253799825116</v>
      </c>
      <c r="M11" s="70">
        <f>IFERROR(IF(M$4="",0,IF($E11="kWh",VLOOKUP(M$4,'4. Billing Determinants'!$B$19:$P$41,4,0)/'4. Billing Determinants'!$E$41*$D11,IF($E11="kW",VLOOKUP(M$4,'4. Billing Determinants'!$B$19:$P$41,5,0)/'4. Billing Determinants'!$F$41*$D11,IF($E11="Non-RPP kWh",VLOOKUP(M$4,'4. Billing Determinants'!$B$19:$P$41,6,0)/'4. Billing Determinants'!$G$41*$D11,IF($E11="Distribution Rev.",VLOOKUP(M$4,'4. Billing Determinants'!$B$19:$P$41,8,0)/'4. Billing Determinants'!$I$41*$D11, VLOOKUP(M$4,'4. Billing Determinants'!$B$19:$P$41,3,0)/'4. Billing Determinants'!$D$41*$D11))))),0)</f>
        <v>0</v>
      </c>
      <c r="N11" s="70">
        <f>IFERROR(IF(N$4="",0,IF($E11="kWh",VLOOKUP(N$4,'4. Billing Determinants'!$B$19:$P$41,4,0)/'4. Billing Determinants'!$E$41*$D11,IF($E11="kW",VLOOKUP(N$4,'4. Billing Determinants'!$B$19:$P$41,5,0)/'4. Billing Determinants'!$F$41*$D11,IF($E11="Non-RPP kWh",VLOOKUP(N$4,'4. Billing Determinants'!$B$19:$P$41,6,0)/'4. Billing Determinants'!$G$41*$D11,IF($E11="Distribution Rev.",VLOOKUP(N$4,'4. Billing Determinants'!$B$19:$P$41,8,0)/'4. Billing Determinants'!$I$41*$D11, VLOOKUP(N$4,'4. Billing Determinants'!$B$19:$P$41,3,0)/'4. Billing Determinants'!$D$41*$D11))))),0)</f>
        <v>0</v>
      </c>
      <c r="O11" s="70">
        <f>IFERROR(IF(O$4="",0,IF($E11="kWh",VLOOKUP(O$4,'4. Billing Determinants'!$B$19:$P$41,4,0)/'4. Billing Determinants'!$E$41*$D11,IF($E11="kW",VLOOKUP(O$4,'4. Billing Determinants'!$B$19:$P$41,5,0)/'4. Billing Determinants'!$F$41*$D11,IF($E11="Non-RPP kWh",VLOOKUP(O$4,'4. Billing Determinants'!$B$19:$P$41,6,0)/'4. Billing Determinants'!$G$41*$D11,IF($E11="Distribution Rev.",VLOOKUP(O$4,'4. Billing Determinants'!$B$19:$P$41,8,0)/'4. Billing Determinants'!$I$41*$D11, VLOOKUP(O$4,'4. Billing Determinants'!$B$19:$P$41,3,0)/'4. Billing Determinants'!$D$41*$D11))))),0)</f>
        <v>0</v>
      </c>
      <c r="P11" s="70">
        <f>IFERROR(IF(P$4="",0,IF($E11="kWh",VLOOKUP(P$4,'4. Billing Determinants'!$B$19:$P$41,4,0)/'4. Billing Determinants'!$E$41*$D11,IF($E11="kW",VLOOKUP(P$4,'4. Billing Determinants'!$B$19:$P$41,5,0)/'4. Billing Determinants'!$F$41*$D11,IF($E11="Non-RPP kWh",VLOOKUP(P$4,'4. Billing Determinants'!$B$19:$P$41,6,0)/'4. Billing Determinants'!$G$41*$D11,IF($E11="Distribution Rev.",VLOOKUP(P$4,'4. Billing Determinants'!$B$19:$P$41,8,0)/'4. Billing Determinants'!$I$41*$D11, VLOOKUP(P$4,'4. Billing Determinants'!$B$19:$P$41,3,0)/'4. Billing Determinants'!$D$41*$D11))))),0)</f>
        <v>0</v>
      </c>
      <c r="Q11" s="70">
        <f>IFERROR(IF(Q$4="",0,IF($E11="kWh",VLOOKUP(Q$4,'4. Billing Determinants'!$B$19:$P$41,4,0)/'4. Billing Determinants'!$E$41*$D11,IF($E11="kW",VLOOKUP(Q$4,'4. Billing Determinants'!$B$19:$P$41,5,0)/'4. Billing Determinants'!$F$41*$D11,IF($E11="Non-RPP kWh",VLOOKUP(Q$4,'4. Billing Determinants'!$B$19:$P$41,6,0)/'4. Billing Determinants'!$G$41*$D11,IF($E11="Distribution Rev.",VLOOKUP(Q$4,'4. Billing Determinants'!$B$19:$P$41,8,0)/'4. Billing Determinants'!$I$41*$D11, VLOOKUP(Q$4,'4. Billing Determinants'!$B$19:$P$41,3,0)/'4. Billing Determinants'!$D$41*$D11))))),0)</f>
        <v>0</v>
      </c>
      <c r="R11" s="70">
        <f>IFERROR(IF(R$4="",0,IF($E11="kWh",VLOOKUP(R$4,'4. Billing Determinants'!$B$19:$P$41,4,0)/'4. Billing Determinants'!$E$41*$D11,IF($E11="kW",VLOOKUP(R$4,'4. Billing Determinants'!$B$19:$P$41,5,0)/'4. Billing Determinants'!$F$41*$D11,IF($E11="Non-RPP kWh",VLOOKUP(R$4,'4. Billing Determinants'!$B$19:$P$41,6,0)/'4. Billing Determinants'!$G$41*$D11,IF($E11="Distribution Rev.",VLOOKUP(R$4,'4. Billing Determinants'!$B$19:$P$41,8,0)/'4. Billing Determinants'!$I$41*$D11, VLOOKUP(R$4,'4. Billing Determinants'!$B$19:$P$41,3,0)/'4. Billing Determinants'!$D$41*$D11))))),0)</f>
        <v>0</v>
      </c>
      <c r="S11" s="70">
        <f>IFERROR(IF(S$4="",0,IF($E11="kWh",VLOOKUP(S$4,'4. Billing Determinants'!$B$19:$P$41,4,0)/'4. Billing Determinants'!$E$41*$D11,IF($E11="kW",VLOOKUP(S$4,'4. Billing Determinants'!$B$19:$P$41,5,0)/'4. Billing Determinants'!$F$41*$D11,IF($E11="Non-RPP kWh",VLOOKUP(S$4,'4. Billing Determinants'!$B$19:$P$41,6,0)/'4. Billing Determinants'!$G$41*$D11,IF($E11="Distribution Rev.",VLOOKUP(S$4,'4. Billing Determinants'!$B$19:$P$41,8,0)/'4. Billing Determinants'!$I$41*$D11, VLOOKUP(S$4,'4. Billing Determinants'!$B$19:$P$41,3,0)/'4. Billing Determinants'!$D$41*$D11))))),0)</f>
        <v>0</v>
      </c>
      <c r="T11" s="70">
        <f>IFERROR(IF(T$4="",0,IF($E11="kWh",VLOOKUP(T$4,'4. Billing Determinants'!$B$19:$P$41,4,0)/'4. Billing Determinants'!$E$41*$D11,IF($E11="kW",VLOOKUP(T$4,'4. Billing Determinants'!$B$19:$P$41,5,0)/'4. Billing Determinants'!$F$41*$D11,IF($E11="Non-RPP kWh",VLOOKUP(T$4,'4. Billing Determinants'!$B$19:$P$41,6,0)/'4. Billing Determinants'!$G$41*$D11,IF($E11="Distribution Rev.",VLOOKUP(T$4,'4. Billing Determinants'!$B$19:$P$41,8,0)/'4. Billing Determinants'!$I$41*$D11, VLOOKUP(T$4,'4. Billing Determinants'!$B$19:$P$41,3,0)/'4. Billing Determinants'!$D$41*$D11))))),0)</f>
        <v>0</v>
      </c>
      <c r="U11" s="70">
        <f>IFERROR(IF(U$4="",0,IF($E11="kWh",VLOOKUP(U$4,'4. Billing Determinants'!$B$19:$P$41,4,0)/'4. Billing Determinants'!$E$41*$D11,IF($E11="kW",VLOOKUP(U$4,'4. Billing Determinants'!$B$19:$P$41,5,0)/'4. Billing Determinants'!$F$41*$D11,IF($E11="Non-RPP kWh",VLOOKUP(U$4,'4. Billing Determinants'!$B$19:$P$41,6,0)/'4. Billing Determinants'!$G$41*$D11,IF($E11="Distribution Rev.",VLOOKUP(U$4,'4. Billing Determinants'!$B$19:$P$41,8,0)/'4. Billing Determinants'!$I$41*$D11, VLOOKUP(U$4,'4. Billing Determinants'!$B$19:$P$41,3,0)/'4. Billing Determinants'!$D$41*$D11))))),0)</f>
        <v>0</v>
      </c>
      <c r="V11" s="70">
        <f>IFERROR(IF(V$4="",0,IF($E11="kWh",VLOOKUP(V$4,'4. Billing Determinants'!$B$19:$P$41,4,0)/'4. Billing Determinants'!$E$41*$D11,IF($E11="kW",VLOOKUP(V$4,'4. Billing Determinants'!$B$19:$P$41,5,0)/'4. Billing Determinants'!$F$41*$D11,IF($E11="Non-RPP kWh",VLOOKUP(V$4,'4. Billing Determinants'!$B$19:$P$41,6,0)/'4. Billing Determinants'!$G$41*$D11,IF($E11="Distribution Rev.",VLOOKUP(V$4,'4. Billing Determinants'!$B$19:$P$41,8,0)/'4. Billing Determinants'!$I$41*$D11, VLOOKUP(V$4,'4. Billing Determinants'!$B$19:$P$41,3,0)/'4. Billing Determinants'!$D$41*$D11))))),0)</f>
        <v>0</v>
      </c>
      <c r="W11" s="70">
        <f>IFERROR(IF(W$4="",0,IF($E11="kWh",VLOOKUP(W$4,'4. Billing Determinants'!$B$19:$P$41,4,0)/'4. Billing Determinants'!$E$41*$D11,IF($E11="kW",VLOOKUP(W$4,'4. Billing Determinants'!$B$19:$P$41,5,0)/'4. Billing Determinants'!$F$41*$D11,IF($E11="Non-RPP kWh",VLOOKUP(W$4,'4. Billing Determinants'!$B$19:$P$41,6,0)/'4. Billing Determinants'!$G$41*$D11,IF($E11="Distribution Rev.",VLOOKUP(W$4,'4. Billing Determinants'!$B$19:$P$41,8,0)/'4. Billing Determinants'!$I$41*$D11, VLOOKUP(W$4,'4. Billing Determinants'!$B$19:$P$41,3,0)/'4. Billing Determinants'!$D$41*$D11))))),0)</f>
        <v>0</v>
      </c>
      <c r="X11" s="70">
        <f>IFERROR(IF(X$4="",0,IF($E11="kWh",VLOOKUP(X$4,'4. Billing Determinants'!$B$19:$P$41,4,0)/'4. Billing Determinants'!$E$41*$D11,IF($E11="kW",VLOOKUP(X$4,'4. Billing Determinants'!$B$19:$P$41,5,0)/'4. Billing Determinants'!$F$41*$D11,IF($E11="Non-RPP kWh",VLOOKUP(X$4,'4. Billing Determinants'!$B$19:$P$41,6,0)/'4. Billing Determinants'!$G$41*$D11,IF($E11="Distribution Rev.",VLOOKUP(X$4,'4. Billing Determinants'!$B$19:$P$41,8,0)/'4. Billing Determinants'!$I$41*$D11, VLOOKUP(X$4,'4. Billing Determinants'!$B$19:$P$41,3,0)/'4. Billing Determinants'!$D$41*$D11))))),0)</f>
        <v>0</v>
      </c>
      <c r="Y11" s="70">
        <f>IFERROR(IF(Y$4="",0,IF($E11="kWh",VLOOKUP(Y$4,'4. Billing Determinants'!$B$19:$P$41,4,0)/'4. Billing Determinants'!$E$41*$D11,IF($E11="kW",VLOOKUP(Y$4,'4. Billing Determinants'!$B$19:$P$41,5,0)/'4. Billing Determinants'!$F$41*$D11,IF($E11="Non-RPP kWh",VLOOKUP(Y$4,'4. Billing Determinants'!$B$19:$P$41,6,0)/'4. Billing Determinants'!$G$41*$D11,IF($E11="Distribution Rev.",VLOOKUP(Y$4,'4. Billing Determinants'!$B$19:$P$41,8,0)/'4. Billing Determinants'!$I$41*$D11, VLOOKUP(Y$4,'4. Billing Determinants'!$B$19:$P$41,3,0)/'4. Billing Determinants'!$D$41*$D11))))),0)</f>
        <v>0</v>
      </c>
    </row>
    <row r="12" spans="2:25" x14ac:dyDescent="0.2">
      <c r="B12" s="72" t="s">
        <v>108</v>
      </c>
      <c r="C12" s="69">
        <v>1595</v>
      </c>
      <c r="D12" s="70">
        <f>'2. 2014 Continuity Schedule'!BO31</f>
        <v>0</v>
      </c>
      <c r="E12" s="130"/>
      <c r="F12" s="70">
        <f>IFERROR(IF(F$4="",0,IF($E12="kWh",VLOOKUP(F$4,'4. Billing Determinants'!$B$19:$P$41,4,0)/'4. Billing Determinants'!$E$41*$D12,IF($E12="kW",VLOOKUP(F$4,'4. Billing Determinants'!$B$19:$P$41,5,0)/'4. Billing Determinants'!$F$41*$D12,IF($E12="Non-RPP kWh",VLOOKUP(F$4,'4. Billing Determinants'!$B$19:$P$41,6,0)/'4. Billing Determinants'!$G$41*$D12,IF($E12="Distribution Rev.",VLOOKUP(F$4,'4. Billing Determinants'!$B$19:$P$41,8,0)/'4. Billing Determinants'!$I$41*$D12, VLOOKUP(F$4,'4. Billing Determinants'!$B$19:$P$41,10,0)*$D12))))),0)</f>
        <v>0</v>
      </c>
      <c r="G12" s="70">
        <f>IFERROR(IF(G$4="",0,IF($E12="kWh",VLOOKUP(G$4,'4. Billing Determinants'!$B$19:$P$41,4,0)/'4. Billing Determinants'!$E$41*$D12,IF($E12="kW",VLOOKUP(G$4,'4. Billing Determinants'!$B$19:$P$41,5,0)/'4. Billing Determinants'!$F$41*$D12,IF($E12="Non-RPP kWh",VLOOKUP(G$4,'4. Billing Determinants'!$B$19:$P$41,6,0)/'4. Billing Determinants'!$G$41*$D12,IF($E12="Distribution Rev.",VLOOKUP(G$4,'4. Billing Determinants'!$B$19:$P$41,8,0)/'4. Billing Determinants'!$I$41*$D12, VLOOKUP(G$4,'4. Billing Determinants'!$B$19:$P$41,10,0)*$D12))))),0)</f>
        <v>0</v>
      </c>
      <c r="H12" s="70">
        <f>IFERROR(IF(H$4="",0,IF($E12="kWh",VLOOKUP(H$4,'4. Billing Determinants'!$B$19:$P$41,4,0)/'4. Billing Determinants'!$E$41*$D12,IF($E12="kW",VLOOKUP(H$4,'4. Billing Determinants'!$B$19:$P$41,5,0)/'4. Billing Determinants'!$F$41*$D12,IF($E12="Non-RPP kWh",VLOOKUP(H$4,'4. Billing Determinants'!$B$19:$P$41,6,0)/'4. Billing Determinants'!$G$41*$D12,IF($E12="Distribution Rev.",VLOOKUP(H$4,'4. Billing Determinants'!$B$19:$P$41,8,0)/'4. Billing Determinants'!$I$41*$D12, VLOOKUP(H$4,'4. Billing Determinants'!$B$19:$P$41,10,0)*$D12))))),0)</f>
        <v>0</v>
      </c>
      <c r="I12" s="70">
        <f>IFERROR(IF(I$4="",0,IF($E12="kWh",VLOOKUP(I$4,'4. Billing Determinants'!$B$19:$P$41,4,0)/'4. Billing Determinants'!$E$41*$D12,IF($E12="kW",VLOOKUP(I$4,'4. Billing Determinants'!$B$19:$P$41,5,0)/'4. Billing Determinants'!$F$41*$D12,IF($E12="Non-RPP kWh",VLOOKUP(I$4,'4. Billing Determinants'!$B$19:$P$41,6,0)/'4. Billing Determinants'!$G$41*$D12,IF($E12="Distribution Rev.",VLOOKUP(I$4,'4. Billing Determinants'!$B$19:$P$41,8,0)/'4. Billing Determinants'!$I$41*$D12, VLOOKUP(I$4,'4. Billing Determinants'!$B$19:$P$41,10,0)*$D12))))),0)</f>
        <v>0</v>
      </c>
      <c r="J12" s="70">
        <f>IFERROR(IF(J$4="",0,IF($E12="kWh",VLOOKUP(J$4,'4. Billing Determinants'!$B$19:$P$41,4,0)/'4. Billing Determinants'!$E$41*$D12,IF($E12="kW",VLOOKUP(J$4,'4. Billing Determinants'!$B$19:$P$41,5,0)/'4. Billing Determinants'!$F$41*$D12,IF($E12="Non-RPP kWh",VLOOKUP(J$4,'4. Billing Determinants'!$B$19:$P$41,6,0)/'4. Billing Determinants'!$G$41*$D12,IF($E12="Distribution Rev.",VLOOKUP(J$4,'4. Billing Determinants'!$B$19:$P$41,8,0)/'4. Billing Determinants'!$I$41*$D12, VLOOKUP(J$4,'4. Billing Determinants'!$B$19:$P$41,10,0)*$D12))))),0)</f>
        <v>0</v>
      </c>
      <c r="K12" s="70">
        <f>IFERROR(IF(K$4="",0,IF($E12="kWh",VLOOKUP(K$4,'4. Billing Determinants'!$B$19:$P$41,4,0)/'4. Billing Determinants'!$E$41*$D12,IF($E12="kW",VLOOKUP(K$4,'4. Billing Determinants'!$B$19:$P$41,5,0)/'4. Billing Determinants'!$F$41*$D12,IF($E12="Non-RPP kWh",VLOOKUP(K$4,'4. Billing Determinants'!$B$19:$P$41,6,0)/'4. Billing Determinants'!$G$41*$D12,IF($E12="Distribution Rev.",VLOOKUP(K$4,'4. Billing Determinants'!$B$19:$P$41,8,0)/'4. Billing Determinants'!$I$41*$D12, VLOOKUP(K$4,'4. Billing Determinants'!$B$19:$P$41,10,0)*$D12))))),0)</f>
        <v>0</v>
      </c>
      <c r="L12" s="70">
        <f>IFERROR(IF(L$4="",0,IF($E12="kWh",VLOOKUP(L$4,'4. Billing Determinants'!$B$19:$P$41,4,0)/'4. Billing Determinants'!$E$41*$D12,IF($E12="kW",VLOOKUP(L$4,'4. Billing Determinants'!$B$19:$P$41,5,0)/'4. Billing Determinants'!$F$41*$D12,IF($E12="Non-RPP kWh",VLOOKUP(L$4,'4. Billing Determinants'!$B$19:$P$41,6,0)/'4. Billing Determinants'!$G$41*$D12,IF($E12="Distribution Rev.",VLOOKUP(L$4,'4. Billing Determinants'!$B$19:$P$41,8,0)/'4. Billing Determinants'!$I$41*$D12, VLOOKUP(L$4,'4. Billing Determinants'!$B$19:$P$41,10,0)*$D12))))),0)</f>
        <v>0</v>
      </c>
      <c r="M12" s="70">
        <f>IFERROR(IF(M$4="",0,IF($E12="kWh",VLOOKUP(M$4,'4. Billing Determinants'!$B$19:$P$41,4,0)/'4. Billing Determinants'!$E$41*$D12,IF($E12="kW",VLOOKUP(M$4,'4. Billing Determinants'!$B$19:$P$41,5,0)/'4. Billing Determinants'!$F$41*$D12,IF($E12="Non-RPP kWh",VLOOKUP(M$4,'4. Billing Determinants'!$B$19:$P$41,6,0)/'4. Billing Determinants'!$G$41*$D12,IF($E12="Distribution Rev.",VLOOKUP(M$4,'4. Billing Determinants'!$B$19:$P$41,8,0)/'4. Billing Determinants'!$I$41*$D12, VLOOKUP(M$4,'4. Billing Determinants'!$B$19:$P$41,10,0)*$D12))))),0)</f>
        <v>0</v>
      </c>
      <c r="N12" s="70">
        <f>IFERROR(IF(N$4="",0,IF($E12="kWh",VLOOKUP(N$4,'4. Billing Determinants'!$B$19:$P$41,4,0)/'4. Billing Determinants'!$E$41*$D12,IF($E12="kW",VLOOKUP(N$4,'4. Billing Determinants'!$B$19:$P$41,5,0)/'4. Billing Determinants'!$F$41*$D12,IF($E12="Non-RPP kWh",VLOOKUP(N$4,'4. Billing Determinants'!$B$19:$P$41,6,0)/'4. Billing Determinants'!$G$41*$D12,IF($E12="Distribution Rev.",VLOOKUP(N$4,'4. Billing Determinants'!$B$19:$P$41,8,0)/'4. Billing Determinants'!$I$41*$D12, VLOOKUP(N$4,'4. Billing Determinants'!$B$19:$P$41,10,0)*$D12))))),0)</f>
        <v>0</v>
      </c>
      <c r="O12" s="70">
        <f>IFERROR(IF(O$4="",0,IF($E12="kWh",VLOOKUP(O$4,'4. Billing Determinants'!$B$19:$P$41,4,0)/'4. Billing Determinants'!$E$41*$D12,IF($E12="kW",VLOOKUP(O$4,'4. Billing Determinants'!$B$19:$P$41,5,0)/'4. Billing Determinants'!$F$41*$D12,IF($E12="Non-RPP kWh",VLOOKUP(O$4,'4. Billing Determinants'!$B$19:$P$41,6,0)/'4. Billing Determinants'!$G$41*$D12,IF($E12="Distribution Rev.",VLOOKUP(O$4,'4. Billing Determinants'!$B$19:$P$41,8,0)/'4. Billing Determinants'!$I$41*$D12, VLOOKUP(O$4,'4. Billing Determinants'!$B$19:$P$41,10,0)*$D12))))),0)</f>
        <v>0</v>
      </c>
      <c r="P12" s="70">
        <f>IFERROR(IF(P$4="",0,IF($E12="kWh",VLOOKUP(P$4,'4. Billing Determinants'!$B$19:$P$41,4,0)/'4. Billing Determinants'!$E$41*$D12,IF($E12="kW",VLOOKUP(P$4,'4. Billing Determinants'!$B$19:$P$41,5,0)/'4. Billing Determinants'!$F$41*$D12,IF($E12="Non-RPP kWh",VLOOKUP(P$4,'4. Billing Determinants'!$B$19:$P$41,6,0)/'4. Billing Determinants'!$G$41*$D12,IF($E12="Distribution Rev.",VLOOKUP(P$4,'4. Billing Determinants'!$B$19:$P$41,8,0)/'4. Billing Determinants'!$I$41*$D12, VLOOKUP(P$4,'4. Billing Determinants'!$B$19:$P$41,10,0)*$D12))))),0)</f>
        <v>0</v>
      </c>
      <c r="Q12" s="70">
        <f>IFERROR(IF(Q$4="",0,IF($E12="kWh",VLOOKUP(Q$4,'4. Billing Determinants'!$B$19:$P$41,4,0)/'4. Billing Determinants'!$E$41*$D12,IF($E12="kW",VLOOKUP(Q$4,'4. Billing Determinants'!$B$19:$P$41,5,0)/'4. Billing Determinants'!$F$41*$D12,IF($E12="Non-RPP kWh",VLOOKUP(Q$4,'4. Billing Determinants'!$B$19:$P$41,6,0)/'4. Billing Determinants'!$G$41*$D12,IF($E12="Distribution Rev.",VLOOKUP(Q$4,'4. Billing Determinants'!$B$19:$P$41,8,0)/'4. Billing Determinants'!$I$41*$D12, VLOOKUP(Q$4,'4. Billing Determinants'!$B$19:$P$41,10,0)*$D12))))),0)</f>
        <v>0</v>
      </c>
      <c r="R12" s="70">
        <f>IFERROR(IF(R$4="",0,IF($E12="kWh",VLOOKUP(R$4,'4. Billing Determinants'!$B$19:$P$41,4,0)/'4. Billing Determinants'!$E$41*$D12,IF($E12="kW",VLOOKUP(R$4,'4. Billing Determinants'!$B$19:$P$41,5,0)/'4. Billing Determinants'!$F$41*$D12,IF($E12="Non-RPP kWh",VLOOKUP(R$4,'4. Billing Determinants'!$B$19:$P$41,6,0)/'4. Billing Determinants'!$G$41*$D12,IF($E12="Distribution Rev.",VLOOKUP(R$4,'4. Billing Determinants'!$B$19:$P$41,8,0)/'4. Billing Determinants'!$I$41*$D12, VLOOKUP(R$4,'4. Billing Determinants'!$B$19:$P$41,10,0)*$D12))))),0)</f>
        <v>0</v>
      </c>
      <c r="S12" s="70">
        <f>IFERROR(IF(S$4="",0,IF($E12="kWh",VLOOKUP(S$4,'4. Billing Determinants'!$B$19:$P$41,4,0)/'4. Billing Determinants'!$E$41*$D12,IF($E12="kW",VLOOKUP(S$4,'4. Billing Determinants'!$B$19:$P$41,5,0)/'4. Billing Determinants'!$F$41*$D12,IF($E12="Non-RPP kWh",VLOOKUP(S$4,'4. Billing Determinants'!$B$19:$P$41,6,0)/'4. Billing Determinants'!$G$41*$D12,IF($E12="Distribution Rev.",VLOOKUP(S$4,'4. Billing Determinants'!$B$19:$P$41,8,0)/'4. Billing Determinants'!$I$41*$D12, VLOOKUP(S$4,'4. Billing Determinants'!$B$19:$P$41,10,0)*$D12))))),0)</f>
        <v>0</v>
      </c>
      <c r="T12" s="70">
        <f>IFERROR(IF(T$4="",0,IF($E12="kWh",VLOOKUP(T$4,'4. Billing Determinants'!$B$19:$P$41,4,0)/'4. Billing Determinants'!$E$41*$D12,IF($E12="kW",VLOOKUP(T$4,'4. Billing Determinants'!$B$19:$P$41,5,0)/'4. Billing Determinants'!$F$41*$D12,IF($E12="Non-RPP kWh",VLOOKUP(T$4,'4. Billing Determinants'!$B$19:$P$41,6,0)/'4. Billing Determinants'!$G$41*$D12,IF($E12="Distribution Rev.",VLOOKUP(T$4,'4. Billing Determinants'!$B$19:$P$41,8,0)/'4. Billing Determinants'!$I$41*$D12, VLOOKUP(T$4,'4. Billing Determinants'!$B$19:$P$41,10,0)*$D12))))),0)</f>
        <v>0</v>
      </c>
      <c r="U12" s="70">
        <f>IFERROR(IF(U$4="",0,IF($E12="kWh",VLOOKUP(U$4,'4. Billing Determinants'!$B$19:$P$41,4,0)/'4. Billing Determinants'!$E$41*$D12,IF($E12="kW",VLOOKUP(U$4,'4. Billing Determinants'!$B$19:$P$41,5,0)/'4. Billing Determinants'!$F$41*$D12,IF($E12="Non-RPP kWh",VLOOKUP(U$4,'4. Billing Determinants'!$B$19:$P$41,6,0)/'4. Billing Determinants'!$G$41*$D12,IF($E12="Distribution Rev.",VLOOKUP(U$4,'4. Billing Determinants'!$B$19:$P$41,8,0)/'4. Billing Determinants'!$I$41*$D12, VLOOKUP(U$4,'4. Billing Determinants'!$B$19:$P$41,10,0)*$D12))))),0)</f>
        <v>0</v>
      </c>
      <c r="V12" s="70">
        <f>IFERROR(IF(V$4="",0,IF($E12="kWh",VLOOKUP(V$4,'4. Billing Determinants'!$B$19:$P$41,4,0)/'4. Billing Determinants'!$E$41*$D12,IF($E12="kW",VLOOKUP(V$4,'4. Billing Determinants'!$B$19:$P$41,5,0)/'4. Billing Determinants'!$F$41*$D12,IF($E12="Non-RPP kWh",VLOOKUP(V$4,'4. Billing Determinants'!$B$19:$P$41,6,0)/'4. Billing Determinants'!$G$41*$D12,IF($E12="Distribution Rev.",VLOOKUP(V$4,'4. Billing Determinants'!$B$19:$P$41,8,0)/'4. Billing Determinants'!$I$41*$D12, VLOOKUP(V$4,'4. Billing Determinants'!$B$19:$P$41,10,0)*$D12))))),0)</f>
        <v>0</v>
      </c>
      <c r="W12" s="70">
        <f>IFERROR(IF(W$4="",0,IF($E12="kWh",VLOOKUP(W$4,'4. Billing Determinants'!$B$19:$P$41,4,0)/'4. Billing Determinants'!$E$41*$D12,IF($E12="kW",VLOOKUP(W$4,'4. Billing Determinants'!$B$19:$P$41,5,0)/'4. Billing Determinants'!$F$41*$D12,IF($E12="Non-RPP kWh",VLOOKUP(W$4,'4. Billing Determinants'!$B$19:$P$41,6,0)/'4. Billing Determinants'!$G$41*$D12,IF($E12="Distribution Rev.",VLOOKUP(W$4,'4. Billing Determinants'!$B$19:$P$41,8,0)/'4. Billing Determinants'!$I$41*$D12, VLOOKUP(W$4,'4. Billing Determinants'!$B$19:$P$41,10,0)*$D12))))),0)</f>
        <v>0</v>
      </c>
      <c r="X12" s="70">
        <f>IFERROR(IF(X$4="",0,IF($E12="kWh",VLOOKUP(X$4,'4. Billing Determinants'!$B$19:$P$41,4,0)/'4. Billing Determinants'!$E$41*$D12,IF($E12="kW",VLOOKUP(X$4,'4. Billing Determinants'!$B$19:$P$41,5,0)/'4. Billing Determinants'!$F$41*$D12,IF($E12="Non-RPP kWh",VLOOKUP(X$4,'4. Billing Determinants'!$B$19:$P$41,6,0)/'4. Billing Determinants'!$G$41*$D12,IF($E12="Distribution Rev.",VLOOKUP(X$4,'4. Billing Determinants'!$B$19:$P$41,8,0)/'4. Billing Determinants'!$I$41*$D12, VLOOKUP(X$4,'4. Billing Determinants'!$B$19:$P$41,10,0)*$D12))))),0)</f>
        <v>0</v>
      </c>
      <c r="Y12" s="70">
        <f>IFERROR(IF(Y$4="",0,IF($E12="kWh",VLOOKUP(Y$4,'4. Billing Determinants'!$B$19:$P$41,4,0)/'4. Billing Determinants'!$E$41*$D12,IF($E12="kW",VLOOKUP(Y$4,'4. Billing Determinants'!$B$19:$P$41,5,0)/'4. Billing Determinants'!$F$41*$D12,IF($E12="Non-RPP kWh",VLOOKUP(Y$4,'4. Billing Determinants'!$B$19:$P$41,6,0)/'4. Billing Determinants'!$G$41*$D12,IF($E12="Distribution Rev.",VLOOKUP(Y$4,'4. Billing Determinants'!$B$19:$P$41,8,0)/'4. Billing Determinants'!$I$41*$D12, VLOOKUP(Y$4,'4. Billing Determinants'!$B$19:$P$41,10,0)*$D12))))),0)</f>
        <v>0</v>
      </c>
    </row>
    <row r="13" spans="2:25" x14ac:dyDescent="0.2">
      <c r="B13" s="72" t="s">
        <v>109</v>
      </c>
      <c r="C13" s="69">
        <v>1595</v>
      </c>
      <c r="D13" s="70">
        <f>'2. 2014 Continuity Schedule'!BO32</f>
        <v>0</v>
      </c>
      <c r="E13" s="130"/>
      <c r="F13" s="70">
        <f>IFERROR(IF(F$4="",0,IF($E13="kWh",VLOOKUP(F$4,'4. Billing Determinants'!$B$19:$P$41,4,0)/'4. Billing Determinants'!$E$41*$D13,IF($E13="kW",VLOOKUP(F$4,'4. Billing Determinants'!$B$19:$P$41,5,0)/'4. Billing Determinants'!$F$41*$D13,IF($E13="Non-RPP kWh",VLOOKUP(F$4,'4. Billing Determinants'!$B$19:$P$41,6,0)/'4. Billing Determinants'!$G$41*$D13,IF($E13="Distribution Rev.",VLOOKUP(F$4,'4. Billing Determinants'!$B$19:$P$41,8,0)/'4. Billing Determinants'!$I$41*$D13, VLOOKUP(F$4,'4. Billing Determinants'!$B$19:$P$41,11,0)*$D13))))),0)</f>
        <v>0</v>
      </c>
      <c r="G13" s="70">
        <f>IFERROR(IF(G$4="",0,IF($E13="kWh",VLOOKUP(G$4,'4. Billing Determinants'!$B$19:$P$41,4,0)/'4. Billing Determinants'!$E$41*$D13,IF($E13="kW",VLOOKUP(G$4,'4. Billing Determinants'!$B$19:$P$41,5,0)/'4. Billing Determinants'!$F$41*$D13,IF($E13="Non-RPP kWh",VLOOKUP(G$4,'4. Billing Determinants'!$B$19:$P$41,6,0)/'4. Billing Determinants'!$G$41*$D13,IF($E13="Distribution Rev.",VLOOKUP(G$4,'4. Billing Determinants'!$B$19:$P$41,8,0)/'4. Billing Determinants'!$I$41*$D13, VLOOKUP(G$4,'4. Billing Determinants'!$B$19:$P$41,11,0)*$D13))))),0)</f>
        <v>0</v>
      </c>
      <c r="H13" s="70">
        <f>IFERROR(IF(H$4="",0,IF($E13="kWh",VLOOKUP(H$4,'4. Billing Determinants'!$B$19:$P$41,4,0)/'4. Billing Determinants'!$E$41*$D13,IF($E13="kW",VLOOKUP(H$4,'4. Billing Determinants'!$B$19:$P$41,5,0)/'4. Billing Determinants'!$F$41*$D13,IF($E13="Non-RPP kWh",VLOOKUP(H$4,'4. Billing Determinants'!$B$19:$P$41,6,0)/'4. Billing Determinants'!$G$41*$D13,IF($E13="Distribution Rev.",VLOOKUP(H$4,'4. Billing Determinants'!$B$19:$P$41,8,0)/'4. Billing Determinants'!$I$41*$D13, VLOOKUP(H$4,'4. Billing Determinants'!$B$19:$P$41,11,0)*$D13))))),0)</f>
        <v>0</v>
      </c>
      <c r="I13" s="70">
        <f>IFERROR(IF(I$4="",0,IF($E13="kWh",VLOOKUP(I$4,'4. Billing Determinants'!$B$19:$P$41,4,0)/'4. Billing Determinants'!$E$41*$D13,IF($E13="kW",VLOOKUP(I$4,'4. Billing Determinants'!$B$19:$P$41,5,0)/'4. Billing Determinants'!$F$41*$D13,IF($E13="Non-RPP kWh",VLOOKUP(I$4,'4. Billing Determinants'!$B$19:$P$41,6,0)/'4. Billing Determinants'!$G$41*$D13,IF($E13="Distribution Rev.",VLOOKUP(I$4,'4. Billing Determinants'!$B$19:$P$41,8,0)/'4. Billing Determinants'!$I$41*$D13, VLOOKUP(I$4,'4. Billing Determinants'!$B$19:$P$41,11,0)*$D13))))),0)</f>
        <v>0</v>
      </c>
      <c r="J13" s="70">
        <f>IFERROR(IF(J$4="",0,IF($E13="kWh",VLOOKUP(J$4,'4. Billing Determinants'!$B$19:$P$41,4,0)/'4. Billing Determinants'!$E$41*$D13,IF($E13="kW",VLOOKUP(J$4,'4. Billing Determinants'!$B$19:$P$41,5,0)/'4. Billing Determinants'!$F$41*$D13,IF($E13="Non-RPP kWh",VLOOKUP(J$4,'4. Billing Determinants'!$B$19:$P$41,6,0)/'4. Billing Determinants'!$G$41*$D13,IF($E13="Distribution Rev.",VLOOKUP(J$4,'4. Billing Determinants'!$B$19:$P$41,8,0)/'4. Billing Determinants'!$I$41*$D13, VLOOKUP(J$4,'4. Billing Determinants'!$B$19:$P$41,11,0)*$D13))))),0)</f>
        <v>0</v>
      </c>
      <c r="K13" s="70">
        <f>IFERROR(IF(K$4="",0,IF($E13="kWh",VLOOKUP(K$4,'4. Billing Determinants'!$B$19:$P$41,4,0)/'4. Billing Determinants'!$E$41*$D13,IF($E13="kW",VLOOKUP(K$4,'4. Billing Determinants'!$B$19:$P$41,5,0)/'4. Billing Determinants'!$F$41*$D13,IF($E13="Non-RPP kWh",VLOOKUP(K$4,'4. Billing Determinants'!$B$19:$P$41,6,0)/'4. Billing Determinants'!$G$41*$D13,IF($E13="Distribution Rev.",VLOOKUP(K$4,'4. Billing Determinants'!$B$19:$P$41,8,0)/'4. Billing Determinants'!$I$41*$D13, VLOOKUP(K$4,'4. Billing Determinants'!$B$19:$P$41,11,0)*$D13))))),0)</f>
        <v>0</v>
      </c>
      <c r="L13" s="70">
        <f>IFERROR(IF(L$4="",0,IF($E13="kWh",VLOOKUP(L$4,'4. Billing Determinants'!$B$19:$P$41,4,0)/'4. Billing Determinants'!$E$41*$D13,IF($E13="kW",VLOOKUP(L$4,'4. Billing Determinants'!$B$19:$P$41,5,0)/'4. Billing Determinants'!$F$41*$D13,IF($E13="Non-RPP kWh",VLOOKUP(L$4,'4. Billing Determinants'!$B$19:$P$41,6,0)/'4. Billing Determinants'!$G$41*$D13,IF($E13="Distribution Rev.",VLOOKUP(L$4,'4. Billing Determinants'!$B$19:$P$41,8,0)/'4. Billing Determinants'!$I$41*$D13, VLOOKUP(L$4,'4. Billing Determinants'!$B$19:$P$41,11,0)*$D13))))),0)</f>
        <v>0</v>
      </c>
      <c r="M13" s="70">
        <f>IFERROR(IF(M$4="",0,IF($E13="kWh",VLOOKUP(M$4,'4. Billing Determinants'!$B$19:$P$41,4,0)/'4. Billing Determinants'!$E$41*$D13,IF($E13="kW",VLOOKUP(M$4,'4. Billing Determinants'!$B$19:$P$41,5,0)/'4. Billing Determinants'!$F$41*$D13,IF($E13="Non-RPP kWh",VLOOKUP(M$4,'4. Billing Determinants'!$B$19:$P$41,6,0)/'4. Billing Determinants'!$G$41*$D13,IF($E13="Distribution Rev.",VLOOKUP(M$4,'4. Billing Determinants'!$B$19:$P$41,8,0)/'4. Billing Determinants'!$I$41*$D13, VLOOKUP(M$4,'4. Billing Determinants'!$B$19:$P$41,11,0)*$D13))))),0)</f>
        <v>0</v>
      </c>
      <c r="N13" s="70">
        <f>IFERROR(IF(N$4="",0,IF($E13="kWh",VLOOKUP(N$4,'4. Billing Determinants'!$B$19:$P$41,4,0)/'4. Billing Determinants'!$E$41*$D13,IF($E13="kW",VLOOKUP(N$4,'4. Billing Determinants'!$B$19:$P$41,5,0)/'4. Billing Determinants'!$F$41*$D13,IF($E13="Non-RPP kWh",VLOOKUP(N$4,'4. Billing Determinants'!$B$19:$P$41,6,0)/'4. Billing Determinants'!$G$41*$D13,IF($E13="Distribution Rev.",VLOOKUP(N$4,'4. Billing Determinants'!$B$19:$P$41,8,0)/'4. Billing Determinants'!$I$41*$D13, VLOOKUP(N$4,'4. Billing Determinants'!$B$19:$P$41,11,0)*$D13))))),0)</f>
        <v>0</v>
      </c>
      <c r="O13" s="70">
        <f>IFERROR(IF(O$4="",0,IF($E13="kWh",VLOOKUP(O$4,'4. Billing Determinants'!$B$19:$P$41,4,0)/'4. Billing Determinants'!$E$41*$D13,IF($E13="kW",VLOOKUP(O$4,'4. Billing Determinants'!$B$19:$P$41,5,0)/'4. Billing Determinants'!$F$41*$D13,IF($E13="Non-RPP kWh",VLOOKUP(O$4,'4. Billing Determinants'!$B$19:$P$41,6,0)/'4. Billing Determinants'!$G$41*$D13,IF($E13="Distribution Rev.",VLOOKUP(O$4,'4. Billing Determinants'!$B$19:$P$41,8,0)/'4. Billing Determinants'!$I$41*$D13, VLOOKUP(O$4,'4. Billing Determinants'!$B$19:$P$41,11,0)*$D13))))),0)</f>
        <v>0</v>
      </c>
      <c r="P13" s="70">
        <f>IFERROR(IF(P$4="",0,IF($E13="kWh",VLOOKUP(P$4,'4. Billing Determinants'!$B$19:$P$41,4,0)/'4. Billing Determinants'!$E$41*$D13,IF($E13="kW",VLOOKUP(P$4,'4. Billing Determinants'!$B$19:$P$41,5,0)/'4. Billing Determinants'!$F$41*$D13,IF($E13="Non-RPP kWh",VLOOKUP(P$4,'4. Billing Determinants'!$B$19:$P$41,6,0)/'4. Billing Determinants'!$G$41*$D13,IF($E13="Distribution Rev.",VLOOKUP(P$4,'4. Billing Determinants'!$B$19:$P$41,8,0)/'4. Billing Determinants'!$I$41*$D13, VLOOKUP(P$4,'4. Billing Determinants'!$B$19:$P$41,11,0)*$D13))))),0)</f>
        <v>0</v>
      </c>
      <c r="Q13" s="70">
        <f>IFERROR(IF(Q$4="",0,IF($E13="kWh",VLOOKUP(Q$4,'4. Billing Determinants'!$B$19:$P$41,4,0)/'4. Billing Determinants'!$E$41*$D13,IF($E13="kW",VLOOKUP(Q$4,'4. Billing Determinants'!$B$19:$P$41,5,0)/'4. Billing Determinants'!$F$41*$D13,IF($E13="Non-RPP kWh",VLOOKUP(Q$4,'4. Billing Determinants'!$B$19:$P$41,6,0)/'4. Billing Determinants'!$G$41*$D13,IF($E13="Distribution Rev.",VLOOKUP(Q$4,'4. Billing Determinants'!$B$19:$P$41,8,0)/'4. Billing Determinants'!$I$41*$D13, VLOOKUP(Q$4,'4. Billing Determinants'!$B$19:$P$41,11,0)*$D13))))),0)</f>
        <v>0</v>
      </c>
      <c r="R13" s="70">
        <f>IFERROR(IF(R$4="",0,IF($E13="kWh",VLOOKUP(R$4,'4. Billing Determinants'!$B$19:$P$41,4,0)/'4. Billing Determinants'!$E$41*$D13,IF($E13="kW",VLOOKUP(R$4,'4. Billing Determinants'!$B$19:$P$41,5,0)/'4. Billing Determinants'!$F$41*$D13,IF($E13="Non-RPP kWh",VLOOKUP(R$4,'4. Billing Determinants'!$B$19:$P$41,6,0)/'4. Billing Determinants'!$G$41*$D13,IF($E13="Distribution Rev.",VLOOKUP(R$4,'4. Billing Determinants'!$B$19:$P$41,8,0)/'4. Billing Determinants'!$I$41*$D13, VLOOKUP(R$4,'4. Billing Determinants'!$B$19:$P$41,11,0)*$D13))))),0)</f>
        <v>0</v>
      </c>
      <c r="S13" s="70">
        <f>IFERROR(IF(S$4="",0,IF($E13="kWh",VLOOKUP(S$4,'4. Billing Determinants'!$B$19:$P$41,4,0)/'4. Billing Determinants'!$E$41*$D13,IF($E13="kW",VLOOKUP(S$4,'4. Billing Determinants'!$B$19:$P$41,5,0)/'4. Billing Determinants'!$F$41*$D13,IF($E13="Non-RPP kWh",VLOOKUP(S$4,'4. Billing Determinants'!$B$19:$P$41,6,0)/'4. Billing Determinants'!$G$41*$D13,IF($E13="Distribution Rev.",VLOOKUP(S$4,'4. Billing Determinants'!$B$19:$P$41,8,0)/'4. Billing Determinants'!$I$41*$D13, VLOOKUP(S$4,'4. Billing Determinants'!$B$19:$P$41,11,0)*$D13))))),0)</f>
        <v>0</v>
      </c>
      <c r="T13" s="70">
        <f>IFERROR(IF(T$4="",0,IF($E13="kWh",VLOOKUP(T$4,'4. Billing Determinants'!$B$19:$P$41,4,0)/'4. Billing Determinants'!$E$41*$D13,IF($E13="kW",VLOOKUP(T$4,'4. Billing Determinants'!$B$19:$P$41,5,0)/'4. Billing Determinants'!$F$41*$D13,IF($E13="Non-RPP kWh",VLOOKUP(T$4,'4. Billing Determinants'!$B$19:$P$41,6,0)/'4. Billing Determinants'!$G$41*$D13,IF($E13="Distribution Rev.",VLOOKUP(T$4,'4. Billing Determinants'!$B$19:$P$41,8,0)/'4. Billing Determinants'!$I$41*$D13, VLOOKUP(T$4,'4. Billing Determinants'!$B$19:$P$41,11,0)*$D13))))),0)</f>
        <v>0</v>
      </c>
      <c r="U13" s="70">
        <f>IFERROR(IF(U$4="",0,IF($E13="kWh",VLOOKUP(U$4,'4. Billing Determinants'!$B$19:$P$41,4,0)/'4. Billing Determinants'!$E$41*$D13,IF($E13="kW",VLOOKUP(U$4,'4. Billing Determinants'!$B$19:$P$41,5,0)/'4. Billing Determinants'!$F$41*$D13,IF($E13="Non-RPP kWh",VLOOKUP(U$4,'4. Billing Determinants'!$B$19:$P$41,6,0)/'4. Billing Determinants'!$G$41*$D13,IF($E13="Distribution Rev.",VLOOKUP(U$4,'4. Billing Determinants'!$B$19:$P$41,8,0)/'4. Billing Determinants'!$I$41*$D13, VLOOKUP(U$4,'4. Billing Determinants'!$B$19:$P$41,11,0)*$D13))))),0)</f>
        <v>0</v>
      </c>
      <c r="V13" s="70">
        <f>IFERROR(IF(V$4="",0,IF($E13="kWh",VLOOKUP(V$4,'4. Billing Determinants'!$B$19:$P$41,4,0)/'4. Billing Determinants'!$E$41*$D13,IF($E13="kW",VLOOKUP(V$4,'4. Billing Determinants'!$B$19:$P$41,5,0)/'4. Billing Determinants'!$F$41*$D13,IF($E13="Non-RPP kWh",VLOOKUP(V$4,'4. Billing Determinants'!$B$19:$P$41,6,0)/'4. Billing Determinants'!$G$41*$D13,IF($E13="Distribution Rev.",VLOOKUP(V$4,'4. Billing Determinants'!$B$19:$P$41,8,0)/'4. Billing Determinants'!$I$41*$D13, VLOOKUP(V$4,'4. Billing Determinants'!$B$19:$P$41,11,0)*$D13))))),0)</f>
        <v>0</v>
      </c>
      <c r="W13" s="70">
        <f>IFERROR(IF(W$4="",0,IF($E13="kWh",VLOOKUP(W$4,'4. Billing Determinants'!$B$19:$P$41,4,0)/'4. Billing Determinants'!$E$41*$D13,IF($E13="kW",VLOOKUP(W$4,'4. Billing Determinants'!$B$19:$P$41,5,0)/'4. Billing Determinants'!$F$41*$D13,IF($E13="Non-RPP kWh",VLOOKUP(W$4,'4. Billing Determinants'!$B$19:$P$41,6,0)/'4. Billing Determinants'!$G$41*$D13,IF($E13="Distribution Rev.",VLOOKUP(W$4,'4. Billing Determinants'!$B$19:$P$41,8,0)/'4. Billing Determinants'!$I$41*$D13, VLOOKUP(W$4,'4. Billing Determinants'!$B$19:$P$41,11,0)*$D13))))),0)</f>
        <v>0</v>
      </c>
      <c r="X13" s="70">
        <f>IFERROR(IF(X$4="",0,IF($E13="kWh",VLOOKUP(X$4,'4. Billing Determinants'!$B$19:$P$41,4,0)/'4. Billing Determinants'!$E$41*$D13,IF($E13="kW",VLOOKUP(X$4,'4. Billing Determinants'!$B$19:$P$41,5,0)/'4. Billing Determinants'!$F$41*$D13,IF($E13="Non-RPP kWh",VLOOKUP(X$4,'4. Billing Determinants'!$B$19:$P$41,6,0)/'4. Billing Determinants'!$G$41*$D13,IF($E13="Distribution Rev.",VLOOKUP(X$4,'4. Billing Determinants'!$B$19:$P$41,8,0)/'4. Billing Determinants'!$I$41*$D13, VLOOKUP(X$4,'4. Billing Determinants'!$B$19:$P$41,11,0)*$D13))))),0)</f>
        <v>0</v>
      </c>
      <c r="Y13" s="70">
        <f>IFERROR(IF(Y$4="",0,IF($E13="kWh",VLOOKUP(Y$4,'4. Billing Determinants'!$B$19:$P$41,4,0)/'4. Billing Determinants'!$E$41*$D13,IF($E13="kW",VLOOKUP(Y$4,'4. Billing Determinants'!$B$19:$P$41,5,0)/'4. Billing Determinants'!$F$41*$D13,IF($E13="Non-RPP kWh",VLOOKUP(Y$4,'4. Billing Determinants'!$B$19:$P$41,6,0)/'4. Billing Determinants'!$G$41*$D13,IF($E13="Distribution Rev.",VLOOKUP(Y$4,'4. Billing Determinants'!$B$19:$P$41,8,0)/'4. Billing Determinants'!$I$41*$D13, VLOOKUP(Y$4,'4. Billing Determinants'!$B$19:$P$41,11,0)*$D13))))),0)</f>
        <v>0</v>
      </c>
    </row>
    <row r="14" spans="2:25" x14ac:dyDescent="0.2">
      <c r="B14" s="72" t="s">
        <v>110</v>
      </c>
      <c r="C14" s="69">
        <v>1595</v>
      </c>
      <c r="D14" s="70">
        <f>'2. 2014 Continuity Schedule'!BO33</f>
        <v>-3887.4506331463331</v>
      </c>
      <c r="E14" s="130" t="s">
        <v>276</v>
      </c>
      <c r="F14" s="70">
        <f>IFERROR(IF(F$4="",0,IF($E14="kWh",VLOOKUP(F$4,'4. Billing Determinants'!$B$19:$P$41,4,0)/'4. Billing Determinants'!$E$41*$D14,IF($E14="kW",VLOOKUP(F$4,'4. Billing Determinants'!$B$19:$P$41,5,0)/'4. Billing Determinants'!$F$41*$D14,IF($E14="Non-RPP kWh",VLOOKUP(F$4,'4. Billing Determinants'!$B$19:$P$41,6,0)/'4. Billing Determinants'!$G$41*$D14,IF($E14="Distribution Rev.",VLOOKUP(F$4,'4. Billing Determinants'!$B$19:$P$41,8,0)/'4. Billing Determinants'!$I$41*$D14, VLOOKUP(F$4,'4. Billing Determinants'!$B$19:$P$41,12,0)*$D14))))),0)</f>
        <v>-1534.9296656328254</v>
      </c>
      <c r="G14" s="70">
        <f>IFERROR(IF(G$4="",0,IF($E14="kWh",VLOOKUP(G$4,'4. Billing Determinants'!$B$19:$P$41,4,0)/'4. Billing Determinants'!$E$41*$D14,IF($E14="kW",VLOOKUP(G$4,'4. Billing Determinants'!$B$19:$P$41,5,0)/'4. Billing Determinants'!$F$41*$D14,IF($E14="Non-RPP kWh",VLOOKUP(G$4,'4. Billing Determinants'!$B$19:$P$41,6,0)/'4. Billing Determinants'!$G$41*$D14,IF($E14="Distribution Rev.",VLOOKUP(G$4,'4. Billing Determinants'!$B$19:$P$41,8,0)/'4. Billing Determinants'!$I$41*$D14, VLOOKUP(G$4,'4. Billing Determinants'!$B$19:$P$41,12,0)*$D14))))),0)</f>
        <v>-637.59041322515691</v>
      </c>
      <c r="H14" s="70">
        <f>IFERROR(IF(H$4="",0,IF($E14="kWh",VLOOKUP(H$4,'4. Billing Determinants'!$B$19:$P$41,4,0)/'4. Billing Determinants'!$E$41*$D14,IF($E14="kW",VLOOKUP(H$4,'4. Billing Determinants'!$B$19:$P$41,5,0)/'4. Billing Determinants'!$F$41*$D14,IF($E14="Non-RPP kWh",VLOOKUP(H$4,'4. Billing Determinants'!$B$19:$P$41,6,0)/'4. Billing Determinants'!$G$41*$D14,IF($E14="Distribution Rev.",VLOOKUP(H$4,'4. Billing Determinants'!$B$19:$P$41,8,0)/'4. Billing Determinants'!$I$41*$D14, VLOOKUP(H$4,'4. Billing Determinants'!$B$19:$P$41,12,0)*$D14))))),0)</f>
        <v>-1567.6981318656938</v>
      </c>
      <c r="I14" s="70">
        <f>IFERROR(IF(I$4="",0,IF($E14="kWh",VLOOKUP(I$4,'4. Billing Determinants'!$B$19:$P$41,4,0)/'4. Billing Determinants'!$E$41*$D14,IF($E14="kW",VLOOKUP(I$4,'4. Billing Determinants'!$B$19:$P$41,5,0)/'4. Billing Determinants'!$F$41*$D14,IF($E14="Non-RPP kWh",VLOOKUP(I$4,'4. Billing Determinants'!$B$19:$P$41,6,0)/'4. Billing Determinants'!$G$41*$D14,IF($E14="Distribution Rev.",VLOOKUP(I$4,'4. Billing Determinants'!$B$19:$P$41,8,0)/'4. Billing Determinants'!$I$41*$D14, VLOOKUP(I$4,'4. Billing Determinants'!$B$19:$P$41,12,0)*$D14))))),0)</f>
        <v>-128.88200536057533</v>
      </c>
      <c r="J14" s="70">
        <f>IFERROR(IF(J$4="",0,IF($E14="kWh",VLOOKUP(J$4,'4. Billing Determinants'!$B$19:$P$41,4,0)/'4. Billing Determinants'!$E$41*$D14,IF($E14="kW",VLOOKUP(J$4,'4. Billing Determinants'!$B$19:$P$41,5,0)/'4. Billing Determinants'!$F$41*$D14,IF($E14="Non-RPP kWh",VLOOKUP(J$4,'4. Billing Determinants'!$B$19:$P$41,6,0)/'4. Billing Determinants'!$G$41*$D14,IF($E14="Distribution Rev.",VLOOKUP(J$4,'4. Billing Determinants'!$B$19:$P$41,8,0)/'4. Billing Determinants'!$I$41*$D14, VLOOKUP(J$4,'4. Billing Determinants'!$B$19:$P$41,12,0)*$D14))))),0)</f>
        <v>-0.23935239066112418</v>
      </c>
      <c r="K14" s="70">
        <f>IFERROR(IF(K$4="",0,IF($E14="kWh",VLOOKUP(K$4,'4. Billing Determinants'!$B$19:$P$41,4,0)/'4. Billing Determinants'!$E$41*$D14,IF($E14="kW",VLOOKUP(K$4,'4. Billing Determinants'!$B$19:$P$41,5,0)/'4. Billing Determinants'!$F$41*$D14,IF($E14="Non-RPP kWh",VLOOKUP(K$4,'4. Billing Determinants'!$B$19:$P$41,6,0)/'4. Billing Determinants'!$G$41*$D14,IF($E14="Distribution Rev.",VLOOKUP(K$4,'4. Billing Determinants'!$B$19:$P$41,8,0)/'4. Billing Determinants'!$I$41*$D14, VLOOKUP(K$4,'4. Billing Determinants'!$B$19:$P$41,12,0)*$D14))))),0)</f>
        <v>-3.0322470626300504</v>
      </c>
      <c r="L14" s="70">
        <f>IFERROR(IF(L$4="",0,IF($E14="kWh",VLOOKUP(L$4,'4. Billing Determinants'!$B$19:$P$41,4,0)/'4. Billing Determinants'!$E$41*$D14,IF($E14="kW",VLOOKUP(L$4,'4. Billing Determinants'!$B$19:$P$41,5,0)/'4. Billing Determinants'!$F$41*$D14,IF($E14="Non-RPP kWh",VLOOKUP(L$4,'4. Billing Determinants'!$B$19:$P$41,6,0)/'4. Billing Determinants'!$G$41*$D14,IF($E14="Distribution Rev.",VLOOKUP(L$4,'4. Billing Determinants'!$B$19:$P$41,8,0)/'4. Billing Determinants'!$I$41*$D14, VLOOKUP(L$4,'4. Billing Determinants'!$B$19:$P$41,12,0)*$D14))))),0)</f>
        <v>-15.078817608791132</v>
      </c>
      <c r="M14" s="70">
        <f>IFERROR(IF(M$4="",0,IF($E14="kWh",VLOOKUP(M$4,'4. Billing Determinants'!$B$19:$P$41,4,0)/'4. Billing Determinants'!$E$41*$D14,IF($E14="kW",VLOOKUP(M$4,'4. Billing Determinants'!$B$19:$P$41,5,0)/'4. Billing Determinants'!$F$41*$D14,IF($E14="Non-RPP kWh",VLOOKUP(M$4,'4. Billing Determinants'!$B$19:$P$41,6,0)/'4. Billing Determinants'!$G$41*$D14,IF($E14="Distribution Rev.",VLOOKUP(M$4,'4. Billing Determinants'!$B$19:$P$41,8,0)/'4. Billing Determinants'!$I$41*$D14, VLOOKUP(M$4,'4. Billing Determinants'!$B$19:$P$41,12,0)*$D14))))),0)</f>
        <v>0</v>
      </c>
      <c r="N14" s="70">
        <f>IFERROR(IF(N$4="",0,IF($E14="kWh",VLOOKUP(N$4,'4. Billing Determinants'!$B$19:$P$41,4,0)/'4. Billing Determinants'!$E$41*$D14,IF($E14="kW",VLOOKUP(N$4,'4. Billing Determinants'!$B$19:$P$41,5,0)/'4. Billing Determinants'!$F$41*$D14,IF($E14="Non-RPP kWh",VLOOKUP(N$4,'4. Billing Determinants'!$B$19:$P$41,6,0)/'4. Billing Determinants'!$G$41*$D14,IF($E14="Distribution Rev.",VLOOKUP(N$4,'4. Billing Determinants'!$B$19:$P$41,8,0)/'4. Billing Determinants'!$I$41*$D14, VLOOKUP(N$4,'4. Billing Determinants'!$B$19:$P$41,12,0)*$D14))))),0)</f>
        <v>0</v>
      </c>
      <c r="O14" s="70">
        <f>IFERROR(IF(O$4="",0,IF($E14="kWh",VLOOKUP(O$4,'4. Billing Determinants'!$B$19:$P$41,4,0)/'4. Billing Determinants'!$E$41*$D14,IF($E14="kW",VLOOKUP(O$4,'4. Billing Determinants'!$B$19:$P$41,5,0)/'4. Billing Determinants'!$F$41*$D14,IF($E14="Non-RPP kWh",VLOOKUP(O$4,'4. Billing Determinants'!$B$19:$P$41,6,0)/'4. Billing Determinants'!$G$41*$D14,IF($E14="Distribution Rev.",VLOOKUP(O$4,'4. Billing Determinants'!$B$19:$P$41,8,0)/'4. Billing Determinants'!$I$41*$D14, VLOOKUP(O$4,'4. Billing Determinants'!$B$19:$P$41,12,0)*$D14))))),0)</f>
        <v>0</v>
      </c>
      <c r="P14" s="70">
        <f>IFERROR(IF(P$4="",0,IF($E14="kWh",VLOOKUP(P$4,'4. Billing Determinants'!$B$19:$P$41,4,0)/'4. Billing Determinants'!$E$41*$D14,IF($E14="kW",VLOOKUP(P$4,'4. Billing Determinants'!$B$19:$P$41,5,0)/'4. Billing Determinants'!$F$41*$D14,IF($E14="Non-RPP kWh",VLOOKUP(P$4,'4. Billing Determinants'!$B$19:$P$41,6,0)/'4. Billing Determinants'!$G$41*$D14,IF($E14="Distribution Rev.",VLOOKUP(P$4,'4. Billing Determinants'!$B$19:$P$41,8,0)/'4. Billing Determinants'!$I$41*$D14, VLOOKUP(P$4,'4. Billing Determinants'!$B$19:$P$41,12,0)*$D14))))),0)</f>
        <v>0</v>
      </c>
      <c r="Q14" s="70">
        <f>IFERROR(IF(Q$4="",0,IF($E14="kWh",VLOOKUP(Q$4,'4. Billing Determinants'!$B$19:$P$41,4,0)/'4. Billing Determinants'!$E$41*$D14,IF($E14="kW",VLOOKUP(Q$4,'4. Billing Determinants'!$B$19:$P$41,5,0)/'4. Billing Determinants'!$F$41*$D14,IF($E14="Non-RPP kWh",VLOOKUP(Q$4,'4. Billing Determinants'!$B$19:$P$41,6,0)/'4. Billing Determinants'!$G$41*$D14,IF($E14="Distribution Rev.",VLOOKUP(Q$4,'4. Billing Determinants'!$B$19:$P$41,8,0)/'4. Billing Determinants'!$I$41*$D14, VLOOKUP(Q$4,'4. Billing Determinants'!$B$19:$P$41,12,0)*$D14))))),0)</f>
        <v>0</v>
      </c>
      <c r="R14" s="70">
        <f>IFERROR(IF(R$4="",0,IF($E14="kWh",VLOOKUP(R$4,'4. Billing Determinants'!$B$19:$P$41,4,0)/'4. Billing Determinants'!$E$41*$D14,IF($E14="kW",VLOOKUP(R$4,'4. Billing Determinants'!$B$19:$P$41,5,0)/'4. Billing Determinants'!$F$41*$D14,IF($E14="Non-RPP kWh",VLOOKUP(R$4,'4. Billing Determinants'!$B$19:$P$41,6,0)/'4. Billing Determinants'!$G$41*$D14,IF($E14="Distribution Rev.",VLOOKUP(R$4,'4. Billing Determinants'!$B$19:$P$41,8,0)/'4. Billing Determinants'!$I$41*$D14, VLOOKUP(R$4,'4. Billing Determinants'!$B$19:$P$41,12,0)*$D14))))),0)</f>
        <v>0</v>
      </c>
      <c r="S14" s="70">
        <f>IFERROR(IF(S$4="",0,IF($E14="kWh",VLOOKUP(S$4,'4. Billing Determinants'!$B$19:$P$41,4,0)/'4. Billing Determinants'!$E$41*$D14,IF($E14="kW",VLOOKUP(S$4,'4. Billing Determinants'!$B$19:$P$41,5,0)/'4. Billing Determinants'!$F$41*$D14,IF($E14="Non-RPP kWh",VLOOKUP(S$4,'4. Billing Determinants'!$B$19:$P$41,6,0)/'4. Billing Determinants'!$G$41*$D14,IF($E14="Distribution Rev.",VLOOKUP(S$4,'4. Billing Determinants'!$B$19:$P$41,8,0)/'4. Billing Determinants'!$I$41*$D14, VLOOKUP(S$4,'4. Billing Determinants'!$B$19:$P$41,12,0)*$D14))))),0)</f>
        <v>0</v>
      </c>
      <c r="T14" s="70">
        <f>IFERROR(IF(T$4="",0,IF($E14="kWh",VLOOKUP(T$4,'4. Billing Determinants'!$B$19:$P$41,4,0)/'4. Billing Determinants'!$E$41*$D14,IF($E14="kW",VLOOKUP(T$4,'4. Billing Determinants'!$B$19:$P$41,5,0)/'4. Billing Determinants'!$F$41*$D14,IF($E14="Non-RPP kWh",VLOOKUP(T$4,'4. Billing Determinants'!$B$19:$P$41,6,0)/'4. Billing Determinants'!$G$41*$D14,IF($E14="Distribution Rev.",VLOOKUP(T$4,'4. Billing Determinants'!$B$19:$P$41,8,0)/'4. Billing Determinants'!$I$41*$D14, VLOOKUP(T$4,'4. Billing Determinants'!$B$19:$P$41,12,0)*$D14))))),0)</f>
        <v>0</v>
      </c>
      <c r="U14" s="70">
        <f>IFERROR(IF(U$4="",0,IF($E14="kWh",VLOOKUP(U$4,'4. Billing Determinants'!$B$19:$P$41,4,0)/'4. Billing Determinants'!$E$41*$D14,IF($E14="kW",VLOOKUP(U$4,'4. Billing Determinants'!$B$19:$P$41,5,0)/'4. Billing Determinants'!$F$41*$D14,IF($E14="Non-RPP kWh",VLOOKUP(U$4,'4. Billing Determinants'!$B$19:$P$41,6,0)/'4. Billing Determinants'!$G$41*$D14,IF($E14="Distribution Rev.",VLOOKUP(U$4,'4. Billing Determinants'!$B$19:$P$41,8,0)/'4. Billing Determinants'!$I$41*$D14, VLOOKUP(U$4,'4. Billing Determinants'!$B$19:$P$41,12,0)*$D14))))),0)</f>
        <v>0</v>
      </c>
      <c r="V14" s="70">
        <f>IFERROR(IF(V$4="",0,IF($E14="kWh",VLOOKUP(V$4,'4. Billing Determinants'!$B$19:$P$41,4,0)/'4. Billing Determinants'!$E$41*$D14,IF($E14="kW",VLOOKUP(V$4,'4. Billing Determinants'!$B$19:$P$41,5,0)/'4. Billing Determinants'!$F$41*$D14,IF($E14="Non-RPP kWh",VLOOKUP(V$4,'4. Billing Determinants'!$B$19:$P$41,6,0)/'4. Billing Determinants'!$G$41*$D14,IF($E14="Distribution Rev.",VLOOKUP(V$4,'4. Billing Determinants'!$B$19:$P$41,8,0)/'4. Billing Determinants'!$I$41*$D14, VLOOKUP(V$4,'4. Billing Determinants'!$B$19:$P$41,12,0)*$D14))))),0)</f>
        <v>0</v>
      </c>
      <c r="W14" s="70">
        <f>IFERROR(IF(W$4="",0,IF($E14="kWh",VLOOKUP(W$4,'4. Billing Determinants'!$B$19:$P$41,4,0)/'4. Billing Determinants'!$E$41*$D14,IF($E14="kW",VLOOKUP(W$4,'4. Billing Determinants'!$B$19:$P$41,5,0)/'4. Billing Determinants'!$F$41*$D14,IF($E14="Non-RPP kWh",VLOOKUP(W$4,'4. Billing Determinants'!$B$19:$P$41,6,0)/'4. Billing Determinants'!$G$41*$D14,IF($E14="Distribution Rev.",VLOOKUP(W$4,'4. Billing Determinants'!$B$19:$P$41,8,0)/'4. Billing Determinants'!$I$41*$D14, VLOOKUP(W$4,'4. Billing Determinants'!$B$19:$P$41,12,0)*$D14))))),0)</f>
        <v>0</v>
      </c>
      <c r="X14" s="70">
        <f>IFERROR(IF(X$4="",0,IF($E14="kWh",VLOOKUP(X$4,'4. Billing Determinants'!$B$19:$P$41,4,0)/'4. Billing Determinants'!$E$41*$D14,IF($E14="kW",VLOOKUP(X$4,'4. Billing Determinants'!$B$19:$P$41,5,0)/'4. Billing Determinants'!$F$41*$D14,IF($E14="Non-RPP kWh",VLOOKUP(X$4,'4. Billing Determinants'!$B$19:$P$41,6,0)/'4. Billing Determinants'!$G$41*$D14,IF($E14="Distribution Rev.",VLOOKUP(X$4,'4. Billing Determinants'!$B$19:$P$41,8,0)/'4. Billing Determinants'!$I$41*$D14, VLOOKUP(X$4,'4. Billing Determinants'!$B$19:$P$41,12,0)*$D14))))),0)</f>
        <v>0</v>
      </c>
      <c r="Y14" s="70">
        <f>IFERROR(IF(Y$4="",0,IF($E14="kWh",VLOOKUP(Y$4,'4. Billing Determinants'!$B$19:$P$41,4,0)/'4. Billing Determinants'!$E$41*$D14,IF($E14="kW",VLOOKUP(Y$4,'4. Billing Determinants'!$B$19:$P$41,5,0)/'4. Billing Determinants'!$F$41*$D14,IF($E14="Non-RPP kWh",VLOOKUP(Y$4,'4. Billing Determinants'!$B$19:$P$41,6,0)/'4. Billing Determinants'!$G$41*$D14,IF($E14="Distribution Rev.",VLOOKUP(Y$4,'4. Billing Determinants'!$B$19:$P$41,8,0)/'4. Billing Determinants'!$I$41*$D14, VLOOKUP(Y$4,'4. Billing Determinants'!$B$19:$P$41,12,0)*$D14))))),0)</f>
        <v>0</v>
      </c>
    </row>
    <row r="15" spans="2:25" x14ac:dyDescent="0.2">
      <c r="B15" s="72" t="s">
        <v>227</v>
      </c>
      <c r="C15" s="69">
        <v>1595</v>
      </c>
      <c r="D15" s="70">
        <f>'2. 2014 Continuity Schedule'!BO34</f>
        <v>-54737.150625000002</v>
      </c>
      <c r="E15" s="130" t="s">
        <v>299</v>
      </c>
      <c r="F15" s="70">
        <f>IFERROR(IF(F$4="",0,IF($E15="kWh",VLOOKUP(F$4,'4. Billing Determinants'!$B$19:$P$41,4,0)/'4. Billing Determinants'!$E$41*$D15,IF($E15="kW",VLOOKUP(F$4,'4. Billing Determinants'!$B$19:$P$41,5,0)/'4. Billing Determinants'!$F$41*$D15,IF($E15="Non-RPP kWh",VLOOKUP(F$4,'4. Billing Determinants'!$B$19:$P$41,6,0)/'4. Billing Determinants'!$G$41*$D15,IF($E15="Distribution Rev.",VLOOKUP(F$4,'4. Billing Determinants'!$B$19:$P$41,8,0)/'4. Billing Determinants'!$I$41*$D15, VLOOKUP(F$4,'4. Billing Determinants'!$B$19:$P$41,13,0)*$D15))))),0)</f>
        <v>-30272.644727123621</v>
      </c>
      <c r="G15" s="70">
        <f>IFERROR(IF(G$4="",0,IF($E15="kWh",VLOOKUP(G$4,'4. Billing Determinants'!$B$19:$P$41,4,0)/'4. Billing Determinants'!$E$41*$D15,IF($E15="kW",VLOOKUP(G$4,'4. Billing Determinants'!$B$19:$P$41,5,0)/'4. Billing Determinants'!$F$41*$D15,IF($E15="Non-RPP kWh",VLOOKUP(G$4,'4. Billing Determinants'!$B$19:$P$41,6,0)/'4. Billing Determinants'!$G$41*$D15,IF($E15="Distribution Rev.",VLOOKUP(G$4,'4. Billing Determinants'!$B$19:$P$41,8,0)/'4. Billing Determinants'!$I$41*$D15, VLOOKUP(G$4,'4. Billing Determinants'!$B$19:$P$41,13,0)*$D15))))),0)</f>
        <v>-9810.1748601406998</v>
      </c>
      <c r="H15" s="70">
        <f>IFERROR(IF(H$4="",0,IF($E15="kWh",VLOOKUP(H$4,'4. Billing Determinants'!$B$19:$P$41,4,0)/'4. Billing Determinants'!$E$41*$D15,IF($E15="kW",VLOOKUP(H$4,'4. Billing Determinants'!$B$19:$P$41,5,0)/'4. Billing Determinants'!$F$41*$D15,IF($E15="Non-RPP kWh",VLOOKUP(H$4,'4. Billing Determinants'!$B$19:$P$41,6,0)/'4. Billing Determinants'!$G$41*$D15,IF($E15="Distribution Rev.",VLOOKUP(H$4,'4. Billing Determinants'!$B$19:$P$41,8,0)/'4. Billing Determinants'!$I$41*$D15, VLOOKUP(H$4,'4. Billing Determinants'!$B$19:$P$41,13,0)*$D15))))),0)</f>
        <v>-10919.469108041189</v>
      </c>
      <c r="I15" s="70">
        <f>IFERROR(IF(I$4="",0,IF($E15="kWh",VLOOKUP(I$4,'4. Billing Determinants'!$B$19:$P$41,4,0)/'4. Billing Determinants'!$E$41*$D15,IF($E15="kW",VLOOKUP(I$4,'4. Billing Determinants'!$B$19:$P$41,5,0)/'4. Billing Determinants'!$F$41*$D15,IF($E15="Non-RPP kWh",VLOOKUP(I$4,'4. Billing Determinants'!$B$19:$P$41,6,0)/'4. Billing Determinants'!$G$41*$D15,IF($E15="Distribution Rev.",VLOOKUP(I$4,'4. Billing Determinants'!$B$19:$P$41,8,0)/'4. Billing Determinants'!$I$41*$D15, VLOOKUP(I$4,'4. Billing Determinants'!$B$19:$P$41,13,0)*$D15))))),0)</f>
        <v>-980.37689695573829</v>
      </c>
      <c r="J15" s="70">
        <f>IFERROR(IF(J$4="",0,IF($E15="kWh",VLOOKUP(J$4,'4. Billing Determinants'!$B$19:$P$41,4,0)/'4. Billing Determinants'!$E$41*$D15,IF($E15="kW",VLOOKUP(J$4,'4. Billing Determinants'!$B$19:$P$41,5,0)/'4. Billing Determinants'!$F$41*$D15,IF($E15="Non-RPP kWh",VLOOKUP(J$4,'4. Billing Determinants'!$B$19:$P$41,6,0)/'4. Billing Determinants'!$G$41*$D15,IF($E15="Distribution Rev.",VLOOKUP(J$4,'4. Billing Determinants'!$B$19:$P$41,8,0)/'4. Billing Determinants'!$I$41*$D15, VLOOKUP(J$4,'4. Billing Determinants'!$B$19:$P$41,13,0)*$D15))))),0)</f>
        <v>-55.212140761445248</v>
      </c>
      <c r="K15" s="70">
        <f>IFERROR(IF(K$4="",0,IF($E15="kWh",VLOOKUP(K$4,'4. Billing Determinants'!$B$19:$P$41,4,0)/'4. Billing Determinants'!$E$41*$D15,IF($E15="kW",VLOOKUP(K$4,'4. Billing Determinants'!$B$19:$P$41,5,0)/'4. Billing Determinants'!$F$41*$D15,IF($E15="Non-RPP kWh",VLOOKUP(K$4,'4. Billing Determinants'!$B$19:$P$41,6,0)/'4. Billing Determinants'!$G$41*$D15,IF($E15="Distribution Rev.",VLOOKUP(K$4,'4. Billing Determinants'!$B$19:$P$41,8,0)/'4. Billing Determinants'!$I$41*$D15, VLOOKUP(K$4,'4. Billing Determinants'!$B$19:$P$41,13,0)*$D15))))),0)</f>
        <v>-224.5875170002401</v>
      </c>
      <c r="L15" s="70">
        <f>IFERROR(IF(L$4="",0,IF($E15="kWh",VLOOKUP(L$4,'4. Billing Determinants'!$B$19:$P$41,4,0)/'4. Billing Determinants'!$E$41*$D15,IF($E15="kW",VLOOKUP(L$4,'4. Billing Determinants'!$B$19:$P$41,5,0)/'4. Billing Determinants'!$F$41*$D15,IF($E15="Non-RPP kWh",VLOOKUP(L$4,'4. Billing Determinants'!$B$19:$P$41,6,0)/'4. Billing Determinants'!$G$41*$D15,IF($E15="Distribution Rev.",VLOOKUP(L$4,'4. Billing Determinants'!$B$19:$P$41,8,0)/'4. Billing Determinants'!$I$41*$D15, VLOOKUP(L$4,'4. Billing Determinants'!$B$19:$P$41,13,0)*$D15))))),0)</f>
        <v>-2474.6853749770789</v>
      </c>
      <c r="M15" s="70">
        <f>IFERROR(IF(M$4="",0,IF($E15="kWh",VLOOKUP(M$4,'4. Billing Determinants'!$B$19:$P$41,4,0)/'4. Billing Determinants'!$E$41*$D15,IF($E15="kW",VLOOKUP(M$4,'4. Billing Determinants'!$B$19:$P$41,5,0)/'4. Billing Determinants'!$F$41*$D15,IF($E15="Non-RPP kWh",VLOOKUP(M$4,'4. Billing Determinants'!$B$19:$P$41,6,0)/'4. Billing Determinants'!$G$41*$D15,IF($E15="Distribution Rev.",VLOOKUP(M$4,'4. Billing Determinants'!$B$19:$P$41,8,0)/'4. Billing Determinants'!$I$41*$D15, VLOOKUP(M$4,'4. Billing Determinants'!$B$19:$P$41,13,0)*$D15))))),0)</f>
        <v>0</v>
      </c>
      <c r="N15" s="70">
        <f>IFERROR(IF(N$4="",0,IF($E15="kWh",VLOOKUP(N$4,'4. Billing Determinants'!$B$19:$P$41,4,0)/'4. Billing Determinants'!$E$41*$D15,IF($E15="kW",VLOOKUP(N$4,'4. Billing Determinants'!$B$19:$P$41,5,0)/'4. Billing Determinants'!$F$41*$D15,IF($E15="Non-RPP kWh",VLOOKUP(N$4,'4. Billing Determinants'!$B$19:$P$41,6,0)/'4. Billing Determinants'!$G$41*$D15,IF($E15="Distribution Rev.",VLOOKUP(N$4,'4. Billing Determinants'!$B$19:$P$41,8,0)/'4. Billing Determinants'!$I$41*$D15, VLOOKUP(N$4,'4. Billing Determinants'!$B$19:$P$41,13,0)*$D15))))),0)</f>
        <v>0</v>
      </c>
      <c r="O15" s="70">
        <f>IFERROR(IF(O$4="",0,IF($E15="kWh",VLOOKUP(O$4,'4. Billing Determinants'!$B$19:$P$41,4,0)/'4. Billing Determinants'!$E$41*$D15,IF($E15="kW",VLOOKUP(O$4,'4. Billing Determinants'!$B$19:$P$41,5,0)/'4. Billing Determinants'!$F$41*$D15,IF($E15="Non-RPP kWh",VLOOKUP(O$4,'4. Billing Determinants'!$B$19:$P$41,6,0)/'4. Billing Determinants'!$G$41*$D15,IF($E15="Distribution Rev.",VLOOKUP(O$4,'4. Billing Determinants'!$B$19:$P$41,8,0)/'4. Billing Determinants'!$I$41*$D15, VLOOKUP(O$4,'4. Billing Determinants'!$B$19:$P$41,13,0)*$D15))))),0)</f>
        <v>0</v>
      </c>
      <c r="P15" s="70">
        <f>IFERROR(IF(P$4="",0,IF($E15="kWh",VLOOKUP(P$4,'4. Billing Determinants'!$B$19:$P$41,4,0)/'4. Billing Determinants'!$E$41*$D15,IF($E15="kW",VLOOKUP(P$4,'4. Billing Determinants'!$B$19:$P$41,5,0)/'4. Billing Determinants'!$F$41*$D15,IF($E15="Non-RPP kWh",VLOOKUP(P$4,'4. Billing Determinants'!$B$19:$P$41,6,0)/'4. Billing Determinants'!$G$41*$D15,IF($E15="Distribution Rev.",VLOOKUP(P$4,'4. Billing Determinants'!$B$19:$P$41,8,0)/'4. Billing Determinants'!$I$41*$D15, VLOOKUP(P$4,'4. Billing Determinants'!$B$19:$P$41,13,0)*$D15))))),0)</f>
        <v>0</v>
      </c>
      <c r="Q15" s="70">
        <f>IFERROR(IF(Q$4="",0,IF($E15="kWh",VLOOKUP(Q$4,'4. Billing Determinants'!$B$19:$P$41,4,0)/'4. Billing Determinants'!$E$41*$D15,IF($E15="kW",VLOOKUP(Q$4,'4. Billing Determinants'!$B$19:$P$41,5,0)/'4. Billing Determinants'!$F$41*$D15,IF($E15="Non-RPP kWh",VLOOKUP(Q$4,'4. Billing Determinants'!$B$19:$P$41,6,0)/'4. Billing Determinants'!$G$41*$D15,IF($E15="Distribution Rev.",VLOOKUP(Q$4,'4. Billing Determinants'!$B$19:$P$41,8,0)/'4. Billing Determinants'!$I$41*$D15, VLOOKUP(Q$4,'4. Billing Determinants'!$B$19:$P$41,13,0)*$D15))))),0)</f>
        <v>0</v>
      </c>
      <c r="R15" s="70">
        <f>IFERROR(IF(R$4="",0,IF($E15="kWh",VLOOKUP(R$4,'4. Billing Determinants'!$B$19:$P$41,4,0)/'4. Billing Determinants'!$E$41*$D15,IF($E15="kW",VLOOKUP(R$4,'4. Billing Determinants'!$B$19:$P$41,5,0)/'4. Billing Determinants'!$F$41*$D15,IF($E15="Non-RPP kWh",VLOOKUP(R$4,'4. Billing Determinants'!$B$19:$P$41,6,0)/'4. Billing Determinants'!$G$41*$D15,IF($E15="Distribution Rev.",VLOOKUP(R$4,'4. Billing Determinants'!$B$19:$P$41,8,0)/'4. Billing Determinants'!$I$41*$D15, VLOOKUP(R$4,'4. Billing Determinants'!$B$19:$P$41,13,0)*$D15))))),0)</f>
        <v>0</v>
      </c>
      <c r="S15" s="70">
        <f>IFERROR(IF(S$4="",0,IF($E15="kWh",VLOOKUP(S$4,'4. Billing Determinants'!$B$19:$P$41,4,0)/'4. Billing Determinants'!$E$41*$D15,IF($E15="kW",VLOOKUP(S$4,'4. Billing Determinants'!$B$19:$P$41,5,0)/'4. Billing Determinants'!$F$41*$D15,IF($E15="Non-RPP kWh",VLOOKUP(S$4,'4. Billing Determinants'!$B$19:$P$41,6,0)/'4. Billing Determinants'!$G$41*$D15,IF($E15="Distribution Rev.",VLOOKUP(S$4,'4. Billing Determinants'!$B$19:$P$41,8,0)/'4. Billing Determinants'!$I$41*$D15, VLOOKUP(S$4,'4. Billing Determinants'!$B$19:$P$41,13,0)*$D15))))),0)</f>
        <v>0</v>
      </c>
      <c r="T15" s="70">
        <f>IFERROR(IF(T$4="",0,IF($E15="kWh",VLOOKUP(T$4,'4. Billing Determinants'!$B$19:$P$41,4,0)/'4. Billing Determinants'!$E$41*$D15,IF($E15="kW",VLOOKUP(T$4,'4. Billing Determinants'!$B$19:$P$41,5,0)/'4. Billing Determinants'!$F$41*$D15,IF($E15="Non-RPP kWh",VLOOKUP(T$4,'4. Billing Determinants'!$B$19:$P$41,6,0)/'4. Billing Determinants'!$G$41*$D15,IF($E15="Distribution Rev.",VLOOKUP(T$4,'4. Billing Determinants'!$B$19:$P$41,8,0)/'4. Billing Determinants'!$I$41*$D15, VLOOKUP(T$4,'4. Billing Determinants'!$B$19:$P$41,13,0)*$D15))))),0)</f>
        <v>0</v>
      </c>
      <c r="U15" s="70">
        <f>IFERROR(IF(U$4="",0,IF($E15="kWh",VLOOKUP(U$4,'4. Billing Determinants'!$B$19:$P$41,4,0)/'4. Billing Determinants'!$E$41*$D15,IF($E15="kW",VLOOKUP(U$4,'4. Billing Determinants'!$B$19:$P$41,5,0)/'4. Billing Determinants'!$F$41*$D15,IF($E15="Non-RPP kWh",VLOOKUP(U$4,'4. Billing Determinants'!$B$19:$P$41,6,0)/'4. Billing Determinants'!$G$41*$D15,IF($E15="Distribution Rev.",VLOOKUP(U$4,'4. Billing Determinants'!$B$19:$P$41,8,0)/'4. Billing Determinants'!$I$41*$D15, VLOOKUP(U$4,'4. Billing Determinants'!$B$19:$P$41,13,0)*$D15))))),0)</f>
        <v>0</v>
      </c>
      <c r="V15" s="70">
        <f>IFERROR(IF(V$4="",0,IF($E15="kWh",VLOOKUP(V$4,'4. Billing Determinants'!$B$19:$P$41,4,0)/'4. Billing Determinants'!$E$41*$D15,IF($E15="kW",VLOOKUP(V$4,'4. Billing Determinants'!$B$19:$P$41,5,0)/'4. Billing Determinants'!$F$41*$D15,IF($E15="Non-RPP kWh",VLOOKUP(V$4,'4. Billing Determinants'!$B$19:$P$41,6,0)/'4. Billing Determinants'!$G$41*$D15,IF($E15="Distribution Rev.",VLOOKUP(V$4,'4. Billing Determinants'!$B$19:$P$41,8,0)/'4. Billing Determinants'!$I$41*$D15, VLOOKUP(V$4,'4. Billing Determinants'!$B$19:$P$41,13,0)*$D15))))),0)</f>
        <v>0</v>
      </c>
      <c r="W15" s="70">
        <f>IFERROR(IF(W$4="",0,IF($E15="kWh",VLOOKUP(W$4,'4. Billing Determinants'!$B$19:$P$41,4,0)/'4. Billing Determinants'!$E$41*$D15,IF($E15="kW",VLOOKUP(W$4,'4. Billing Determinants'!$B$19:$P$41,5,0)/'4. Billing Determinants'!$F$41*$D15,IF($E15="Non-RPP kWh",VLOOKUP(W$4,'4. Billing Determinants'!$B$19:$P$41,6,0)/'4. Billing Determinants'!$G$41*$D15,IF($E15="Distribution Rev.",VLOOKUP(W$4,'4. Billing Determinants'!$B$19:$P$41,8,0)/'4. Billing Determinants'!$I$41*$D15, VLOOKUP(W$4,'4. Billing Determinants'!$B$19:$P$41,13,0)*$D15))))),0)</f>
        <v>0</v>
      </c>
      <c r="X15" s="70">
        <f>IFERROR(IF(X$4="",0,IF($E15="kWh",VLOOKUP(X$4,'4. Billing Determinants'!$B$19:$P$41,4,0)/'4. Billing Determinants'!$E$41*$D15,IF($E15="kW",VLOOKUP(X$4,'4. Billing Determinants'!$B$19:$P$41,5,0)/'4. Billing Determinants'!$F$41*$D15,IF($E15="Non-RPP kWh",VLOOKUP(X$4,'4. Billing Determinants'!$B$19:$P$41,6,0)/'4. Billing Determinants'!$G$41*$D15,IF($E15="Distribution Rev.",VLOOKUP(X$4,'4. Billing Determinants'!$B$19:$P$41,8,0)/'4. Billing Determinants'!$I$41*$D15, VLOOKUP(X$4,'4. Billing Determinants'!$B$19:$P$41,13,0)*$D15))))),0)</f>
        <v>0</v>
      </c>
      <c r="Y15" s="70">
        <f>IFERROR(IF(Y$4="",0,IF($E15="kWh",VLOOKUP(Y$4,'4. Billing Determinants'!$B$19:$P$41,4,0)/'4. Billing Determinants'!$E$41*$D15,IF($E15="kW",VLOOKUP(Y$4,'4. Billing Determinants'!$B$19:$P$41,5,0)/'4. Billing Determinants'!$F$41*$D15,IF($E15="Non-RPP kWh",VLOOKUP(Y$4,'4. Billing Determinants'!$B$19:$P$41,6,0)/'4. Billing Determinants'!$G$41*$D15,IF($E15="Distribution Rev.",VLOOKUP(Y$4,'4. Billing Determinants'!$B$19:$P$41,8,0)/'4. Billing Determinants'!$I$41*$D15, VLOOKUP(Y$4,'4. Billing Determinants'!$B$19:$P$41,13,0)*$D15))))),0)</f>
        <v>0</v>
      </c>
    </row>
    <row r="16" spans="2:25" x14ac:dyDescent="0.2">
      <c r="B16" s="72" t="s">
        <v>274</v>
      </c>
      <c r="C16" s="69">
        <v>1595</v>
      </c>
      <c r="D16" s="70">
        <f>'2. 2014 Continuity Schedule'!BO35</f>
        <v>174725.24380600013</v>
      </c>
      <c r="E16" s="130" t="s">
        <v>299</v>
      </c>
      <c r="F16" s="70">
        <f>IFERROR(IF(F$4="",0,IF($E16="kWh",VLOOKUP(F$4,'4. Billing Determinants'!$B$19:$P$41,4,0)/'4. Billing Determinants'!$E$41*$D16,IF($E16="kW",VLOOKUP(F$4,'4. Billing Determinants'!$B$19:$P$41,5,0)/'4. Billing Determinants'!$F$41*$D16,IF($E16="Non-RPP kWh",VLOOKUP(F$4,'4. Billing Determinants'!$B$19:$P$41,6,0)/'4. Billing Determinants'!$G$41*$D16,IF($E16="Distribution Rev.",VLOOKUP(F$4,'4. Billing Determinants'!$B$19:$P$41,8,0)/'4. Billing Determinants'!$I$41*$D16, VLOOKUP(F$4,'4. Billing Determinants'!$B$19:$P$41,14,0)*$D16))))),0)</f>
        <v>28919.735817147237</v>
      </c>
      <c r="G16" s="70">
        <f>IFERROR(IF(G$4="",0,IF($E16="kWh",VLOOKUP(G$4,'4. Billing Determinants'!$B$19:$P$41,4,0)/'4. Billing Determinants'!$E$41*$D16,IF($E16="kW",VLOOKUP(G$4,'4. Billing Determinants'!$B$19:$P$41,5,0)/'4. Billing Determinants'!$F$41*$D16,IF($E16="Non-RPP kWh",VLOOKUP(G$4,'4. Billing Determinants'!$B$19:$P$41,6,0)/'4. Billing Determinants'!$G$41*$D16,IF($E16="Distribution Rev.",VLOOKUP(G$4,'4. Billing Determinants'!$B$19:$P$41,8,0)/'4. Billing Determinants'!$I$41*$D16, VLOOKUP(G$4,'4. Billing Determinants'!$B$19:$P$41,14,0)*$D16))))),0)</f>
        <v>12122.910274594224</v>
      </c>
      <c r="H16" s="70">
        <f>IFERROR(IF(H$4="",0,IF($E16="kWh",VLOOKUP(H$4,'4. Billing Determinants'!$B$19:$P$41,4,0)/'4. Billing Determinants'!$E$41*$D16,IF($E16="kW",VLOOKUP(H$4,'4. Billing Determinants'!$B$19:$P$41,5,0)/'4. Billing Determinants'!$F$41*$D16,IF($E16="Non-RPP kWh",VLOOKUP(H$4,'4. Billing Determinants'!$B$19:$P$41,6,0)/'4. Billing Determinants'!$G$41*$D16,IF($E16="Distribution Rev.",VLOOKUP(H$4,'4. Billing Determinants'!$B$19:$P$41,8,0)/'4. Billing Determinants'!$I$41*$D16, VLOOKUP(H$4,'4. Billing Determinants'!$B$19:$P$41,14,0)*$D16))))),0)</f>
        <v>111831.4706869683</v>
      </c>
      <c r="I16" s="70">
        <f>IFERROR(IF(I$4="",0,IF($E16="kWh",VLOOKUP(I$4,'4. Billing Determinants'!$B$19:$P$41,4,0)/'4. Billing Determinants'!$E$41*$D16,IF($E16="kW",VLOOKUP(I$4,'4. Billing Determinants'!$B$19:$P$41,5,0)/'4. Billing Determinants'!$F$41*$D16,IF($E16="Non-RPP kWh",VLOOKUP(I$4,'4. Billing Determinants'!$B$19:$P$41,6,0)/'4. Billing Determinants'!$G$41*$D16,IF($E16="Distribution Rev.",VLOOKUP(I$4,'4. Billing Determinants'!$B$19:$P$41,8,0)/'4. Billing Determinants'!$I$41*$D16, VLOOKUP(I$4,'4. Billing Determinants'!$B$19:$P$41,14,0)*$D16))))),0)</f>
        <v>20761.828964304514</v>
      </c>
      <c r="J16" s="70">
        <f>IFERROR(IF(J$4="",0,IF($E16="kWh",VLOOKUP(J$4,'4. Billing Determinants'!$B$19:$P$41,4,0)/'4. Billing Determinants'!$E$41*$D16,IF($E16="kW",VLOOKUP(J$4,'4. Billing Determinants'!$B$19:$P$41,5,0)/'4. Billing Determinants'!$F$41*$D16,IF($E16="Non-RPP kWh",VLOOKUP(J$4,'4. Billing Determinants'!$B$19:$P$41,6,0)/'4. Billing Determinants'!$G$41*$D16,IF($E16="Distribution Rev.",VLOOKUP(J$4,'4. Billing Determinants'!$B$19:$P$41,8,0)/'4. Billing Determinants'!$I$41*$D16, VLOOKUP(J$4,'4. Billing Determinants'!$B$19:$P$41,14,0)*$D16))))),0)</f>
        <v>25.248587307107535</v>
      </c>
      <c r="K16" s="70">
        <f>IFERROR(IF(K$4="",0,IF($E16="kWh",VLOOKUP(K$4,'4. Billing Determinants'!$B$19:$P$41,4,0)/'4. Billing Determinants'!$E$41*$D16,IF($E16="kW",VLOOKUP(K$4,'4. Billing Determinants'!$B$19:$P$41,5,0)/'4. Billing Determinants'!$F$41*$D16,IF($E16="Non-RPP kWh",VLOOKUP(K$4,'4. Billing Determinants'!$B$19:$P$41,6,0)/'4. Billing Determinants'!$G$41*$D16,IF($E16="Distribution Rev.",VLOOKUP(K$4,'4. Billing Determinants'!$B$19:$P$41,8,0)/'4. Billing Determinants'!$I$41*$D16, VLOOKUP(K$4,'4. Billing Determinants'!$B$19:$P$41,14,0)*$D16))))),0)</f>
        <v>17.0148292447839</v>
      </c>
      <c r="L16" s="70">
        <f>IFERROR(IF(L$4="",0,IF($E16="kWh",VLOOKUP(L$4,'4. Billing Determinants'!$B$19:$P$41,4,0)/'4. Billing Determinants'!$E$41*$D16,IF($E16="kW",VLOOKUP(L$4,'4. Billing Determinants'!$B$19:$P$41,5,0)/'4. Billing Determinants'!$F$41*$D16,IF($E16="Non-RPP kWh",VLOOKUP(L$4,'4. Billing Determinants'!$B$19:$P$41,6,0)/'4. Billing Determinants'!$G$41*$D16,IF($E16="Distribution Rev.",VLOOKUP(L$4,'4. Billing Determinants'!$B$19:$P$41,8,0)/'4. Billing Determinants'!$I$41*$D16, VLOOKUP(L$4,'4. Billing Determinants'!$B$19:$P$41,14,0)*$D16))))),0)</f>
        <v>1047.034646433945</v>
      </c>
      <c r="M16" s="70">
        <f>IFERROR(IF(M$4="",0,IF($E16="kWh",VLOOKUP(M$4,'4. Billing Determinants'!$B$19:$P$41,4,0)/'4. Billing Determinants'!$E$41*$D16,IF($E16="kW",VLOOKUP(M$4,'4. Billing Determinants'!$B$19:$P$41,5,0)/'4. Billing Determinants'!$F$41*$D16,IF($E16="Non-RPP kWh",VLOOKUP(M$4,'4. Billing Determinants'!$B$19:$P$41,6,0)/'4. Billing Determinants'!$G$41*$D16,IF($E16="Distribution Rev.",VLOOKUP(M$4,'4. Billing Determinants'!$B$19:$P$41,8,0)/'4. Billing Determinants'!$I$41*$D16, VLOOKUP(M$4,'4. Billing Determinants'!$B$19:$P$41,14,0)*$D16))))),0)</f>
        <v>0</v>
      </c>
      <c r="N16" s="70">
        <f>IFERROR(IF(N$4="",0,IF($E16="kWh",VLOOKUP(N$4,'4. Billing Determinants'!$B$19:$P$41,4,0)/'4. Billing Determinants'!$E$41*$D16,IF($E16="kW",VLOOKUP(N$4,'4. Billing Determinants'!$B$19:$P$41,5,0)/'4. Billing Determinants'!$F$41*$D16,IF($E16="Non-RPP kWh",VLOOKUP(N$4,'4. Billing Determinants'!$B$19:$P$41,6,0)/'4. Billing Determinants'!$G$41*$D16,IF($E16="Distribution Rev.",VLOOKUP(N$4,'4. Billing Determinants'!$B$19:$P$41,8,0)/'4. Billing Determinants'!$I$41*$D16, VLOOKUP(N$4,'4. Billing Determinants'!$B$19:$P$41,14,0)*$D16))))),0)</f>
        <v>0</v>
      </c>
      <c r="O16" s="70">
        <f>IFERROR(IF(O$4="",0,IF($E16="kWh",VLOOKUP(O$4,'4. Billing Determinants'!$B$19:$P$41,4,0)/'4. Billing Determinants'!$E$41*$D16,IF($E16="kW",VLOOKUP(O$4,'4. Billing Determinants'!$B$19:$P$41,5,0)/'4. Billing Determinants'!$F$41*$D16,IF($E16="Non-RPP kWh",VLOOKUP(O$4,'4. Billing Determinants'!$B$19:$P$41,6,0)/'4. Billing Determinants'!$G$41*$D16,IF($E16="Distribution Rev.",VLOOKUP(O$4,'4. Billing Determinants'!$B$19:$P$41,8,0)/'4. Billing Determinants'!$I$41*$D16, VLOOKUP(O$4,'4. Billing Determinants'!$B$19:$P$41,14,0)*$D16))))),0)</f>
        <v>0</v>
      </c>
      <c r="P16" s="70">
        <f>IFERROR(IF(P$4="",0,IF($E16="kWh",VLOOKUP(P$4,'4. Billing Determinants'!$B$19:$P$41,4,0)/'4. Billing Determinants'!$E$41*$D16,IF($E16="kW",VLOOKUP(P$4,'4. Billing Determinants'!$B$19:$P$41,5,0)/'4. Billing Determinants'!$F$41*$D16,IF($E16="Non-RPP kWh",VLOOKUP(P$4,'4. Billing Determinants'!$B$19:$P$41,6,0)/'4. Billing Determinants'!$G$41*$D16,IF($E16="Distribution Rev.",VLOOKUP(P$4,'4. Billing Determinants'!$B$19:$P$41,8,0)/'4. Billing Determinants'!$I$41*$D16, VLOOKUP(P$4,'4. Billing Determinants'!$B$19:$P$41,14,0)*$D16))))),0)</f>
        <v>0</v>
      </c>
      <c r="Q16" s="70">
        <f>IFERROR(IF(Q$4="",0,IF($E16="kWh",VLOOKUP(Q$4,'4. Billing Determinants'!$B$19:$P$41,4,0)/'4. Billing Determinants'!$E$41*$D16,IF($E16="kW",VLOOKUP(Q$4,'4. Billing Determinants'!$B$19:$P$41,5,0)/'4. Billing Determinants'!$F$41*$D16,IF($E16="Non-RPP kWh",VLOOKUP(Q$4,'4. Billing Determinants'!$B$19:$P$41,6,0)/'4. Billing Determinants'!$G$41*$D16,IF($E16="Distribution Rev.",VLOOKUP(Q$4,'4. Billing Determinants'!$B$19:$P$41,8,0)/'4. Billing Determinants'!$I$41*$D16, VLOOKUP(Q$4,'4. Billing Determinants'!$B$19:$P$41,14,0)*$D16))))),0)</f>
        <v>0</v>
      </c>
      <c r="R16" s="70">
        <f>IFERROR(IF(R$4="",0,IF($E16="kWh",VLOOKUP(R$4,'4. Billing Determinants'!$B$19:$P$41,4,0)/'4. Billing Determinants'!$E$41*$D16,IF($E16="kW",VLOOKUP(R$4,'4. Billing Determinants'!$B$19:$P$41,5,0)/'4. Billing Determinants'!$F$41*$D16,IF($E16="Non-RPP kWh",VLOOKUP(R$4,'4. Billing Determinants'!$B$19:$P$41,6,0)/'4. Billing Determinants'!$G$41*$D16,IF($E16="Distribution Rev.",VLOOKUP(R$4,'4. Billing Determinants'!$B$19:$P$41,8,0)/'4. Billing Determinants'!$I$41*$D16, VLOOKUP(R$4,'4. Billing Determinants'!$B$19:$P$41,14,0)*$D16))))),0)</f>
        <v>0</v>
      </c>
      <c r="S16" s="70">
        <f>IFERROR(IF(S$4="",0,IF($E16="kWh",VLOOKUP(S$4,'4. Billing Determinants'!$B$19:$P$41,4,0)/'4. Billing Determinants'!$E$41*$D16,IF($E16="kW",VLOOKUP(S$4,'4. Billing Determinants'!$B$19:$P$41,5,0)/'4. Billing Determinants'!$F$41*$D16,IF($E16="Non-RPP kWh",VLOOKUP(S$4,'4. Billing Determinants'!$B$19:$P$41,6,0)/'4. Billing Determinants'!$G$41*$D16,IF($E16="Distribution Rev.",VLOOKUP(S$4,'4. Billing Determinants'!$B$19:$P$41,8,0)/'4. Billing Determinants'!$I$41*$D16, VLOOKUP(S$4,'4. Billing Determinants'!$B$19:$P$41,14,0)*$D16))))),0)</f>
        <v>0</v>
      </c>
      <c r="T16" s="70">
        <f>IFERROR(IF(T$4="",0,IF($E16="kWh",VLOOKUP(T$4,'4. Billing Determinants'!$B$19:$P$41,4,0)/'4. Billing Determinants'!$E$41*$D16,IF($E16="kW",VLOOKUP(T$4,'4. Billing Determinants'!$B$19:$P$41,5,0)/'4. Billing Determinants'!$F$41*$D16,IF($E16="Non-RPP kWh",VLOOKUP(T$4,'4. Billing Determinants'!$B$19:$P$41,6,0)/'4. Billing Determinants'!$G$41*$D16,IF($E16="Distribution Rev.",VLOOKUP(T$4,'4. Billing Determinants'!$B$19:$P$41,8,0)/'4. Billing Determinants'!$I$41*$D16, VLOOKUP(T$4,'4. Billing Determinants'!$B$19:$P$41,14,0)*$D16))))),0)</f>
        <v>0</v>
      </c>
      <c r="U16" s="70">
        <f>IFERROR(IF(U$4="",0,IF($E16="kWh",VLOOKUP(U$4,'4. Billing Determinants'!$B$19:$P$41,4,0)/'4. Billing Determinants'!$E$41*$D16,IF($E16="kW",VLOOKUP(U$4,'4. Billing Determinants'!$B$19:$P$41,5,0)/'4. Billing Determinants'!$F$41*$D16,IF($E16="Non-RPP kWh",VLOOKUP(U$4,'4. Billing Determinants'!$B$19:$P$41,6,0)/'4. Billing Determinants'!$G$41*$D16,IF($E16="Distribution Rev.",VLOOKUP(U$4,'4. Billing Determinants'!$B$19:$P$41,8,0)/'4. Billing Determinants'!$I$41*$D16, VLOOKUP(U$4,'4. Billing Determinants'!$B$19:$P$41,14,0)*$D16))))),0)</f>
        <v>0</v>
      </c>
      <c r="V16" s="70">
        <f>IFERROR(IF(V$4="",0,IF($E16="kWh",VLOOKUP(V$4,'4. Billing Determinants'!$B$19:$P$41,4,0)/'4. Billing Determinants'!$E$41*$D16,IF($E16="kW",VLOOKUP(V$4,'4. Billing Determinants'!$B$19:$P$41,5,0)/'4. Billing Determinants'!$F$41*$D16,IF($E16="Non-RPP kWh",VLOOKUP(V$4,'4. Billing Determinants'!$B$19:$P$41,6,0)/'4. Billing Determinants'!$G$41*$D16,IF($E16="Distribution Rev.",VLOOKUP(V$4,'4. Billing Determinants'!$B$19:$P$41,8,0)/'4. Billing Determinants'!$I$41*$D16, VLOOKUP(V$4,'4. Billing Determinants'!$B$19:$P$41,14,0)*$D16))))),0)</f>
        <v>0</v>
      </c>
      <c r="W16" s="70">
        <f>IFERROR(IF(W$4="",0,IF($E16="kWh",VLOOKUP(W$4,'4. Billing Determinants'!$B$19:$P$41,4,0)/'4. Billing Determinants'!$E$41*$D16,IF($E16="kW",VLOOKUP(W$4,'4. Billing Determinants'!$B$19:$P$41,5,0)/'4. Billing Determinants'!$F$41*$D16,IF($E16="Non-RPP kWh",VLOOKUP(W$4,'4. Billing Determinants'!$B$19:$P$41,6,0)/'4. Billing Determinants'!$G$41*$D16,IF($E16="Distribution Rev.",VLOOKUP(W$4,'4. Billing Determinants'!$B$19:$P$41,8,0)/'4. Billing Determinants'!$I$41*$D16, VLOOKUP(W$4,'4. Billing Determinants'!$B$19:$P$41,14,0)*$D16))))),0)</f>
        <v>0</v>
      </c>
      <c r="X16" s="70">
        <f>IFERROR(IF(X$4="",0,IF($E16="kWh",VLOOKUP(X$4,'4. Billing Determinants'!$B$19:$P$41,4,0)/'4. Billing Determinants'!$E$41*$D16,IF($E16="kW",VLOOKUP(X$4,'4. Billing Determinants'!$B$19:$P$41,5,0)/'4. Billing Determinants'!$F$41*$D16,IF($E16="Non-RPP kWh",VLOOKUP(X$4,'4. Billing Determinants'!$B$19:$P$41,6,0)/'4. Billing Determinants'!$G$41*$D16,IF($E16="Distribution Rev.",VLOOKUP(X$4,'4. Billing Determinants'!$B$19:$P$41,8,0)/'4. Billing Determinants'!$I$41*$D16, VLOOKUP(X$4,'4. Billing Determinants'!$B$19:$P$41,14,0)*$D16))))),0)</f>
        <v>0</v>
      </c>
      <c r="Y16" s="70">
        <f>IFERROR(IF(Y$4="",0,IF($E16="kWh",VLOOKUP(Y$4,'4. Billing Determinants'!$B$19:$P$41,4,0)/'4. Billing Determinants'!$E$41*$D16,IF($E16="kW",VLOOKUP(Y$4,'4. Billing Determinants'!$B$19:$P$41,5,0)/'4. Billing Determinants'!$F$41*$D16,IF($E16="Non-RPP kWh",VLOOKUP(Y$4,'4. Billing Determinants'!$B$19:$P$41,6,0)/'4. Billing Determinants'!$G$41*$D16,IF($E16="Distribution Rev.",VLOOKUP(Y$4,'4. Billing Determinants'!$B$19:$P$41,8,0)/'4. Billing Determinants'!$I$41*$D16, VLOOKUP(Y$4,'4. Billing Determinants'!$B$19:$P$41,14,0)*$D16))))),0)</f>
        <v>0</v>
      </c>
    </row>
    <row r="17" spans="2:25" s="57" customFormat="1" x14ac:dyDescent="0.2">
      <c r="B17" s="88" t="s">
        <v>148</v>
      </c>
      <c r="C17" s="88"/>
      <c r="D17" s="89">
        <f>SUM(D5:D16)-D11</f>
        <v>380844.81295182055</v>
      </c>
      <c r="E17" s="101"/>
      <c r="F17" s="89">
        <f>SUM(F5:F16)-F11</f>
        <v>101644.33927162625</v>
      </c>
      <c r="G17" s="89">
        <f t="shared" ref="G17:Y17" si="0">SUM(G5:G16)-G11</f>
        <v>45096.492546469985</v>
      </c>
      <c r="H17" s="89">
        <f t="shared" si="0"/>
        <v>206108.08787323622</v>
      </c>
      <c r="I17" s="89">
        <f t="shared" si="0"/>
        <v>28429.725789254448</v>
      </c>
      <c r="J17" s="89">
        <f t="shared" si="0"/>
        <v>-13.902467310941134</v>
      </c>
      <c r="K17" s="89">
        <f t="shared" si="0"/>
        <v>-4.1020595889978466</v>
      </c>
      <c r="L17" s="89">
        <f t="shared" si="0"/>
        <v>-415.82800186629083</v>
      </c>
      <c r="M17" s="89">
        <f t="shared" si="0"/>
        <v>0</v>
      </c>
      <c r="N17" s="89">
        <f t="shared" si="0"/>
        <v>0</v>
      </c>
      <c r="O17" s="89">
        <f t="shared" si="0"/>
        <v>0</v>
      </c>
      <c r="P17" s="89">
        <f t="shared" si="0"/>
        <v>0</v>
      </c>
      <c r="Q17" s="89">
        <f t="shared" si="0"/>
        <v>0</v>
      </c>
      <c r="R17" s="89">
        <f t="shared" si="0"/>
        <v>0</v>
      </c>
      <c r="S17" s="89">
        <f t="shared" si="0"/>
        <v>0</v>
      </c>
      <c r="T17" s="89">
        <f t="shared" si="0"/>
        <v>0</v>
      </c>
      <c r="U17" s="89">
        <f t="shared" si="0"/>
        <v>0</v>
      </c>
      <c r="V17" s="89">
        <f t="shared" si="0"/>
        <v>0</v>
      </c>
      <c r="W17" s="89">
        <f t="shared" si="0"/>
        <v>0</v>
      </c>
      <c r="X17" s="89">
        <f t="shared" si="0"/>
        <v>0</v>
      </c>
      <c r="Y17" s="89">
        <f t="shared" si="0"/>
        <v>0</v>
      </c>
    </row>
    <row r="18" spans="2:25" ht="8.25" customHeight="1" x14ac:dyDescent="0.2">
      <c r="B18" s="73"/>
      <c r="C18" s="73"/>
      <c r="D18" s="74"/>
      <c r="E18" s="87"/>
    </row>
    <row r="19" spans="2:25" x14ac:dyDescent="0.2">
      <c r="B19" s="68" t="s">
        <v>44</v>
      </c>
      <c r="C19" s="69">
        <v>1508</v>
      </c>
      <c r="D19" s="70">
        <f>'2. 2014 Continuity Schedule'!BO42</f>
        <v>43056.506686316672</v>
      </c>
      <c r="E19" s="130" t="s">
        <v>276</v>
      </c>
      <c r="F19" s="70">
        <f>IFERROR(IF(F$4="",0,IF($E19="kWh",VLOOKUP(F$4,'4. Billing Determinants'!$B$19:$P$41,4,0)/'4. Billing Determinants'!$E$41*$D19,IF($E19="kW",VLOOKUP(F$4,'4. Billing Determinants'!$B$19:$P$41,5,0)/'4. Billing Determinants'!$F$41*$D19,IF($E19="Non-RPP kWh",VLOOKUP(F$4,'4. Billing Determinants'!$B$19:$P$41,6,0)/'4. Billing Determinants'!$G$41*$D19,IF($E19="Distribution Rev.",VLOOKUP(F$4,'4. Billing Determinants'!$B$19:$P$41,8,0)/'4. Billing Determinants'!$I$41*$D19, VLOOKUP(F$4,'4. Billing Determinants'!$B$19:$P$41,3,0)/'4. Billing Determinants'!$D$41*$D19))))),0)</f>
        <v>17000.526990063983</v>
      </c>
      <c r="G19" s="70">
        <f>IFERROR(IF(G$4="",0,IF($E19="kWh",VLOOKUP(G$4,'4. Billing Determinants'!$B$19:$P$41,4,0)/'4. Billing Determinants'!$E$41*$D19,IF($E19="kW",VLOOKUP(G$4,'4. Billing Determinants'!$B$19:$P$41,5,0)/'4. Billing Determinants'!$F$41*$D19,IF($E19="Non-RPP kWh",VLOOKUP(G$4,'4. Billing Determinants'!$B$19:$P$41,6,0)/'4. Billing Determinants'!$G$41*$D19,IF($E19="Distribution Rev.",VLOOKUP(G$4,'4. Billing Determinants'!$B$19:$P$41,8,0)/'4. Billing Determinants'!$I$41*$D19, VLOOKUP(G$4,'4. Billing Determinants'!$B$19:$P$41,3,0)/'4. Billing Determinants'!$D$41*$D19))))),0)</f>
        <v>7061.8043753629845</v>
      </c>
      <c r="H19" s="70">
        <f>IFERROR(IF(H$4="",0,IF($E19="kWh",VLOOKUP(H$4,'4. Billing Determinants'!$B$19:$P$41,4,0)/'4. Billing Determinants'!$E$41*$D19,IF($E19="kW",VLOOKUP(H$4,'4. Billing Determinants'!$B$19:$P$41,5,0)/'4. Billing Determinants'!$F$41*$D19,IF($E19="Non-RPP kWh",VLOOKUP(H$4,'4. Billing Determinants'!$B$19:$P$41,6,0)/'4. Billing Determinants'!$G$41*$D19,IF($E19="Distribution Rev.",VLOOKUP(H$4,'4. Billing Determinants'!$B$19:$P$41,8,0)/'4. Billing Determinants'!$I$41*$D19, VLOOKUP(H$4,'4. Billing Determinants'!$B$19:$P$41,3,0)/'4. Billing Determinants'!$D$41*$D19))))),0)</f>
        <v>17363.462964974082</v>
      </c>
      <c r="I19" s="70">
        <f>IFERROR(IF(I$4="",0,IF($E19="kWh",VLOOKUP(I$4,'4. Billing Determinants'!$B$19:$P$41,4,0)/'4. Billing Determinants'!$E$41*$D19,IF($E19="kW",VLOOKUP(I$4,'4. Billing Determinants'!$B$19:$P$41,5,0)/'4. Billing Determinants'!$F$41*$D19,IF($E19="Non-RPP kWh",VLOOKUP(I$4,'4. Billing Determinants'!$B$19:$P$41,6,0)/'4. Billing Determinants'!$G$41*$D19,IF($E19="Distribution Rev.",VLOOKUP(I$4,'4. Billing Determinants'!$B$19:$P$41,8,0)/'4. Billing Determinants'!$I$41*$D19, VLOOKUP(I$4,'4. Billing Determinants'!$B$19:$P$41,3,0)/'4. Billing Determinants'!$D$41*$D19))))),0)</f>
        <v>1427.4673685212113</v>
      </c>
      <c r="J19" s="70">
        <f>IFERROR(IF(J$4="",0,IF($E19="kWh",VLOOKUP(J$4,'4. Billing Determinants'!$B$19:$P$41,4,0)/'4. Billing Determinants'!$E$41*$D19,IF($E19="kW",VLOOKUP(J$4,'4. Billing Determinants'!$B$19:$P$41,5,0)/'4. Billing Determinants'!$F$41*$D19,IF($E19="Non-RPP kWh",VLOOKUP(J$4,'4. Billing Determinants'!$B$19:$P$41,6,0)/'4. Billing Determinants'!$G$41*$D19,IF($E19="Distribution Rev.",VLOOKUP(J$4,'4. Billing Determinants'!$B$19:$P$41,8,0)/'4. Billing Determinants'!$I$41*$D19, VLOOKUP(J$4,'4. Billing Determinants'!$B$19:$P$41,3,0)/'4. Billing Determinants'!$D$41*$D19))))),0)</f>
        <v>2.6510118793574513</v>
      </c>
      <c r="K19" s="70">
        <f>IFERROR(IF(K$4="",0,IF($E19="kWh",VLOOKUP(K$4,'4. Billing Determinants'!$B$19:$P$41,4,0)/'4. Billing Determinants'!$E$41*$D19,IF($E19="kW",VLOOKUP(K$4,'4. Billing Determinants'!$B$19:$P$41,5,0)/'4. Billing Determinants'!$F$41*$D19,IF($E19="Non-RPP kWh",VLOOKUP(K$4,'4. Billing Determinants'!$B$19:$P$41,6,0)/'4. Billing Determinants'!$G$41*$D19,IF($E19="Distribution Rev.",VLOOKUP(K$4,'4. Billing Determinants'!$B$19:$P$41,8,0)/'4. Billing Determinants'!$I$41*$D19, VLOOKUP(K$4,'4. Billing Determinants'!$B$19:$P$41,3,0)/'4. Billing Determinants'!$D$41*$D19))))),0)</f>
        <v>33.584469166886095</v>
      </c>
      <c r="L19" s="70">
        <f>IFERROR(IF(L$4="",0,IF($E19="kWh",VLOOKUP(L$4,'4. Billing Determinants'!$B$19:$P$41,4,0)/'4. Billing Determinants'!$E$41*$D19,IF($E19="kW",VLOOKUP(L$4,'4. Billing Determinants'!$B$19:$P$41,5,0)/'4. Billing Determinants'!$F$41*$D19,IF($E19="Non-RPP kWh",VLOOKUP(L$4,'4. Billing Determinants'!$B$19:$P$41,6,0)/'4. Billing Determinants'!$G$41*$D19,IF($E19="Distribution Rev.",VLOOKUP(L$4,'4. Billing Determinants'!$B$19:$P$41,8,0)/'4. Billing Determinants'!$I$41*$D19, VLOOKUP(L$4,'4. Billing Determinants'!$B$19:$P$41,3,0)/'4. Billing Determinants'!$D$41*$D19))))),0)</f>
        <v>167.00950634817386</v>
      </c>
      <c r="M19" s="70">
        <f>IFERROR(IF(M$4="",0,IF($E19="kWh",VLOOKUP(M$4,'4. Billing Determinants'!$B$19:$P$41,4,0)/'4. Billing Determinants'!$E$41*$D19,IF($E19="kW",VLOOKUP(M$4,'4. Billing Determinants'!$B$19:$P$41,5,0)/'4. Billing Determinants'!$F$41*$D19,IF($E19="Non-RPP kWh",VLOOKUP(M$4,'4. Billing Determinants'!$B$19:$P$41,6,0)/'4. Billing Determinants'!$G$41*$D19,IF($E19="Distribution Rev.",VLOOKUP(M$4,'4. Billing Determinants'!$B$19:$P$41,8,0)/'4. Billing Determinants'!$I$41*$D19, VLOOKUP(M$4,'4. Billing Determinants'!$B$19:$P$41,3,0)/'4. Billing Determinants'!$D$41*$D19))))),0)</f>
        <v>0</v>
      </c>
      <c r="N19" s="70">
        <f>IFERROR(IF(N$4="",0,IF($E19="kWh",VLOOKUP(N$4,'4. Billing Determinants'!$B$19:$P$41,4,0)/'4. Billing Determinants'!$E$41*$D19,IF($E19="kW",VLOOKUP(N$4,'4. Billing Determinants'!$B$19:$P$41,5,0)/'4. Billing Determinants'!$F$41*$D19,IF($E19="Non-RPP kWh",VLOOKUP(N$4,'4. Billing Determinants'!$B$19:$P$41,6,0)/'4. Billing Determinants'!$G$41*$D19,IF($E19="Distribution Rev.",VLOOKUP(N$4,'4. Billing Determinants'!$B$19:$P$41,8,0)/'4. Billing Determinants'!$I$41*$D19, VLOOKUP(N$4,'4. Billing Determinants'!$B$19:$P$41,3,0)/'4. Billing Determinants'!$D$41*$D19))))),0)</f>
        <v>0</v>
      </c>
      <c r="O19" s="70">
        <f>IFERROR(IF(O$4="",0,IF($E19="kWh",VLOOKUP(O$4,'4. Billing Determinants'!$B$19:$P$41,4,0)/'4. Billing Determinants'!$E$41*$D19,IF($E19="kW",VLOOKUP(O$4,'4. Billing Determinants'!$B$19:$P$41,5,0)/'4. Billing Determinants'!$F$41*$D19,IF($E19="Non-RPP kWh",VLOOKUP(O$4,'4. Billing Determinants'!$B$19:$P$41,6,0)/'4. Billing Determinants'!$G$41*$D19,IF($E19="Distribution Rev.",VLOOKUP(O$4,'4. Billing Determinants'!$B$19:$P$41,8,0)/'4. Billing Determinants'!$I$41*$D19, VLOOKUP(O$4,'4. Billing Determinants'!$B$19:$P$41,3,0)/'4. Billing Determinants'!$D$41*$D19))))),0)</f>
        <v>0</v>
      </c>
      <c r="P19" s="70">
        <f>IFERROR(IF(P$4="",0,IF($E19="kWh",VLOOKUP(P$4,'4. Billing Determinants'!$B$19:$P$41,4,0)/'4. Billing Determinants'!$E$41*$D19,IF($E19="kW",VLOOKUP(P$4,'4. Billing Determinants'!$B$19:$P$41,5,0)/'4. Billing Determinants'!$F$41*$D19,IF($E19="Non-RPP kWh",VLOOKUP(P$4,'4. Billing Determinants'!$B$19:$P$41,6,0)/'4. Billing Determinants'!$G$41*$D19,IF($E19="Distribution Rev.",VLOOKUP(P$4,'4. Billing Determinants'!$B$19:$P$41,8,0)/'4. Billing Determinants'!$I$41*$D19, VLOOKUP(P$4,'4. Billing Determinants'!$B$19:$P$41,3,0)/'4. Billing Determinants'!$D$41*$D19))))),0)</f>
        <v>0</v>
      </c>
      <c r="Q19" s="70">
        <f>IFERROR(IF(Q$4="",0,IF($E19="kWh",VLOOKUP(Q$4,'4. Billing Determinants'!$B$19:$P$41,4,0)/'4. Billing Determinants'!$E$41*$D19,IF($E19="kW",VLOOKUP(Q$4,'4. Billing Determinants'!$B$19:$P$41,5,0)/'4. Billing Determinants'!$F$41*$D19,IF($E19="Non-RPP kWh",VLOOKUP(Q$4,'4. Billing Determinants'!$B$19:$P$41,6,0)/'4. Billing Determinants'!$G$41*$D19,IF($E19="Distribution Rev.",VLOOKUP(Q$4,'4. Billing Determinants'!$B$19:$P$41,8,0)/'4. Billing Determinants'!$I$41*$D19, VLOOKUP(Q$4,'4. Billing Determinants'!$B$19:$P$41,3,0)/'4. Billing Determinants'!$D$41*$D19))))),0)</f>
        <v>0</v>
      </c>
      <c r="R19" s="70">
        <f>IFERROR(IF(R$4="",0,IF($E19="kWh",VLOOKUP(R$4,'4. Billing Determinants'!$B$19:$P$41,4,0)/'4. Billing Determinants'!$E$41*$D19,IF($E19="kW",VLOOKUP(R$4,'4. Billing Determinants'!$B$19:$P$41,5,0)/'4. Billing Determinants'!$F$41*$D19,IF($E19="Non-RPP kWh",VLOOKUP(R$4,'4. Billing Determinants'!$B$19:$P$41,6,0)/'4. Billing Determinants'!$G$41*$D19,IF($E19="Distribution Rev.",VLOOKUP(R$4,'4. Billing Determinants'!$B$19:$P$41,8,0)/'4. Billing Determinants'!$I$41*$D19, VLOOKUP(R$4,'4. Billing Determinants'!$B$19:$P$41,3,0)/'4. Billing Determinants'!$D$41*$D19))))),0)</f>
        <v>0</v>
      </c>
      <c r="S19" s="70">
        <f>IFERROR(IF(S$4="",0,IF($E19="kWh",VLOOKUP(S$4,'4. Billing Determinants'!$B$19:$P$41,4,0)/'4. Billing Determinants'!$E$41*$D19,IF($E19="kW",VLOOKUP(S$4,'4. Billing Determinants'!$B$19:$P$41,5,0)/'4. Billing Determinants'!$F$41*$D19,IF($E19="Non-RPP kWh",VLOOKUP(S$4,'4. Billing Determinants'!$B$19:$P$41,6,0)/'4. Billing Determinants'!$G$41*$D19,IF($E19="Distribution Rev.",VLOOKUP(S$4,'4. Billing Determinants'!$B$19:$P$41,8,0)/'4. Billing Determinants'!$I$41*$D19, VLOOKUP(S$4,'4. Billing Determinants'!$B$19:$P$41,3,0)/'4. Billing Determinants'!$D$41*$D19))))),0)</f>
        <v>0</v>
      </c>
      <c r="T19" s="70">
        <f>IFERROR(IF(T$4="",0,IF($E19="kWh",VLOOKUP(T$4,'4. Billing Determinants'!$B$19:$P$41,4,0)/'4. Billing Determinants'!$E$41*$D19,IF($E19="kW",VLOOKUP(T$4,'4. Billing Determinants'!$B$19:$P$41,5,0)/'4. Billing Determinants'!$F$41*$D19,IF($E19="Non-RPP kWh",VLOOKUP(T$4,'4. Billing Determinants'!$B$19:$P$41,6,0)/'4. Billing Determinants'!$G$41*$D19,IF($E19="Distribution Rev.",VLOOKUP(T$4,'4. Billing Determinants'!$B$19:$P$41,8,0)/'4. Billing Determinants'!$I$41*$D19, VLOOKUP(T$4,'4. Billing Determinants'!$B$19:$P$41,3,0)/'4. Billing Determinants'!$D$41*$D19))))),0)</f>
        <v>0</v>
      </c>
      <c r="U19" s="70">
        <f>IFERROR(IF(U$4="",0,IF($E19="kWh",VLOOKUP(U$4,'4. Billing Determinants'!$B$19:$P$41,4,0)/'4. Billing Determinants'!$E$41*$D19,IF($E19="kW",VLOOKUP(U$4,'4. Billing Determinants'!$B$19:$P$41,5,0)/'4. Billing Determinants'!$F$41*$D19,IF($E19="Non-RPP kWh",VLOOKUP(U$4,'4. Billing Determinants'!$B$19:$P$41,6,0)/'4. Billing Determinants'!$G$41*$D19,IF($E19="Distribution Rev.",VLOOKUP(U$4,'4. Billing Determinants'!$B$19:$P$41,8,0)/'4. Billing Determinants'!$I$41*$D19, VLOOKUP(U$4,'4. Billing Determinants'!$B$19:$P$41,3,0)/'4. Billing Determinants'!$D$41*$D19))))),0)</f>
        <v>0</v>
      </c>
      <c r="V19" s="70">
        <f>IFERROR(IF(V$4="",0,IF($E19="kWh",VLOOKUP(V$4,'4. Billing Determinants'!$B$19:$P$41,4,0)/'4. Billing Determinants'!$E$41*$D19,IF($E19="kW",VLOOKUP(V$4,'4. Billing Determinants'!$B$19:$P$41,5,0)/'4. Billing Determinants'!$F$41*$D19,IF($E19="Non-RPP kWh",VLOOKUP(V$4,'4. Billing Determinants'!$B$19:$P$41,6,0)/'4. Billing Determinants'!$G$41*$D19,IF($E19="Distribution Rev.",VLOOKUP(V$4,'4. Billing Determinants'!$B$19:$P$41,8,0)/'4. Billing Determinants'!$I$41*$D19, VLOOKUP(V$4,'4. Billing Determinants'!$B$19:$P$41,3,0)/'4. Billing Determinants'!$D$41*$D19))))),0)</f>
        <v>0</v>
      </c>
      <c r="W19" s="70">
        <f>IFERROR(IF(W$4="",0,IF($E19="kWh",VLOOKUP(W$4,'4. Billing Determinants'!$B$19:$P$41,4,0)/'4. Billing Determinants'!$E$41*$D19,IF($E19="kW",VLOOKUP(W$4,'4. Billing Determinants'!$B$19:$P$41,5,0)/'4. Billing Determinants'!$F$41*$D19,IF($E19="Non-RPP kWh",VLOOKUP(W$4,'4. Billing Determinants'!$B$19:$P$41,6,0)/'4. Billing Determinants'!$G$41*$D19,IF($E19="Distribution Rev.",VLOOKUP(W$4,'4. Billing Determinants'!$B$19:$P$41,8,0)/'4. Billing Determinants'!$I$41*$D19, VLOOKUP(W$4,'4. Billing Determinants'!$B$19:$P$41,3,0)/'4. Billing Determinants'!$D$41*$D19))))),0)</f>
        <v>0</v>
      </c>
      <c r="X19" s="70">
        <f>IFERROR(IF(X$4="",0,IF($E19="kWh",VLOOKUP(X$4,'4. Billing Determinants'!$B$19:$P$41,4,0)/'4. Billing Determinants'!$E$41*$D19,IF($E19="kW",VLOOKUP(X$4,'4. Billing Determinants'!$B$19:$P$41,5,0)/'4. Billing Determinants'!$F$41*$D19,IF($E19="Non-RPP kWh",VLOOKUP(X$4,'4. Billing Determinants'!$B$19:$P$41,6,0)/'4. Billing Determinants'!$G$41*$D19,IF($E19="Distribution Rev.",VLOOKUP(X$4,'4. Billing Determinants'!$B$19:$P$41,8,0)/'4. Billing Determinants'!$I$41*$D19, VLOOKUP(X$4,'4. Billing Determinants'!$B$19:$P$41,3,0)/'4. Billing Determinants'!$D$41*$D19))))),0)</f>
        <v>0</v>
      </c>
      <c r="Y19" s="70">
        <f>IFERROR(IF(Y$4="",0,IF($E19="kWh",VLOOKUP(Y$4,'4. Billing Determinants'!$B$19:$P$41,4,0)/'4. Billing Determinants'!$E$41*$D19,IF($E19="kW",VLOOKUP(Y$4,'4. Billing Determinants'!$B$19:$P$41,5,0)/'4. Billing Determinants'!$F$41*$D19,IF($E19="Non-RPP kWh",VLOOKUP(Y$4,'4. Billing Determinants'!$B$19:$P$41,6,0)/'4. Billing Determinants'!$G$41*$D19,IF($E19="Distribution Rev.",VLOOKUP(Y$4,'4. Billing Determinants'!$B$19:$P$41,8,0)/'4. Billing Determinants'!$I$41*$D19, VLOOKUP(Y$4,'4. Billing Determinants'!$B$19:$P$41,3,0)/'4. Billing Determinants'!$D$41*$D19))))),0)</f>
        <v>0</v>
      </c>
    </row>
    <row r="20" spans="2:25" x14ac:dyDescent="0.2">
      <c r="B20" s="68" t="s">
        <v>45</v>
      </c>
      <c r="C20" s="69">
        <v>1508</v>
      </c>
      <c r="D20" s="70">
        <f>'2. 2014 Continuity Schedule'!BO43</f>
        <v>0</v>
      </c>
      <c r="E20" s="130"/>
      <c r="F20" s="70">
        <f>IFERROR(IF(F$4="",0,IF($E20="kWh",VLOOKUP(F$4,'4. Billing Determinants'!$B$19:$P$41,4,0)/'4. Billing Determinants'!$E$41*$D20,IF($E20="kW",VLOOKUP(F$4,'4. Billing Determinants'!$B$19:$P$41,5,0)/'4. Billing Determinants'!$F$41*$D20,IF($E20="Non-RPP kWh",VLOOKUP(F$4,'4. Billing Determinants'!$B$19:$P$41,6,0)/'4. Billing Determinants'!$G$41*$D20,IF($E20="Distribution Rev.",VLOOKUP(F$4,'4. Billing Determinants'!$B$19:$P$41,8,0)/'4. Billing Determinants'!$I$41*$D20, VLOOKUP(F$4,'4. Billing Determinants'!$B$19:$P$41,3,0)/'4. Billing Determinants'!$D$41*$D20))))),0)</f>
        <v>0</v>
      </c>
      <c r="G20" s="70">
        <f>IFERROR(IF(G$4="",0,IF($E20="kWh",VLOOKUP(G$4,'4. Billing Determinants'!$B$19:$P$41,4,0)/'4. Billing Determinants'!$E$41*$D20,IF($E20="kW",VLOOKUP(G$4,'4. Billing Determinants'!$B$19:$P$41,5,0)/'4. Billing Determinants'!$F$41*$D20,IF($E20="Non-RPP kWh",VLOOKUP(G$4,'4. Billing Determinants'!$B$19:$P$41,6,0)/'4. Billing Determinants'!$G$41*$D20,IF($E20="Distribution Rev.",VLOOKUP(G$4,'4. Billing Determinants'!$B$19:$P$41,8,0)/'4. Billing Determinants'!$I$41*$D20, VLOOKUP(G$4,'4. Billing Determinants'!$B$19:$P$41,3,0)/'4. Billing Determinants'!$D$41*$D20))))),0)</f>
        <v>0</v>
      </c>
      <c r="H20" s="70">
        <f>IFERROR(IF(H$4="",0,IF($E20="kWh",VLOOKUP(H$4,'4. Billing Determinants'!$B$19:$P$41,4,0)/'4. Billing Determinants'!$E$41*$D20,IF($E20="kW",VLOOKUP(H$4,'4. Billing Determinants'!$B$19:$P$41,5,0)/'4. Billing Determinants'!$F$41*$D20,IF($E20="Non-RPP kWh",VLOOKUP(H$4,'4. Billing Determinants'!$B$19:$P$41,6,0)/'4. Billing Determinants'!$G$41*$D20,IF($E20="Distribution Rev.",VLOOKUP(H$4,'4. Billing Determinants'!$B$19:$P$41,8,0)/'4. Billing Determinants'!$I$41*$D20, VLOOKUP(H$4,'4. Billing Determinants'!$B$19:$P$41,3,0)/'4. Billing Determinants'!$D$41*$D20))))),0)</f>
        <v>0</v>
      </c>
      <c r="I20" s="70">
        <f>IFERROR(IF(I$4="",0,IF($E20="kWh",VLOOKUP(I$4,'4. Billing Determinants'!$B$19:$P$41,4,0)/'4. Billing Determinants'!$E$41*$D20,IF($E20="kW",VLOOKUP(I$4,'4. Billing Determinants'!$B$19:$P$41,5,0)/'4. Billing Determinants'!$F$41*$D20,IF($E20="Non-RPP kWh",VLOOKUP(I$4,'4. Billing Determinants'!$B$19:$P$41,6,0)/'4. Billing Determinants'!$G$41*$D20,IF($E20="Distribution Rev.",VLOOKUP(I$4,'4. Billing Determinants'!$B$19:$P$41,8,0)/'4. Billing Determinants'!$I$41*$D20, VLOOKUP(I$4,'4. Billing Determinants'!$B$19:$P$41,3,0)/'4. Billing Determinants'!$D$41*$D20))))),0)</f>
        <v>0</v>
      </c>
      <c r="J20" s="70">
        <f>IFERROR(IF(J$4="",0,IF($E20="kWh",VLOOKUP(J$4,'4. Billing Determinants'!$B$19:$P$41,4,0)/'4. Billing Determinants'!$E$41*$D20,IF($E20="kW",VLOOKUP(J$4,'4. Billing Determinants'!$B$19:$P$41,5,0)/'4. Billing Determinants'!$F$41*$D20,IF($E20="Non-RPP kWh",VLOOKUP(J$4,'4. Billing Determinants'!$B$19:$P$41,6,0)/'4. Billing Determinants'!$G$41*$D20,IF($E20="Distribution Rev.",VLOOKUP(J$4,'4. Billing Determinants'!$B$19:$P$41,8,0)/'4. Billing Determinants'!$I$41*$D20, VLOOKUP(J$4,'4. Billing Determinants'!$B$19:$P$41,3,0)/'4. Billing Determinants'!$D$41*$D20))))),0)</f>
        <v>0</v>
      </c>
      <c r="K20" s="70">
        <f>IFERROR(IF(K$4="",0,IF($E20="kWh",VLOOKUP(K$4,'4. Billing Determinants'!$B$19:$P$41,4,0)/'4. Billing Determinants'!$E$41*$D20,IF($E20="kW",VLOOKUP(K$4,'4. Billing Determinants'!$B$19:$P$41,5,0)/'4. Billing Determinants'!$F$41*$D20,IF($E20="Non-RPP kWh",VLOOKUP(K$4,'4. Billing Determinants'!$B$19:$P$41,6,0)/'4. Billing Determinants'!$G$41*$D20,IF($E20="Distribution Rev.",VLOOKUP(K$4,'4. Billing Determinants'!$B$19:$P$41,8,0)/'4. Billing Determinants'!$I$41*$D20, VLOOKUP(K$4,'4. Billing Determinants'!$B$19:$P$41,3,0)/'4. Billing Determinants'!$D$41*$D20))))),0)</f>
        <v>0</v>
      </c>
      <c r="L20" s="70">
        <f>IFERROR(IF(L$4="",0,IF($E20="kWh",VLOOKUP(L$4,'4. Billing Determinants'!$B$19:$P$41,4,0)/'4. Billing Determinants'!$E$41*$D20,IF($E20="kW",VLOOKUP(L$4,'4. Billing Determinants'!$B$19:$P$41,5,0)/'4. Billing Determinants'!$F$41*$D20,IF($E20="Non-RPP kWh",VLOOKUP(L$4,'4. Billing Determinants'!$B$19:$P$41,6,0)/'4. Billing Determinants'!$G$41*$D20,IF($E20="Distribution Rev.",VLOOKUP(L$4,'4. Billing Determinants'!$B$19:$P$41,8,0)/'4. Billing Determinants'!$I$41*$D20, VLOOKUP(L$4,'4. Billing Determinants'!$B$19:$P$41,3,0)/'4. Billing Determinants'!$D$41*$D20))))),0)</f>
        <v>0</v>
      </c>
      <c r="M20" s="70">
        <f>IFERROR(IF(M$4="",0,IF($E20="kWh",VLOOKUP(M$4,'4. Billing Determinants'!$B$19:$P$41,4,0)/'4. Billing Determinants'!$E$41*$D20,IF($E20="kW",VLOOKUP(M$4,'4. Billing Determinants'!$B$19:$P$41,5,0)/'4. Billing Determinants'!$F$41*$D20,IF($E20="Non-RPP kWh",VLOOKUP(M$4,'4. Billing Determinants'!$B$19:$P$41,6,0)/'4. Billing Determinants'!$G$41*$D20,IF($E20="Distribution Rev.",VLOOKUP(M$4,'4. Billing Determinants'!$B$19:$P$41,8,0)/'4. Billing Determinants'!$I$41*$D20, VLOOKUP(M$4,'4. Billing Determinants'!$B$19:$P$41,3,0)/'4. Billing Determinants'!$D$41*$D20))))),0)</f>
        <v>0</v>
      </c>
      <c r="N20" s="70">
        <f>IFERROR(IF(N$4="",0,IF($E20="kWh",VLOOKUP(N$4,'4. Billing Determinants'!$B$19:$P$41,4,0)/'4. Billing Determinants'!$E$41*$D20,IF($E20="kW",VLOOKUP(N$4,'4. Billing Determinants'!$B$19:$P$41,5,0)/'4. Billing Determinants'!$F$41*$D20,IF($E20="Non-RPP kWh",VLOOKUP(N$4,'4. Billing Determinants'!$B$19:$P$41,6,0)/'4. Billing Determinants'!$G$41*$D20,IF($E20="Distribution Rev.",VLOOKUP(N$4,'4. Billing Determinants'!$B$19:$P$41,8,0)/'4. Billing Determinants'!$I$41*$D20, VLOOKUP(N$4,'4. Billing Determinants'!$B$19:$P$41,3,0)/'4. Billing Determinants'!$D$41*$D20))))),0)</f>
        <v>0</v>
      </c>
      <c r="O20" s="70">
        <f>IFERROR(IF(O$4="",0,IF($E20="kWh",VLOOKUP(O$4,'4. Billing Determinants'!$B$19:$P$41,4,0)/'4. Billing Determinants'!$E$41*$D20,IF($E20="kW",VLOOKUP(O$4,'4. Billing Determinants'!$B$19:$P$41,5,0)/'4. Billing Determinants'!$F$41*$D20,IF($E20="Non-RPP kWh",VLOOKUP(O$4,'4. Billing Determinants'!$B$19:$P$41,6,0)/'4. Billing Determinants'!$G$41*$D20,IF($E20="Distribution Rev.",VLOOKUP(O$4,'4. Billing Determinants'!$B$19:$P$41,8,0)/'4. Billing Determinants'!$I$41*$D20, VLOOKUP(O$4,'4. Billing Determinants'!$B$19:$P$41,3,0)/'4. Billing Determinants'!$D$41*$D20))))),0)</f>
        <v>0</v>
      </c>
      <c r="P20" s="70">
        <f>IFERROR(IF(P$4="",0,IF($E20="kWh",VLOOKUP(P$4,'4. Billing Determinants'!$B$19:$P$41,4,0)/'4. Billing Determinants'!$E$41*$D20,IF($E20="kW",VLOOKUP(P$4,'4. Billing Determinants'!$B$19:$P$41,5,0)/'4. Billing Determinants'!$F$41*$D20,IF($E20="Non-RPP kWh",VLOOKUP(P$4,'4. Billing Determinants'!$B$19:$P$41,6,0)/'4. Billing Determinants'!$G$41*$D20,IF($E20="Distribution Rev.",VLOOKUP(P$4,'4. Billing Determinants'!$B$19:$P$41,8,0)/'4. Billing Determinants'!$I$41*$D20, VLOOKUP(P$4,'4. Billing Determinants'!$B$19:$P$41,3,0)/'4. Billing Determinants'!$D$41*$D20))))),0)</f>
        <v>0</v>
      </c>
      <c r="Q20" s="70">
        <f>IFERROR(IF(Q$4="",0,IF($E20="kWh",VLOOKUP(Q$4,'4. Billing Determinants'!$B$19:$P$41,4,0)/'4. Billing Determinants'!$E$41*$D20,IF($E20="kW",VLOOKUP(Q$4,'4. Billing Determinants'!$B$19:$P$41,5,0)/'4. Billing Determinants'!$F$41*$D20,IF($E20="Non-RPP kWh",VLOOKUP(Q$4,'4. Billing Determinants'!$B$19:$P$41,6,0)/'4. Billing Determinants'!$G$41*$D20,IF($E20="Distribution Rev.",VLOOKUP(Q$4,'4. Billing Determinants'!$B$19:$P$41,8,0)/'4. Billing Determinants'!$I$41*$D20, VLOOKUP(Q$4,'4. Billing Determinants'!$B$19:$P$41,3,0)/'4. Billing Determinants'!$D$41*$D20))))),0)</f>
        <v>0</v>
      </c>
      <c r="R20" s="70">
        <f>IFERROR(IF(R$4="",0,IF($E20="kWh",VLOOKUP(R$4,'4. Billing Determinants'!$B$19:$P$41,4,0)/'4. Billing Determinants'!$E$41*$D20,IF($E20="kW",VLOOKUP(R$4,'4. Billing Determinants'!$B$19:$P$41,5,0)/'4. Billing Determinants'!$F$41*$D20,IF($E20="Non-RPP kWh",VLOOKUP(R$4,'4. Billing Determinants'!$B$19:$P$41,6,0)/'4. Billing Determinants'!$G$41*$D20,IF($E20="Distribution Rev.",VLOOKUP(R$4,'4. Billing Determinants'!$B$19:$P$41,8,0)/'4. Billing Determinants'!$I$41*$D20, VLOOKUP(R$4,'4. Billing Determinants'!$B$19:$P$41,3,0)/'4. Billing Determinants'!$D$41*$D20))))),0)</f>
        <v>0</v>
      </c>
      <c r="S20" s="70">
        <f>IFERROR(IF(S$4="",0,IF($E20="kWh",VLOOKUP(S$4,'4. Billing Determinants'!$B$19:$P$41,4,0)/'4. Billing Determinants'!$E$41*$D20,IF($E20="kW",VLOOKUP(S$4,'4. Billing Determinants'!$B$19:$P$41,5,0)/'4. Billing Determinants'!$F$41*$D20,IF($E20="Non-RPP kWh",VLOOKUP(S$4,'4. Billing Determinants'!$B$19:$P$41,6,0)/'4. Billing Determinants'!$G$41*$D20,IF($E20="Distribution Rev.",VLOOKUP(S$4,'4. Billing Determinants'!$B$19:$P$41,8,0)/'4. Billing Determinants'!$I$41*$D20, VLOOKUP(S$4,'4. Billing Determinants'!$B$19:$P$41,3,0)/'4. Billing Determinants'!$D$41*$D20))))),0)</f>
        <v>0</v>
      </c>
      <c r="T20" s="70">
        <f>IFERROR(IF(T$4="",0,IF($E20="kWh",VLOOKUP(T$4,'4. Billing Determinants'!$B$19:$P$41,4,0)/'4. Billing Determinants'!$E$41*$D20,IF($E20="kW",VLOOKUP(T$4,'4. Billing Determinants'!$B$19:$P$41,5,0)/'4. Billing Determinants'!$F$41*$D20,IF($E20="Non-RPP kWh",VLOOKUP(T$4,'4. Billing Determinants'!$B$19:$P$41,6,0)/'4. Billing Determinants'!$G$41*$D20,IF($E20="Distribution Rev.",VLOOKUP(T$4,'4. Billing Determinants'!$B$19:$P$41,8,0)/'4. Billing Determinants'!$I$41*$D20, VLOOKUP(T$4,'4. Billing Determinants'!$B$19:$P$41,3,0)/'4. Billing Determinants'!$D$41*$D20))))),0)</f>
        <v>0</v>
      </c>
      <c r="U20" s="70">
        <f>IFERROR(IF(U$4="",0,IF($E20="kWh",VLOOKUP(U$4,'4. Billing Determinants'!$B$19:$P$41,4,0)/'4. Billing Determinants'!$E$41*$D20,IF($E20="kW",VLOOKUP(U$4,'4. Billing Determinants'!$B$19:$P$41,5,0)/'4. Billing Determinants'!$F$41*$D20,IF($E20="Non-RPP kWh",VLOOKUP(U$4,'4. Billing Determinants'!$B$19:$P$41,6,0)/'4. Billing Determinants'!$G$41*$D20,IF($E20="Distribution Rev.",VLOOKUP(U$4,'4. Billing Determinants'!$B$19:$P$41,8,0)/'4. Billing Determinants'!$I$41*$D20, VLOOKUP(U$4,'4. Billing Determinants'!$B$19:$P$41,3,0)/'4. Billing Determinants'!$D$41*$D20))))),0)</f>
        <v>0</v>
      </c>
      <c r="V20" s="70">
        <f>IFERROR(IF(V$4="",0,IF($E20="kWh",VLOOKUP(V$4,'4. Billing Determinants'!$B$19:$P$41,4,0)/'4. Billing Determinants'!$E$41*$D20,IF($E20="kW",VLOOKUP(V$4,'4. Billing Determinants'!$B$19:$P$41,5,0)/'4. Billing Determinants'!$F$41*$D20,IF($E20="Non-RPP kWh",VLOOKUP(V$4,'4. Billing Determinants'!$B$19:$P$41,6,0)/'4. Billing Determinants'!$G$41*$D20,IF($E20="Distribution Rev.",VLOOKUP(V$4,'4. Billing Determinants'!$B$19:$P$41,8,0)/'4. Billing Determinants'!$I$41*$D20, VLOOKUP(V$4,'4. Billing Determinants'!$B$19:$P$41,3,0)/'4. Billing Determinants'!$D$41*$D20))))),0)</f>
        <v>0</v>
      </c>
      <c r="W20" s="70">
        <f>IFERROR(IF(W$4="",0,IF($E20="kWh",VLOOKUP(W$4,'4. Billing Determinants'!$B$19:$P$41,4,0)/'4. Billing Determinants'!$E$41*$D20,IF($E20="kW",VLOOKUP(W$4,'4. Billing Determinants'!$B$19:$P$41,5,0)/'4. Billing Determinants'!$F$41*$D20,IF($E20="Non-RPP kWh",VLOOKUP(W$4,'4. Billing Determinants'!$B$19:$P$41,6,0)/'4. Billing Determinants'!$G$41*$D20,IF($E20="Distribution Rev.",VLOOKUP(W$4,'4. Billing Determinants'!$B$19:$P$41,8,0)/'4. Billing Determinants'!$I$41*$D20, VLOOKUP(W$4,'4. Billing Determinants'!$B$19:$P$41,3,0)/'4. Billing Determinants'!$D$41*$D20))))),0)</f>
        <v>0</v>
      </c>
      <c r="X20" s="70">
        <f>IFERROR(IF(X$4="",0,IF($E20="kWh",VLOOKUP(X$4,'4. Billing Determinants'!$B$19:$P$41,4,0)/'4. Billing Determinants'!$E$41*$D20,IF($E20="kW",VLOOKUP(X$4,'4. Billing Determinants'!$B$19:$P$41,5,0)/'4. Billing Determinants'!$F$41*$D20,IF($E20="Non-RPP kWh",VLOOKUP(X$4,'4. Billing Determinants'!$B$19:$P$41,6,0)/'4. Billing Determinants'!$G$41*$D20,IF($E20="Distribution Rev.",VLOOKUP(X$4,'4. Billing Determinants'!$B$19:$P$41,8,0)/'4. Billing Determinants'!$I$41*$D20, VLOOKUP(X$4,'4. Billing Determinants'!$B$19:$P$41,3,0)/'4. Billing Determinants'!$D$41*$D20))))),0)</f>
        <v>0</v>
      </c>
      <c r="Y20" s="70">
        <f>IFERROR(IF(Y$4="",0,IF($E20="kWh",VLOOKUP(Y$4,'4. Billing Determinants'!$B$19:$P$41,4,0)/'4. Billing Determinants'!$E$41*$D20,IF($E20="kW",VLOOKUP(Y$4,'4. Billing Determinants'!$B$19:$P$41,5,0)/'4. Billing Determinants'!$F$41*$D20,IF($E20="Non-RPP kWh",VLOOKUP(Y$4,'4. Billing Determinants'!$B$19:$P$41,6,0)/'4. Billing Determinants'!$G$41*$D20,IF($E20="Distribution Rev.",VLOOKUP(Y$4,'4. Billing Determinants'!$B$19:$P$41,8,0)/'4. Billing Determinants'!$I$41*$D20, VLOOKUP(Y$4,'4. Billing Determinants'!$B$19:$P$41,3,0)/'4. Billing Determinants'!$D$41*$D20))))),0)</f>
        <v>0</v>
      </c>
    </row>
    <row r="21" spans="2:25" ht="27" x14ac:dyDescent="0.2">
      <c r="B21" s="206" t="s">
        <v>284</v>
      </c>
      <c r="C21" s="69">
        <v>1508</v>
      </c>
      <c r="D21" s="70">
        <f>'2. 2014 Continuity Schedule'!BO44</f>
        <v>0</v>
      </c>
      <c r="E21" s="130"/>
      <c r="F21" s="70">
        <f>IFERROR(IF(F$4="",0,IF($E21="kWh",VLOOKUP(F$4,'4. Billing Determinants'!$B$19:$P$41,4,0)/'4. Billing Determinants'!$E$41*$D21,IF($E21="kW",VLOOKUP(F$4,'4. Billing Determinants'!$B$19:$P$41,5,0)/'4. Billing Determinants'!$F$41*$D21,IF($E21="Non-RPP kWh",VLOOKUP(F$4,'4. Billing Determinants'!$B$19:$P$41,6,0)/'4. Billing Determinants'!$G$41*$D21,IF($E21="Distribution Rev.",VLOOKUP(F$4,'4. Billing Determinants'!$B$19:$P$41,8,0)/'4. Billing Determinants'!$I$41*$D21, VLOOKUP(F$4,'4. Billing Determinants'!$B$19:$P$41,3,0)/'4. Billing Determinants'!$D$41*$D21))))),0)</f>
        <v>0</v>
      </c>
      <c r="G21" s="70">
        <f>IFERROR(IF(G$4="",0,IF($E21="kWh",VLOOKUP(G$4,'4. Billing Determinants'!$B$19:$P$41,4,0)/'4. Billing Determinants'!$E$41*$D21,IF($E21="kW",VLOOKUP(G$4,'4. Billing Determinants'!$B$19:$P$41,5,0)/'4. Billing Determinants'!$F$41*$D21,IF($E21="Non-RPP kWh",VLOOKUP(G$4,'4. Billing Determinants'!$B$19:$P$41,6,0)/'4. Billing Determinants'!$G$41*$D21,IF($E21="Distribution Rev.",VLOOKUP(G$4,'4. Billing Determinants'!$B$19:$P$41,8,0)/'4. Billing Determinants'!$I$41*$D21, VLOOKUP(G$4,'4. Billing Determinants'!$B$19:$P$41,3,0)/'4. Billing Determinants'!$D$41*$D21))))),0)</f>
        <v>0</v>
      </c>
      <c r="H21" s="70">
        <f>IFERROR(IF(H$4="",0,IF($E21="kWh",VLOOKUP(H$4,'4. Billing Determinants'!$B$19:$P$41,4,0)/'4. Billing Determinants'!$E$41*$D21,IF($E21="kW",VLOOKUP(H$4,'4. Billing Determinants'!$B$19:$P$41,5,0)/'4. Billing Determinants'!$F$41*$D21,IF($E21="Non-RPP kWh",VLOOKUP(H$4,'4. Billing Determinants'!$B$19:$P$41,6,0)/'4. Billing Determinants'!$G$41*$D21,IF($E21="Distribution Rev.",VLOOKUP(H$4,'4. Billing Determinants'!$B$19:$P$41,8,0)/'4. Billing Determinants'!$I$41*$D21, VLOOKUP(H$4,'4. Billing Determinants'!$B$19:$P$41,3,0)/'4. Billing Determinants'!$D$41*$D21))))),0)</f>
        <v>0</v>
      </c>
      <c r="I21" s="70">
        <f>IFERROR(IF(I$4="",0,IF($E21="kWh",VLOOKUP(I$4,'4. Billing Determinants'!$B$19:$P$41,4,0)/'4. Billing Determinants'!$E$41*$D21,IF($E21="kW",VLOOKUP(I$4,'4. Billing Determinants'!$B$19:$P$41,5,0)/'4. Billing Determinants'!$F$41*$D21,IF($E21="Non-RPP kWh",VLOOKUP(I$4,'4. Billing Determinants'!$B$19:$P$41,6,0)/'4. Billing Determinants'!$G$41*$D21,IF($E21="Distribution Rev.",VLOOKUP(I$4,'4. Billing Determinants'!$B$19:$P$41,8,0)/'4. Billing Determinants'!$I$41*$D21, VLOOKUP(I$4,'4. Billing Determinants'!$B$19:$P$41,3,0)/'4. Billing Determinants'!$D$41*$D21))))),0)</f>
        <v>0</v>
      </c>
      <c r="J21" s="70">
        <f>IFERROR(IF(J$4="",0,IF($E21="kWh",VLOOKUP(J$4,'4. Billing Determinants'!$B$19:$P$41,4,0)/'4. Billing Determinants'!$E$41*$D21,IF($E21="kW",VLOOKUP(J$4,'4. Billing Determinants'!$B$19:$P$41,5,0)/'4. Billing Determinants'!$F$41*$D21,IF($E21="Non-RPP kWh",VLOOKUP(J$4,'4. Billing Determinants'!$B$19:$P$41,6,0)/'4. Billing Determinants'!$G$41*$D21,IF($E21="Distribution Rev.",VLOOKUP(J$4,'4. Billing Determinants'!$B$19:$P$41,8,0)/'4. Billing Determinants'!$I$41*$D21, VLOOKUP(J$4,'4. Billing Determinants'!$B$19:$P$41,3,0)/'4. Billing Determinants'!$D$41*$D21))))),0)</f>
        <v>0</v>
      </c>
      <c r="K21" s="70">
        <f>IFERROR(IF(K$4="",0,IF($E21="kWh",VLOOKUP(K$4,'4. Billing Determinants'!$B$19:$P$41,4,0)/'4. Billing Determinants'!$E$41*$D21,IF($E21="kW",VLOOKUP(K$4,'4. Billing Determinants'!$B$19:$P$41,5,0)/'4. Billing Determinants'!$F$41*$D21,IF($E21="Non-RPP kWh",VLOOKUP(K$4,'4. Billing Determinants'!$B$19:$P$41,6,0)/'4. Billing Determinants'!$G$41*$D21,IF($E21="Distribution Rev.",VLOOKUP(K$4,'4. Billing Determinants'!$B$19:$P$41,8,0)/'4. Billing Determinants'!$I$41*$D21, VLOOKUP(K$4,'4. Billing Determinants'!$B$19:$P$41,3,0)/'4. Billing Determinants'!$D$41*$D21))))),0)</f>
        <v>0</v>
      </c>
      <c r="L21" s="70">
        <f>IFERROR(IF(L$4="",0,IF($E21="kWh",VLOOKUP(L$4,'4. Billing Determinants'!$B$19:$P$41,4,0)/'4. Billing Determinants'!$E$41*$D21,IF($E21="kW",VLOOKUP(L$4,'4. Billing Determinants'!$B$19:$P$41,5,0)/'4. Billing Determinants'!$F$41*$D21,IF($E21="Non-RPP kWh",VLOOKUP(L$4,'4. Billing Determinants'!$B$19:$P$41,6,0)/'4. Billing Determinants'!$G$41*$D21,IF($E21="Distribution Rev.",VLOOKUP(L$4,'4. Billing Determinants'!$B$19:$P$41,8,0)/'4. Billing Determinants'!$I$41*$D21, VLOOKUP(L$4,'4. Billing Determinants'!$B$19:$P$41,3,0)/'4. Billing Determinants'!$D$41*$D21))))),0)</f>
        <v>0</v>
      </c>
      <c r="M21" s="70">
        <f>IFERROR(IF(M$4="",0,IF($E21="kWh",VLOOKUP(M$4,'4. Billing Determinants'!$B$19:$P$41,4,0)/'4. Billing Determinants'!$E$41*$D21,IF($E21="kW",VLOOKUP(M$4,'4. Billing Determinants'!$B$19:$P$41,5,0)/'4. Billing Determinants'!$F$41*$D21,IF($E21="Non-RPP kWh",VLOOKUP(M$4,'4. Billing Determinants'!$B$19:$P$41,6,0)/'4. Billing Determinants'!$G$41*$D21,IF($E21="Distribution Rev.",VLOOKUP(M$4,'4. Billing Determinants'!$B$19:$P$41,8,0)/'4. Billing Determinants'!$I$41*$D21, VLOOKUP(M$4,'4. Billing Determinants'!$B$19:$P$41,3,0)/'4. Billing Determinants'!$D$41*$D21))))),0)</f>
        <v>0</v>
      </c>
      <c r="N21" s="70">
        <f>IFERROR(IF(N$4="",0,IF($E21="kWh",VLOOKUP(N$4,'4. Billing Determinants'!$B$19:$P$41,4,0)/'4. Billing Determinants'!$E$41*$D21,IF($E21="kW",VLOOKUP(N$4,'4. Billing Determinants'!$B$19:$P$41,5,0)/'4. Billing Determinants'!$F$41*$D21,IF($E21="Non-RPP kWh",VLOOKUP(N$4,'4. Billing Determinants'!$B$19:$P$41,6,0)/'4. Billing Determinants'!$G$41*$D21,IF($E21="Distribution Rev.",VLOOKUP(N$4,'4. Billing Determinants'!$B$19:$P$41,8,0)/'4. Billing Determinants'!$I$41*$D21, VLOOKUP(N$4,'4. Billing Determinants'!$B$19:$P$41,3,0)/'4. Billing Determinants'!$D$41*$D21))))),0)</f>
        <v>0</v>
      </c>
      <c r="O21" s="70">
        <f>IFERROR(IF(O$4="",0,IF($E21="kWh",VLOOKUP(O$4,'4. Billing Determinants'!$B$19:$P$41,4,0)/'4. Billing Determinants'!$E$41*$D21,IF($E21="kW",VLOOKUP(O$4,'4. Billing Determinants'!$B$19:$P$41,5,0)/'4. Billing Determinants'!$F$41*$D21,IF($E21="Non-RPP kWh",VLOOKUP(O$4,'4. Billing Determinants'!$B$19:$P$41,6,0)/'4. Billing Determinants'!$G$41*$D21,IF($E21="Distribution Rev.",VLOOKUP(O$4,'4. Billing Determinants'!$B$19:$P$41,8,0)/'4. Billing Determinants'!$I$41*$D21, VLOOKUP(O$4,'4. Billing Determinants'!$B$19:$P$41,3,0)/'4. Billing Determinants'!$D$41*$D21))))),0)</f>
        <v>0</v>
      </c>
      <c r="P21" s="70">
        <f>IFERROR(IF(P$4="",0,IF($E21="kWh",VLOOKUP(P$4,'4. Billing Determinants'!$B$19:$P$41,4,0)/'4. Billing Determinants'!$E$41*$D21,IF($E21="kW",VLOOKUP(P$4,'4. Billing Determinants'!$B$19:$P$41,5,0)/'4. Billing Determinants'!$F$41*$D21,IF($E21="Non-RPP kWh",VLOOKUP(P$4,'4. Billing Determinants'!$B$19:$P$41,6,0)/'4. Billing Determinants'!$G$41*$D21,IF($E21="Distribution Rev.",VLOOKUP(P$4,'4. Billing Determinants'!$B$19:$P$41,8,0)/'4. Billing Determinants'!$I$41*$D21, VLOOKUP(P$4,'4. Billing Determinants'!$B$19:$P$41,3,0)/'4. Billing Determinants'!$D$41*$D21))))),0)</f>
        <v>0</v>
      </c>
      <c r="Q21" s="70">
        <f>IFERROR(IF(Q$4="",0,IF($E21="kWh",VLOOKUP(Q$4,'4. Billing Determinants'!$B$19:$P$41,4,0)/'4. Billing Determinants'!$E$41*$D21,IF($E21="kW",VLOOKUP(Q$4,'4. Billing Determinants'!$B$19:$P$41,5,0)/'4. Billing Determinants'!$F$41*$D21,IF($E21="Non-RPP kWh",VLOOKUP(Q$4,'4. Billing Determinants'!$B$19:$P$41,6,0)/'4. Billing Determinants'!$G$41*$D21,IF($E21="Distribution Rev.",VLOOKUP(Q$4,'4. Billing Determinants'!$B$19:$P$41,8,0)/'4. Billing Determinants'!$I$41*$D21, VLOOKUP(Q$4,'4. Billing Determinants'!$B$19:$P$41,3,0)/'4. Billing Determinants'!$D$41*$D21))))),0)</f>
        <v>0</v>
      </c>
      <c r="R21" s="70">
        <f>IFERROR(IF(R$4="",0,IF($E21="kWh",VLOOKUP(R$4,'4. Billing Determinants'!$B$19:$P$41,4,0)/'4. Billing Determinants'!$E$41*$D21,IF($E21="kW",VLOOKUP(R$4,'4. Billing Determinants'!$B$19:$P$41,5,0)/'4. Billing Determinants'!$F$41*$D21,IF($E21="Non-RPP kWh",VLOOKUP(R$4,'4. Billing Determinants'!$B$19:$P$41,6,0)/'4. Billing Determinants'!$G$41*$D21,IF($E21="Distribution Rev.",VLOOKUP(R$4,'4. Billing Determinants'!$B$19:$P$41,8,0)/'4. Billing Determinants'!$I$41*$D21, VLOOKUP(R$4,'4. Billing Determinants'!$B$19:$P$41,3,0)/'4. Billing Determinants'!$D$41*$D21))))),0)</f>
        <v>0</v>
      </c>
      <c r="S21" s="70">
        <f>IFERROR(IF(S$4="",0,IF($E21="kWh",VLOOKUP(S$4,'4. Billing Determinants'!$B$19:$P$41,4,0)/'4. Billing Determinants'!$E$41*$D21,IF($E21="kW",VLOOKUP(S$4,'4. Billing Determinants'!$B$19:$P$41,5,0)/'4. Billing Determinants'!$F$41*$D21,IF($E21="Non-RPP kWh",VLOOKUP(S$4,'4. Billing Determinants'!$B$19:$P$41,6,0)/'4. Billing Determinants'!$G$41*$D21,IF($E21="Distribution Rev.",VLOOKUP(S$4,'4. Billing Determinants'!$B$19:$P$41,8,0)/'4. Billing Determinants'!$I$41*$D21, VLOOKUP(S$4,'4. Billing Determinants'!$B$19:$P$41,3,0)/'4. Billing Determinants'!$D$41*$D21))))),0)</f>
        <v>0</v>
      </c>
      <c r="T21" s="70">
        <f>IFERROR(IF(T$4="",0,IF($E21="kWh",VLOOKUP(T$4,'4. Billing Determinants'!$B$19:$P$41,4,0)/'4. Billing Determinants'!$E$41*$D21,IF($E21="kW",VLOOKUP(T$4,'4. Billing Determinants'!$B$19:$P$41,5,0)/'4. Billing Determinants'!$F$41*$D21,IF($E21="Non-RPP kWh",VLOOKUP(T$4,'4. Billing Determinants'!$B$19:$P$41,6,0)/'4. Billing Determinants'!$G$41*$D21,IF($E21="Distribution Rev.",VLOOKUP(T$4,'4. Billing Determinants'!$B$19:$P$41,8,0)/'4. Billing Determinants'!$I$41*$D21, VLOOKUP(T$4,'4. Billing Determinants'!$B$19:$P$41,3,0)/'4. Billing Determinants'!$D$41*$D21))))),0)</f>
        <v>0</v>
      </c>
      <c r="U21" s="70">
        <f>IFERROR(IF(U$4="",0,IF($E21="kWh",VLOOKUP(U$4,'4. Billing Determinants'!$B$19:$P$41,4,0)/'4. Billing Determinants'!$E$41*$D21,IF($E21="kW",VLOOKUP(U$4,'4. Billing Determinants'!$B$19:$P$41,5,0)/'4. Billing Determinants'!$F$41*$D21,IF($E21="Non-RPP kWh",VLOOKUP(U$4,'4. Billing Determinants'!$B$19:$P$41,6,0)/'4. Billing Determinants'!$G$41*$D21,IF($E21="Distribution Rev.",VLOOKUP(U$4,'4. Billing Determinants'!$B$19:$P$41,8,0)/'4. Billing Determinants'!$I$41*$D21, VLOOKUP(U$4,'4. Billing Determinants'!$B$19:$P$41,3,0)/'4. Billing Determinants'!$D$41*$D21))))),0)</f>
        <v>0</v>
      </c>
      <c r="V21" s="70">
        <f>IFERROR(IF(V$4="",0,IF($E21="kWh",VLOOKUP(V$4,'4. Billing Determinants'!$B$19:$P$41,4,0)/'4. Billing Determinants'!$E$41*$D21,IF($E21="kW",VLOOKUP(V$4,'4. Billing Determinants'!$B$19:$P$41,5,0)/'4. Billing Determinants'!$F$41*$D21,IF($E21="Non-RPP kWh",VLOOKUP(V$4,'4. Billing Determinants'!$B$19:$P$41,6,0)/'4. Billing Determinants'!$G$41*$D21,IF($E21="Distribution Rev.",VLOOKUP(V$4,'4. Billing Determinants'!$B$19:$P$41,8,0)/'4. Billing Determinants'!$I$41*$D21, VLOOKUP(V$4,'4. Billing Determinants'!$B$19:$P$41,3,0)/'4. Billing Determinants'!$D$41*$D21))))),0)</f>
        <v>0</v>
      </c>
      <c r="W21" s="70">
        <f>IFERROR(IF(W$4="",0,IF($E21="kWh",VLOOKUP(W$4,'4. Billing Determinants'!$B$19:$P$41,4,0)/'4. Billing Determinants'!$E$41*$D21,IF($E21="kW",VLOOKUP(W$4,'4. Billing Determinants'!$B$19:$P$41,5,0)/'4. Billing Determinants'!$F$41*$D21,IF($E21="Non-RPP kWh",VLOOKUP(W$4,'4. Billing Determinants'!$B$19:$P$41,6,0)/'4. Billing Determinants'!$G$41*$D21,IF($E21="Distribution Rev.",VLOOKUP(W$4,'4. Billing Determinants'!$B$19:$P$41,8,0)/'4. Billing Determinants'!$I$41*$D21, VLOOKUP(W$4,'4. Billing Determinants'!$B$19:$P$41,3,0)/'4. Billing Determinants'!$D$41*$D21))))),0)</f>
        <v>0</v>
      </c>
      <c r="X21" s="70">
        <f>IFERROR(IF(X$4="",0,IF($E21="kWh",VLOOKUP(X$4,'4. Billing Determinants'!$B$19:$P$41,4,0)/'4. Billing Determinants'!$E$41*$D21,IF($E21="kW",VLOOKUP(X$4,'4. Billing Determinants'!$B$19:$P$41,5,0)/'4. Billing Determinants'!$F$41*$D21,IF($E21="Non-RPP kWh",VLOOKUP(X$4,'4. Billing Determinants'!$B$19:$P$41,6,0)/'4. Billing Determinants'!$G$41*$D21,IF($E21="Distribution Rev.",VLOOKUP(X$4,'4. Billing Determinants'!$B$19:$P$41,8,0)/'4. Billing Determinants'!$I$41*$D21, VLOOKUP(X$4,'4. Billing Determinants'!$B$19:$P$41,3,0)/'4. Billing Determinants'!$D$41*$D21))))),0)</f>
        <v>0</v>
      </c>
      <c r="Y21" s="70">
        <f>IFERROR(IF(Y$4="",0,IF($E21="kWh",VLOOKUP(Y$4,'4. Billing Determinants'!$B$19:$P$41,4,0)/'4. Billing Determinants'!$E$41*$D21,IF($E21="kW",VLOOKUP(Y$4,'4. Billing Determinants'!$B$19:$P$41,5,0)/'4. Billing Determinants'!$F$41*$D21,IF($E21="Non-RPP kWh",VLOOKUP(Y$4,'4. Billing Determinants'!$B$19:$P$41,6,0)/'4. Billing Determinants'!$G$41*$D21,IF($E21="Distribution Rev.",VLOOKUP(Y$4,'4. Billing Determinants'!$B$19:$P$41,8,0)/'4. Billing Determinants'!$I$41*$D21, VLOOKUP(Y$4,'4. Billing Determinants'!$B$19:$P$41,3,0)/'4. Billing Determinants'!$D$41*$D21))))),0)</f>
        <v>0</v>
      </c>
    </row>
    <row r="22" spans="2:25" ht="25.5" x14ac:dyDescent="0.2">
      <c r="B22" s="206" t="s">
        <v>58</v>
      </c>
      <c r="C22" s="69">
        <v>1508</v>
      </c>
      <c r="D22" s="70">
        <f>'2. 2014 Continuity Schedule'!BO45</f>
        <v>0</v>
      </c>
      <c r="E22" s="130"/>
      <c r="F22" s="70">
        <f>IFERROR(IF(F$4="",0,IF($E22="kWh",VLOOKUP(F$4,'4. Billing Determinants'!$B$19:$P$41,4,0)/'4. Billing Determinants'!$E$41*$D22,IF($E22="kW",VLOOKUP(F$4,'4. Billing Determinants'!$B$19:$P$41,5,0)/'4. Billing Determinants'!$F$41*$D22,IF($E22="Non-RPP kWh",VLOOKUP(F$4,'4. Billing Determinants'!$B$19:$P$41,6,0)/'4. Billing Determinants'!$G$41*$D22,IF($E22="Distribution Rev.",VLOOKUP(F$4,'4. Billing Determinants'!$B$19:$P$41,8,0)/'4. Billing Determinants'!$I$41*$D22, VLOOKUP(F$4,'4. Billing Determinants'!$B$19:$P$41,3,0)/'4. Billing Determinants'!$D$41*$D22))))),0)</f>
        <v>0</v>
      </c>
      <c r="G22" s="70">
        <f>IFERROR(IF(G$4="",0,IF($E22="kWh",VLOOKUP(G$4,'4. Billing Determinants'!$B$19:$P$41,4,0)/'4. Billing Determinants'!$E$41*$D22,IF($E22="kW",VLOOKUP(G$4,'4. Billing Determinants'!$B$19:$P$41,5,0)/'4. Billing Determinants'!$F$41*$D22,IF($E22="Non-RPP kWh",VLOOKUP(G$4,'4. Billing Determinants'!$B$19:$P$41,6,0)/'4. Billing Determinants'!$G$41*$D22,IF($E22="Distribution Rev.",VLOOKUP(G$4,'4. Billing Determinants'!$B$19:$P$41,8,0)/'4. Billing Determinants'!$I$41*$D22, VLOOKUP(G$4,'4. Billing Determinants'!$B$19:$P$41,3,0)/'4. Billing Determinants'!$D$41*$D22))))),0)</f>
        <v>0</v>
      </c>
      <c r="H22" s="70">
        <f>IFERROR(IF(H$4="",0,IF($E22="kWh",VLOOKUP(H$4,'4. Billing Determinants'!$B$19:$P$41,4,0)/'4. Billing Determinants'!$E$41*$D22,IF($E22="kW",VLOOKUP(H$4,'4. Billing Determinants'!$B$19:$P$41,5,0)/'4. Billing Determinants'!$F$41*$D22,IF($E22="Non-RPP kWh",VLOOKUP(H$4,'4. Billing Determinants'!$B$19:$P$41,6,0)/'4. Billing Determinants'!$G$41*$D22,IF($E22="Distribution Rev.",VLOOKUP(H$4,'4. Billing Determinants'!$B$19:$P$41,8,0)/'4. Billing Determinants'!$I$41*$D22, VLOOKUP(H$4,'4. Billing Determinants'!$B$19:$P$41,3,0)/'4. Billing Determinants'!$D$41*$D22))))),0)</f>
        <v>0</v>
      </c>
      <c r="I22" s="70">
        <f>IFERROR(IF(I$4="",0,IF($E22="kWh",VLOOKUP(I$4,'4. Billing Determinants'!$B$19:$P$41,4,0)/'4. Billing Determinants'!$E$41*$D22,IF($E22="kW",VLOOKUP(I$4,'4. Billing Determinants'!$B$19:$P$41,5,0)/'4. Billing Determinants'!$F$41*$D22,IF($E22="Non-RPP kWh",VLOOKUP(I$4,'4. Billing Determinants'!$B$19:$P$41,6,0)/'4. Billing Determinants'!$G$41*$D22,IF($E22="Distribution Rev.",VLOOKUP(I$4,'4. Billing Determinants'!$B$19:$P$41,8,0)/'4. Billing Determinants'!$I$41*$D22, VLOOKUP(I$4,'4. Billing Determinants'!$B$19:$P$41,3,0)/'4. Billing Determinants'!$D$41*$D22))))),0)</f>
        <v>0</v>
      </c>
      <c r="J22" s="70">
        <f>IFERROR(IF(J$4="",0,IF($E22="kWh",VLOOKUP(J$4,'4. Billing Determinants'!$B$19:$P$41,4,0)/'4. Billing Determinants'!$E$41*$D22,IF($E22="kW",VLOOKUP(J$4,'4. Billing Determinants'!$B$19:$P$41,5,0)/'4. Billing Determinants'!$F$41*$D22,IF($E22="Non-RPP kWh",VLOOKUP(J$4,'4. Billing Determinants'!$B$19:$P$41,6,0)/'4. Billing Determinants'!$G$41*$D22,IF($E22="Distribution Rev.",VLOOKUP(J$4,'4. Billing Determinants'!$B$19:$P$41,8,0)/'4. Billing Determinants'!$I$41*$D22, VLOOKUP(J$4,'4. Billing Determinants'!$B$19:$P$41,3,0)/'4. Billing Determinants'!$D$41*$D22))))),0)</f>
        <v>0</v>
      </c>
      <c r="K22" s="70">
        <f>IFERROR(IF(K$4="",0,IF($E22="kWh",VLOOKUP(K$4,'4. Billing Determinants'!$B$19:$P$41,4,0)/'4. Billing Determinants'!$E$41*$D22,IF($E22="kW",VLOOKUP(K$4,'4. Billing Determinants'!$B$19:$P$41,5,0)/'4. Billing Determinants'!$F$41*$D22,IF($E22="Non-RPP kWh",VLOOKUP(K$4,'4. Billing Determinants'!$B$19:$P$41,6,0)/'4. Billing Determinants'!$G$41*$D22,IF($E22="Distribution Rev.",VLOOKUP(K$4,'4. Billing Determinants'!$B$19:$P$41,8,0)/'4. Billing Determinants'!$I$41*$D22, VLOOKUP(K$4,'4. Billing Determinants'!$B$19:$P$41,3,0)/'4. Billing Determinants'!$D$41*$D22))))),0)</f>
        <v>0</v>
      </c>
      <c r="L22" s="70">
        <f>IFERROR(IF(L$4="",0,IF($E22="kWh",VLOOKUP(L$4,'4. Billing Determinants'!$B$19:$P$41,4,0)/'4. Billing Determinants'!$E$41*$D22,IF($E22="kW",VLOOKUP(L$4,'4. Billing Determinants'!$B$19:$P$41,5,0)/'4. Billing Determinants'!$F$41*$D22,IF($E22="Non-RPP kWh",VLOOKUP(L$4,'4. Billing Determinants'!$B$19:$P$41,6,0)/'4. Billing Determinants'!$G$41*$D22,IF($E22="Distribution Rev.",VLOOKUP(L$4,'4. Billing Determinants'!$B$19:$P$41,8,0)/'4. Billing Determinants'!$I$41*$D22, VLOOKUP(L$4,'4. Billing Determinants'!$B$19:$P$41,3,0)/'4. Billing Determinants'!$D$41*$D22))))),0)</f>
        <v>0</v>
      </c>
      <c r="M22" s="70">
        <f>IFERROR(IF(M$4="",0,IF($E22="kWh",VLOOKUP(M$4,'4. Billing Determinants'!$B$19:$P$41,4,0)/'4. Billing Determinants'!$E$41*$D22,IF($E22="kW",VLOOKUP(M$4,'4. Billing Determinants'!$B$19:$P$41,5,0)/'4. Billing Determinants'!$F$41*$D22,IF($E22="Non-RPP kWh",VLOOKUP(M$4,'4. Billing Determinants'!$B$19:$P$41,6,0)/'4. Billing Determinants'!$G$41*$D22,IF($E22="Distribution Rev.",VLOOKUP(M$4,'4. Billing Determinants'!$B$19:$P$41,8,0)/'4. Billing Determinants'!$I$41*$D22, VLOOKUP(M$4,'4. Billing Determinants'!$B$19:$P$41,3,0)/'4. Billing Determinants'!$D$41*$D22))))),0)</f>
        <v>0</v>
      </c>
      <c r="N22" s="70">
        <f>IFERROR(IF(N$4="",0,IF($E22="kWh",VLOOKUP(N$4,'4. Billing Determinants'!$B$19:$P$41,4,0)/'4. Billing Determinants'!$E$41*$D22,IF($E22="kW",VLOOKUP(N$4,'4. Billing Determinants'!$B$19:$P$41,5,0)/'4. Billing Determinants'!$F$41*$D22,IF($E22="Non-RPP kWh",VLOOKUP(N$4,'4. Billing Determinants'!$B$19:$P$41,6,0)/'4. Billing Determinants'!$G$41*$D22,IF($E22="Distribution Rev.",VLOOKUP(N$4,'4. Billing Determinants'!$B$19:$P$41,8,0)/'4. Billing Determinants'!$I$41*$D22, VLOOKUP(N$4,'4. Billing Determinants'!$B$19:$P$41,3,0)/'4. Billing Determinants'!$D$41*$D22))))),0)</f>
        <v>0</v>
      </c>
      <c r="O22" s="70">
        <f>IFERROR(IF(O$4="",0,IF($E22="kWh",VLOOKUP(O$4,'4. Billing Determinants'!$B$19:$P$41,4,0)/'4. Billing Determinants'!$E$41*$D22,IF($E22="kW",VLOOKUP(O$4,'4. Billing Determinants'!$B$19:$P$41,5,0)/'4. Billing Determinants'!$F$41*$D22,IF($E22="Non-RPP kWh",VLOOKUP(O$4,'4. Billing Determinants'!$B$19:$P$41,6,0)/'4. Billing Determinants'!$G$41*$D22,IF($E22="Distribution Rev.",VLOOKUP(O$4,'4. Billing Determinants'!$B$19:$P$41,8,0)/'4. Billing Determinants'!$I$41*$D22, VLOOKUP(O$4,'4. Billing Determinants'!$B$19:$P$41,3,0)/'4. Billing Determinants'!$D$41*$D22))))),0)</f>
        <v>0</v>
      </c>
      <c r="P22" s="70">
        <f>IFERROR(IF(P$4="",0,IF($E22="kWh",VLOOKUP(P$4,'4. Billing Determinants'!$B$19:$P$41,4,0)/'4. Billing Determinants'!$E$41*$D22,IF($E22="kW",VLOOKUP(P$4,'4. Billing Determinants'!$B$19:$P$41,5,0)/'4. Billing Determinants'!$F$41*$D22,IF($E22="Non-RPP kWh",VLOOKUP(P$4,'4. Billing Determinants'!$B$19:$P$41,6,0)/'4. Billing Determinants'!$G$41*$D22,IF($E22="Distribution Rev.",VLOOKUP(P$4,'4. Billing Determinants'!$B$19:$P$41,8,0)/'4. Billing Determinants'!$I$41*$D22, VLOOKUP(P$4,'4. Billing Determinants'!$B$19:$P$41,3,0)/'4. Billing Determinants'!$D$41*$D22))))),0)</f>
        <v>0</v>
      </c>
      <c r="Q22" s="70">
        <f>IFERROR(IF(Q$4="",0,IF($E22="kWh",VLOOKUP(Q$4,'4. Billing Determinants'!$B$19:$P$41,4,0)/'4. Billing Determinants'!$E$41*$D22,IF($E22="kW",VLOOKUP(Q$4,'4. Billing Determinants'!$B$19:$P$41,5,0)/'4. Billing Determinants'!$F$41*$D22,IF($E22="Non-RPP kWh",VLOOKUP(Q$4,'4. Billing Determinants'!$B$19:$P$41,6,0)/'4. Billing Determinants'!$G$41*$D22,IF($E22="Distribution Rev.",VLOOKUP(Q$4,'4. Billing Determinants'!$B$19:$P$41,8,0)/'4. Billing Determinants'!$I$41*$D22, VLOOKUP(Q$4,'4. Billing Determinants'!$B$19:$P$41,3,0)/'4. Billing Determinants'!$D$41*$D22))))),0)</f>
        <v>0</v>
      </c>
      <c r="R22" s="70">
        <f>IFERROR(IF(R$4="",0,IF($E22="kWh",VLOOKUP(R$4,'4. Billing Determinants'!$B$19:$P$41,4,0)/'4. Billing Determinants'!$E$41*$D22,IF($E22="kW",VLOOKUP(R$4,'4. Billing Determinants'!$B$19:$P$41,5,0)/'4. Billing Determinants'!$F$41*$D22,IF($E22="Non-RPP kWh",VLOOKUP(R$4,'4. Billing Determinants'!$B$19:$P$41,6,0)/'4. Billing Determinants'!$G$41*$D22,IF($E22="Distribution Rev.",VLOOKUP(R$4,'4. Billing Determinants'!$B$19:$P$41,8,0)/'4. Billing Determinants'!$I$41*$D22, VLOOKUP(R$4,'4. Billing Determinants'!$B$19:$P$41,3,0)/'4. Billing Determinants'!$D$41*$D22))))),0)</f>
        <v>0</v>
      </c>
      <c r="S22" s="70">
        <f>IFERROR(IF(S$4="",0,IF($E22="kWh",VLOOKUP(S$4,'4. Billing Determinants'!$B$19:$P$41,4,0)/'4. Billing Determinants'!$E$41*$D22,IF($E22="kW",VLOOKUP(S$4,'4. Billing Determinants'!$B$19:$P$41,5,0)/'4. Billing Determinants'!$F$41*$D22,IF($E22="Non-RPP kWh",VLOOKUP(S$4,'4. Billing Determinants'!$B$19:$P$41,6,0)/'4. Billing Determinants'!$G$41*$D22,IF($E22="Distribution Rev.",VLOOKUP(S$4,'4. Billing Determinants'!$B$19:$P$41,8,0)/'4. Billing Determinants'!$I$41*$D22, VLOOKUP(S$4,'4. Billing Determinants'!$B$19:$P$41,3,0)/'4. Billing Determinants'!$D$41*$D22))))),0)</f>
        <v>0</v>
      </c>
      <c r="T22" s="70">
        <f>IFERROR(IF(T$4="",0,IF($E22="kWh",VLOOKUP(T$4,'4. Billing Determinants'!$B$19:$P$41,4,0)/'4. Billing Determinants'!$E$41*$D22,IF($E22="kW",VLOOKUP(T$4,'4. Billing Determinants'!$B$19:$P$41,5,0)/'4. Billing Determinants'!$F$41*$D22,IF($E22="Non-RPP kWh",VLOOKUP(T$4,'4. Billing Determinants'!$B$19:$P$41,6,0)/'4. Billing Determinants'!$G$41*$D22,IF($E22="Distribution Rev.",VLOOKUP(T$4,'4. Billing Determinants'!$B$19:$P$41,8,0)/'4. Billing Determinants'!$I$41*$D22, VLOOKUP(T$4,'4. Billing Determinants'!$B$19:$P$41,3,0)/'4. Billing Determinants'!$D$41*$D22))))),0)</f>
        <v>0</v>
      </c>
      <c r="U22" s="70">
        <f>IFERROR(IF(U$4="",0,IF($E22="kWh",VLOOKUP(U$4,'4. Billing Determinants'!$B$19:$P$41,4,0)/'4. Billing Determinants'!$E$41*$D22,IF($E22="kW",VLOOKUP(U$4,'4. Billing Determinants'!$B$19:$P$41,5,0)/'4. Billing Determinants'!$F$41*$D22,IF($E22="Non-RPP kWh",VLOOKUP(U$4,'4. Billing Determinants'!$B$19:$P$41,6,0)/'4. Billing Determinants'!$G$41*$D22,IF($E22="Distribution Rev.",VLOOKUP(U$4,'4. Billing Determinants'!$B$19:$P$41,8,0)/'4. Billing Determinants'!$I$41*$D22, VLOOKUP(U$4,'4. Billing Determinants'!$B$19:$P$41,3,0)/'4. Billing Determinants'!$D$41*$D22))))),0)</f>
        <v>0</v>
      </c>
      <c r="V22" s="70">
        <f>IFERROR(IF(V$4="",0,IF($E22="kWh",VLOOKUP(V$4,'4. Billing Determinants'!$B$19:$P$41,4,0)/'4. Billing Determinants'!$E$41*$D22,IF($E22="kW",VLOOKUP(V$4,'4. Billing Determinants'!$B$19:$P$41,5,0)/'4. Billing Determinants'!$F$41*$D22,IF($E22="Non-RPP kWh",VLOOKUP(V$4,'4. Billing Determinants'!$B$19:$P$41,6,0)/'4. Billing Determinants'!$G$41*$D22,IF($E22="Distribution Rev.",VLOOKUP(V$4,'4. Billing Determinants'!$B$19:$P$41,8,0)/'4. Billing Determinants'!$I$41*$D22, VLOOKUP(V$4,'4. Billing Determinants'!$B$19:$P$41,3,0)/'4. Billing Determinants'!$D$41*$D22))))),0)</f>
        <v>0</v>
      </c>
      <c r="W22" s="70">
        <f>IFERROR(IF(W$4="",0,IF($E22="kWh",VLOOKUP(W$4,'4. Billing Determinants'!$B$19:$P$41,4,0)/'4. Billing Determinants'!$E$41*$D22,IF($E22="kW",VLOOKUP(W$4,'4. Billing Determinants'!$B$19:$P$41,5,0)/'4. Billing Determinants'!$F$41*$D22,IF($E22="Non-RPP kWh",VLOOKUP(W$4,'4. Billing Determinants'!$B$19:$P$41,6,0)/'4. Billing Determinants'!$G$41*$D22,IF($E22="Distribution Rev.",VLOOKUP(W$4,'4. Billing Determinants'!$B$19:$P$41,8,0)/'4. Billing Determinants'!$I$41*$D22, VLOOKUP(W$4,'4. Billing Determinants'!$B$19:$P$41,3,0)/'4. Billing Determinants'!$D$41*$D22))))),0)</f>
        <v>0</v>
      </c>
      <c r="X22" s="70">
        <f>IFERROR(IF(X$4="",0,IF($E22="kWh",VLOOKUP(X$4,'4. Billing Determinants'!$B$19:$P$41,4,0)/'4. Billing Determinants'!$E$41*$D22,IF($E22="kW",VLOOKUP(X$4,'4. Billing Determinants'!$B$19:$P$41,5,0)/'4. Billing Determinants'!$F$41*$D22,IF($E22="Non-RPP kWh",VLOOKUP(X$4,'4. Billing Determinants'!$B$19:$P$41,6,0)/'4. Billing Determinants'!$G$41*$D22,IF($E22="Distribution Rev.",VLOOKUP(X$4,'4. Billing Determinants'!$B$19:$P$41,8,0)/'4. Billing Determinants'!$I$41*$D22, VLOOKUP(X$4,'4. Billing Determinants'!$B$19:$P$41,3,0)/'4. Billing Determinants'!$D$41*$D22))))),0)</f>
        <v>0</v>
      </c>
      <c r="Y22" s="70">
        <f>IFERROR(IF(Y$4="",0,IF($E22="kWh",VLOOKUP(Y$4,'4. Billing Determinants'!$B$19:$P$41,4,0)/'4. Billing Determinants'!$E$41*$D22,IF($E22="kW",VLOOKUP(Y$4,'4. Billing Determinants'!$B$19:$P$41,5,0)/'4. Billing Determinants'!$F$41*$D22,IF($E22="Non-RPP kWh",VLOOKUP(Y$4,'4. Billing Determinants'!$B$19:$P$41,6,0)/'4. Billing Determinants'!$G$41*$D22,IF($E22="Distribution Rev.",VLOOKUP(Y$4,'4. Billing Determinants'!$B$19:$P$41,8,0)/'4. Billing Determinants'!$I$41*$D22, VLOOKUP(Y$4,'4. Billing Determinants'!$B$19:$P$41,3,0)/'4. Billing Determinants'!$D$41*$D22))))),0)</f>
        <v>0</v>
      </c>
    </row>
    <row r="23" spans="2:25" ht="14.25" x14ac:dyDescent="0.2">
      <c r="B23" s="75" t="s">
        <v>283</v>
      </c>
      <c r="C23" s="69">
        <v>1508</v>
      </c>
      <c r="D23" s="70">
        <f>'2. 2014 Continuity Schedule'!BO46</f>
        <v>688.35218691685543</v>
      </c>
      <c r="E23" s="130" t="s">
        <v>276</v>
      </c>
      <c r="F23" s="70">
        <f>IFERROR(IF(F$4="",0,IF($E23="kWh",VLOOKUP(F$4,'4. Billing Determinants'!$B$19:$P$41,4,0)/'4. Billing Determinants'!$E$41*$D23,IF($E23="kW",VLOOKUP(F$4,'4. Billing Determinants'!$B$19:$P$41,5,0)/'4. Billing Determinants'!$F$41*$D23,IF($E23="Non-RPP kWh",VLOOKUP(F$4,'4. Billing Determinants'!$B$19:$P$41,6,0)/'4. Billing Determinants'!$G$41*$D23,IF($E23="Distribution Rev.",VLOOKUP(F$4,'4. Billing Determinants'!$B$19:$P$41,8,0)/'4. Billing Determinants'!$I$41*$D23, VLOOKUP(F$4,'4. Billing Determinants'!$B$19:$P$41,3,0)/'4. Billing Determinants'!$D$41*$D23))))),0)</f>
        <v>271.79051049370355</v>
      </c>
      <c r="G23" s="70">
        <f>IFERROR(IF(G$4="",0,IF($E23="kWh",VLOOKUP(G$4,'4. Billing Determinants'!$B$19:$P$41,4,0)/'4. Billing Determinants'!$E$41*$D23,IF($E23="kW",VLOOKUP(G$4,'4. Billing Determinants'!$B$19:$P$41,5,0)/'4. Billing Determinants'!$F$41*$D23,IF($E23="Non-RPP kWh",VLOOKUP(G$4,'4. Billing Determinants'!$B$19:$P$41,6,0)/'4. Billing Determinants'!$G$41*$D23,IF($E23="Distribution Rev.",VLOOKUP(G$4,'4. Billing Determinants'!$B$19:$P$41,8,0)/'4. Billing Determinants'!$I$41*$D23, VLOOKUP(G$4,'4. Billing Determinants'!$B$19:$P$41,3,0)/'4. Billing Determinants'!$D$41*$D23))))),0)</f>
        <v>112.89834822816579</v>
      </c>
      <c r="H23" s="70">
        <f>IFERROR(IF(H$4="",0,IF($E23="kWh",VLOOKUP(H$4,'4. Billing Determinants'!$B$19:$P$41,4,0)/'4. Billing Determinants'!$E$41*$D23,IF($E23="kW",VLOOKUP(H$4,'4. Billing Determinants'!$B$19:$P$41,5,0)/'4. Billing Determinants'!$F$41*$D23,IF($E23="Non-RPP kWh",VLOOKUP(H$4,'4. Billing Determinants'!$B$19:$P$41,6,0)/'4. Billing Determinants'!$G$41*$D23,IF($E23="Distribution Rev.",VLOOKUP(H$4,'4. Billing Determinants'!$B$19:$P$41,8,0)/'4. Billing Determinants'!$I$41*$D23, VLOOKUP(H$4,'4. Billing Determinants'!$B$19:$P$41,3,0)/'4. Billing Determinants'!$D$41*$D23))))),0)</f>
        <v>277.59283379550459</v>
      </c>
      <c r="I23" s="70">
        <f>IFERROR(IF(I$4="",0,IF($E23="kWh",VLOOKUP(I$4,'4. Billing Determinants'!$B$19:$P$41,4,0)/'4. Billing Determinants'!$E$41*$D23,IF($E23="kW",VLOOKUP(I$4,'4. Billing Determinants'!$B$19:$P$41,5,0)/'4. Billing Determinants'!$F$41*$D23,IF($E23="Non-RPP kWh",VLOOKUP(I$4,'4. Billing Determinants'!$B$19:$P$41,6,0)/'4. Billing Determinants'!$G$41*$D23,IF($E23="Distribution Rev.",VLOOKUP(I$4,'4. Billing Determinants'!$B$19:$P$41,8,0)/'4. Billing Determinants'!$I$41*$D23, VLOOKUP(I$4,'4. Billing Determinants'!$B$19:$P$41,3,0)/'4. Billing Determinants'!$D$41*$D23))))),0)</f>
        <v>22.82117989814288</v>
      </c>
      <c r="J23" s="70">
        <f>IFERROR(IF(J$4="",0,IF($E23="kWh",VLOOKUP(J$4,'4. Billing Determinants'!$B$19:$P$41,4,0)/'4. Billing Determinants'!$E$41*$D23,IF($E23="kW",VLOOKUP(J$4,'4. Billing Determinants'!$B$19:$P$41,5,0)/'4. Billing Determinants'!$F$41*$D23,IF($E23="Non-RPP kWh",VLOOKUP(J$4,'4. Billing Determinants'!$B$19:$P$41,6,0)/'4. Billing Determinants'!$G$41*$D23,IF($E23="Distribution Rev.",VLOOKUP(J$4,'4. Billing Determinants'!$B$19:$P$41,8,0)/'4. Billing Determinants'!$I$41*$D23, VLOOKUP(J$4,'4. Billing Determinants'!$B$19:$P$41,3,0)/'4. Billing Determinants'!$D$41*$D23))))),0)</f>
        <v>4.2382208059582177E-2</v>
      </c>
      <c r="K23" s="70">
        <f>IFERROR(IF(K$4="",0,IF($E23="kWh",VLOOKUP(K$4,'4. Billing Determinants'!$B$19:$P$41,4,0)/'4. Billing Determinants'!$E$41*$D23,IF($E23="kW",VLOOKUP(K$4,'4. Billing Determinants'!$B$19:$P$41,5,0)/'4. Billing Determinants'!$F$41*$D23,IF($E23="Non-RPP kWh",VLOOKUP(K$4,'4. Billing Determinants'!$B$19:$P$41,6,0)/'4. Billing Determinants'!$G$41*$D23,IF($E23="Distribution Rev.",VLOOKUP(K$4,'4. Billing Determinants'!$B$19:$P$41,8,0)/'4. Billing Determinants'!$I$41*$D23, VLOOKUP(K$4,'4. Billing Determinants'!$B$19:$P$41,3,0)/'4. Billing Determinants'!$D$41*$D23))))),0)</f>
        <v>0.53692100397022247</v>
      </c>
      <c r="L23" s="70">
        <f>IFERROR(IF(L$4="",0,IF($E23="kWh",VLOOKUP(L$4,'4. Billing Determinants'!$B$19:$P$41,4,0)/'4. Billing Determinants'!$E$41*$D23,IF($E23="kW",VLOOKUP(L$4,'4. Billing Determinants'!$B$19:$P$41,5,0)/'4. Billing Determinants'!$F$41*$D23,IF($E23="Non-RPP kWh",VLOOKUP(L$4,'4. Billing Determinants'!$B$19:$P$41,6,0)/'4. Billing Determinants'!$G$41*$D23,IF($E23="Distribution Rev.",VLOOKUP(L$4,'4. Billing Determinants'!$B$19:$P$41,8,0)/'4. Billing Determinants'!$I$41*$D23, VLOOKUP(L$4,'4. Billing Determinants'!$B$19:$P$41,3,0)/'4. Billing Determinants'!$D$41*$D23))))),0)</f>
        <v>2.6700112893089063</v>
      </c>
      <c r="M23" s="70">
        <f>IFERROR(IF(M$4="",0,IF($E23="kWh",VLOOKUP(M$4,'4. Billing Determinants'!$B$19:$P$41,4,0)/'4. Billing Determinants'!$E$41*$D23,IF($E23="kW",VLOOKUP(M$4,'4. Billing Determinants'!$B$19:$P$41,5,0)/'4. Billing Determinants'!$F$41*$D23,IF($E23="Non-RPP kWh",VLOOKUP(M$4,'4. Billing Determinants'!$B$19:$P$41,6,0)/'4. Billing Determinants'!$G$41*$D23,IF($E23="Distribution Rev.",VLOOKUP(M$4,'4. Billing Determinants'!$B$19:$P$41,8,0)/'4. Billing Determinants'!$I$41*$D23, VLOOKUP(M$4,'4. Billing Determinants'!$B$19:$P$41,3,0)/'4. Billing Determinants'!$D$41*$D23))))),0)</f>
        <v>0</v>
      </c>
      <c r="N23" s="70">
        <f>IFERROR(IF(N$4="",0,IF($E23="kWh",VLOOKUP(N$4,'4. Billing Determinants'!$B$19:$P$41,4,0)/'4. Billing Determinants'!$E$41*$D23,IF($E23="kW",VLOOKUP(N$4,'4. Billing Determinants'!$B$19:$P$41,5,0)/'4. Billing Determinants'!$F$41*$D23,IF($E23="Non-RPP kWh",VLOOKUP(N$4,'4. Billing Determinants'!$B$19:$P$41,6,0)/'4. Billing Determinants'!$G$41*$D23,IF($E23="Distribution Rev.",VLOOKUP(N$4,'4. Billing Determinants'!$B$19:$P$41,8,0)/'4. Billing Determinants'!$I$41*$D23, VLOOKUP(N$4,'4. Billing Determinants'!$B$19:$P$41,3,0)/'4. Billing Determinants'!$D$41*$D23))))),0)</f>
        <v>0</v>
      </c>
      <c r="O23" s="70">
        <f>IFERROR(IF(O$4="",0,IF($E23="kWh",VLOOKUP(O$4,'4. Billing Determinants'!$B$19:$P$41,4,0)/'4. Billing Determinants'!$E$41*$D23,IF($E23="kW",VLOOKUP(O$4,'4. Billing Determinants'!$B$19:$P$41,5,0)/'4. Billing Determinants'!$F$41*$D23,IF($E23="Non-RPP kWh",VLOOKUP(O$4,'4. Billing Determinants'!$B$19:$P$41,6,0)/'4. Billing Determinants'!$G$41*$D23,IF($E23="Distribution Rev.",VLOOKUP(O$4,'4. Billing Determinants'!$B$19:$P$41,8,0)/'4. Billing Determinants'!$I$41*$D23, VLOOKUP(O$4,'4. Billing Determinants'!$B$19:$P$41,3,0)/'4. Billing Determinants'!$D$41*$D23))))),0)</f>
        <v>0</v>
      </c>
      <c r="P23" s="70">
        <f>IFERROR(IF(P$4="",0,IF($E23="kWh",VLOOKUP(P$4,'4. Billing Determinants'!$B$19:$P$41,4,0)/'4. Billing Determinants'!$E$41*$D23,IF($E23="kW",VLOOKUP(P$4,'4. Billing Determinants'!$B$19:$P$41,5,0)/'4. Billing Determinants'!$F$41*$D23,IF($E23="Non-RPP kWh",VLOOKUP(P$4,'4. Billing Determinants'!$B$19:$P$41,6,0)/'4. Billing Determinants'!$G$41*$D23,IF($E23="Distribution Rev.",VLOOKUP(P$4,'4. Billing Determinants'!$B$19:$P$41,8,0)/'4. Billing Determinants'!$I$41*$D23, VLOOKUP(P$4,'4. Billing Determinants'!$B$19:$P$41,3,0)/'4. Billing Determinants'!$D$41*$D23))))),0)</f>
        <v>0</v>
      </c>
      <c r="Q23" s="70">
        <f>IFERROR(IF(Q$4="",0,IF($E23="kWh",VLOOKUP(Q$4,'4. Billing Determinants'!$B$19:$P$41,4,0)/'4. Billing Determinants'!$E$41*$D23,IF($E23="kW",VLOOKUP(Q$4,'4. Billing Determinants'!$B$19:$P$41,5,0)/'4. Billing Determinants'!$F$41*$D23,IF($E23="Non-RPP kWh",VLOOKUP(Q$4,'4. Billing Determinants'!$B$19:$P$41,6,0)/'4. Billing Determinants'!$G$41*$D23,IF($E23="Distribution Rev.",VLOOKUP(Q$4,'4. Billing Determinants'!$B$19:$P$41,8,0)/'4. Billing Determinants'!$I$41*$D23, VLOOKUP(Q$4,'4. Billing Determinants'!$B$19:$P$41,3,0)/'4. Billing Determinants'!$D$41*$D23))))),0)</f>
        <v>0</v>
      </c>
      <c r="R23" s="70">
        <f>IFERROR(IF(R$4="",0,IF($E23="kWh",VLOOKUP(R$4,'4. Billing Determinants'!$B$19:$P$41,4,0)/'4. Billing Determinants'!$E$41*$D23,IF($E23="kW",VLOOKUP(R$4,'4. Billing Determinants'!$B$19:$P$41,5,0)/'4. Billing Determinants'!$F$41*$D23,IF($E23="Non-RPP kWh",VLOOKUP(R$4,'4. Billing Determinants'!$B$19:$P$41,6,0)/'4. Billing Determinants'!$G$41*$D23,IF($E23="Distribution Rev.",VLOOKUP(R$4,'4. Billing Determinants'!$B$19:$P$41,8,0)/'4. Billing Determinants'!$I$41*$D23, VLOOKUP(R$4,'4. Billing Determinants'!$B$19:$P$41,3,0)/'4. Billing Determinants'!$D$41*$D23))))),0)</f>
        <v>0</v>
      </c>
      <c r="S23" s="70">
        <f>IFERROR(IF(S$4="",0,IF($E23="kWh",VLOOKUP(S$4,'4. Billing Determinants'!$B$19:$P$41,4,0)/'4. Billing Determinants'!$E$41*$D23,IF($E23="kW",VLOOKUP(S$4,'4. Billing Determinants'!$B$19:$P$41,5,0)/'4. Billing Determinants'!$F$41*$D23,IF($E23="Non-RPP kWh",VLOOKUP(S$4,'4. Billing Determinants'!$B$19:$P$41,6,0)/'4. Billing Determinants'!$G$41*$D23,IF($E23="Distribution Rev.",VLOOKUP(S$4,'4. Billing Determinants'!$B$19:$P$41,8,0)/'4. Billing Determinants'!$I$41*$D23, VLOOKUP(S$4,'4. Billing Determinants'!$B$19:$P$41,3,0)/'4. Billing Determinants'!$D$41*$D23))))),0)</f>
        <v>0</v>
      </c>
      <c r="T23" s="70">
        <f>IFERROR(IF(T$4="",0,IF($E23="kWh",VLOOKUP(T$4,'4. Billing Determinants'!$B$19:$P$41,4,0)/'4. Billing Determinants'!$E$41*$D23,IF($E23="kW",VLOOKUP(T$4,'4. Billing Determinants'!$B$19:$P$41,5,0)/'4. Billing Determinants'!$F$41*$D23,IF($E23="Non-RPP kWh",VLOOKUP(T$4,'4. Billing Determinants'!$B$19:$P$41,6,0)/'4. Billing Determinants'!$G$41*$D23,IF($E23="Distribution Rev.",VLOOKUP(T$4,'4. Billing Determinants'!$B$19:$P$41,8,0)/'4. Billing Determinants'!$I$41*$D23, VLOOKUP(T$4,'4. Billing Determinants'!$B$19:$P$41,3,0)/'4. Billing Determinants'!$D$41*$D23))))),0)</f>
        <v>0</v>
      </c>
      <c r="U23" s="70">
        <f>IFERROR(IF(U$4="",0,IF($E23="kWh",VLOOKUP(U$4,'4. Billing Determinants'!$B$19:$P$41,4,0)/'4. Billing Determinants'!$E$41*$D23,IF($E23="kW",VLOOKUP(U$4,'4. Billing Determinants'!$B$19:$P$41,5,0)/'4. Billing Determinants'!$F$41*$D23,IF($E23="Non-RPP kWh",VLOOKUP(U$4,'4. Billing Determinants'!$B$19:$P$41,6,0)/'4. Billing Determinants'!$G$41*$D23,IF($E23="Distribution Rev.",VLOOKUP(U$4,'4. Billing Determinants'!$B$19:$P$41,8,0)/'4. Billing Determinants'!$I$41*$D23, VLOOKUP(U$4,'4. Billing Determinants'!$B$19:$P$41,3,0)/'4. Billing Determinants'!$D$41*$D23))))),0)</f>
        <v>0</v>
      </c>
      <c r="V23" s="70">
        <f>IFERROR(IF(V$4="",0,IF($E23="kWh",VLOOKUP(V$4,'4. Billing Determinants'!$B$19:$P$41,4,0)/'4. Billing Determinants'!$E$41*$D23,IF($E23="kW",VLOOKUP(V$4,'4. Billing Determinants'!$B$19:$P$41,5,0)/'4. Billing Determinants'!$F$41*$D23,IF($E23="Non-RPP kWh",VLOOKUP(V$4,'4. Billing Determinants'!$B$19:$P$41,6,0)/'4. Billing Determinants'!$G$41*$D23,IF($E23="Distribution Rev.",VLOOKUP(V$4,'4. Billing Determinants'!$B$19:$P$41,8,0)/'4. Billing Determinants'!$I$41*$D23, VLOOKUP(V$4,'4. Billing Determinants'!$B$19:$P$41,3,0)/'4. Billing Determinants'!$D$41*$D23))))),0)</f>
        <v>0</v>
      </c>
      <c r="W23" s="70">
        <f>IFERROR(IF(W$4="",0,IF($E23="kWh",VLOOKUP(W$4,'4. Billing Determinants'!$B$19:$P$41,4,0)/'4. Billing Determinants'!$E$41*$D23,IF($E23="kW",VLOOKUP(W$4,'4. Billing Determinants'!$B$19:$P$41,5,0)/'4. Billing Determinants'!$F$41*$D23,IF($E23="Non-RPP kWh",VLOOKUP(W$4,'4. Billing Determinants'!$B$19:$P$41,6,0)/'4. Billing Determinants'!$G$41*$D23,IF($E23="Distribution Rev.",VLOOKUP(W$4,'4. Billing Determinants'!$B$19:$P$41,8,0)/'4. Billing Determinants'!$I$41*$D23, VLOOKUP(W$4,'4. Billing Determinants'!$B$19:$P$41,3,0)/'4. Billing Determinants'!$D$41*$D23))))),0)</f>
        <v>0</v>
      </c>
      <c r="X23" s="70">
        <f>IFERROR(IF(X$4="",0,IF($E23="kWh",VLOOKUP(X$4,'4. Billing Determinants'!$B$19:$P$41,4,0)/'4. Billing Determinants'!$E$41*$D23,IF($E23="kW",VLOOKUP(X$4,'4. Billing Determinants'!$B$19:$P$41,5,0)/'4. Billing Determinants'!$F$41*$D23,IF($E23="Non-RPP kWh",VLOOKUP(X$4,'4. Billing Determinants'!$B$19:$P$41,6,0)/'4. Billing Determinants'!$G$41*$D23,IF($E23="Distribution Rev.",VLOOKUP(X$4,'4. Billing Determinants'!$B$19:$P$41,8,0)/'4. Billing Determinants'!$I$41*$D23, VLOOKUP(X$4,'4. Billing Determinants'!$B$19:$P$41,3,0)/'4. Billing Determinants'!$D$41*$D23))))),0)</f>
        <v>0</v>
      </c>
      <c r="Y23" s="70">
        <f>IFERROR(IF(Y$4="",0,IF($E23="kWh",VLOOKUP(Y$4,'4. Billing Determinants'!$B$19:$P$41,4,0)/'4. Billing Determinants'!$E$41*$D23,IF($E23="kW",VLOOKUP(Y$4,'4. Billing Determinants'!$B$19:$P$41,5,0)/'4. Billing Determinants'!$F$41*$D23,IF($E23="Non-RPP kWh",VLOOKUP(Y$4,'4. Billing Determinants'!$B$19:$P$41,6,0)/'4. Billing Determinants'!$G$41*$D23,IF($E23="Distribution Rev.",VLOOKUP(Y$4,'4. Billing Determinants'!$B$19:$P$41,8,0)/'4. Billing Determinants'!$I$41*$D23, VLOOKUP(Y$4,'4. Billing Determinants'!$B$19:$P$41,3,0)/'4. Billing Determinants'!$D$41*$D23))))),0)</f>
        <v>0</v>
      </c>
    </row>
    <row r="24" spans="2:25" x14ac:dyDescent="0.2">
      <c r="B24" s="75" t="s">
        <v>4</v>
      </c>
      <c r="C24" s="69">
        <v>1518</v>
      </c>
      <c r="D24" s="70">
        <f>'2. 2014 Continuity Schedule'!BO47</f>
        <v>-413577.71344058332</v>
      </c>
      <c r="E24" s="130" t="s">
        <v>115</v>
      </c>
      <c r="F24" s="70">
        <f>IFERROR(IF(F$4="",0,IF($E24="kWh",VLOOKUP(F$4,'4. Billing Determinants'!$B$19:$P$41,4,0)/'4. Billing Determinants'!$E$41*$D24,IF($E24="kW",VLOOKUP(F$4,'4. Billing Determinants'!$B$19:$P$41,5,0)/'4. Billing Determinants'!$F$41*$D24,IF($E24="Non-RPP kWh",VLOOKUP(F$4,'4. Billing Determinants'!$B$19:$P$41,6,0)/'4. Billing Determinants'!$G$41*$D24,IF($E24="Distribution Rev.",VLOOKUP(F$4,'4. Billing Determinants'!$B$19:$P$41,8,0)/'4. Billing Determinants'!$I$41*$D24, VLOOKUP(F$4,'4. Billing Determinants'!$B$19:$P$41,3,0)/'4. Billing Determinants'!$D$41*$D24))))),0)</f>
        <v>-292402.95932521863</v>
      </c>
      <c r="G24" s="70">
        <f>IFERROR(IF(G$4="",0,IF($E24="kWh",VLOOKUP(G$4,'4. Billing Determinants'!$B$19:$P$41,4,0)/'4. Billing Determinants'!$E$41*$D24,IF($E24="kW",VLOOKUP(G$4,'4. Billing Determinants'!$B$19:$P$41,5,0)/'4. Billing Determinants'!$F$41*$D24,IF($E24="Non-RPP kWh",VLOOKUP(G$4,'4. Billing Determinants'!$B$19:$P$41,6,0)/'4. Billing Determinants'!$G$41*$D24,IF($E24="Distribution Rev.",VLOOKUP(G$4,'4. Billing Determinants'!$B$19:$P$41,8,0)/'4. Billing Determinants'!$I$41*$D24, VLOOKUP(G$4,'4. Billing Determinants'!$B$19:$P$41,3,0)/'4. Billing Determinants'!$D$41*$D24))))),0)</f>
        <v>-36931.030840734864</v>
      </c>
      <c r="H24" s="70">
        <f>IFERROR(IF(H$4="",0,IF($E24="kWh",VLOOKUP(H$4,'4. Billing Determinants'!$B$19:$P$41,4,0)/'4. Billing Determinants'!$E$41*$D24,IF($E24="kW",VLOOKUP(H$4,'4. Billing Determinants'!$B$19:$P$41,5,0)/'4. Billing Determinants'!$F$41*$D24,IF($E24="Non-RPP kWh",VLOOKUP(H$4,'4. Billing Determinants'!$B$19:$P$41,6,0)/'4. Billing Determinants'!$G$41*$D24,IF($E24="Distribution Rev.",VLOOKUP(H$4,'4. Billing Determinants'!$B$19:$P$41,8,0)/'4. Billing Determinants'!$I$41*$D24, VLOOKUP(H$4,'4. Billing Determinants'!$B$19:$P$41,3,0)/'4. Billing Determinants'!$D$41*$D24))))),0)</f>
        <v>-3419.0272180140596</v>
      </c>
      <c r="I24" s="70">
        <f>IFERROR(IF(I$4="",0,IF($E24="kWh",VLOOKUP(I$4,'4. Billing Determinants'!$B$19:$P$41,4,0)/'4. Billing Determinants'!$E$41*$D24,IF($E24="kW",VLOOKUP(I$4,'4. Billing Determinants'!$B$19:$P$41,5,0)/'4. Billing Determinants'!$F$41*$D24,IF($E24="Non-RPP kWh",VLOOKUP(I$4,'4. Billing Determinants'!$B$19:$P$41,6,0)/'4. Billing Determinants'!$G$41*$D24,IF($E24="Distribution Rev.",VLOOKUP(I$4,'4. Billing Determinants'!$B$19:$P$41,8,0)/'4. Billing Determinants'!$I$41*$D24, VLOOKUP(I$4,'4. Billing Determinants'!$B$19:$P$41,3,0)/'4. Billing Determinants'!$D$41*$D24))))),0)</f>
        <v>-13.842215457546802</v>
      </c>
      <c r="J24" s="70">
        <f>IFERROR(IF(J$4="",0,IF($E24="kWh",VLOOKUP(J$4,'4. Billing Determinants'!$B$19:$P$41,4,0)/'4. Billing Determinants'!$E$41*$D24,IF($E24="kW",VLOOKUP(J$4,'4. Billing Determinants'!$B$19:$P$41,5,0)/'4. Billing Determinants'!$F$41*$D24,IF($E24="Non-RPP kWh",VLOOKUP(J$4,'4. Billing Determinants'!$B$19:$P$41,6,0)/'4. Billing Determinants'!$G$41*$D24,IF($E24="Distribution Rev.",VLOOKUP(J$4,'4. Billing Determinants'!$B$19:$P$41,8,0)/'4. Billing Determinants'!$I$41*$D24, VLOOKUP(J$4,'4. Billing Determinants'!$B$19:$P$41,3,0)/'4. Billing Determinants'!$D$41*$D24))))),0)</f>
        <v>-96.895508202827614</v>
      </c>
      <c r="K24" s="70">
        <f>IFERROR(IF(K$4="",0,IF($E24="kWh",VLOOKUP(K$4,'4. Billing Determinants'!$B$19:$P$41,4,0)/'4. Billing Determinants'!$E$41*$D24,IF($E24="kW",VLOOKUP(K$4,'4. Billing Determinants'!$B$19:$P$41,5,0)/'4. Billing Determinants'!$F$41*$D24,IF($E24="Non-RPP kWh",VLOOKUP(K$4,'4. Billing Determinants'!$B$19:$P$41,6,0)/'4. Billing Determinants'!$G$41*$D24,IF($E24="Distribution Rev.",VLOOKUP(K$4,'4. Billing Determinants'!$B$19:$P$41,8,0)/'4. Billing Determinants'!$I$41*$D24, VLOOKUP(K$4,'4. Billing Determinants'!$B$19:$P$41,3,0)/'4. Billing Determinants'!$D$41*$D24))))),0)</f>
        <v>-5702.9927685092825</v>
      </c>
      <c r="L24" s="70">
        <f>IFERROR(IF(L$4="",0,IF($E24="kWh",VLOOKUP(L$4,'4. Billing Determinants'!$B$19:$P$41,4,0)/'4. Billing Determinants'!$E$41*$D24,IF($E24="kW",VLOOKUP(L$4,'4. Billing Determinants'!$B$19:$P$41,5,0)/'4. Billing Determinants'!$F$41*$D24,IF($E24="Non-RPP kWh",VLOOKUP(L$4,'4. Billing Determinants'!$B$19:$P$41,6,0)/'4. Billing Determinants'!$G$41*$D24,IF($E24="Distribution Rev.",VLOOKUP(L$4,'4. Billing Determinants'!$B$19:$P$41,8,0)/'4. Billing Determinants'!$I$41*$D24, VLOOKUP(L$4,'4. Billing Determinants'!$B$19:$P$41,3,0)/'4. Billing Determinants'!$D$41*$D24))))),0)</f>
        <v>-75010.965564446116</v>
      </c>
      <c r="M24" s="70">
        <f>IFERROR(IF(M$4="",0,IF($E24="kWh",VLOOKUP(M$4,'4. Billing Determinants'!$B$19:$P$41,4,0)/'4. Billing Determinants'!$E$41*$D24,IF($E24="kW",VLOOKUP(M$4,'4. Billing Determinants'!$B$19:$P$41,5,0)/'4. Billing Determinants'!$F$41*$D24,IF($E24="Non-RPP kWh",VLOOKUP(M$4,'4. Billing Determinants'!$B$19:$P$41,6,0)/'4. Billing Determinants'!$G$41*$D24,IF($E24="Distribution Rev.",VLOOKUP(M$4,'4. Billing Determinants'!$B$19:$P$41,8,0)/'4. Billing Determinants'!$I$41*$D24, VLOOKUP(M$4,'4. Billing Determinants'!$B$19:$P$41,3,0)/'4. Billing Determinants'!$D$41*$D24))))),0)</f>
        <v>0</v>
      </c>
      <c r="N24" s="70">
        <f>IFERROR(IF(N$4="",0,IF($E24="kWh",VLOOKUP(N$4,'4. Billing Determinants'!$B$19:$P$41,4,0)/'4. Billing Determinants'!$E$41*$D24,IF($E24="kW",VLOOKUP(N$4,'4. Billing Determinants'!$B$19:$P$41,5,0)/'4. Billing Determinants'!$F$41*$D24,IF($E24="Non-RPP kWh",VLOOKUP(N$4,'4. Billing Determinants'!$B$19:$P$41,6,0)/'4. Billing Determinants'!$G$41*$D24,IF($E24="Distribution Rev.",VLOOKUP(N$4,'4. Billing Determinants'!$B$19:$P$41,8,0)/'4. Billing Determinants'!$I$41*$D24, VLOOKUP(N$4,'4. Billing Determinants'!$B$19:$P$41,3,0)/'4. Billing Determinants'!$D$41*$D24))))),0)</f>
        <v>0</v>
      </c>
      <c r="O24" s="70">
        <f>IFERROR(IF(O$4="",0,IF($E24="kWh",VLOOKUP(O$4,'4. Billing Determinants'!$B$19:$P$41,4,0)/'4. Billing Determinants'!$E$41*$D24,IF($E24="kW",VLOOKUP(O$4,'4. Billing Determinants'!$B$19:$P$41,5,0)/'4. Billing Determinants'!$F$41*$D24,IF($E24="Non-RPP kWh",VLOOKUP(O$4,'4. Billing Determinants'!$B$19:$P$41,6,0)/'4. Billing Determinants'!$G$41*$D24,IF($E24="Distribution Rev.",VLOOKUP(O$4,'4. Billing Determinants'!$B$19:$P$41,8,0)/'4. Billing Determinants'!$I$41*$D24, VLOOKUP(O$4,'4. Billing Determinants'!$B$19:$P$41,3,0)/'4. Billing Determinants'!$D$41*$D24))))),0)</f>
        <v>0</v>
      </c>
      <c r="P24" s="70">
        <f>IFERROR(IF(P$4="",0,IF($E24="kWh",VLOOKUP(P$4,'4. Billing Determinants'!$B$19:$P$41,4,0)/'4. Billing Determinants'!$E$41*$D24,IF($E24="kW",VLOOKUP(P$4,'4. Billing Determinants'!$B$19:$P$41,5,0)/'4. Billing Determinants'!$F$41*$D24,IF($E24="Non-RPP kWh",VLOOKUP(P$4,'4. Billing Determinants'!$B$19:$P$41,6,0)/'4. Billing Determinants'!$G$41*$D24,IF($E24="Distribution Rev.",VLOOKUP(P$4,'4. Billing Determinants'!$B$19:$P$41,8,0)/'4. Billing Determinants'!$I$41*$D24, VLOOKUP(P$4,'4. Billing Determinants'!$B$19:$P$41,3,0)/'4. Billing Determinants'!$D$41*$D24))))),0)</f>
        <v>0</v>
      </c>
      <c r="Q24" s="70">
        <f>IFERROR(IF(Q$4="",0,IF($E24="kWh",VLOOKUP(Q$4,'4. Billing Determinants'!$B$19:$P$41,4,0)/'4. Billing Determinants'!$E$41*$D24,IF($E24="kW",VLOOKUP(Q$4,'4. Billing Determinants'!$B$19:$P$41,5,0)/'4. Billing Determinants'!$F$41*$D24,IF($E24="Non-RPP kWh",VLOOKUP(Q$4,'4. Billing Determinants'!$B$19:$P$41,6,0)/'4. Billing Determinants'!$G$41*$D24,IF($E24="Distribution Rev.",VLOOKUP(Q$4,'4. Billing Determinants'!$B$19:$P$41,8,0)/'4. Billing Determinants'!$I$41*$D24, VLOOKUP(Q$4,'4. Billing Determinants'!$B$19:$P$41,3,0)/'4. Billing Determinants'!$D$41*$D24))))),0)</f>
        <v>0</v>
      </c>
      <c r="R24" s="70">
        <f>IFERROR(IF(R$4="",0,IF($E24="kWh",VLOOKUP(R$4,'4. Billing Determinants'!$B$19:$P$41,4,0)/'4. Billing Determinants'!$E$41*$D24,IF($E24="kW",VLOOKUP(R$4,'4. Billing Determinants'!$B$19:$P$41,5,0)/'4. Billing Determinants'!$F$41*$D24,IF($E24="Non-RPP kWh",VLOOKUP(R$4,'4. Billing Determinants'!$B$19:$P$41,6,0)/'4. Billing Determinants'!$G$41*$D24,IF($E24="Distribution Rev.",VLOOKUP(R$4,'4. Billing Determinants'!$B$19:$P$41,8,0)/'4. Billing Determinants'!$I$41*$D24, VLOOKUP(R$4,'4. Billing Determinants'!$B$19:$P$41,3,0)/'4. Billing Determinants'!$D$41*$D24))))),0)</f>
        <v>0</v>
      </c>
      <c r="S24" s="70">
        <f>IFERROR(IF(S$4="",0,IF($E24="kWh",VLOOKUP(S$4,'4. Billing Determinants'!$B$19:$P$41,4,0)/'4. Billing Determinants'!$E$41*$D24,IF($E24="kW",VLOOKUP(S$4,'4. Billing Determinants'!$B$19:$P$41,5,0)/'4. Billing Determinants'!$F$41*$D24,IF($E24="Non-RPP kWh",VLOOKUP(S$4,'4. Billing Determinants'!$B$19:$P$41,6,0)/'4. Billing Determinants'!$G$41*$D24,IF($E24="Distribution Rev.",VLOOKUP(S$4,'4. Billing Determinants'!$B$19:$P$41,8,0)/'4. Billing Determinants'!$I$41*$D24, VLOOKUP(S$4,'4. Billing Determinants'!$B$19:$P$41,3,0)/'4. Billing Determinants'!$D$41*$D24))))),0)</f>
        <v>0</v>
      </c>
      <c r="T24" s="70">
        <f>IFERROR(IF(T$4="",0,IF($E24="kWh",VLOOKUP(T$4,'4. Billing Determinants'!$B$19:$P$41,4,0)/'4. Billing Determinants'!$E$41*$D24,IF($E24="kW",VLOOKUP(T$4,'4. Billing Determinants'!$B$19:$P$41,5,0)/'4. Billing Determinants'!$F$41*$D24,IF($E24="Non-RPP kWh",VLOOKUP(T$4,'4. Billing Determinants'!$B$19:$P$41,6,0)/'4. Billing Determinants'!$G$41*$D24,IF($E24="Distribution Rev.",VLOOKUP(T$4,'4. Billing Determinants'!$B$19:$P$41,8,0)/'4. Billing Determinants'!$I$41*$D24, VLOOKUP(T$4,'4. Billing Determinants'!$B$19:$P$41,3,0)/'4. Billing Determinants'!$D$41*$D24))))),0)</f>
        <v>0</v>
      </c>
      <c r="U24" s="70">
        <f>IFERROR(IF(U$4="",0,IF($E24="kWh",VLOOKUP(U$4,'4. Billing Determinants'!$B$19:$P$41,4,0)/'4. Billing Determinants'!$E$41*$D24,IF($E24="kW",VLOOKUP(U$4,'4. Billing Determinants'!$B$19:$P$41,5,0)/'4. Billing Determinants'!$F$41*$D24,IF($E24="Non-RPP kWh",VLOOKUP(U$4,'4. Billing Determinants'!$B$19:$P$41,6,0)/'4. Billing Determinants'!$G$41*$D24,IF($E24="Distribution Rev.",VLOOKUP(U$4,'4. Billing Determinants'!$B$19:$P$41,8,0)/'4. Billing Determinants'!$I$41*$D24, VLOOKUP(U$4,'4. Billing Determinants'!$B$19:$P$41,3,0)/'4. Billing Determinants'!$D$41*$D24))))),0)</f>
        <v>0</v>
      </c>
      <c r="V24" s="70">
        <f>IFERROR(IF(V$4="",0,IF($E24="kWh",VLOOKUP(V$4,'4. Billing Determinants'!$B$19:$P$41,4,0)/'4. Billing Determinants'!$E$41*$D24,IF($E24="kW",VLOOKUP(V$4,'4. Billing Determinants'!$B$19:$P$41,5,0)/'4. Billing Determinants'!$F$41*$D24,IF($E24="Non-RPP kWh",VLOOKUP(V$4,'4. Billing Determinants'!$B$19:$P$41,6,0)/'4. Billing Determinants'!$G$41*$D24,IF($E24="Distribution Rev.",VLOOKUP(V$4,'4. Billing Determinants'!$B$19:$P$41,8,0)/'4. Billing Determinants'!$I$41*$D24, VLOOKUP(V$4,'4. Billing Determinants'!$B$19:$P$41,3,0)/'4. Billing Determinants'!$D$41*$D24))))),0)</f>
        <v>0</v>
      </c>
      <c r="W24" s="70">
        <f>IFERROR(IF(W$4="",0,IF($E24="kWh",VLOOKUP(W$4,'4. Billing Determinants'!$B$19:$P$41,4,0)/'4. Billing Determinants'!$E$41*$D24,IF($E24="kW",VLOOKUP(W$4,'4. Billing Determinants'!$B$19:$P$41,5,0)/'4. Billing Determinants'!$F$41*$D24,IF($E24="Non-RPP kWh",VLOOKUP(W$4,'4. Billing Determinants'!$B$19:$P$41,6,0)/'4. Billing Determinants'!$G$41*$D24,IF($E24="Distribution Rev.",VLOOKUP(W$4,'4. Billing Determinants'!$B$19:$P$41,8,0)/'4. Billing Determinants'!$I$41*$D24, VLOOKUP(W$4,'4. Billing Determinants'!$B$19:$P$41,3,0)/'4. Billing Determinants'!$D$41*$D24))))),0)</f>
        <v>0</v>
      </c>
      <c r="X24" s="70">
        <f>IFERROR(IF(X$4="",0,IF($E24="kWh",VLOOKUP(X$4,'4. Billing Determinants'!$B$19:$P$41,4,0)/'4. Billing Determinants'!$E$41*$D24,IF($E24="kW",VLOOKUP(X$4,'4. Billing Determinants'!$B$19:$P$41,5,0)/'4. Billing Determinants'!$F$41*$D24,IF($E24="Non-RPP kWh",VLOOKUP(X$4,'4. Billing Determinants'!$B$19:$P$41,6,0)/'4. Billing Determinants'!$G$41*$D24,IF($E24="Distribution Rev.",VLOOKUP(X$4,'4. Billing Determinants'!$B$19:$P$41,8,0)/'4. Billing Determinants'!$I$41*$D24, VLOOKUP(X$4,'4. Billing Determinants'!$B$19:$P$41,3,0)/'4. Billing Determinants'!$D$41*$D24))))),0)</f>
        <v>0</v>
      </c>
      <c r="Y24" s="70">
        <f>IFERROR(IF(Y$4="",0,IF($E24="kWh",VLOOKUP(Y$4,'4. Billing Determinants'!$B$19:$P$41,4,0)/'4. Billing Determinants'!$E$41*$D24,IF($E24="kW",VLOOKUP(Y$4,'4. Billing Determinants'!$B$19:$P$41,5,0)/'4. Billing Determinants'!$F$41*$D24,IF($E24="Non-RPP kWh",VLOOKUP(Y$4,'4. Billing Determinants'!$B$19:$P$41,6,0)/'4. Billing Determinants'!$G$41*$D24,IF($E24="Distribution Rev.",VLOOKUP(Y$4,'4. Billing Determinants'!$B$19:$P$41,8,0)/'4. Billing Determinants'!$I$41*$D24, VLOOKUP(Y$4,'4. Billing Determinants'!$B$19:$P$41,3,0)/'4. Billing Determinants'!$D$41*$D24))))),0)</f>
        <v>0</v>
      </c>
    </row>
    <row r="25" spans="2:25" x14ac:dyDescent="0.2">
      <c r="B25" s="68" t="s">
        <v>9</v>
      </c>
      <c r="C25" s="69">
        <v>1525</v>
      </c>
      <c r="D25" s="70">
        <f>'2. 2014 Continuity Schedule'!BO48</f>
        <v>0</v>
      </c>
      <c r="E25" s="130" t="s">
        <v>276</v>
      </c>
      <c r="F25" s="70">
        <f>IFERROR(IF(F$4="",0,IF($E25="kWh",VLOOKUP(F$4,'4. Billing Determinants'!$B$19:$P$41,4,0)/'4. Billing Determinants'!$E$41*$D25,IF($E25="kW",VLOOKUP(F$4,'4. Billing Determinants'!$B$19:$P$41,5,0)/'4. Billing Determinants'!$F$41*$D25,IF($E25="Non-RPP kWh",VLOOKUP(F$4,'4. Billing Determinants'!$B$19:$P$41,6,0)/'4. Billing Determinants'!$G$41*$D25,IF($E25="Distribution Rev.",VLOOKUP(F$4,'4. Billing Determinants'!$B$19:$P$41,8,0)/'4. Billing Determinants'!$I$41*$D25, VLOOKUP(F$4,'4. Billing Determinants'!$B$19:$P$41,3,0)/'4. Billing Determinants'!$D$41*$D25))))),0)</f>
        <v>0</v>
      </c>
      <c r="G25" s="70">
        <f>IFERROR(IF(G$4="",0,IF($E25="kWh",VLOOKUP(G$4,'4. Billing Determinants'!$B$19:$P$41,4,0)/'4. Billing Determinants'!$E$41*$D25,IF($E25="kW",VLOOKUP(G$4,'4. Billing Determinants'!$B$19:$P$41,5,0)/'4. Billing Determinants'!$F$41*$D25,IF($E25="Non-RPP kWh",VLOOKUP(G$4,'4. Billing Determinants'!$B$19:$P$41,6,0)/'4. Billing Determinants'!$G$41*$D25,IF($E25="Distribution Rev.",VLOOKUP(G$4,'4. Billing Determinants'!$B$19:$P$41,8,0)/'4. Billing Determinants'!$I$41*$D25, VLOOKUP(G$4,'4. Billing Determinants'!$B$19:$P$41,3,0)/'4. Billing Determinants'!$D$41*$D25))))),0)</f>
        <v>0</v>
      </c>
      <c r="H25" s="70">
        <f>IFERROR(IF(H$4="",0,IF($E25="kWh",VLOOKUP(H$4,'4. Billing Determinants'!$B$19:$P$41,4,0)/'4. Billing Determinants'!$E$41*$D25,IF($E25="kW",VLOOKUP(H$4,'4. Billing Determinants'!$B$19:$P$41,5,0)/'4. Billing Determinants'!$F$41*$D25,IF($E25="Non-RPP kWh",VLOOKUP(H$4,'4. Billing Determinants'!$B$19:$P$41,6,0)/'4. Billing Determinants'!$G$41*$D25,IF($E25="Distribution Rev.",VLOOKUP(H$4,'4. Billing Determinants'!$B$19:$P$41,8,0)/'4. Billing Determinants'!$I$41*$D25, VLOOKUP(H$4,'4. Billing Determinants'!$B$19:$P$41,3,0)/'4. Billing Determinants'!$D$41*$D25))))),0)</f>
        <v>0</v>
      </c>
      <c r="I25" s="70">
        <f>IFERROR(IF(I$4="",0,IF($E25="kWh",VLOOKUP(I$4,'4. Billing Determinants'!$B$19:$P$41,4,0)/'4. Billing Determinants'!$E$41*$D25,IF($E25="kW",VLOOKUP(I$4,'4. Billing Determinants'!$B$19:$P$41,5,0)/'4. Billing Determinants'!$F$41*$D25,IF($E25="Non-RPP kWh",VLOOKUP(I$4,'4. Billing Determinants'!$B$19:$P$41,6,0)/'4. Billing Determinants'!$G$41*$D25,IF($E25="Distribution Rev.",VLOOKUP(I$4,'4. Billing Determinants'!$B$19:$P$41,8,0)/'4. Billing Determinants'!$I$41*$D25, VLOOKUP(I$4,'4. Billing Determinants'!$B$19:$P$41,3,0)/'4. Billing Determinants'!$D$41*$D25))))),0)</f>
        <v>0</v>
      </c>
      <c r="J25" s="70">
        <f>IFERROR(IF(J$4="",0,IF($E25="kWh",VLOOKUP(J$4,'4. Billing Determinants'!$B$19:$P$41,4,0)/'4. Billing Determinants'!$E$41*$D25,IF($E25="kW",VLOOKUP(J$4,'4. Billing Determinants'!$B$19:$P$41,5,0)/'4. Billing Determinants'!$F$41*$D25,IF($E25="Non-RPP kWh",VLOOKUP(J$4,'4. Billing Determinants'!$B$19:$P$41,6,0)/'4. Billing Determinants'!$G$41*$D25,IF($E25="Distribution Rev.",VLOOKUP(J$4,'4. Billing Determinants'!$B$19:$P$41,8,0)/'4. Billing Determinants'!$I$41*$D25, VLOOKUP(J$4,'4. Billing Determinants'!$B$19:$P$41,3,0)/'4. Billing Determinants'!$D$41*$D25))))),0)</f>
        <v>0</v>
      </c>
      <c r="K25" s="70">
        <f>IFERROR(IF(K$4="",0,IF($E25="kWh",VLOOKUP(K$4,'4. Billing Determinants'!$B$19:$P$41,4,0)/'4. Billing Determinants'!$E$41*$D25,IF($E25="kW",VLOOKUP(K$4,'4. Billing Determinants'!$B$19:$P$41,5,0)/'4. Billing Determinants'!$F$41*$D25,IF($E25="Non-RPP kWh",VLOOKUP(K$4,'4. Billing Determinants'!$B$19:$P$41,6,0)/'4. Billing Determinants'!$G$41*$D25,IF($E25="Distribution Rev.",VLOOKUP(K$4,'4. Billing Determinants'!$B$19:$P$41,8,0)/'4. Billing Determinants'!$I$41*$D25, VLOOKUP(K$4,'4. Billing Determinants'!$B$19:$P$41,3,0)/'4. Billing Determinants'!$D$41*$D25))))),0)</f>
        <v>0</v>
      </c>
      <c r="L25" s="70">
        <f>IFERROR(IF(L$4="",0,IF($E25="kWh",VLOOKUP(L$4,'4. Billing Determinants'!$B$19:$P$41,4,0)/'4. Billing Determinants'!$E$41*$D25,IF($E25="kW",VLOOKUP(L$4,'4. Billing Determinants'!$B$19:$P$41,5,0)/'4. Billing Determinants'!$F$41*$D25,IF($E25="Non-RPP kWh",VLOOKUP(L$4,'4. Billing Determinants'!$B$19:$P$41,6,0)/'4. Billing Determinants'!$G$41*$D25,IF($E25="Distribution Rev.",VLOOKUP(L$4,'4. Billing Determinants'!$B$19:$P$41,8,0)/'4. Billing Determinants'!$I$41*$D25, VLOOKUP(L$4,'4. Billing Determinants'!$B$19:$P$41,3,0)/'4. Billing Determinants'!$D$41*$D25))))),0)</f>
        <v>0</v>
      </c>
      <c r="M25" s="70">
        <f>IFERROR(IF(M$4="",0,IF($E25="kWh",VLOOKUP(M$4,'4. Billing Determinants'!$B$19:$P$41,4,0)/'4. Billing Determinants'!$E$41*$D25,IF($E25="kW",VLOOKUP(M$4,'4. Billing Determinants'!$B$19:$P$41,5,0)/'4. Billing Determinants'!$F$41*$D25,IF($E25="Non-RPP kWh",VLOOKUP(M$4,'4. Billing Determinants'!$B$19:$P$41,6,0)/'4. Billing Determinants'!$G$41*$D25,IF($E25="Distribution Rev.",VLOOKUP(M$4,'4. Billing Determinants'!$B$19:$P$41,8,0)/'4. Billing Determinants'!$I$41*$D25, VLOOKUP(M$4,'4. Billing Determinants'!$B$19:$P$41,3,0)/'4. Billing Determinants'!$D$41*$D25))))),0)</f>
        <v>0</v>
      </c>
      <c r="N25" s="70">
        <f>IFERROR(IF(N$4="",0,IF($E25="kWh",VLOOKUP(N$4,'4. Billing Determinants'!$B$19:$P$41,4,0)/'4. Billing Determinants'!$E$41*$D25,IF($E25="kW",VLOOKUP(N$4,'4. Billing Determinants'!$B$19:$P$41,5,0)/'4. Billing Determinants'!$F$41*$D25,IF($E25="Non-RPP kWh",VLOOKUP(N$4,'4. Billing Determinants'!$B$19:$P$41,6,0)/'4. Billing Determinants'!$G$41*$D25,IF($E25="Distribution Rev.",VLOOKUP(N$4,'4. Billing Determinants'!$B$19:$P$41,8,0)/'4. Billing Determinants'!$I$41*$D25, VLOOKUP(N$4,'4. Billing Determinants'!$B$19:$P$41,3,0)/'4. Billing Determinants'!$D$41*$D25))))),0)</f>
        <v>0</v>
      </c>
      <c r="O25" s="70">
        <f>IFERROR(IF(O$4="",0,IF($E25="kWh",VLOOKUP(O$4,'4. Billing Determinants'!$B$19:$P$41,4,0)/'4. Billing Determinants'!$E$41*$D25,IF($E25="kW",VLOOKUP(O$4,'4. Billing Determinants'!$B$19:$P$41,5,0)/'4. Billing Determinants'!$F$41*$D25,IF($E25="Non-RPP kWh",VLOOKUP(O$4,'4. Billing Determinants'!$B$19:$P$41,6,0)/'4. Billing Determinants'!$G$41*$D25,IF($E25="Distribution Rev.",VLOOKUP(O$4,'4. Billing Determinants'!$B$19:$P$41,8,0)/'4. Billing Determinants'!$I$41*$D25, VLOOKUP(O$4,'4. Billing Determinants'!$B$19:$P$41,3,0)/'4. Billing Determinants'!$D$41*$D25))))),0)</f>
        <v>0</v>
      </c>
      <c r="P25" s="70">
        <f>IFERROR(IF(P$4="",0,IF($E25="kWh",VLOOKUP(P$4,'4. Billing Determinants'!$B$19:$P$41,4,0)/'4. Billing Determinants'!$E$41*$D25,IF($E25="kW",VLOOKUP(P$4,'4. Billing Determinants'!$B$19:$P$41,5,0)/'4. Billing Determinants'!$F$41*$D25,IF($E25="Non-RPP kWh",VLOOKUP(P$4,'4. Billing Determinants'!$B$19:$P$41,6,0)/'4. Billing Determinants'!$G$41*$D25,IF($E25="Distribution Rev.",VLOOKUP(P$4,'4. Billing Determinants'!$B$19:$P$41,8,0)/'4. Billing Determinants'!$I$41*$D25, VLOOKUP(P$4,'4. Billing Determinants'!$B$19:$P$41,3,0)/'4. Billing Determinants'!$D$41*$D25))))),0)</f>
        <v>0</v>
      </c>
      <c r="Q25" s="70">
        <f>IFERROR(IF(Q$4="",0,IF($E25="kWh",VLOOKUP(Q$4,'4. Billing Determinants'!$B$19:$P$41,4,0)/'4. Billing Determinants'!$E$41*$D25,IF($E25="kW",VLOOKUP(Q$4,'4. Billing Determinants'!$B$19:$P$41,5,0)/'4. Billing Determinants'!$F$41*$D25,IF($E25="Non-RPP kWh",VLOOKUP(Q$4,'4. Billing Determinants'!$B$19:$P$41,6,0)/'4. Billing Determinants'!$G$41*$D25,IF($E25="Distribution Rev.",VLOOKUP(Q$4,'4. Billing Determinants'!$B$19:$P$41,8,0)/'4. Billing Determinants'!$I$41*$D25, VLOOKUP(Q$4,'4. Billing Determinants'!$B$19:$P$41,3,0)/'4. Billing Determinants'!$D$41*$D25))))),0)</f>
        <v>0</v>
      </c>
      <c r="R25" s="70">
        <f>IFERROR(IF(R$4="",0,IF($E25="kWh",VLOOKUP(R$4,'4. Billing Determinants'!$B$19:$P$41,4,0)/'4. Billing Determinants'!$E$41*$D25,IF($E25="kW",VLOOKUP(R$4,'4. Billing Determinants'!$B$19:$P$41,5,0)/'4. Billing Determinants'!$F$41*$D25,IF($E25="Non-RPP kWh",VLOOKUP(R$4,'4. Billing Determinants'!$B$19:$P$41,6,0)/'4. Billing Determinants'!$G$41*$D25,IF($E25="Distribution Rev.",VLOOKUP(R$4,'4. Billing Determinants'!$B$19:$P$41,8,0)/'4. Billing Determinants'!$I$41*$D25, VLOOKUP(R$4,'4. Billing Determinants'!$B$19:$P$41,3,0)/'4. Billing Determinants'!$D$41*$D25))))),0)</f>
        <v>0</v>
      </c>
      <c r="S25" s="70">
        <f>IFERROR(IF(S$4="",0,IF($E25="kWh",VLOOKUP(S$4,'4. Billing Determinants'!$B$19:$P$41,4,0)/'4. Billing Determinants'!$E$41*$D25,IF($E25="kW",VLOOKUP(S$4,'4. Billing Determinants'!$B$19:$P$41,5,0)/'4. Billing Determinants'!$F$41*$D25,IF($E25="Non-RPP kWh",VLOOKUP(S$4,'4. Billing Determinants'!$B$19:$P$41,6,0)/'4. Billing Determinants'!$G$41*$D25,IF($E25="Distribution Rev.",VLOOKUP(S$4,'4. Billing Determinants'!$B$19:$P$41,8,0)/'4. Billing Determinants'!$I$41*$D25, VLOOKUP(S$4,'4. Billing Determinants'!$B$19:$P$41,3,0)/'4. Billing Determinants'!$D$41*$D25))))),0)</f>
        <v>0</v>
      </c>
      <c r="T25" s="70">
        <f>IFERROR(IF(T$4="",0,IF($E25="kWh",VLOOKUP(T$4,'4. Billing Determinants'!$B$19:$P$41,4,0)/'4. Billing Determinants'!$E$41*$D25,IF($E25="kW",VLOOKUP(T$4,'4. Billing Determinants'!$B$19:$P$41,5,0)/'4. Billing Determinants'!$F$41*$D25,IF($E25="Non-RPP kWh",VLOOKUP(T$4,'4. Billing Determinants'!$B$19:$P$41,6,0)/'4. Billing Determinants'!$G$41*$D25,IF($E25="Distribution Rev.",VLOOKUP(T$4,'4. Billing Determinants'!$B$19:$P$41,8,0)/'4. Billing Determinants'!$I$41*$D25, VLOOKUP(T$4,'4. Billing Determinants'!$B$19:$P$41,3,0)/'4. Billing Determinants'!$D$41*$D25))))),0)</f>
        <v>0</v>
      </c>
      <c r="U25" s="70">
        <f>IFERROR(IF(U$4="",0,IF($E25="kWh",VLOOKUP(U$4,'4. Billing Determinants'!$B$19:$P$41,4,0)/'4. Billing Determinants'!$E$41*$D25,IF($E25="kW",VLOOKUP(U$4,'4. Billing Determinants'!$B$19:$P$41,5,0)/'4. Billing Determinants'!$F$41*$D25,IF($E25="Non-RPP kWh",VLOOKUP(U$4,'4. Billing Determinants'!$B$19:$P$41,6,0)/'4. Billing Determinants'!$G$41*$D25,IF($E25="Distribution Rev.",VLOOKUP(U$4,'4. Billing Determinants'!$B$19:$P$41,8,0)/'4. Billing Determinants'!$I$41*$D25, VLOOKUP(U$4,'4. Billing Determinants'!$B$19:$P$41,3,0)/'4. Billing Determinants'!$D$41*$D25))))),0)</f>
        <v>0</v>
      </c>
      <c r="V25" s="70">
        <f>IFERROR(IF(V$4="",0,IF($E25="kWh",VLOOKUP(V$4,'4. Billing Determinants'!$B$19:$P$41,4,0)/'4. Billing Determinants'!$E$41*$D25,IF($E25="kW",VLOOKUP(V$4,'4. Billing Determinants'!$B$19:$P$41,5,0)/'4. Billing Determinants'!$F$41*$D25,IF($E25="Non-RPP kWh",VLOOKUP(V$4,'4. Billing Determinants'!$B$19:$P$41,6,0)/'4. Billing Determinants'!$G$41*$D25,IF($E25="Distribution Rev.",VLOOKUP(V$4,'4. Billing Determinants'!$B$19:$P$41,8,0)/'4. Billing Determinants'!$I$41*$D25, VLOOKUP(V$4,'4. Billing Determinants'!$B$19:$P$41,3,0)/'4. Billing Determinants'!$D$41*$D25))))),0)</f>
        <v>0</v>
      </c>
      <c r="W25" s="70">
        <f>IFERROR(IF(W$4="",0,IF($E25="kWh",VLOOKUP(W$4,'4. Billing Determinants'!$B$19:$P$41,4,0)/'4. Billing Determinants'!$E$41*$D25,IF($E25="kW",VLOOKUP(W$4,'4. Billing Determinants'!$B$19:$P$41,5,0)/'4. Billing Determinants'!$F$41*$D25,IF($E25="Non-RPP kWh",VLOOKUP(W$4,'4. Billing Determinants'!$B$19:$P$41,6,0)/'4. Billing Determinants'!$G$41*$D25,IF($E25="Distribution Rev.",VLOOKUP(W$4,'4. Billing Determinants'!$B$19:$P$41,8,0)/'4. Billing Determinants'!$I$41*$D25, VLOOKUP(W$4,'4. Billing Determinants'!$B$19:$P$41,3,0)/'4. Billing Determinants'!$D$41*$D25))))),0)</f>
        <v>0</v>
      </c>
      <c r="X25" s="70">
        <f>IFERROR(IF(X$4="",0,IF($E25="kWh",VLOOKUP(X$4,'4. Billing Determinants'!$B$19:$P$41,4,0)/'4. Billing Determinants'!$E$41*$D25,IF($E25="kW",VLOOKUP(X$4,'4. Billing Determinants'!$B$19:$P$41,5,0)/'4. Billing Determinants'!$F$41*$D25,IF($E25="Non-RPP kWh",VLOOKUP(X$4,'4. Billing Determinants'!$B$19:$P$41,6,0)/'4. Billing Determinants'!$G$41*$D25,IF($E25="Distribution Rev.",VLOOKUP(X$4,'4. Billing Determinants'!$B$19:$P$41,8,0)/'4. Billing Determinants'!$I$41*$D25, VLOOKUP(X$4,'4. Billing Determinants'!$B$19:$P$41,3,0)/'4. Billing Determinants'!$D$41*$D25))))),0)</f>
        <v>0</v>
      </c>
      <c r="Y25" s="70">
        <f>IFERROR(IF(Y$4="",0,IF($E25="kWh",VLOOKUP(Y$4,'4. Billing Determinants'!$B$19:$P$41,4,0)/'4. Billing Determinants'!$E$41*$D25,IF($E25="kW",VLOOKUP(Y$4,'4. Billing Determinants'!$B$19:$P$41,5,0)/'4. Billing Determinants'!$F$41*$D25,IF($E25="Non-RPP kWh",VLOOKUP(Y$4,'4. Billing Determinants'!$B$19:$P$41,6,0)/'4. Billing Determinants'!$G$41*$D25,IF($E25="Distribution Rev.",VLOOKUP(Y$4,'4. Billing Determinants'!$B$19:$P$41,8,0)/'4. Billing Determinants'!$I$41*$D25, VLOOKUP(Y$4,'4. Billing Determinants'!$B$19:$P$41,3,0)/'4. Billing Determinants'!$D$41*$D25))))),0)</f>
        <v>0</v>
      </c>
    </row>
    <row r="26" spans="2:25" x14ac:dyDescent="0.2">
      <c r="B26" s="68" t="s">
        <v>41</v>
      </c>
      <c r="C26" s="69">
        <v>1531</v>
      </c>
      <c r="D26" s="70">
        <f>'2. 2014 Continuity Schedule'!BO49</f>
        <v>0</v>
      </c>
      <c r="E26" s="130"/>
      <c r="F26" s="70">
        <f>IFERROR(IF(F$4="",0,IF($E26="kWh",VLOOKUP(F$4,'4. Billing Determinants'!$B$19:$P$41,4,0)/'4. Billing Determinants'!$E$41*$D26,IF($E26="kW",VLOOKUP(F$4,'4. Billing Determinants'!$B$19:$P$41,5,0)/'4. Billing Determinants'!$F$41*$D26,IF($E26="Non-RPP kWh",VLOOKUP(F$4,'4. Billing Determinants'!$B$19:$P$41,6,0)/'4. Billing Determinants'!$G$41*$D26,IF($E26="Distribution Rev.",VLOOKUP(F$4,'4. Billing Determinants'!$B$19:$P$41,8,0)/'4. Billing Determinants'!$I$41*$D26, VLOOKUP(F$4,'4. Billing Determinants'!$B$19:$P$41,3,0)/'4. Billing Determinants'!$D$41*$D26))))),0)</f>
        <v>0</v>
      </c>
      <c r="G26" s="70">
        <f>IFERROR(IF(G$4="",0,IF($E26="kWh",VLOOKUP(G$4,'4. Billing Determinants'!$B$19:$P$41,4,0)/'4. Billing Determinants'!$E$41*$D26,IF($E26="kW",VLOOKUP(G$4,'4. Billing Determinants'!$B$19:$P$41,5,0)/'4. Billing Determinants'!$F$41*$D26,IF($E26="Non-RPP kWh",VLOOKUP(G$4,'4. Billing Determinants'!$B$19:$P$41,6,0)/'4. Billing Determinants'!$G$41*$D26,IF($E26="Distribution Rev.",VLOOKUP(G$4,'4. Billing Determinants'!$B$19:$P$41,8,0)/'4. Billing Determinants'!$I$41*$D26, VLOOKUP(G$4,'4. Billing Determinants'!$B$19:$P$41,3,0)/'4. Billing Determinants'!$D$41*$D26))))),0)</f>
        <v>0</v>
      </c>
      <c r="H26" s="70">
        <f>IFERROR(IF(H$4="",0,IF($E26="kWh",VLOOKUP(H$4,'4. Billing Determinants'!$B$19:$P$41,4,0)/'4. Billing Determinants'!$E$41*$D26,IF($E26="kW",VLOOKUP(H$4,'4. Billing Determinants'!$B$19:$P$41,5,0)/'4. Billing Determinants'!$F$41*$D26,IF($E26="Non-RPP kWh",VLOOKUP(H$4,'4. Billing Determinants'!$B$19:$P$41,6,0)/'4. Billing Determinants'!$G$41*$D26,IF($E26="Distribution Rev.",VLOOKUP(H$4,'4. Billing Determinants'!$B$19:$P$41,8,0)/'4. Billing Determinants'!$I$41*$D26, VLOOKUP(H$4,'4. Billing Determinants'!$B$19:$P$41,3,0)/'4. Billing Determinants'!$D$41*$D26))))),0)</f>
        <v>0</v>
      </c>
      <c r="I26" s="70">
        <f>IFERROR(IF(I$4="",0,IF($E26="kWh",VLOOKUP(I$4,'4. Billing Determinants'!$B$19:$P$41,4,0)/'4. Billing Determinants'!$E$41*$D26,IF($E26="kW",VLOOKUP(I$4,'4. Billing Determinants'!$B$19:$P$41,5,0)/'4. Billing Determinants'!$F$41*$D26,IF($E26="Non-RPP kWh",VLOOKUP(I$4,'4. Billing Determinants'!$B$19:$P$41,6,0)/'4. Billing Determinants'!$G$41*$D26,IF($E26="Distribution Rev.",VLOOKUP(I$4,'4. Billing Determinants'!$B$19:$P$41,8,0)/'4. Billing Determinants'!$I$41*$D26, VLOOKUP(I$4,'4. Billing Determinants'!$B$19:$P$41,3,0)/'4. Billing Determinants'!$D$41*$D26))))),0)</f>
        <v>0</v>
      </c>
      <c r="J26" s="70">
        <f>IFERROR(IF(J$4="",0,IF($E26="kWh",VLOOKUP(J$4,'4. Billing Determinants'!$B$19:$P$41,4,0)/'4. Billing Determinants'!$E$41*$D26,IF($E26="kW",VLOOKUP(J$4,'4. Billing Determinants'!$B$19:$P$41,5,0)/'4. Billing Determinants'!$F$41*$D26,IF($E26="Non-RPP kWh",VLOOKUP(J$4,'4. Billing Determinants'!$B$19:$P$41,6,0)/'4. Billing Determinants'!$G$41*$D26,IF($E26="Distribution Rev.",VLOOKUP(J$4,'4. Billing Determinants'!$B$19:$P$41,8,0)/'4. Billing Determinants'!$I$41*$D26, VLOOKUP(J$4,'4. Billing Determinants'!$B$19:$P$41,3,0)/'4. Billing Determinants'!$D$41*$D26))))),0)</f>
        <v>0</v>
      </c>
      <c r="K26" s="70">
        <f>IFERROR(IF(K$4="",0,IF($E26="kWh",VLOOKUP(K$4,'4. Billing Determinants'!$B$19:$P$41,4,0)/'4. Billing Determinants'!$E$41*$D26,IF($E26="kW",VLOOKUP(K$4,'4. Billing Determinants'!$B$19:$P$41,5,0)/'4. Billing Determinants'!$F$41*$D26,IF($E26="Non-RPP kWh",VLOOKUP(K$4,'4. Billing Determinants'!$B$19:$P$41,6,0)/'4. Billing Determinants'!$G$41*$D26,IF($E26="Distribution Rev.",VLOOKUP(K$4,'4. Billing Determinants'!$B$19:$P$41,8,0)/'4. Billing Determinants'!$I$41*$D26, VLOOKUP(K$4,'4. Billing Determinants'!$B$19:$P$41,3,0)/'4. Billing Determinants'!$D$41*$D26))))),0)</f>
        <v>0</v>
      </c>
      <c r="L26" s="70">
        <f>IFERROR(IF(L$4="",0,IF($E26="kWh",VLOOKUP(L$4,'4. Billing Determinants'!$B$19:$P$41,4,0)/'4. Billing Determinants'!$E$41*$D26,IF($E26="kW",VLOOKUP(L$4,'4. Billing Determinants'!$B$19:$P$41,5,0)/'4. Billing Determinants'!$F$41*$D26,IF($E26="Non-RPP kWh",VLOOKUP(L$4,'4. Billing Determinants'!$B$19:$P$41,6,0)/'4. Billing Determinants'!$G$41*$D26,IF($E26="Distribution Rev.",VLOOKUP(L$4,'4. Billing Determinants'!$B$19:$P$41,8,0)/'4. Billing Determinants'!$I$41*$D26, VLOOKUP(L$4,'4. Billing Determinants'!$B$19:$P$41,3,0)/'4. Billing Determinants'!$D$41*$D26))))),0)</f>
        <v>0</v>
      </c>
      <c r="M26" s="70">
        <f>IFERROR(IF(M$4="",0,IF($E26="kWh",VLOOKUP(M$4,'4. Billing Determinants'!$B$19:$P$41,4,0)/'4. Billing Determinants'!$E$41*$D26,IF($E26="kW",VLOOKUP(M$4,'4. Billing Determinants'!$B$19:$P$41,5,0)/'4. Billing Determinants'!$F$41*$D26,IF($E26="Non-RPP kWh",VLOOKUP(M$4,'4. Billing Determinants'!$B$19:$P$41,6,0)/'4. Billing Determinants'!$G$41*$D26,IF($E26="Distribution Rev.",VLOOKUP(M$4,'4. Billing Determinants'!$B$19:$P$41,8,0)/'4. Billing Determinants'!$I$41*$D26, VLOOKUP(M$4,'4. Billing Determinants'!$B$19:$P$41,3,0)/'4. Billing Determinants'!$D$41*$D26))))),0)</f>
        <v>0</v>
      </c>
      <c r="N26" s="70">
        <f>IFERROR(IF(N$4="",0,IF($E26="kWh",VLOOKUP(N$4,'4. Billing Determinants'!$B$19:$P$41,4,0)/'4. Billing Determinants'!$E$41*$D26,IF($E26="kW",VLOOKUP(N$4,'4. Billing Determinants'!$B$19:$P$41,5,0)/'4. Billing Determinants'!$F$41*$D26,IF($E26="Non-RPP kWh",VLOOKUP(N$4,'4. Billing Determinants'!$B$19:$P$41,6,0)/'4. Billing Determinants'!$G$41*$D26,IF($E26="Distribution Rev.",VLOOKUP(N$4,'4. Billing Determinants'!$B$19:$P$41,8,0)/'4. Billing Determinants'!$I$41*$D26, VLOOKUP(N$4,'4. Billing Determinants'!$B$19:$P$41,3,0)/'4. Billing Determinants'!$D$41*$D26))))),0)</f>
        <v>0</v>
      </c>
      <c r="O26" s="70">
        <f>IFERROR(IF(O$4="",0,IF($E26="kWh",VLOOKUP(O$4,'4. Billing Determinants'!$B$19:$P$41,4,0)/'4. Billing Determinants'!$E$41*$D26,IF($E26="kW",VLOOKUP(O$4,'4. Billing Determinants'!$B$19:$P$41,5,0)/'4. Billing Determinants'!$F$41*$D26,IF($E26="Non-RPP kWh",VLOOKUP(O$4,'4. Billing Determinants'!$B$19:$P$41,6,0)/'4. Billing Determinants'!$G$41*$D26,IF($E26="Distribution Rev.",VLOOKUP(O$4,'4. Billing Determinants'!$B$19:$P$41,8,0)/'4. Billing Determinants'!$I$41*$D26, VLOOKUP(O$4,'4. Billing Determinants'!$B$19:$P$41,3,0)/'4. Billing Determinants'!$D$41*$D26))))),0)</f>
        <v>0</v>
      </c>
      <c r="P26" s="70">
        <f>IFERROR(IF(P$4="",0,IF($E26="kWh",VLOOKUP(P$4,'4. Billing Determinants'!$B$19:$P$41,4,0)/'4. Billing Determinants'!$E$41*$D26,IF($E26="kW",VLOOKUP(P$4,'4. Billing Determinants'!$B$19:$P$41,5,0)/'4. Billing Determinants'!$F$41*$D26,IF($E26="Non-RPP kWh",VLOOKUP(P$4,'4. Billing Determinants'!$B$19:$P$41,6,0)/'4. Billing Determinants'!$G$41*$D26,IF($E26="Distribution Rev.",VLOOKUP(P$4,'4. Billing Determinants'!$B$19:$P$41,8,0)/'4. Billing Determinants'!$I$41*$D26, VLOOKUP(P$4,'4. Billing Determinants'!$B$19:$P$41,3,0)/'4. Billing Determinants'!$D$41*$D26))))),0)</f>
        <v>0</v>
      </c>
      <c r="Q26" s="70">
        <f>IFERROR(IF(Q$4="",0,IF($E26="kWh",VLOOKUP(Q$4,'4. Billing Determinants'!$B$19:$P$41,4,0)/'4. Billing Determinants'!$E$41*$D26,IF($E26="kW",VLOOKUP(Q$4,'4. Billing Determinants'!$B$19:$P$41,5,0)/'4. Billing Determinants'!$F$41*$D26,IF($E26="Non-RPP kWh",VLOOKUP(Q$4,'4. Billing Determinants'!$B$19:$P$41,6,0)/'4. Billing Determinants'!$G$41*$D26,IF($E26="Distribution Rev.",VLOOKUP(Q$4,'4. Billing Determinants'!$B$19:$P$41,8,0)/'4. Billing Determinants'!$I$41*$D26, VLOOKUP(Q$4,'4. Billing Determinants'!$B$19:$P$41,3,0)/'4. Billing Determinants'!$D$41*$D26))))),0)</f>
        <v>0</v>
      </c>
      <c r="R26" s="70">
        <f>IFERROR(IF(R$4="",0,IF($E26="kWh",VLOOKUP(R$4,'4. Billing Determinants'!$B$19:$P$41,4,0)/'4. Billing Determinants'!$E$41*$D26,IF($E26="kW",VLOOKUP(R$4,'4. Billing Determinants'!$B$19:$P$41,5,0)/'4. Billing Determinants'!$F$41*$D26,IF($E26="Non-RPP kWh",VLOOKUP(R$4,'4. Billing Determinants'!$B$19:$P$41,6,0)/'4. Billing Determinants'!$G$41*$D26,IF($E26="Distribution Rev.",VLOOKUP(R$4,'4. Billing Determinants'!$B$19:$P$41,8,0)/'4. Billing Determinants'!$I$41*$D26, VLOOKUP(R$4,'4. Billing Determinants'!$B$19:$P$41,3,0)/'4. Billing Determinants'!$D$41*$D26))))),0)</f>
        <v>0</v>
      </c>
      <c r="S26" s="70">
        <f>IFERROR(IF(S$4="",0,IF($E26="kWh",VLOOKUP(S$4,'4. Billing Determinants'!$B$19:$P$41,4,0)/'4. Billing Determinants'!$E$41*$D26,IF($E26="kW",VLOOKUP(S$4,'4. Billing Determinants'!$B$19:$P$41,5,0)/'4. Billing Determinants'!$F$41*$D26,IF($E26="Non-RPP kWh",VLOOKUP(S$4,'4. Billing Determinants'!$B$19:$P$41,6,0)/'4. Billing Determinants'!$G$41*$D26,IF($E26="Distribution Rev.",VLOOKUP(S$4,'4. Billing Determinants'!$B$19:$P$41,8,0)/'4. Billing Determinants'!$I$41*$D26, VLOOKUP(S$4,'4. Billing Determinants'!$B$19:$P$41,3,0)/'4. Billing Determinants'!$D$41*$D26))))),0)</f>
        <v>0</v>
      </c>
      <c r="T26" s="70">
        <f>IFERROR(IF(T$4="",0,IF($E26="kWh",VLOOKUP(T$4,'4. Billing Determinants'!$B$19:$P$41,4,0)/'4. Billing Determinants'!$E$41*$D26,IF($E26="kW",VLOOKUP(T$4,'4. Billing Determinants'!$B$19:$P$41,5,0)/'4. Billing Determinants'!$F$41*$D26,IF($E26="Non-RPP kWh",VLOOKUP(T$4,'4. Billing Determinants'!$B$19:$P$41,6,0)/'4. Billing Determinants'!$G$41*$D26,IF($E26="Distribution Rev.",VLOOKUP(T$4,'4. Billing Determinants'!$B$19:$P$41,8,0)/'4. Billing Determinants'!$I$41*$D26, VLOOKUP(T$4,'4. Billing Determinants'!$B$19:$P$41,3,0)/'4. Billing Determinants'!$D$41*$D26))))),0)</f>
        <v>0</v>
      </c>
      <c r="U26" s="70">
        <f>IFERROR(IF(U$4="",0,IF($E26="kWh",VLOOKUP(U$4,'4. Billing Determinants'!$B$19:$P$41,4,0)/'4. Billing Determinants'!$E$41*$D26,IF($E26="kW",VLOOKUP(U$4,'4. Billing Determinants'!$B$19:$P$41,5,0)/'4. Billing Determinants'!$F$41*$D26,IF($E26="Non-RPP kWh",VLOOKUP(U$4,'4. Billing Determinants'!$B$19:$P$41,6,0)/'4. Billing Determinants'!$G$41*$D26,IF($E26="Distribution Rev.",VLOOKUP(U$4,'4. Billing Determinants'!$B$19:$P$41,8,0)/'4. Billing Determinants'!$I$41*$D26, VLOOKUP(U$4,'4. Billing Determinants'!$B$19:$P$41,3,0)/'4. Billing Determinants'!$D$41*$D26))))),0)</f>
        <v>0</v>
      </c>
      <c r="V26" s="70">
        <f>IFERROR(IF(V$4="",0,IF($E26="kWh",VLOOKUP(V$4,'4. Billing Determinants'!$B$19:$P$41,4,0)/'4. Billing Determinants'!$E$41*$D26,IF($E26="kW",VLOOKUP(V$4,'4. Billing Determinants'!$B$19:$P$41,5,0)/'4. Billing Determinants'!$F$41*$D26,IF($E26="Non-RPP kWh",VLOOKUP(V$4,'4. Billing Determinants'!$B$19:$P$41,6,0)/'4. Billing Determinants'!$G$41*$D26,IF($E26="Distribution Rev.",VLOOKUP(V$4,'4. Billing Determinants'!$B$19:$P$41,8,0)/'4. Billing Determinants'!$I$41*$D26, VLOOKUP(V$4,'4. Billing Determinants'!$B$19:$P$41,3,0)/'4. Billing Determinants'!$D$41*$D26))))),0)</f>
        <v>0</v>
      </c>
      <c r="W26" s="70">
        <f>IFERROR(IF(W$4="",0,IF($E26="kWh",VLOOKUP(W$4,'4. Billing Determinants'!$B$19:$P$41,4,0)/'4. Billing Determinants'!$E$41*$D26,IF($E26="kW",VLOOKUP(W$4,'4. Billing Determinants'!$B$19:$P$41,5,0)/'4. Billing Determinants'!$F$41*$D26,IF($E26="Non-RPP kWh",VLOOKUP(W$4,'4. Billing Determinants'!$B$19:$P$41,6,0)/'4. Billing Determinants'!$G$41*$D26,IF($E26="Distribution Rev.",VLOOKUP(W$4,'4. Billing Determinants'!$B$19:$P$41,8,0)/'4. Billing Determinants'!$I$41*$D26, VLOOKUP(W$4,'4. Billing Determinants'!$B$19:$P$41,3,0)/'4. Billing Determinants'!$D$41*$D26))))),0)</f>
        <v>0</v>
      </c>
      <c r="X26" s="70">
        <f>IFERROR(IF(X$4="",0,IF($E26="kWh",VLOOKUP(X$4,'4. Billing Determinants'!$B$19:$P$41,4,0)/'4. Billing Determinants'!$E$41*$D26,IF($E26="kW",VLOOKUP(X$4,'4. Billing Determinants'!$B$19:$P$41,5,0)/'4. Billing Determinants'!$F$41*$D26,IF($E26="Non-RPP kWh",VLOOKUP(X$4,'4. Billing Determinants'!$B$19:$P$41,6,0)/'4. Billing Determinants'!$G$41*$D26,IF($E26="Distribution Rev.",VLOOKUP(X$4,'4. Billing Determinants'!$B$19:$P$41,8,0)/'4. Billing Determinants'!$I$41*$D26, VLOOKUP(X$4,'4. Billing Determinants'!$B$19:$P$41,3,0)/'4. Billing Determinants'!$D$41*$D26))))),0)</f>
        <v>0</v>
      </c>
      <c r="Y26" s="70">
        <f>IFERROR(IF(Y$4="",0,IF($E26="kWh",VLOOKUP(Y$4,'4. Billing Determinants'!$B$19:$P$41,4,0)/'4. Billing Determinants'!$E$41*$D26,IF($E26="kW",VLOOKUP(Y$4,'4. Billing Determinants'!$B$19:$P$41,5,0)/'4. Billing Determinants'!$F$41*$D26,IF($E26="Non-RPP kWh",VLOOKUP(Y$4,'4. Billing Determinants'!$B$19:$P$41,6,0)/'4. Billing Determinants'!$G$41*$D26,IF($E26="Distribution Rev.",VLOOKUP(Y$4,'4. Billing Determinants'!$B$19:$P$41,8,0)/'4. Billing Determinants'!$I$41*$D26, VLOOKUP(Y$4,'4. Billing Determinants'!$B$19:$P$41,3,0)/'4. Billing Determinants'!$D$41*$D26))))),0)</f>
        <v>0</v>
      </c>
    </row>
    <row r="27" spans="2:25" x14ac:dyDescent="0.2">
      <c r="B27" s="68" t="s">
        <v>42</v>
      </c>
      <c r="C27" s="69">
        <v>1532</v>
      </c>
      <c r="D27" s="70">
        <f>'2. 2014 Continuity Schedule'!BO50</f>
        <v>0</v>
      </c>
      <c r="E27" s="130"/>
      <c r="F27" s="70">
        <f>IFERROR(IF(F$4="",0,IF($E27="kWh",VLOOKUP(F$4,'4. Billing Determinants'!$B$19:$P$41,4,0)/'4. Billing Determinants'!$E$41*$D27,IF($E27="kW",VLOOKUP(F$4,'4. Billing Determinants'!$B$19:$P$41,5,0)/'4. Billing Determinants'!$F$41*$D27,IF($E27="Non-RPP kWh",VLOOKUP(F$4,'4. Billing Determinants'!$B$19:$P$41,6,0)/'4. Billing Determinants'!$G$41*$D27,IF($E27="Distribution Rev.",VLOOKUP(F$4,'4. Billing Determinants'!$B$19:$P$41,8,0)/'4. Billing Determinants'!$I$41*$D27, VLOOKUP(F$4,'4. Billing Determinants'!$B$19:$P$41,3,0)/'4. Billing Determinants'!$D$41*$D27))))),0)</f>
        <v>0</v>
      </c>
      <c r="G27" s="70">
        <f>IFERROR(IF(G$4="",0,IF($E27="kWh",VLOOKUP(G$4,'4. Billing Determinants'!$B$19:$P$41,4,0)/'4. Billing Determinants'!$E$41*$D27,IF($E27="kW",VLOOKUP(G$4,'4. Billing Determinants'!$B$19:$P$41,5,0)/'4. Billing Determinants'!$F$41*$D27,IF($E27="Non-RPP kWh",VLOOKUP(G$4,'4. Billing Determinants'!$B$19:$P$41,6,0)/'4. Billing Determinants'!$G$41*$D27,IF($E27="Distribution Rev.",VLOOKUP(G$4,'4. Billing Determinants'!$B$19:$P$41,8,0)/'4. Billing Determinants'!$I$41*$D27, VLOOKUP(G$4,'4. Billing Determinants'!$B$19:$P$41,3,0)/'4. Billing Determinants'!$D$41*$D27))))),0)</f>
        <v>0</v>
      </c>
      <c r="H27" s="70">
        <f>IFERROR(IF(H$4="",0,IF($E27="kWh",VLOOKUP(H$4,'4. Billing Determinants'!$B$19:$P$41,4,0)/'4. Billing Determinants'!$E$41*$D27,IF($E27="kW",VLOOKUP(H$4,'4. Billing Determinants'!$B$19:$P$41,5,0)/'4. Billing Determinants'!$F$41*$D27,IF($E27="Non-RPP kWh",VLOOKUP(H$4,'4. Billing Determinants'!$B$19:$P$41,6,0)/'4. Billing Determinants'!$G$41*$D27,IF($E27="Distribution Rev.",VLOOKUP(H$4,'4. Billing Determinants'!$B$19:$P$41,8,0)/'4. Billing Determinants'!$I$41*$D27, VLOOKUP(H$4,'4. Billing Determinants'!$B$19:$P$41,3,0)/'4. Billing Determinants'!$D$41*$D27))))),0)</f>
        <v>0</v>
      </c>
      <c r="I27" s="70">
        <f>IFERROR(IF(I$4="",0,IF($E27="kWh",VLOOKUP(I$4,'4. Billing Determinants'!$B$19:$P$41,4,0)/'4. Billing Determinants'!$E$41*$D27,IF($E27="kW",VLOOKUP(I$4,'4. Billing Determinants'!$B$19:$P$41,5,0)/'4. Billing Determinants'!$F$41*$D27,IF($E27="Non-RPP kWh",VLOOKUP(I$4,'4. Billing Determinants'!$B$19:$P$41,6,0)/'4. Billing Determinants'!$G$41*$D27,IF($E27="Distribution Rev.",VLOOKUP(I$4,'4. Billing Determinants'!$B$19:$P$41,8,0)/'4. Billing Determinants'!$I$41*$D27, VLOOKUP(I$4,'4. Billing Determinants'!$B$19:$P$41,3,0)/'4. Billing Determinants'!$D$41*$D27))))),0)</f>
        <v>0</v>
      </c>
      <c r="J27" s="70">
        <f>IFERROR(IF(J$4="",0,IF($E27="kWh",VLOOKUP(J$4,'4. Billing Determinants'!$B$19:$P$41,4,0)/'4. Billing Determinants'!$E$41*$D27,IF($E27="kW",VLOOKUP(J$4,'4. Billing Determinants'!$B$19:$P$41,5,0)/'4. Billing Determinants'!$F$41*$D27,IF($E27="Non-RPP kWh",VLOOKUP(J$4,'4. Billing Determinants'!$B$19:$P$41,6,0)/'4. Billing Determinants'!$G$41*$D27,IF($E27="Distribution Rev.",VLOOKUP(J$4,'4. Billing Determinants'!$B$19:$P$41,8,0)/'4. Billing Determinants'!$I$41*$D27, VLOOKUP(J$4,'4. Billing Determinants'!$B$19:$P$41,3,0)/'4. Billing Determinants'!$D$41*$D27))))),0)</f>
        <v>0</v>
      </c>
      <c r="K27" s="70">
        <f>IFERROR(IF(K$4="",0,IF($E27="kWh",VLOOKUP(K$4,'4. Billing Determinants'!$B$19:$P$41,4,0)/'4. Billing Determinants'!$E$41*$D27,IF($E27="kW",VLOOKUP(K$4,'4. Billing Determinants'!$B$19:$P$41,5,0)/'4. Billing Determinants'!$F$41*$D27,IF($E27="Non-RPP kWh",VLOOKUP(K$4,'4. Billing Determinants'!$B$19:$P$41,6,0)/'4. Billing Determinants'!$G$41*$D27,IF($E27="Distribution Rev.",VLOOKUP(K$4,'4. Billing Determinants'!$B$19:$P$41,8,0)/'4. Billing Determinants'!$I$41*$D27, VLOOKUP(K$4,'4. Billing Determinants'!$B$19:$P$41,3,0)/'4. Billing Determinants'!$D$41*$D27))))),0)</f>
        <v>0</v>
      </c>
      <c r="L27" s="70">
        <f>IFERROR(IF(L$4="",0,IF($E27="kWh",VLOOKUP(L$4,'4. Billing Determinants'!$B$19:$P$41,4,0)/'4. Billing Determinants'!$E$41*$D27,IF($E27="kW",VLOOKUP(L$4,'4. Billing Determinants'!$B$19:$P$41,5,0)/'4. Billing Determinants'!$F$41*$D27,IF($E27="Non-RPP kWh",VLOOKUP(L$4,'4. Billing Determinants'!$B$19:$P$41,6,0)/'4. Billing Determinants'!$G$41*$D27,IF($E27="Distribution Rev.",VLOOKUP(L$4,'4. Billing Determinants'!$B$19:$P$41,8,0)/'4. Billing Determinants'!$I$41*$D27, VLOOKUP(L$4,'4. Billing Determinants'!$B$19:$P$41,3,0)/'4. Billing Determinants'!$D$41*$D27))))),0)</f>
        <v>0</v>
      </c>
      <c r="M27" s="70">
        <f>IFERROR(IF(M$4="",0,IF($E27="kWh",VLOOKUP(M$4,'4. Billing Determinants'!$B$19:$P$41,4,0)/'4. Billing Determinants'!$E$41*$D27,IF($E27="kW",VLOOKUP(M$4,'4. Billing Determinants'!$B$19:$P$41,5,0)/'4. Billing Determinants'!$F$41*$D27,IF($E27="Non-RPP kWh",VLOOKUP(M$4,'4. Billing Determinants'!$B$19:$P$41,6,0)/'4. Billing Determinants'!$G$41*$D27,IF($E27="Distribution Rev.",VLOOKUP(M$4,'4. Billing Determinants'!$B$19:$P$41,8,0)/'4. Billing Determinants'!$I$41*$D27, VLOOKUP(M$4,'4. Billing Determinants'!$B$19:$P$41,3,0)/'4. Billing Determinants'!$D$41*$D27))))),0)</f>
        <v>0</v>
      </c>
      <c r="N27" s="70">
        <f>IFERROR(IF(N$4="",0,IF($E27="kWh",VLOOKUP(N$4,'4. Billing Determinants'!$B$19:$P$41,4,0)/'4. Billing Determinants'!$E$41*$D27,IF($E27="kW",VLOOKUP(N$4,'4. Billing Determinants'!$B$19:$P$41,5,0)/'4. Billing Determinants'!$F$41*$D27,IF($E27="Non-RPP kWh",VLOOKUP(N$4,'4. Billing Determinants'!$B$19:$P$41,6,0)/'4. Billing Determinants'!$G$41*$D27,IF($E27="Distribution Rev.",VLOOKUP(N$4,'4. Billing Determinants'!$B$19:$P$41,8,0)/'4. Billing Determinants'!$I$41*$D27, VLOOKUP(N$4,'4. Billing Determinants'!$B$19:$P$41,3,0)/'4. Billing Determinants'!$D$41*$D27))))),0)</f>
        <v>0</v>
      </c>
      <c r="O27" s="70">
        <f>IFERROR(IF(O$4="",0,IF($E27="kWh",VLOOKUP(O$4,'4. Billing Determinants'!$B$19:$P$41,4,0)/'4. Billing Determinants'!$E$41*$D27,IF($E27="kW",VLOOKUP(O$4,'4. Billing Determinants'!$B$19:$P$41,5,0)/'4. Billing Determinants'!$F$41*$D27,IF($E27="Non-RPP kWh",VLOOKUP(O$4,'4. Billing Determinants'!$B$19:$P$41,6,0)/'4. Billing Determinants'!$G$41*$D27,IF($E27="Distribution Rev.",VLOOKUP(O$4,'4. Billing Determinants'!$B$19:$P$41,8,0)/'4. Billing Determinants'!$I$41*$D27, VLOOKUP(O$4,'4. Billing Determinants'!$B$19:$P$41,3,0)/'4. Billing Determinants'!$D$41*$D27))))),0)</f>
        <v>0</v>
      </c>
      <c r="P27" s="70">
        <f>IFERROR(IF(P$4="",0,IF($E27="kWh",VLOOKUP(P$4,'4. Billing Determinants'!$B$19:$P$41,4,0)/'4. Billing Determinants'!$E$41*$D27,IF($E27="kW",VLOOKUP(P$4,'4. Billing Determinants'!$B$19:$P$41,5,0)/'4. Billing Determinants'!$F$41*$D27,IF($E27="Non-RPP kWh",VLOOKUP(P$4,'4. Billing Determinants'!$B$19:$P$41,6,0)/'4. Billing Determinants'!$G$41*$D27,IF($E27="Distribution Rev.",VLOOKUP(P$4,'4. Billing Determinants'!$B$19:$P$41,8,0)/'4. Billing Determinants'!$I$41*$D27, VLOOKUP(P$4,'4. Billing Determinants'!$B$19:$P$41,3,0)/'4. Billing Determinants'!$D$41*$D27))))),0)</f>
        <v>0</v>
      </c>
      <c r="Q27" s="70">
        <f>IFERROR(IF(Q$4="",0,IF($E27="kWh",VLOOKUP(Q$4,'4. Billing Determinants'!$B$19:$P$41,4,0)/'4. Billing Determinants'!$E$41*$D27,IF($E27="kW",VLOOKUP(Q$4,'4. Billing Determinants'!$B$19:$P$41,5,0)/'4. Billing Determinants'!$F$41*$D27,IF($E27="Non-RPP kWh",VLOOKUP(Q$4,'4. Billing Determinants'!$B$19:$P$41,6,0)/'4. Billing Determinants'!$G$41*$D27,IF($E27="Distribution Rev.",VLOOKUP(Q$4,'4. Billing Determinants'!$B$19:$P$41,8,0)/'4. Billing Determinants'!$I$41*$D27, VLOOKUP(Q$4,'4. Billing Determinants'!$B$19:$P$41,3,0)/'4. Billing Determinants'!$D$41*$D27))))),0)</f>
        <v>0</v>
      </c>
      <c r="R27" s="70">
        <f>IFERROR(IF(R$4="",0,IF($E27="kWh",VLOOKUP(R$4,'4. Billing Determinants'!$B$19:$P$41,4,0)/'4. Billing Determinants'!$E$41*$D27,IF($E27="kW",VLOOKUP(R$4,'4. Billing Determinants'!$B$19:$P$41,5,0)/'4. Billing Determinants'!$F$41*$D27,IF($E27="Non-RPP kWh",VLOOKUP(R$4,'4. Billing Determinants'!$B$19:$P$41,6,0)/'4. Billing Determinants'!$G$41*$D27,IF($E27="Distribution Rev.",VLOOKUP(R$4,'4. Billing Determinants'!$B$19:$P$41,8,0)/'4. Billing Determinants'!$I$41*$D27, VLOOKUP(R$4,'4. Billing Determinants'!$B$19:$P$41,3,0)/'4. Billing Determinants'!$D$41*$D27))))),0)</f>
        <v>0</v>
      </c>
      <c r="S27" s="70">
        <f>IFERROR(IF(S$4="",0,IF($E27="kWh",VLOOKUP(S$4,'4. Billing Determinants'!$B$19:$P$41,4,0)/'4. Billing Determinants'!$E$41*$D27,IF($E27="kW",VLOOKUP(S$4,'4. Billing Determinants'!$B$19:$P$41,5,0)/'4. Billing Determinants'!$F$41*$D27,IF($E27="Non-RPP kWh",VLOOKUP(S$4,'4. Billing Determinants'!$B$19:$P$41,6,0)/'4. Billing Determinants'!$G$41*$D27,IF($E27="Distribution Rev.",VLOOKUP(S$4,'4. Billing Determinants'!$B$19:$P$41,8,0)/'4. Billing Determinants'!$I$41*$D27, VLOOKUP(S$4,'4. Billing Determinants'!$B$19:$P$41,3,0)/'4. Billing Determinants'!$D$41*$D27))))),0)</f>
        <v>0</v>
      </c>
      <c r="T27" s="70">
        <f>IFERROR(IF(T$4="",0,IF($E27="kWh",VLOOKUP(T$4,'4. Billing Determinants'!$B$19:$P$41,4,0)/'4. Billing Determinants'!$E$41*$D27,IF($E27="kW",VLOOKUP(T$4,'4. Billing Determinants'!$B$19:$P$41,5,0)/'4. Billing Determinants'!$F$41*$D27,IF($E27="Non-RPP kWh",VLOOKUP(T$4,'4. Billing Determinants'!$B$19:$P$41,6,0)/'4. Billing Determinants'!$G$41*$D27,IF($E27="Distribution Rev.",VLOOKUP(T$4,'4. Billing Determinants'!$B$19:$P$41,8,0)/'4. Billing Determinants'!$I$41*$D27, VLOOKUP(T$4,'4. Billing Determinants'!$B$19:$P$41,3,0)/'4. Billing Determinants'!$D$41*$D27))))),0)</f>
        <v>0</v>
      </c>
      <c r="U27" s="70">
        <f>IFERROR(IF(U$4="",0,IF($E27="kWh",VLOOKUP(U$4,'4. Billing Determinants'!$B$19:$P$41,4,0)/'4. Billing Determinants'!$E$41*$D27,IF($E27="kW",VLOOKUP(U$4,'4. Billing Determinants'!$B$19:$P$41,5,0)/'4. Billing Determinants'!$F$41*$D27,IF($E27="Non-RPP kWh",VLOOKUP(U$4,'4. Billing Determinants'!$B$19:$P$41,6,0)/'4. Billing Determinants'!$G$41*$D27,IF($E27="Distribution Rev.",VLOOKUP(U$4,'4. Billing Determinants'!$B$19:$P$41,8,0)/'4. Billing Determinants'!$I$41*$D27, VLOOKUP(U$4,'4. Billing Determinants'!$B$19:$P$41,3,0)/'4. Billing Determinants'!$D$41*$D27))))),0)</f>
        <v>0</v>
      </c>
      <c r="V27" s="70">
        <f>IFERROR(IF(V$4="",0,IF($E27="kWh",VLOOKUP(V$4,'4. Billing Determinants'!$B$19:$P$41,4,0)/'4. Billing Determinants'!$E$41*$D27,IF($E27="kW",VLOOKUP(V$4,'4. Billing Determinants'!$B$19:$P$41,5,0)/'4. Billing Determinants'!$F$41*$D27,IF($E27="Non-RPP kWh",VLOOKUP(V$4,'4. Billing Determinants'!$B$19:$P$41,6,0)/'4. Billing Determinants'!$G$41*$D27,IF($E27="Distribution Rev.",VLOOKUP(V$4,'4. Billing Determinants'!$B$19:$P$41,8,0)/'4. Billing Determinants'!$I$41*$D27, VLOOKUP(V$4,'4. Billing Determinants'!$B$19:$P$41,3,0)/'4. Billing Determinants'!$D$41*$D27))))),0)</f>
        <v>0</v>
      </c>
      <c r="W27" s="70">
        <f>IFERROR(IF(W$4="",0,IF($E27="kWh",VLOOKUP(W$4,'4. Billing Determinants'!$B$19:$P$41,4,0)/'4. Billing Determinants'!$E$41*$D27,IF($E27="kW",VLOOKUP(W$4,'4. Billing Determinants'!$B$19:$P$41,5,0)/'4. Billing Determinants'!$F$41*$D27,IF($E27="Non-RPP kWh",VLOOKUP(W$4,'4. Billing Determinants'!$B$19:$P$41,6,0)/'4. Billing Determinants'!$G$41*$D27,IF($E27="Distribution Rev.",VLOOKUP(W$4,'4. Billing Determinants'!$B$19:$P$41,8,0)/'4. Billing Determinants'!$I$41*$D27, VLOOKUP(W$4,'4. Billing Determinants'!$B$19:$P$41,3,0)/'4. Billing Determinants'!$D$41*$D27))))),0)</f>
        <v>0</v>
      </c>
      <c r="X27" s="70">
        <f>IFERROR(IF(X$4="",0,IF($E27="kWh",VLOOKUP(X$4,'4. Billing Determinants'!$B$19:$P$41,4,0)/'4. Billing Determinants'!$E$41*$D27,IF($E27="kW",VLOOKUP(X$4,'4. Billing Determinants'!$B$19:$P$41,5,0)/'4. Billing Determinants'!$F$41*$D27,IF($E27="Non-RPP kWh",VLOOKUP(X$4,'4. Billing Determinants'!$B$19:$P$41,6,0)/'4. Billing Determinants'!$G$41*$D27,IF($E27="Distribution Rev.",VLOOKUP(X$4,'4. Billing Determinants'!$B$19:$P$41,8,0)/'4. Billing Determinants'!$I$41*$D27, VLOOKUP(X$4,'4. Billing Determinants'!$B$19:$P$41,3,0)/'4. Billing Determinants'!$D$41*$D27))))),0)</f>
        <v>0</v>
      </c>
      <c r="Y27" s="70">
        <f>IFERROR(IF(Y$4="",0,IF($E27="kWh",VLOOKUP(Y$4,'4. Billing Determinants'!$B$19:$P$41,4,0)/'4. Billing Determinants'!$E$41*$D27,IF($E27="kW",VLOOKUP(Y$4,'4. Billing Determinants'!$B$19:$P$41,5,0)/'4. Billing Determinants'!$F$41*$D27,IF($E27="Non-RPP kWh",VLOOKUP(Y$4,'4. Billing Determinants'!$B$19:$P$41,6,0)/'4. Billing Determinants'!$G$41*$D27,IF($E27="Distribution Rev.",VLOOKUP(Y$4,'4. Billing Determinants'!$B$19:$P$41,8,0)/'4. Billing Determinants'!$I$41*$D27, VLOOKUP(Y$4,'4. Billing Determinants'!$B$19:$P$41,3,0)/'4. Billing Determinants'!$D$41*$D27))))),0)</f>
        <v>0</v>
      </c>
    </row>
    <row r="28" spans="2:25" x14ac:dyDescent="0.2">
      <c r="B28" s="68" t="s">
        <v>25</v>
      </c>
      <c r="C28" s="69">
        <v>1533</v>
      </c>
      <c r="D28" s="70">
        <f>'2. 2014 Continuity Schedule'!BO51</f>
        <v>0</v>
      </c>
      <c r="E28" s="130"/>
      <c r="F28" s="70">
        <f>IFERROR(IF(F$4="",0,IF($E28="kWh",VLOOKUP(F$4,'4. Billing Determinants'!$B$19:$P$41,4,0)/'4. Billing Determinants'!$E$41*$D28,IF($E28="kW",VLOOKUP(F$4,'4. Billing Determinants'!$B$19:$P$41,5,0)/'4. Billing Determinants'!$F$41*$D28,IF($E28="Non-RPP kWh",VLOOKUP(F$4,'4. Billing Determinants'!$B$19:$P$41,6,0)/'4. Billing Determinants'!$G$41*$D28,IF($E28="Distribution Rev.",VLOOKUP(F$4,'4. Billing Determinants'!$B$19:$P$41,8,0)/'4. Billing Determinants'!$I$41*$D28, VLOOKUP(F$4,'4. Billing Determinants'!$B$19:$P$41,3,0)/'4. Billing Determinants'!$D$41*$D28))))),0)</f>
        <v>0</v>
      </c>
      <c r="G28" s="70">
        <f>IFERROR(IF(G$4="",0,IF($E28="kWh",VLOOKUP(G$4,'4. Billing Determinants'!$B$19:$P$41,4,0)/'4. Billing Determinants'!$E$41*$D28,IF($E28="kW",VLOOKUP(G$4,'4. Billing Determinants'!$B$19:$P$41,5,0)/'4. Billing Determinants'!$F$41*$D28,IF($E28="Non-RPP kWh",VLOOKUP(G$4,'4. Billing Determinants'!$B$19:$P$41,6,0)/'4. Billing Determinants'!$G$41*$D28,IF($E28="Distribution Rev.",VLOOKUP(G$4,'4. Billing Determinants'!$B$19:$P$41,8,0)/'4. Billing Determinants'!$I$41*$D28, VLOOKUP(G$4,'4. Billing Determinants'!$B$19:$P$41,3,0)/'4. Billing Determinants'!$D$41*$D28))))),0)</f>
        <v>0</v>
      </c>
      <c r="H28" s="70">
        <f>IFERROR(IF(H$4="",0,IF($E28="kWh",VLOOKUP(H$4,'4. Billing Determinants'!$B$19:$P$41,4,0)/'4. Billing Determinants'!$E$41*$D28,IF($E28="kW",VLOOKUP(H$4,'4. Billing Determinants'!$B$19:$P$41,5,0)/'4. Billing Determinants'!$F$41*$D28,IF($E28="Non-RPP kWh",VLOOKUP(H$4,'4. Billing Determinants'!$B$19:$P$41,6,0)/'4. Billing Determinants'!$G$41*$D28,IF($E28="Distribution Rev.",VLOOKUP(H$4,'4. Billing Determinants'!$B$19:$P$41,8,0)/'4. Billing Determinants'!$I$41*$D28, VLOOKUP(H$4,'4. Billing Determinants'!$B$19:$P$41,3,0)/'4. Billing Determinants'!$D$41*$D28))))),0)</f>
        <v>0</v>
      </c>
      <c r="I28" s="70">
        <f>IFERROR(IF(I$4="",0,IF($E28="kWh",VLOOKUP(I$4,'4. Billing Determinants'!$B$19:$P$41,4,0)/'4. Billing Determinants'!$E$41*$D28,IF($E28="kW",VLOOKUP(I$4,'4. Billing Determinants'!$B$19:$P$41,5,0)/'4. Billing Determinants'!$F$41*$D28,IF($E28="Non-RPP kWh",VLOOKUP(I$4,'4. Billing Determinants'!$B$19:$P$41,6,0)/'4. Billing Determinants'!$G$41*$D28,IF($E28="Distribution Rev.",VLOOKUP(I$4,'4. Billing Determinants'!$B$19:$P$41,8,0)/'4. Billing Determinants'!$I$41*$D28, VLOOKUP(I$4,'4. Billing Determinants'!$B$19:$P$41,3,0)/'4. Billing Determinants'!$D$41*$D28))))),0)</f>
        <v>0</v>
      </c>
      <c r="J28" s="70">
        <f>IFERROR(IF(J$4="",0,IF($E28="kWh",VLOOKUP(J$4,'4. Billing Determinants'!$B$19:$P$41,4,0)/'4. Billing Determinants'!$E$41*$D28,IF($E28="kW",VLOOKUP(J$4,'4. Billing Determinants'!$B$19:$P$41,5,0)/'4. Billing Determinants'!$F$41*$D28,IF($E28="Non-RPP kWh",VLOOKUP(J$4,'4. Billing Determinants'!$B$19:$P$41,6,0)/'4. Billing Determinants'!$G$41*$D28,IF($E28="Distribution Rev.",VLOOKUP(J$4,'4. Billing Determinants'!$B$19:$P$41,8,0)/'4. Billing Determinants'!$I$41*$D28, VLOOKUP(J$4,'4. Billing Determinants'!$B$19:$P$41,3,0)/'4. Billing Determinants'!$D$41*$D28))))),0)</f>
        <v>0</v>
      </c>
      <c r="K28" s="70">
        <f>IFERROR(IF(K$4="",0,IF($E28="kWh",VLOOKUP(K$4,'4. Billing Determinants'!$B$19:$P$41,4,0)/'4. Billing Determinants'!$E$41*$D28,IF($E28="kW",VLOOKUP(K$4,'4. Billing Determinants'!$B$19:$P$41,5,0)/'4. Billing Determinants'!$F$41*$D28,IF($E28="Non-RPP kWh",VLOOKUP(K$4,'4. Billing Determinants'!$B$19:$P$41,6,0)/'4. Billing Determinants'!$G$41*$D28,IF($E28="Distribution Rev.",VLOOKUP(K$4,'4. Billing Determinants'!$B$19:$P$41,8,0)/'4. Billing Determinants'!$I$41*$D28, VLOOKUP(K$4,'4. Billing Determinants'!$B$19:$P$41,3,0)/'4. Billing Determinants'!$D$41*$D28))))),0)</f>
        <v>0</v>
      </c>
      <c r="L28" s="70">
        <f>IFERROR(IF(L$4="",0,IF($E28="kWh",VLOOKUP(L$4,'4. Billing Determinants'!$B$19:$P$41,4,0)/'4. Billing Determinants'!$E$41*$D28,IF($E28="kW",VLOOKUP(L$4,'4. Billing Determinants'!$B$19:$P$41,5,0)/'4. Billing Determinants'!$F$41*$D28,IF($E28="Non-RPP kWh",VLOOKUP(L$4,'4. Billing Determinants'!$B$19:$P$41,6,0)/'4. Billing Determinants'!$G$41*$D28,IF($E28="Distribution Rev.",VLOOKUP(L$4,'4. Billing Determinants'!$B$19:$P$41,8,0)/'4. Billing Determinants'!$I$41*$D28, VLOOKUP(L$4,'4. Billing Determinants'!$B$19:$P$41,3,0)/'4. Billing Determinants'!$D$41*$D28))))),0)</f>
        <v>0</v>
      </c>
      <c r="M28" s="70">
        <f>IFERROR(IF(M$4="",0,IF($E28="kWh",VLOOKUP(M$4,'4. Billing Determinants'!$B$19:$P$41,4,0)/'4. Billing Determinants'!$E$41*$D28,IF($E28="kW",VLOOKUP(M$4,'4. Billing Determinants'!$B$19:$P$41,5,0)/'4. Billing Determinants'!$F$41*$D28,IF($E28="Non-RPP kWh",VLOOKUP(M$4,'4. Billing Determinants'!$B$19:$P$41,6,0)/'4. Billing Determinants'!$G$41*$D28,IF($E28="Distribution Rev.",VLOOKUP(M$4,'4. Billing Determinants'!$B$19:$P$41,8,0)/'4. Billing Determinants'!$I$41*$D28, VLOOKUP(M$4,'4. Billing Determinants'!$B$19:$P$41,3,0)/'4. Billing Determinants'!$D$41*$D28))))),0)</f>
        <v>0</v>
      </c>
      <c r="N28" s="70">
        <f>IFERROR(IF(N$4="",0,IF($E28="kWh",VLOOKUP(N$4,'4. Billing Determinants'!$B$19:$P$41,4,0)/'4. Billing Determinants'!$E$41*$D28,IF($E28="kW",VLOOKUP(N$4,'4. Billing Determinants'!$B$19:$P$41,5,0)/'4. Billing Determinants'!$F$41*$D28,IF($E28="Non-RPP kWh",VLOOKUP(N$4,'4. Billing Determinants'!$B$19:$P$41,6,0)/'4. Billing Determinants'!$G$41*$D28,IF($E28="Distribution Rev.",VLOOKUP(N$4,'4. Billing Determinants'!$B$19:$P$41,8,0)/'4. Billing Determinants'!$I$41*$D28, VLOOKUP(N$4,'4. Billing Determinants'!$B$19:$P$41,3,0)/'4. Billing Determinants'!$D$41*$D28))))),0)</f>
        <v>0</v>
      </c>
      <c r="O28" s="70">
        <f>IFERROR(IF(O$4="",0,IF($E28="kWh",VLOOKUP(O$4,'4. Billing Determinants'!$B$19:$P$41,4,0)/'4. Billing Determinants'!$E$41*$D28,IF($E28="kW",VLOOKUP(O$4,'4. Billing Determinants'!$B$19:$P$41,5,0)/'4. Billing Determinants'!$F$41*$D28,IF($E28="Non-RPP kWh",VLOOKUP(O$4,'4. Billing Determinants'!$B$19:$P$41,6,0)/'4. Billing Determinants'!$G$41*$D28,IF($E28="Distribution Rev.",VLOOKUP(O$4,'4. Billing Determinants'!$B$19:$P$41,8,0)/'4. Billing Determinants'!$I$41*$D28, VLOOKUP(O$4,'4. Billing Determinants'!$B$19:$P$41,3,0)/'4. Billing Determinants'!$D$41*$D28))))),0)</f>
        <v>0</v>
      </c>
      <c r="P28" s="70">
        <f>IFERROR(IF(P$4="",0,IF($E28="kWh",VLOOKUP(P$4,'4. Billing Determinants'!$B$19:$P$41,4,0)/'4. Billing Determinants'!$E$41*$D28,IF($E28="kW",VLOOKUP(P$4,'4. Billing Determinants'!$B$19:$P$41,5,0)/'4. Billing Determinants'!$F$41*$D28,IF($E28="Non-RPP kWh",VLOOKUP(P$4,'4. Billing Determinants'!$B$19:$P$41,6,0)/'4. Billing Determinants'!$G$41*$D28,IF($E28="Distribution Rev.",VLOOKUP(P$4,'4. Billing Determinants'!$B$19:$P$41,8,0)/'4. Billing Determinants'!$I$41*$D28, VLOOKUP(P$4,'4. Billing Determinants'!$B$19:$P$41,3,0)/'4. Billing Determinants'!$D$41*$D28))))),0)</f>
        <v>0</v>
      </c>
      <c r="Q28" s="70">
        <f>IFERROR(IF(Q$4="",0,IF($E28="kWh",VLOOKUP(Q$4,'4. Billing Determinants'!$B$19:$P$41,4,0)/'4. Billing Determinants'!$E$41*$D28,IF($E28="kW",VLOOKUP(Q$4,'4. Billing Determinants'!$B$19:$P$41,5,0)/'4. Billing Determinants'!$F$41*$D28,IF($E28="Non-RPP kWh",VLOOKUP(Q$4,'4. Billing Determinants'!$B$19:$P$41,6,0)/'4. Billing Determinants'!$G$41*$D28,IF($E28="Distribution Rev.",VLOOKUP(Q$4,'4. Billing Determinants'!$B$19:$P$41,8,0)/'4. Billing Determinants'!$I$41*$D28, VLOOKUP(Q$4,'4. Billing Determinants'!$B$19:$P$41,3,0)/'4. Billing Determinants'!$D$41*$D28))))),0)</f>
        <v>0</v>
      </c>
      <c r="R28" s="70">
        <f>IFERROR(IF(R$4="",0,IF($E28="kWh",VLOOKUP(R$4,'4. Billing Determinants'!$B$19:$P$41,4,0)/'4. Billing Determinants'!$E$41*$D28,IF($E28="kW",VLOOKUP(R$4,'4. Billing Determinants'!$B$19:$P$41,5,0)/'4. Billing Determinants'!$F$41*$D28,IF($E28="Non-RPP kWh",VLOOKUP(R$4,'4. Billing Determinants'!$B$19:$P$41,6,0)/'4. Billing Determinants'!$G$41*$D28,IF($E28="Distribution Rev.",VLOOKUP(R$4,'4. Billing Determinants'!$B$19:$P$41,8,0)/'4. Billing Determinants'!$I$41*$D28, VLOOKUP(R$4,'4. Billing Determinants'!$B$19:$P$41,3,0)/'4. Billing Determinants'!$D$41*$D28))))),0)</f>
        <v>0</v>
      </c>
      <c r="S28" s="70">
        <f>IFERROR(IF(S$4="",0,IF($E28="kWh",VLOOKUP(S$4,'4. Billing Determinants'!$B$19:$P$41,4,0)/'4. Billing Determinants'!$E$41*$D28,IF($E28="kW",VLOOKUP(S$4,'4. Billing Determinants'!$B$19:$P$41,5,0)/'4. Billing Determinants'!$F$41*$D28,IF($E28="Non-RPP kWh",VLOOKUP(S$4,'4. Billing Determinants'!$B$19:$P$41,6,0)/'4. Billing Determinants'!$G$41*$D28,IF($E28="Distribution Rev.",VLOOKUP(S$4,'4. Billing Determinants'!$B$19:$P$41,8,0)/'4. Billing Determinants'!$I$41*$D28, VLOOKUP(S$4,'4. Billing Determinants'!$B$19:$P$41,3,0)/'4. Billing Determinants'!$D$41*$D28))))),0)</f>
        <v>0</v>
      </c>
      <c r="T28" s="70">
        <f>IFERROR(IF(T$4="",0,IF($E28="kWh",VLOOKUP(T$4,'4. Billing Determinants'!$B$19:$P$41,4,0)/'4. Billing Determinants'!$E$41*$D28,IF($E28="kW",VLOOKUP(T$4,'4. Billing Determinants'!$B$19:$P$41,5,0)/'4. Billing Determinants'!$F$41*$D28,IF($E28="Non-RPP kWh",VLOOKUP(T$4,'4. Billing Determinants'!$B$19:$P$41,6,0)/'4. Billing Determinants'!$G$41*$D28,IF($E28="Distribution Rev.",VLOOKUP(T$4,'4. Billing Determinants'!$B$19:$P$41,8,0)/'4. Billing Determinants'!$I$41*$D28, VLOOKUP(T$4,'4. Billing Determinants'!$B$19:$P$41,3,0)/'4. Billing Determinants'!$D$41*$D28))))),0)</f>
        <v>0</v>
      </c>
      <c r="U28" s="70">
        <f>IFERROR(IF(U$4="",0,IF($E28="kWh",VLOOKUP(U$4,'4. Billing Determinants'!$B$19:$P$41,4,0)/'4. Billing Determinants'!$E$41*$D28,IF($E28="kW",VLOOKUP(U$4,'4. Billing Determinants'!$B$19:$P$41,5,0)/'4. Billing Determinants'!$F$41*$D28,IF($E28="Non-RPP kWh",VLOOKUP(U$4,'4. Billing Determinants'!$B$19:$P$41,6,0)/'4. Billing Determinants'!$G$41*$D28,IF($E28="Distribution Rev.",VLOOKUP(U$4,'4. Billing Determinants'!$B$19:$P$41,8,0)/'4. Billing Determinants'!$I$41*$D28, VLOOKUP(U$4,'4. Billing Determinants'!$B$19:$P$41,3,0)/'4. Billing Determinants'!$D$41*$D28))))),0)</f>
        <v>0</v>
      </c>
      <c r="V28" s="70">
        <f>IFERROR(IF(V$4="",0,IF($E28="kWh",VLOOKUP(V$4,'4. Billing Determinants'!$B$19:$P$41,4,0)/'4. Billing Determinants'!$E$41*$D28,IF($E28="kW",VLOOKUP(V$4,'4. Billing Determinants'!$B$19:$P$41,5,0)/'4. Billing Determinants'!$F$41*$D28,IF($E28="Non-RPP kWh",VLOOKUP(V$4,'4. Billing Determinants'!$B$19:$P$41,6,0)/'4. Billing Determinants'!$G$41*$D28,IF($E28="Distribution Rev.",VLOOKUP(V$4,'4. Billing Determinants'!$B$19:$P$41,8,0)/'4. Billing Determinants'!$I$41*$D28, VLOOKUP(V$4,'4. Billing Determinants'!$B$19:$P$41,3,0)/'4. Billing Determinants'!$D$41*$D28))))),0)</f>
        <v>0</v>
      </c>
      <c r="W28" s="70">
        <f>IFERROR(IF(W$4="",0,IF($E28="kWh",VLOOKUP(W$4,'4. Billing Determinants'!$B$19:$P$41,4,0)/'4. Billing Determinants'!$E$41*$D28,IF($E28="kW",VLOOKUP(W$4,'4. Billing Determinants'!$B$19:$P$41,5,0)/'4. Billing Determinants'!$F$41*$D28,IF($E28="Non-RPP kWh",VLOOKUP(W$4,'4. Billing Determinants'!$B$19:$P$41,6,0)/'4. Billing Determinants'!$G$41*$D28,IF($E28="Distribution Rev.",VLOOKUP(W$4,'4. Billing Determinants'!$B$19:$P$41,8,0)/'4. Billing Determinants'!$I$41*$D28, VLOOKUP(W$4,'4. Billing Determinants'!$B$19:$P$41,3,0)/'4. Billing Determinants'!$D$41*$D28))))),0)</f>
        <v>0</v>
      </c>
      <c r="X28" s="70">
        <f>IFERROR(IF(X$4="",0,IF($E28="kWh",VLOOKUP(X$4,'4. Billing Determinants'!$B$19:$P$41,4,0)/'4. Billing Determinants'!$E$41*$D28,IF($E28="kW",VLOOKUP(X$4,'4. Billing Determinants'!$B$19:$P$41,5,0)/'4. Billing Determinants'!$F$41*$D28,IF($E28="Non-RPP kWh",VLOOKUP(X$4,'4. Billing Determinants'!$B$19:$P$41,6,0)/'4. Billing Determinants'!$G$41*$D28,IF($E28="Distribution Rev.",VLOOKUP(X$4,'4. Billing Determinants'!$B$19:$P$41,8,0)/'4. Billing Determinants'!$I$41*$D28, VLOOKUP(X$4,'4. Billing Determinants'!$B$19:$P$41,3,0)/'4. Billing Determinants'!$D$41*$D28))))),0)</f>
        <v>0</v>
      </c>
      <c r="Y28" s="70">
        <f>IFERROR(IF(Y$4="",0,IF($E28="kWh",VLOOKUP(Y$4,'4. Billing Determinants'!$B$19:$P$41,4,0)/'4. Billing Determinants'!$E$41*$D28,IF($E28="kW",VLOOKUP(Y$4,'4. Billing Determinants'!$B$19:$P$41,5,0)/'4. Billing Determinants'!$F$41*$D28,IF($E28="Non-RPP kWh",VLOOKUP(Y$4,'4. Billing Determinants'!$B$19:$P$41,6,0)/'4. Billing Determinants'!$G$41*$D28,IF($E28="Distribution Rev.",VLOOKUP(Y$4,'4. Billing Determinants'!$B$19:$P$41,8,0)/'4. Billing Determinants'!$I$41*$D28, VLOOKUP(Y$4,'4. Billing Determinants'!$B$19:$P$41,3,0)/'4. Billing Determinants'!$D$41*$D28))))),0)</f>
        <v>0</v>
      </c>
    </row>
    <row r="29" spans="2:25" x14ac:dyDescent="0.2">
      <c r="B29" s="68" t="s">
        <v>17</v>
      </c>
      <c r="C29" s="69">
        <v>1534</v>
      </c>
      <c r="D29" s="70">
        <f>'2. 2014 Continuity Schedule'!BO52</f>
        <v>2758.4618458333334</v>
      </c>
      <c r="E29" s="130" t="s">
        <v>297</v>
      </c>
      <c r="F29" s="70">
        <v>0</v>
      </c>
      <c r="G29" s="70">
        <v>0</v>
      </c>
      <c r="H29" s="70">
        <v>2747.1566743340168</v>
      </c>
      <c r="I29" s="70">
        <v>11.305171499316941</v>
      </c>
      <c r="J29" s="70">
        <v>0</v>
      </c>
      <c r="K29" s="70">
        <v>0</v>
      </c>
      <c r="L29" s="70">
        <v>0</v>
      </c>
      <c r="M29" s="70">
        <f>IFERROR(IF(M$4="",0,IF($E29="kWh",VLOOKUP(M$4,'4. Billing Determinants'!$B$19:$P$41,4,0)/'4. Billing Determinants'!$E$41*$D29,IF($E29="kW",VLOOKUP(M$4,'4. Billing Determinants'!$B$19:$P$41,5,0)/'4. Billing Determinants'!$F$41*$D29,IF($E29="Non-RPP kWh",VLOOKUP(M$4,'4. Billing Determinants'!$B$19:$P$41,6,0)/'4. Billing Determinants'!$G$41*$D29,IF($E29="Distribution Rev.",VLOOKUP(M$4,'4. Billing Determinants'!$B$19:$P$41,8,0)/'4. Billing Determinants'!$I$41*$D29, VLOOKUP(M$4,'4. Billing Determinants'!$B$19:$P$41,3,0)/'4. Billing Determinants'!$D$41*$D29))))),0)</f>
        <v>0</v>
      </c>
      <c r="N29" s="70">
        <f>IFERROR(IF(N$4="",0,IF($E29="kWh",VLOOKUP(N$4,'4. Billing Determinants'!$B$19:$P$41,4,0)/'4. Billing Determinants'!$E$41*$D29,IF($E29="kW",VLOOKUP(N$4,'4. Billing Determinants'!$B$19:$P$41,5,0)/'4. Billing Determinants'!$F$41*$D29,IF($E29="Non-RPP kWh",VLOOKUP(N$4,'4. Billing Determinants'!$B$19:$P$41,6,0)/'4. Billing Determinants'!$G$41*$D29,IF($E29="Distribution Rev.",VLOOKUP(N$4,'4. Billing Determinants'!$B$19:$P$41,8,0)/'4. Billing Determinants'!$I$41*$D29, VLOOKUP(N$4,'4. Billing Determinants'!$B$19:$P$41,3,0)/'4. Billing Determinants'!$D$41*$D29))))),0)</f>
        <v>0</v>
      </c>
      <c r="O29" s="70">
        <f>IFERROR(IF(O$4="",0,IF($E29="kWh",VLOOKUP(O$4,'4. Billing Determinants'!$B$19:$P$41,4,0)/'4. Billing Determinants'!$E$41*$D29,IF($E29="kW",VLOOKUP(O$4,'4. Billing Determinants'!$B$19:$P$41,5,0)/'4. Billing Determinants'!$F$41*$D29,IF($E29="Non-RPP kWh",VLOOKUP(O$4,'4. Billing Determinants'!$B$19:$P$41,6,0)/'4. Billing Determinants'!$G$41*$D29,IF($E29="Distribution Rev.",VLOOKUP(O$4,'4. Billing Determinants'!$B$19:$P$41,8,0)/'4. Billing Determinants'!$I$41*$D29, VLOOKUP(O$4,'4. Billing Determinants'!$B$19:$P$41,3,0)/'4. Billing Determinants'!$D$41*$D29))))),0)</f>
        <v>0</v>
      </c>
      <c r="P29" s="70">
        <f>IFERROR(IF(P$4="",0,IF($E29="kWh",VLOOKUP(P$4,'4. Billing Determinants'!$B$19:$P$41,4,0)/'4. Billing Determinants'!$E$41*$D29,IF($E29="kW",VLOOKUP(P$4,'4. Billing Determinants'!$B$19:$P$41,5,0)/'4. Billing Determinants'!$F$41*$D29,IF($E29="Non-RPP kWh",VLOOKUP(P$4,'4. Billing Determinants'!$B$19:$P$41,6,0)/'4. Billing Determinants'!$G$41*$D29,IF($E29="Distribution Rev.",VLOOKUP(P$4,'4. Billing Determinants'!$B$19:$P$41,8,0)/'4. Billing Determinants'!$I$41*$D29, VLOOKUP(P$4,'4. Billing Determinants'!$B$19:$P$41,3,0)/'4. Billing Determinants'!$D$41*$D29))))),0)</f>
        <v>0</v>
      </c>
      <c r="Q29" s="70">
        <f>IFERROR(IF(Q$4="",0,IF($E29="kWh",VLOOKUP(Q$4,'4. Billing Determinants'!$B$19:$P$41,4,0)/'4. Billing Determinants'!$E$41*$D29,IF($E29="kW",VLOOKUP(Q$4,'4. Billing Determinants'!$B$19:$P$41,5,0)/'4. Billing Determinants'!$F$41*$D29,IF($E29="Non-RPP kWh",VLOOKUP(Q$4,'4. Billing Determinants'!$B$19:$P$41,6,0)/'4. Billing Determinants'!$G$41*$D29,IF($E29="Distribution Rev.",VLOOKUP(Q$4,'4. Billing Determinants'!$B$19:$P$41,8,0)/'4. Billing Determinants'!$I$41*$D29, VLOOKUP(Q$4,'4. Billing Determinants'!$B$19:$P$41,3,0)/'4. Billing Determinants'!$D$41*$D29))))),0)</f>
        <v>0</v>
      </c>
      <c r="R29" s="70">
        <f>IFERROR(IF(R$4="",0,IF($E29="kWh",VLOOKUP(R$4,'4. Billing Determinants'!$B$19:$P$41,4,0)/'4. Billing Determinants'!$E$41*$D29,IF($E29="kW",VLOOKUP(R$4,'4. Billing Determinants'!$B$19:$P$41,5,0)/'4. Billing Determinants'!$F$41*$D29,IF($E29="Non-RPP kWh",VLOOKUP(R$4,'4. Billing Determinants'!$B$19:$P$41,6,0)/'4. Billing Determinants'!$G$41*$D29,IF($E29="Distribution Rev.",VLOOKUP(R$4,'4. Billing Determinants'!$B$19:$P$41,8,0)/'4. Billing Determinants'!$I$41*$D29, VLOOKUP(R$4,'4. Billing Determinants'!$B$19:$P$41,3,0)/'4. Billing Determinants'!$D$41*$D29))))),0)</f>
        <v>0</v>
      </c>
      <c r="S29" s="70">
        <f>IFERROR(IF(S$4="",0,IF($E29="kWh",VLOOKUP(S$4,'4. Billing Determinants'!$B$19:$P$41,4,0)/'4. Billing Determinants'!$E$41*$D29,IF($E29="kW",VLOOKUP(S$4,'4. Billing Determinants'!$B$19:$P$41,5,0)/'4. Billing Determinants'!$F$41*$D29,IF($E29="Non-RPP kWh",VLOOKUP(S$4,'4. Billing Determinants'!$B$19:$P$41,6,0)/'4. Billing Determinants'!$G$41*$D29,IF($E29="Distribution Rev.",VLOOKUP(S$4,'4. Billing Determinants'!$B$19:$P$41,8,0)/'4. Billing Determinants'!$I$41*$D29, VLOOKUP(S$4,'4. Billing Determinants'!$B$19:$P$41,3,0)/'4. Billing Determinants'!$D$41*$D29))))),0)</f>
        <v>0</v>
      </c>
      <c r="T29" s="70">
        <f>IFERROR(IF(T$4="",0,IF($E29="kWh",VLOOKUP(T$4,'4. Billing Determinants'!$B$19:$P$41,4,0)/'4. Billing Determinants'!$E$41*$D29,IF($E29="kW",VLOOKUP(T$4,'4. Billing Determinants'!$B$19:$P$41,5,0)/'4. Billing Determinants'!$F$41*$D29,IF($E29="Non-RPP kWh",VLOOKUP(T$4,'4. Billing Determinants'!$B$19:$P$41,6,0)/'4. Billing Determinants'!$G$41*$D29,IF($E29="Distribution Rev.",VLOOKUP(T$4,'4. Billing Determinants'!$B$19:$P$41,8,0)/'4. Billing Determinants'!$I$41*$D29, VLOOKUP(T$4,'4. Billing Determinants'!$B$19:$P$41,3,0)/'4. Billing Determinants'!$D$41*$D29))))),0)</f>
        <v>0</v>
      </c>
      <c r="U29" s="70">
        <f>IFERROR(IF(U$4="",0,IF($E29="kWh",VLOOKUP(U$4,'4. Billing Determinants'!$B$19:$P$41,4,0)/'4. Billing Determinants'!$E$41*$D29,IF($E29="kW",VLOOKUP(U$4,'4. Billing Determinants'!$B$19:$P$41,5,0)/'4. Billing Determinants'!$F$41*$D29,IF($E29="Non-RPP kWh",VLOOKUP(U$4,'4. Billing Determinants'!$B$19:$P$41,6,0)/'4. Billing Determinants'!$G$41*$D29,IF($E29="Distribution Rev.",VLOOKUP(U$4,'4. Billing Determinants'!$B$19:$P$41,8,0)/'4. Billing Determinants'!$I$41*$D29, VLOOKUP(U$4,'4. Billing Determinants'!$B$19:$P$41,3,0)/'4. Billing Determinants'!$D$41*$D29))))),0)</f>
        <v>0</v>
      </c>
      <c r="V29" s="70">
        <f>IFERROR(IF(V$4="",0,IF($E29="kWh",VLOOKUP(V$4,'4. Billing Determinants'!$B$19:$P$41,4,0)/'4. Billing Determinants'!$E$41*$D29,IF($E29="kW",VLOOKUP(V$4,'4. Billing Determinants'!$B$19:$P$41,5,0)/'4. Billing Determinants'!$F$41*$D29,IF($E29="Non-RPP kWh",VLOOKUP(V$4,'4. Billing Determinants'!$B$19:$P$41,6,0)/'4. Billing Determinants'!$G$41*$D29,IF($E29="Distribution Rev.",VLOOKUP(V$4,'4. Billing Determinants'!$B$19:$P$41,8,0)/'4. Billing Determinants'!$I$41*$D29, VLOOKUP(V$4,'4. Billing Determinants'!$B$19:$P$41,3,0)/'4. Billing Determinants'!$D$41*$D29))))),0)</f>
        <v>0</v>
      </c>
      <c r="W29" s="70">
        <f>IFERROR(IF(W$4="",0,IF($E29="kWh",VLOOKUP(W$4,'4. Billing Determinants'!$B$19:$P$41,4,0)/'4. Billing Determinants'!$E$41*$D29,IF($E29="kW",VLOOKUP(W$4,'4. Billing Determinants'!$B$19:$P$41,5,0)/'4. Billing Determinants'!$F$41*$D29,IF($E29="Non-RPP kWh",VLOOKUP(W$4,'4. Billing Determinants'!$B$19:$P$41,6,0)/'4. Billing Determinants'!$G$41*$D29,IF($E29="Distribution Rev.",VLOOKUP(W$4,'4. Billing Determinants'!$B$19:$P$41,8,0)/'4. Billing Determinants'!$I$41*$D29, VLOOKUP(W$4,'4. Billing Determinants'!$B$19:$P$41,3,0)/'4. Billing Determinants'!$D$41*$D29))))),0)</f>
        <v>0</v>
      </c>
      <c r="X29" s="70">
        <f>IFERROR(IF(X$4="",0,IF($E29="kWh",VLOOKUP(X$4,'4. Billing Determinants'!$B$19:$P$41,4,0)/'4. Billing Determinants'!$E$41*$D29,IF($E29="kW",VLOOKUP(X$4,'4. Billing Determinants'!$B$19:$P$41,5,0)/'4. Billing Determinants'!$F$41*$D29,IF($E29="Non-RPP kWh",VLOOKUP(X$4,'4. Billing Determinants'!$B$19:$P$41,6,0)/'4. Billing Determinants'!$G$41*$D29,IF($E29="Distribution Rev.",VLOOKUP(X$4,'4. Billing Determinants'!$B$19:$P$41,8,0)/'4. Billing Determinants'!$I$41*$D29, VLOOKUP(X$4,'4. Billing Determinants'!$B$19:$P$41,3,0)/'4. Billing Determinants'!$D$41*$D29))))),0)</f>
        <v>0</v>
      </c>
      <c r="Y29" s="70">
        <f>IFERROR(IF(Y$4="",0,IF($E29="kWh",VLOOKUP(Y$4,'4. Billing Determinants'!$B$19:$P$41,4,0)/'4. Billing Determinants'!$E$41*$D29,IF($E29="kW",VLOOKUP(Y$4,'4. Billing Determinants'!$B$19:$P$41,5,0)/'4. Billing Determinants'!$F$41*$D29,IF($E29="Non-RPP kWh",VLOOKUP(Y$4,'4. Billing Determinants'!$B$19:$P$41,6,0)/'4. Billing Determinants'!$G$41*$D29,IF($E29="Distribution Rev.",VLOOKUP(Y$4,'4. Billing Determinants'!$B$19:$P$41,8,0)/'4. Billing Determinants'!$I$41*$D29, VLOOKUP(Y$4,'4. Billing Determinants'!$B$19:$P$41,3,0)/'4. Billing Determinants'!$D$41*$D29))))),0)</f>
        <v>0</v>
      </c>
    </row>
    <row r="30" spans="2:25" x14ac:dyDescent="0.2">
      <c r="B30" s="71" t="s">
        <v>18</v>
      </c>
      <c r="C30" s="69">
        <v>1535</v>
      </c>
      <c r="D30" s="70">
        <f>'2. 2014 Continuity Schedule'!BO53</f>
        <v>58808.345064583336</v>
      </c>
      <c r="E30" s="130" t="s">
        <v>297</v>
      </c>
      <c r="F30" s="70">
        <v>0</v>
      </c>
      <c r="G30" s="70">
        <v>0</v>
      </c>
      <c r="H30" s="70">
        <v>58567.327256941608</v>
      </c>
      <c r="I30" s="70">
        <v>241.017807641735</v>
      </c>
      <c r="J30" s="70">
        <v>0</v>
      </c>
      <c r="K30" s="70">
        <v>0</v>
      </c>
      <c r="L30" s="70">
        <v>0</v>
      </c>
      <c r="M30" s="70">
        <f>IFERROR(IF(M$4="",0,IF($E30="kWh",VLOOKUP(M$4,'4. Billing Determinants'!$B$19:$P$41,4,0)/'4. Billing Determinants'!$E$41*$D30,IF($E30="kW",VLOOKUP(M$4,'4. Billing Determinants'!$B$19:$P$41,5,0)/'4. Billing Determinants'!$F$41*$D30,IF($E30="Non-RPP kWh",VLOOKUP(M$4,'4. Billing Determinants'!$B$19:$P$41,6,0)/'4. Billing Determinants'!$G$41*$D30,IF($E30="Distribution Rev.",VLOOKUP(M$4,'4. Billing Determinants'!$B$19:$P$41,8,0)/'4. Billing Determinants'!$I$41*$D30, VLOOKUP(M$4,'4. Billing Determinants'!$B$19:$P$41,3,0)/'4. Billing Determinants'!$D$41*$D30))))),0)</f>
        <v>0</v>
      </c>
      <c r="N30" s="70">
        <f>IFERROR(IF(N$4="",0,IF($E30="kWh",VLOOKUP(N$4,'4. Billing Determinants'!$B$19:$P$41,4,0)/'4. Billing Determinants'!$E$41*$D30,IF($E30="kW",VLOOKUP(N$4,'4. Billing Determinants'!$B$19:$P$41,5,0)/'4. Billing Determinants'!$F$41*$D30,IF($E30="Non-RPP kWh",VLOOKUP(N$4,'4. Billing Determinants'!$B$19:$P$41,6,0)/'4. Billing Determinants'!$G$41*$D30,IF($E30="Distribution Rev.",VLOOKUP(N$4,'4. Billing Determinants'!$B$19:$P$41,8,0)/'4. Billing Determinants'!$I$41*$D30, VLOOKUP(N$4,'4. Billing Determinants'!$B$19:$P$41,3,0)/'4. Billing Determinants'!$D$41*$D30))))),0)</f>
        <v>0</v>
      </c>
      <c r="O30" s="70">
        <f>IFERROR(IF(O$4="",0,IF($E30="kWh",VLOOKUP(O$4,'4. Billing Determinants'!$B$19:$P$41,4,0)/'4. Billing Determinants'!$E$41*$D30,IF($E30="kW",VLOOKUP(O$4,'4. Billing Determinants'!$B$19:$P$41,5,0)/'4. Billing Determinants'!$F$41*$D30,IF($E30="Non-RPP kWh",VLOOKUP(O$4,'4. Billing Determinants'!$B$19:$P$41,6,0)/'4. Billing Determinants'!$G$41*$D30,IF($E30="Distribution Rev.",VLOOKUP(O$4,'4. Billing Determinants'!$B$19:$P$41,8,0)/'4. Billing Determinants'!$I$41*$D30, VLOOKUP(O$4,'4. Billing Determinants'!$B$19:$P$41,3,0)/'4. Billing Determinants'!$D$41*$D30))))),0)</f>
        <v>0</v>
      </c>
      <c r="P30" s="70">
        <f>IFERROR(IF(P$4="",0,IF($E30="kWh",VLOOKUP(P$4,'4. Billing Determinants'!$B$19:$P$41,4,0)/'4. Billing Determinants'!$E$41*$D30,IF($E30="kW",VLOOKUP(P$4,'4. Billing Determinants'!$B$19:$P$41,5,0)/'4. Billing Determinants'!$F$41*$D30,IF($E30="Non-RPP kWh",VLOOKUP(P$4,'4. Billing Determinants'!$B$19:$P$41,6,0)/'4. Billing Determinants'!$G$41*$D30,IF($E30="Distribution Rev.",VLOOKUP(P$4,'4. Billing Determinants'!$B$19:$P$41,8,0)/'4. Billing Determinants'!$I$41*$D30, VLOOKUP(P$4,'4. Billing Determinants'!$B$19:$P$41,3,0)/'4. Billing Determinants'!$D$41*$D30))))),0)</f>
        <v>0</v>
      </c>
      <c r="Q30" s="70">
        <f>IFERROR(IF(Q$4="",0,IF($E30="kWh",VLOOKUP(Q$4,'4. Billing Determinants'!$B$19:$P$41,4,0)/'4. Billing Determinants'!$E$41*$D30,IF($E30="kW",VLOOKUP(Q$4,'4. Billing Determinants'!$B$19:$P$41,5,0)/'4. Billing Determinants'!$F$41*$D30,IF($E30="Non-RPP kWh",VLOOKUP(Q$4,'4. Billing Determinants'!$B$19:$P$41,6,0)/'4. Billing Determinants'!$G$41*$D30,IF($E30="Distribution Rev.",VLOOKUP(Q$4,'4. Billing Determinants'!$B$19:$P$41,8,0)/'4. Billing Determinants'!$I$41*$D30, VLOOKUP(Q$4,'4. Billing Determinants'!$B$19:$P$41,3,0)/'4. Billing Determinants'!$D$41*$D30))))),0)</f>
        <v>0</v>
      </c>
      <c r="R30" s="70">
        <f>IFERROR(IF(R$4="",0,IF($E30="kWh",VLOOKUP(R$4,'4. Billing Determinants'!$B$19:$P$41,4,0)/'4. Billing Determinants'!$E$41*$D30,IF($E30="kW",VLOOKUP(R$4,'4. Billing Determinants'!$B$19:$P$41,5,0)/'4. Billing Determinants'!$F$41*$D30,IF($E30="Non-RPP kWh",VLOOKUP(R$4,'4. Billing Determinants'!$B$19:$P$41,6,0)/'4. Billing Determinants'!$G$41*$D30,IF($E30="Distribution Rev.",VLOOKUP(R$4,'4. Billing Determinants'!$B$19:$P$41,8,0)/'4. Billing Determinants'!$I$41*$D30, VLOOKUP(R$4,'4. Billing Determinants'!$B$19:$P$41,3,0)/'4. Billing Determinants'!$D$41*$D30))))),0)</f>
        <v>0</v>
      </c>
      <c r="S30" s="70">
        <f>IFERROR(IF(S$4="",0,IF($E30="kWh",VLOOKUP(S$4,'4. Billing Determinants'!$B$19:$P$41,4,0)/'4. Billing Determinants'!$E$41*$D30,IF($E30="kW",VLOOKUP(S$4,'4. Billing Determinants'!$B$19:$P$41,5,0)/'4. Billing Determinants'!$F$41*$D30,IF($E30="Non-RPP kWh",VLOOKUP(S$4,'4. Billing Determinants'!$B$19:$P$41,6,0)/'4. Billing Determinants'!$G$41*$D30,IF($E30="Distribution Rev.",VLOOKUP(S$4,'4. Billing Determinants'!$B$19:$P$41,8,0)/'4. Billing Determinants'!$I$41*$D30, VLOOKUP(S$4,'4. Billing Determinants'!$B$19:$P$41,3,0)/'4. Billing Determinants'!$D$41*$D30))))),0)</f>
        <v>0</v>
      </c>
      <c r="T30" s="70">
        <f>IFERROR(IF(T$4="",0,IF($E30="kWh",VLOOKUP(T$4,'4. Billing Determinants'!$B$19:$P$41,4,0)/'4. Billing Determinants'!$E$41*$D30,IF($E30="kW",VLOOKUP(T$4,'4. Billing Determinants'!$B$19:$P$41,5,0)/'4. Billing Determinants'!$F$41*$D30,IF($E30="Non-RPP kWh",VLOOKUP(T$4,'4. Billing Determinants'!$B$19:$P$41,6,0)/'4. Billing Determinants'!$G$41*$D30,IF($E30="Distribution Rev.",VLOOKUP(T$4,'4. Billing Determinants'!$B$19:$P$41,8,0)/'4. Billing Determinants'!$I$41*$D30, VLOOKUP(T$4,'4. Billing Determinants'!$B$19:$P$41,3,0)/'4. Billing Determinants'!$D$41*$D30))))),0)</f>
        <v>0</v>
      </c>
      <c r="U30" s="70">
        <f>IFERROR(IF(U$4="",0,IF($E30="kWh",VLOOKUP(U$4,'4. Billing Determinants'!$B$19:$P$41,4,0)/'4. Billing Determinants'!$E$41*$D30,IF($E30="kW",VLOOKUP(U$4,'4. Billing Determinants'!$B$19:$P$41,5,0)/'4. Billing Determinants'!$F$41*$D30,IF($E30="Non-RPP kWh",VLOOKUP(U$4,'4. Billing Determinants'!$B$19:$P$41,6,0)/'4. Billing Determinants'!$G$41*$D30,IF($E30="Distribution Rev.",VLOOKUP(U$4,'4. Billing Determinants'!$B$19:$P$41,8,0)/'4. Billing Determinants'!$I$41*$D30, VLOOKUP(U$4,'4. Billing Determinants'!$B$19:$P$41,3,0)/'4. Billing Determinants'!$D$41*$D30))))),0)</f>
        <v>0</v>
      </c>
      <c r="V30" s="70">
        <f>IFERROR(IF(V$4="",0,IF($E30="kWh",VLOOKUP(V$4,'4. Billing Determinants'!$B$19:$P$41,4,0)/'4. Billing Determinants'!$E$41*$D30,IF($E30="kW",VLOOKUP(V$4,'4. Billing Determinants'!$B$19:$P$41,5,0)/'4. Billing Determinants'!$F$41*$D30,IF($E30="Non-RPP kWh",VLOOKUP(V$4,'4. Billing Determinants'!$B$19:$P$41,6,0)/'4. Billing Determinants'!$G$41*$D30,IF($E30="Distribution Rev.",VLOOKUP(V$4,'4. Billing Determinants'!$B$19:$P$41,8,0)/'4. Billing Determinants'!$I$41*$D30, VLOOKUP(V$4,'4. Billing Determinants'!$B$19:$P$41,3,0)/'4. Billing Determinants'!$D$41*$D30))))),0)</f>
        <v>0</v>
      </c>
      <c r="W30" s="70">
        <f>IFERROR(IF(W$4="",0,IF($E30="kWh",VLOOKUP(W$4,'4. Billing Determinants'!$B$19:$P$41,4,0)/'4. Billing Determinants'!$E$41*$D30,IF($E30="kW",VLOOKUP(W$4,'4. Billing Determinants'!$B$19:$P$41,5,0)/'4. Billing Determinants'!$F$41*$D30,IF($E30="Non-RPP kWh",VLOOKUP(W$4,'4. Billing Determinants'!$B$19:$P$41,6,0)/'4. Billing Determinants'!$G$41*$D30,IF($E30="Distribution Rev.",VLOOKUP(W$4,'4. Billing Determinants'!$B$19:$P$41,8,0)/'4. Billing Determinants'!$I$41*$D30, VLOOKUP(W$4,'4. Billing Determinants'!$B$19:$P$41,3,0)/'4. Billing Determinants'!$D$41*$D30))))),0)</f>
        <v>0</v>
      </c>
      <c r="X30" s="70">
        <f>IFERROR(IF(X$4="",0,IF($E30="kWh",VLOOKUP(X$4,'4. Billing Determinants'!$B$19:$P$41,4,0)/'4. Billing Determinants'!$E$41*$D30,IF($E30="kW",VLOOKUP(X$4,'4. Billing Determinants'!$B$19:$P$41,5,0)/'4. Billing Determinants'!$F$41*$D30,IF($E30="Non-RPP kWh",VLOOKUP(X$4,'4. Billing Determinants'!$B$19:$P$41,6,0)/'4. Billing Determinants'!$G$41*$D30,IF($E30="Distribution Rev.",VLOOKUP(X$4,'4. Billing Determinants'!$B$19:$P$41,8,0)/'4. Billing Determinants'!$I$41*$D30, VLOOKUP(X$4,'4. Billing Determinants'!$B$19:$P$41,3,0)/'4. Billing Determinants'!$D$41*$D30))))),0)</f>
        <v>0</v>
      </c>
      <c r="Y30" s="70">
        <f>IFERROR(IF(Y$4="",0,IF($E30="kWh",VLOOKUP(Y$4,'4. Billing Determinants'!$B$19:$P$41,4,0)/'4. Billing Determinants'!$E$41*$D30,IF($E30="kW",VLOOKUP(Y$4,'4. Billing Determinants'!$B$19:$P$41,5,0)/'4. Billing Determinants'!$F$41*$D30,IF($E30="Non-RPP kWh",VLOOKUP(Y$4,'4. Billing Determinants'!$B$19:$P$41,6,0)/'4. Billing Determinants'!$G$41*$D30,IF($E30="Distribution Rev.",VLOOKUP(Y$4,'4. Billing Determinants'!$B$19:$P$41,8,0)/'4. Billing Determinants'!$I$41*$D30, VLOOKUP(Y$4,'4. Billing Determinants'!$B$19:$P$41,3,0)/'4. Billing Determinants'!$D$41*$D30))))),0)</f>
        <v>0</v>
      </c>
    </row>
    <row r="31" spans="2:25" x14ac:dyDescent="0.2">
      <c r="B31" s="68" t="s">
        <v>23</v>
      </c>
      <c r="C31" s="69">
        <v>1536</v>
      </c>
      <c r="D31" s="70">
        <f>'2. 2014 Continuity Schedule'!BO54</f>
        <v>-72680.763115916663</v>
      </c>
      <c r="E31" s="130" t="s">
        <v>115</v>
      </c>
      <c r="F31" s="70">
        <v>-63700.739419310776</v>
      </c>
      <c r="G31" s="70">
        <v>-8171.7233366126111</v>
      </c>
      <c r="H31" s="70">
        <v>-802.24913816645551</v>
      </c>
      <c r="I31" s="70">
        <v>-6.0512218268277911</v>
      </c>
      <c r="J31" s="70">
        <v>0</v>
      </c>
      <c r="K31" s="70">
        <v>0</v>
      </c>
      <c r="L31" s="70">
        <v>0</v>
      </c>
      <c r="M31" s="70">
        <f>IFERROR(IF(M$4="",0,IF($E31="kWh",VLOOKUP(M$4,'4. Billing Determinants'!$B$19:$P$41,4,0)/'4. Billing Determinants'!$E$41*$D31,IF($E31="kW",VLOOKUP(M$4,'4. Billing Determinants'!$B$19:$P$41,5,0)/'4. Billing Determinants'!$F$41*$D31,IF($E31="Non-RPP kWh",VLOOKUP(M$4,'4. Billing Determinants'!$B$19:$P$41,6,0)/'4. Billing Determinants'!$G$41*$D31,IF($E31="Distribution Rev.",VLOOKUP(M$4,'4. Billing Determinants'!$B$19:$P$41,8,0)/'4. Billing Determinants'!$I$41*$D31, VLOOKUP(M$4,'4. Billing Determinants'!$B$19:$P$41,3,0)/'4. Billing Determinants'!$D$41*$D31))))),0)</f>
        <v>0</v>
      </c>
      <c r="N31" s="70">
        <f>IFERROR(IF(N$4="",0,IF($E31="kWh",VLOOKUP(N$4,'4. Billing Determinants'!$B$19:$P$41,4,0)/'4. Billing Determinants'!$E$41*$D31,IF($E31="kW",VLOOKUP(N$4,'4. Billing Determinants'!$B$19:$P$41,5,0)/'4. Billing Determinants'!$F$41*$D31,IF($E31="Non-RPP kWh",VLOOKUP(N$4,'4. Billing Determinants'!$B$19:$P$41,6,0)/'4. Billing Determinants'!$G$41*$D31,IF($E31="Distribution Rev.",VLOOKUP(N$4,'4. Billing Determinants'!$B$19:$P$41,8,0)/'4. Billing Determinants'!$I$41*$D31, VLOOKUP(N$4,'4. Billing Determinants'!$B$19:$P$41,3,0)/'4. Billing Determinants'!$D$41*$D31))))),0)</f>
        <v>0</v>
      </c>
      <c r="O31" s="70">
        <f>IFERROR(IF(O$4="",0,IF($E31="kWh",VLOOKUP(O$4,'4. Billing Determinants'!$B$19:$P$41,4,0)/'4. Billing Determinants'!$E$41*$D31,IF($E31="kW",VLOOKUP(O$4,'4. Billing Determinants'!$B$19:$P$41,5,0)/'4. Billing Determinants'!$F$41*$D31,IF($E31="Non-RPP kWh",VLOOKUP(O$4,'4. Billing Determinants'!$B$19:$P$41,6,0)/'4. Billing Determinants'!$G$41*$D31,IF($E31="Distribution Rev.",VLOOKUP(O$4,'4. Billing Determinants'!$B$19:$P$41,8,0)/'4. Billing Determinants'!$I$41*$D31, VLOOKUP(O$4,'4. Billing Determinants'!$B$19:$P$41,3,0)/'4. Billing Determinants'!$D$41*$D31))))),0)</f>
        <v>0</v>
      </c>
      <c r="P31" s="70">
        <f>IFERROR(IF(P$4="",0,IF($E31="kWh",VLOOKUP(P$4,'4. Billing Determinants'!$B$19:$P$41,4,0)/'4. Billing Determinants'!$E$41*$D31,IF($E31="kW",VLOOKUP(P$4,'4. Billing Determinants'!$B$19:$P$41,5,0)/'4. Billing Determinants'!$F$41*$D31,IF($E31="Non-RPP kWh",VLOOKUP(P$4,'4. Billing Determinants'!$B$19:$P$41,6,0)/'4. Billing Determinants'!$G$41*$D31,IF($E31="Distribution Rev.",VLOOKUP(P$4,'4. Billing Determinants'!$B$19:$P$41,8,0)/'4. Billing Determinants'!$I$41*$D31, VLOOKUP(P$4,'4. Billing Determinants'!$B$19:$P$41,3,0)/'4. Billing Determinants'!$D$41*$D31))))),0)</f>
        <v>0</v>
      </c>
      <c r="Q31" s="70">
        <f>IFERROR(IF(Q$4="",0,IF($E31="kWh",VLOOKUP(Q$4,'4. Billing Determinants'!$B$19:$P$41,4,0)/'4. Billing Determinants'!$E$41*$D31,IF($E31="kW",VLOOKUP(Q$4,'4. Billing Determinants'!$B$19:$P$41,5,0)/'4. Billing Determinants'!$F$41*$D31,IF($E31="Non-RPP kWh",VLOOKUP(Q$4,'4. Billing Determinants'!$B$19:$P$41,6,0)/'4. Billing Determinants'!$G$41*$D31,IF($E31="Distribution Rev.",VLOOKUP(Q$4,'4. Billing Determinants'!$B$19:$P$41,8,0)/'4. Billing Determinants'!$I$41*$D31, VLOOKUP(Q$4,'4. Billing Determinants'!$B$19:$P$41,3,0)/'4. Billing Determinants'!$D$41*$D31))))),0)</f>
        <v>0</v>
      </c>
      <c r="R31" s="70">
        <f>IFERROR(IF(R$4="",0,IF($E31="kWh",VLOOKUP(R$4,'4. Billing Determinants'!$B$19:$P$41,4,0)/'4. Billing Determinants'!$E$41*$D31,IF($E31="kW",VLOOKUP(R$4,'4. Billing Determinants'!$B$19:$P$41,5,0)/'4. Billing Determinants'!$F$41*$D31,IF($E31="Non-RPP kWh",VLOOKUP(R$4,'4. Billing Determinants'!$B$19:$P$41,6,0)/'4. Billing Determinants'!$G$41*$D31,IF($E31="Distribution Rev.",VLOOKUP(R$4,'4. Billing Determinants'!$B$19:$P$41,8,0)/'4. Billing Determinants'!$I$41*$D31, VLOOKUP(R$4,'4. Billing Determinants'!$B$19:$P$41,3,0)/'4. Billing Determinants'!$D$41*$D31))))),0)</f>
        <v>0</v>
      </c>
      <c r="S31" s="70">
        <f>IFERROR(IF(S$4="",0,IF($E31="kWh",VLOOKUP(S$4,'4. Billing Determinants'!$B$19:$P$41,4,0)/'4. Billing Determinants'!$E$41*$D31,IF($E31="kW",VLOOKUP(S$4,'4. Billing Determinants'!$B$19:$P$41,5,0)/'4. Billing Determinants'!$F$41*$D31,IF($E31="Non-RPP kWh",VLOOKUP(S$4,'4. Billing Determinants'!$B$19:$P$41,6,0)/'4. Billing Determinants'!$G$41*$D31,IF($E31="Distribution Rev.",VLOOKUP(S$4,'4. Billing Determinants'!$B$19:$P$41,8,0)/'4. Billing Determinants'!$I$41*$D31, VLOOKUP(S$4,'4. Billing Determinants'!$B$19:$P$41,3,0)/'4. Billing Determinants'!$D$41*$D31))))),0)</f>
        <v>0</v>
      </c>
      <c r="T31" s="70">
        <f>IFERROR(IF(T$4="",0,IF($E31="kWh",VLOOKUP(T$4,'4. Billing Determinants'!$B$19:$P$41,4,0)/'4. Billing Determinants'!$E$41*$D31,IF($E31="kW",VLOOKUP(T$4,'4. Billing Determinants'!$B$19:$P$41,5,0)/'4. Billing Determinants'!$F$41*$D31,IF($E31="Non-RPP kWh",VLOOKUP(T$4,'4. Billing Determinants'!$B$19:$P$41,6,0)/'4. Billing Determinants'!$G$41*$D31,IF($E31="Distribution Rev.",VLOOKUP(T$4,'4. Billing Determinants'!$B$19:$P$41,8,0)/'4. Billing Determinants'!$I$41*$D31, VLOOKUP(T$4,'4. Billing Determinants'!$B$19:$P$41,3,0)/'4. Billing Determinants'!$D$41*$D31))))),0)</f>
        <v>0</v>
      </c>
      <c r="U31" s="70">
        <f>IFERROR(IF(U$4="",0,IF($E31="kWh",VLOOKUP(U$4,'4. Billing Determinants'!$B$19:$P$41,4,0)/'4. Billing Determinants'!$E$41*$D31,IF($E31="kW",VLOOKUP(U$4,'4. Billing Determinants'!$B$19:$P$41,5,0)/'4. Billing Determinants'!$F$41*$D31,IF($E31="Non-RPP kWh",VLOOKUP(U$4,'4. Billing Determinants'!$B$19:$P$41,6,0)/'4. Billing Determinants'!$G$41*$D31,IF($E31="Distribution Rev.",VLOOKUP(U$4,'4. Billing Determinants'!$B$19:$P$41,8,0)/'4. Billing Determinants'!$I$41*$D31, VLOOKUP(U$4,'4. Billing Determinants'!$B$19:$P$41,3,0)/'4. Billing Determinants'!$D$41*$D31))))),0)</f>
        <v>0</v>
      </c>
      <c r="V31" s="70">
        <f>IFERROR(IF(V$4="",0,IF($E31="kWh",VLOOKUP(V$4,'4. Billing Determinants'!$B$19:$P$41,4,0)/'4. Billing Determinants'!$E$41*$D31,IF($E31="kW",VLOOKUP(V$4,'4. Billing Determinants'!$B$19:$P$41,5,0)/'4. Billing Determinants'!$F$41*$D31,IF($E31="Non-RPP kWh",VLOOKUP(V$4,'4. Billing Determinants'!$B$19:$P$41,6,0)/'4. Billing Determinants'!$G$41*$D31,IF($E31="Distribution Rev.",VLOOKUP(V$4,'4. Billing Determinants'!$B$19:$P$41,8,0)/'4. Billing Determinants'!$I$41*$D31, VLOOKUP(V$4,'4. Billing Determinants'!$B$19:$P$41,3,0)/'4. Billing Determinants'!$D$41*$D31))))),0)</f>
        <v>0</v>
      </c>
      <c r="W31" s="70">
        <f>IFERROR(IF(W$4="",0,IF($E31="kWh",VLOOKUP(W$4,'4. Billing Determinants'!$B$19:$P$41,4,0)/'4. Billing Determinants'!$E$41*$D31,IF($E31="kW",VLOOKUP(W$4,'4. Billing Determinants'!$B$19:$P$41,5,0)/'4. Billing Determinants'!$F$41*$D31,IF($E31="Non-RPP kWh",VLOOKUP(W$4,'4. Billing Determinants'!$B$19:$P$41,6,0)/'4. Billing Determinants'!$G$41*$D31,IF($E31="Distribution Rev.",VLOOKUP(W$4,'4. Billing Determinants'!$B$19:$P$41,8,0)/'4. Billing Determinants'!$I$41*$D31, VLOOKUP(W$4,'4. Billing Determinants'!$B$19:$P$41,3,0)/'4. Billing Determinants'!$D$41*$D31))))),0)</f>
        <v>0</v>
      </c>
      <c r="X31" s="70">
        <f>IFERROR(IF(X$4="",0,IF($E31="kWh",VLOOKUP(X$4,'4. Billing Determinants'!$B$19:$P$41,4,0)/'4. Billing Determinants'!$E$41*$D31,IF($E31="kW",VLOOKUP(X$4,'4. Billing Determinants'!$B$19:$P$41,5,0)/'4. Billing Determinants'!$F$41*$D31,IF($E31="Non-RPP kWh",VLOOKUP(X$4,'4. Billing Determinants'!$B$19:$P$41,6,0)/'4. Billing Determinants'!$G$41*$D31,IF($E31="Distribution Rev.",VLOOKUP(X$4,'4. Billing Determinants'!$B$19:$P$41,8,0)/'4. Billing Determinants'!$I$41*$D31, VLOOKUP(X$4,'4. Billing Determinants'!$B$19:$P$41,3,0)/'4. Billing Determinants'!$D$41*$D31))))),0)</f>
        <v>0</v>
      </c>
      <c r="Y31" s="70">
        <f>IFERROR(IF(Y$4="",0,IF($E31="kWh",VLOOKUP(Y$4,'4. Billing Determinants'!$B$19:$P$41,4,0)/'4. Billing Determinants'!$E$41*$D31,IF($E31="kW",VLOOKUP(Y$4,'4. Billing Determinants'!$B$19:$P$41,5,0)/'4. Billing Determinants'!$F$41*$D31,IF($E31="Non-RPP kWh",VLOOKUP(Y$4,'4. Billing Determinants'!$B$19:$P$41,6,0)/'4. Billing Determinants'!$G$41*$D31,IF($E31="Distribution Rev.",VLOOKUP(Y$4,'4. Billing Determinants'!$B$19:$P$41,8,0)/'4. Billing Determinants'!$I$41*$D31, VLOOKUP(Y$4,'4. Billing Determinants'!$B$19:$P$41,3,0)/'4. Billing Determinants'!$D$41*$D31))))),0)</f>
        <v>0</v>
      </c>
    </row>
    <row r="32" spans="2:25" x14ac:dyDescent="0.2">
      <c r="B32" s="68" t="s">
        <v>5</v>
      </c>
      <c r="C32" s="69">
        <v>1548</v>
      </c>
      <c r="D32" s="70">
        <f>'2. 2014 Continuity Schedule'!BO55</f>
        <v>35672.593776249989</v>
      </c>
      <c r="E32" s="130" t="s">
        <v>115</v>
      </c>
      <c r="F32" s="70">
        <f>IFERROR(IF(F$4="",0,IF($E32="kWh",VLOOKUP(F$4,'4. Billing Determinants'!$B$19:$P$41,4,0)/'4. Billing Determinants'!$E$41*$D32,IF($E32="kW",VLOOKUP(F$4,'4. Billing Determinants'!$B$19:$P$41,5,0)/'4. Billing Determinants'!$F$41*$D32,IF($E32="Non-RPP kWh",VLOOKUP(F$4,'4. Billing Determinants'!$B$19:$P$41,6,0)/'4. Billing Determinants'!$G$41*$D32,IF($E32="Distribution Rev.",VLOOKUP(F$4,'4. Billing Determinants'!$B$19:$P$41,8,0)/'4. Billing Determinants'!$I$41*$D32, VLOOKUP(F$4,'4. Billing Determinants'!$B$19:$P$41,3,0)/'4. Billing Determinants'!$D$41*$D32))))),0)</f>
        <v>25220.827061031687</v>
      </c>
      <c r="G32" s="70">
        <f>IFERROR(IF(G$4="",0,IF($E32="kWh",VLOOKUP(G$4,'4. Billing Determinants'!$B$19:$P$41,4,0)/'4. Billing Determinants'!$E$41*$D32,IF($E32="kW",VLOOKUP(G$4,'4. Billing Determinants'!$B$19:$P$41,5,0)/'4. Billing Determinants'!$F$41*$D32,IF($E32="Non-RPP kWh",VLOOKUP(G$4,'4. Billing Determinants'!$B$19:$P$41,6,0)/'4. Billing Determinants'!$G$41*$D32,IF($E32="Distribution Rev.",VLOOKUP(G$4,'4. Billing Determinants'!$B$19:$P$41,8,0)/'4. Billing Determinants'!$I$41*$D32, VLOOKUP(G$4,'4. Billing Determinants'!$B$19:$P$41,3,0)/'4. Billing Determinants'!$D$41*$D32))))),0)</f>
        <v>3185.4367827510196</v>
      </c>
      <c r="H32" s="70">
        <f>IFERROR(IF(H$4="",0,IF($E32="kWh",VLOOKUP(H$4,'4. Billing Determinants'!$B$19:$P$41,4,0)/'4. Billing Determinants'!$E$41*$D32,IF($E32="kW",VLOOKUP(H$4,'4. Billing Determinants'!$B$19:$P$41,5,0)/'4. Billing Determinants'!$F$41*$D32,IF($E32="Non-RPP kWh",VLOOKUP(H$4,'4. Billing Determinants'!$B$19:$P$41,6,0)/'4. Billing Determinants'!$G$41*$D32,IF($E32="Distribution Rev.",VLOOKUP(H$4,'4. Billing Determinants'!$B$19:$P$41,8,0)/'4. Billing Determinants'!$I$41*$D32, VLOOKUP(H$4,'4. Billing Determinants'!$B$19:$P$41,3,0)/'4. Billing Determinants'!$D$41*$D32))))),0)</f>
        <v>294.90363018721962</v>
      </c>
      <c r="I32" s="70">
        <f>IFERROR(IF(I$4="",0,IF($E32="kWh",VLOOKUP(I$4,'4. Billing Determinants'!$B$19:$P$41,4,0)/'4. Billing Determinants'!$E$41*$D32,IF($E32="kW",VLOOKUP(I$4,'4. Billing Determinants'!$B$19:$P$41,5,0)/'4. Billing Determinants'!$F$41*$D32,IF($E32="Non-RPP kWh",VLOOKUP(I$4,'4. Billing Determinants'!$B$19:$P$41,6,0)/'4. Billing Determinants'!$G$41*$D32,IF($E32="Distribution Rev.",VLOOKUP(I$4,'4. Billing Determinants'!$B$19:$P$41,8,0)/'4. Billing Determinants'!$I$41*$D32, VLOOKUP(I$4,'4. Billing Determinants'!$B$19:$P$41,3,0)/'4. Billing Determinants'!$D$41*$D32))))),0)</f>
        <v>1.1939418226203222</v>
      </c>
      <c r="J32" s="70">
        <f>IFERROR(IF(J$4="",0,IF($E32="kWh",VLOOKUP(J$4,'4. Billing Determinants'!$B$19:$P$41,4,0)/'4. Billing Determinants'!$E$41*$D32,IF($E32="kW",VLOOKUP(J$4,'4. Billing Determinants'!$B$19:$P$41,5,0)/'4. Billing Determinants'!$F$41*$D32,IF($E32="Non-RPP kWh",VLOOKUP(J$4,'4. Billing Determinants'!$B$19:$P$41,6,0)/'4. Billing Determinants'!$G$41*$D32,IF($E32="Distribution Rev.",VLOOKUP(J$4,'4. Billing Determinants'!$B$19:$P$41,8,0)/'4. Billing Determinants'!$I$41*$D32, VLOOKUP(J$4,'4. Billing Determinants'!$B$19:$P$41,3,0)/'4. Billing Determinants'!$D$41*$D32))))),0)</f>
        <v>8.3575927583422551</v>
      </c>
      <c r="K32" s="70">
        <f>IFERROR(IF(K$4="",0,IF($E32="kWh",VLOOKUP(K$4,'4. Billing Determinants'!$B$19:$P$41,4,0)/'4. Billing Determinants'!$E$41*$D32,IF($E32="kW",VLOOKUP(K$4,'4. Billing Determinants'!$B$19:$P$41,5,0)/'4. Billing Determinants'!$F$41*$D32,IF($E32="Non-RPP kWh",VLOOKUP(K$4,'4. Billing Determinants'!$B$19:$P$41,6,0)/'4. Billing Determinants'!$G$41*$D32,IF($E32="Distribution Rev.",VLOOKUP(K$4,'4. Billing Determinants'!$B$19:$P$41,8,0)/'4. Billing Determinants'!$I$41*$D32, VLOOKUP(K$4,'4. Billing Determinants'!$B$19:$P$41,3,0)/'4. Billing Determinants'!$D$41*$D32))))),0)</f>
        <v>491.90403091957279</v>
      </c>
      <c r="L32" s="70">
        <f>IFERROR(IF(L$4="",0,IF($E32="kWh",VLOOKUP(L$4,'4. Billing Determinants'!$B$19:$P$41,4,0)/'4. Billing Determinants'!$E$41*$D32,IF($E32="kW",VLOOKUP(L$4,'4. Billing Determinants'!$B$19:$P$41,5,0)/'4. Billing Determinants'!$F$41*$D32,IF($E32="Non-RPP kWh",VLOOKUP(L$4,'4. Billing Determinants'!$B$19:$P$41,6,0)/'4. Billing Determinants'!$G$41*$D32,IF($E32="Distribution Rev.",VLOOKUP(L$4,'4. Billing Determinants'!$B$19:$P$41,8,0)/'4. Billing Determinants'!$I$41*$D32, VLOOKUP(L$4,'4. Billing Determinants'!$B$19:$P$41,3,0)/'4. Billing Determinants'!$D$41*$D32))))),0)</f>
        <v>6469.9707367795263</v>
      </c>
      <c r="M32" s="70">
        <f>IFERROR(IF(M$4="",0,IF($E32="kWh",VLOOKUP(M$4,'4. Billing Determinants'!$B$19:$P$41,4,0)/'4. Billing Determinants'!$E$41*$D32,IF($E32="kW",VLOOKUP(M$4,'4. Billing Determinants'!$B$19:$P$41,5,0)/'4. Billing Determinants'!$F$41*$D32,IF($E32="Non-RPP kWh",VLOOKUP(M$4,'4. Billing Determinants'!$B$19:$P$41,6,0)/'4. Billing Determinants'!$G$41*$D32,IF($E32="Distribution Rev.",VLOOKUP(M$4,'4. Billing Determinants'!$B$19:$P$41,8,0)/'4. Billing Determinants'!$I$41*$D32, VLOOKUP(M$4,'4. Billing Determinants'!$B$19:$P$41,3,0)/'4. Billing Determinants'!$D$41*$D32))))),0)</f>
        <v>0</v>
      </c>
      <c r="N32" s="70">
        <f>IFERROR(IF(N$4="",0,IF($E32="kWh",VLOOKUP(N$4,'4. Billing Determinants'!$B$19:$P$41,4,0)/'4. Billing Determinants'!$E$41*$D32,IF($E32="kW",VLOOKUP(N$4,'4. Billing Determinants'!$B$19:$P$41,5,0)/'4. Billing Determinants'!$F$41*$D32,IF($E32="Non-RPP kWh",VLOOKUP(N$4,'4. Billing Determinants'!$B$19:$P$41,6,0)/'4. Billing Determinants'!$G$41*$D32,IF($E32="Distribution Rev.",VLOOKUP(N$4,'4. Billing Determinants'!$B$19:$P$41,8,0)/'4. Billing Determinants'!$I$41*$D32, VLOOKUP(N$4,'4. Billing Determinants'!$B$19:$P$41,3,0)/'4. Billing Determinants'!$D$41*$D32))))),0)</f>
        <v>0</v>
      </c>
      <c r="O32" s="70">
        <f>IFERROR(IF(O$4="",0,IF($E32="kWh",VLOOKUP(O$4,'4. Billing Determinants'!$B$19:$P$41,4,0)/'4. Billing Determinants'!$E$41*$D32,IF($E32="kW",VLOOKUP(O$4,'4. Billing Determinants'!$B$19:$P$41,5,0)/'4. Billing Determinants'!$F$41*$D32,IF($E32="Non-RPP kWh",VLOOKUP(O$4,'4. Billing Determinants'!$B$19:$P$41,6,0)/'4. Billing Determinants'!$G$41*$D32,IF($E32="Distribution Rev.",VLOOKUP(O$4,'4. Billing Determinants'!$B$19:$P$41,8,0)/'4. Billing Determinants'!$I$41*$D32, VLOOKUP(O$4,'4. Billing Determinants'!$B$19:$P$41,3,0)/'4. Billing Determinants'!$D$41*$D32))))),0)</f>
        <v>0</v>
      </c>
      <c r="P32" s="70">
        <f>IFERROR(IF(P$4="",0,IF($E32="kWh",VLOOKUP(P$4,'4. Billing Determinants'!$B$19:$P$41,4,0)/'4. Billing Determinants'!$E$41*$D32,IF($E32="kW",VLOOKUP(P$4,'4. Billing Determinants'!$B$19:$P$41,5,0)/'4. Billing Determinants'!$F$41*$D32,IF($E32="Non-RPP kWh",VLOOKUP(P$4,'4. Billing Determinants'!$B$19:$P$41,6,0)/'4. Billing Determinants'!$G$41*$D32,IF($E32="Distribution Rev.",VLOOKUP(P$4,'4. Billing Determinants'!$B$19:$P$41,8,0)/'4. Billing Determinants'!$I$41*$D32, VLOOKUP(P$4,'4. Billing Determinants'!$B$19:$P$41,3,0)/'4. Billing Determinants'!$D$41*$D32))))),0)</f>
        <v>0</v>
      </c>
      <c r="Q32" s="70">
        <f>IFERROR(IF(Q$4="",0,IF($E32="kWh",VLOOKUP(Q$4,'4. Billing Determinants'!$B$19:$P$41,4,0)/'4. Billing Determinants'!$E$41*$D32,IF($E32="kW",VLOOKUP(Q$4,'4. Billing Determinants'!$B$19:$P$41,5,0)/'4. Billing Determinants'!$F$41*$D32,IF($E32="Non-RPP kWh",VLOOKUP(Q$4,'4. Billing Determinants'!$B$19:$P$41,6,0)/'4. Billing Determinants'!$G$41*$D32,IF($E32="Distribution Rev.",VLOOKUP(Q$4,'4. Billing Determinants'!$B$19:$P$41,8,0)/'4. Billing Determinants'!$I$41*$D32, VLOOKUP(Q$4,'4. Billing Determinants'!$B$19:$P$41,3,0)/'4. Billing Determinants'!$D$41*$D32))))),0)</f>
        <v>0</v>
      </c>
      <c r="R32" s="70">
        <f>IFERROR(IF(R$4="",0,IF($E32="kWh",VLOOKUP(R$4,'4. Billing Determinants'!$B$19:$P$41,4,0)/'4. Billing Determinants'!$E$41*$D32,IF($E32="kW",VLOOKUP(R$4,'4. Billing Determinants'!$B$19:$P$41,5,0)/'4. Billing Determinants'!$F$41*$D32,IF($E32="Non-RPP kWh",VLOOKUP(R$4,'4. Billing Determinants'!$B$19:$P$41,6,0)/'4. Billing Determinants'!$G$41*$D32,IF($E32="Distribution Rev.",VLOOKUP(R$4,'4. Billing Determinants'!$B$19:$P$41,8,0)/'4. Billing Determinants'!$I$41*$D32, VLOOKUP(R$4,'4. Billing Determinants'!$B$19:$P$41,3,0)/'4. Billing Determinants'!$D$41*$D32))))),0)</f>
        <v>0</v>
      </c>
      <c r="S32" s="70">
        <f>IFERROR(IF(S$4="",0,IF($E32="kWh",VLOOKUP(S$4,'4. Billing Determinants'!$B$19:$P$41,4,0)/'4. Billing Determinants'!$E$41*$D32,IF($E32="kW",VLOOKUP(S$4,'4. Billing Determinants'!$B$19:$P$41,5,0)/'4. Billing Determinants'!$F$41*$D32,IF($E32="Non-RPP kWh",VLOOKUP(S$4,'4. Billing Determinants'!$B$19:$P$41,6,0)/'4. Billing Determinants'!$G$41*$D32,IF($E32="Distribution Rev.",VLOOKUP(S$4,'4. Billing Determinants'!$B$19:$P$41,8,0)/'4. Billing Determinants'!$I$41*$D32, VLOOKUP(S$4,'4. Billing Determinants'!$B$19:$P$41,3,0)/'4. Billing Determinants'!$D$41*$D32))))),0)</f>
        <v>0</v>
      </c>
      <c r="T32" s="70">
        <f>IFERROR(IF(T$4="",0,IF($E32="kWh",VLOOKUP(T$4,'4. Billing Determinants'!$B$19:$P$41,4,0)/'4. Billing Determinants'!$E$41*$D32,IF($E32="kW",VLOOKUP(T$4,'4. Billing Determinants'!$B$19:$P$41,5,0)/'4. Billing Determinants'!$F$41*$D32,IF($E32="Non-RPP kWh",VLOOKUP(T$4,'4. Billing Determinants'!$B$19:$P$41,6,0)/'4. Billing Determinants'!$G$41*$D32,IF($E32="Distribution Rev.",VLOOKUP(T$4,'4. Billing Determinants'!$B$19:$P$41,8,0)/'4. Billing Determinants'!$I$41*$D32, VLOOKUP(T$4,'4. Billing Determinants'!$B$19:$P$41,3,0)/'4. Billing Determinants'!$D$41*$D32))))),0)</f>
        <v>0</v>
      </c>
      <c r="U32" s="70">
        <f>IFERROR(IF(U$4="",0,IF($E32="kWh",VLOOKUP(U$4,'4. Billing Determinants'!$B$19:$P$41,4,0)/'4. Billing Determinants'!$E$41*$D32,IF($E32="kW",VLOOKUP(U$4,'4. Billing Determinants'!$B$19:$P$41,5,0)/'4. Billing Determinants'!$F$41*$D32,IF($E32="Non-RPP kWh",VLOOKUP(U$4,'4. Billing Determinants'!$B$19:$P$41,6,0)/'4. Billing Determinants'!$G$41*$D32,IF($E32="Distribution Rev.",VLOOKUP(U$4,'4. Billing Determinants'!$B$19:$P$41,8,0)/'4. Billing Determinants'!$I$41*$D32, VLOOKUP(U$4,'4. Billing Determinants'!$B$19:$P$41,3,0)/'4. Billing Determinants'!$D$41*$D32))))),0)</f>
        <v>0</v>
      </c>
      <c r="V32" s="70">
        <f>IFERROR(IF(V$4="",0,IF($E32="kWh",VLOOKUP(V$4,'4. Billing Determinants'!$B$19:$P$41,4,0)/'4. Billing Determinants'!$E$41*$D32,IF($E32="kW",VLOOKUP(V$4,'4. Billing Determinants'!$B$19:$P$41,5,0)/'4. Billing Determinants'!$F$41*$D32,IF($E32="Non-RPP kWh",VLOOKUP(V$4,'4. Billing Determinants'!$B$19:$P$41,6,0)/'4. Billing Determinants'!$G$41*$D32,IF($E32="Distribution Rev.",VLOOKUP(V$4,'4. Billing Determinants'!$B$19:$P$41,8,0)/'4. Billing Determinants'!$I$41*$D32, VLOOKUP(V$4,'4. Billing Determinants'!$B$19:$P$41,3,0)/'4. Billing Determinants'!$D$41*$D32))))),0)</f>
        <v>0</v>
      </c>
      <c r="W32" s="70">
        <f>IFERROR(IF(W$4="",0,IF($E32="kWh",VLOOKUP(W$4,'4. Billing Determinants'!$B$19:$P$41,4,0)/'4. Billing Determinants'!$E$41*$D32,IF($E32="kW",VLOOKUP(W$4,'4. Billing Determinants'!$B$19:$P$41,5,0)/'4. Billing Determinants'!$F$41*$D32,IF($E32="Non-RPP kWh",VLOOKUP(W$4,'4. Billing Determinants'!$B$19:$P$41,6,0)/'4. Billing Determinants'!$G$41*$D32,IF($E32="Distribution Rev.",VLOOKUP(W$4,'4. Billing Determinants'!$B$19:$P$41,8,0)/'4. Billing Determinants'!$I$41*$D32, VLOOKUP(W$4,'4. Billing Determinants'!$B$19:$P$41,3,0)/'4. Billing Determinants'!$D$41*$D32))))),0)</f>
        <v>0</v>
      </c>
      <c r="X32" s="70">
        <f>IFERROR(IF(X$4="",0,IF($E32="kWh",VLOOKUP(X$4,'4. Billing Determinants'!$B$19:$P$41,4,0)/'4. Billing Determinants'!$E$41*$D32,IF($E32="kW",VLOOKUP(X$4,'4. Billing Determinants'!$B$19:$P$41,5,0)/'4. Billing Determinants'!$F$41*$D32,IF($E32="Non-RPP kWh",VLOOKUP(X$4,'4. Billing Determinants'!$B$19:$P$41,6,0)/'4. Billing Determinants'!$G$41*$D32,IF($E32="Distribution Rev.",VLOOKUP(X$4,'4. Billing Determinants'!$B$19:$P$41,8,0)/'4. Billing Determinants'!$I$41*$D32, VLOOKUP(X$4,'4. Billing Determinants'!$B$19:$P$41,3,0)/'4. Billing Determinants'!$D$41*$D32))))),0)</f>
        <v>0</v>
      </c>
      <c r="Y32" s="70">
        <f>IFERROR(IF(Y$4="",0,IF($E32="kWh",VLOOKUP(Y$4,'4. Billing Determinants'!$B$19:$P$41,4,0)/'4. Billing Determinants'!$E$41*$D32,IF($E32="kW",VLOOKUP(Y$4,'4. Billing Determinants'!$B$19:$P$41,5,0)/'4. Billing Determinants'!$F$41*$D32,IF($E32="Non-RPP kWh",VLOOKUP(Y$4,'4. Billing Determinants'!$B$19:$P$41,6,0)/'4. Billing Determinants'!$G$41*$D32,IF($E32="Distribution Rev.",VLOOKUP(Y$4,'4. Billing Determinants'!$B$19:$P$41,8,0)/'4. Billing Determinants'!$I$41*$D32, VLOOKUP(Y$4,'4. Billing Determinants'!$B$19:$P$41,3,0)/'4. Billing Determinants'!$D$41*$D32))))),0)</f>
        <v>0</v>
      </c>
    </row>
    <row r="33" spans="1:25" x14ac:dyDescent="0.2">
      <c r="B33" s="68" t="s">
        <v>43</v>
      </c>
      <c r="C33" s="69">
        <v>1567</v>
      </c>
      <c r="D33" s="70">
        <f>'2. 2014 Continuity Schedule'!BO56</f>
        <v>0</v>
      </c>
      <c r="E33" s="130"/>
      <c r="F33" s="70">
        <f>IFERROR(IF(F$4="",0,IF($E33="kWh",VLOOKUP(F$4,'4. Billing Determinants'!$B$19:$P$41,4,0)/'4. Billing Determinants'!$E$41*$D33,IF($E33="kW",VLOOKUP(F$4,'4. Billing Determinants'!$B$19:$P$41,5,0)/'4. Billing Determinants'!$F$41*$D33,IF($E33="Non-RPP kWh",VLOOKUP(F$4,'4. Billing Determinants'!$B$19:$P$41,6,0)/'4. Billing Determinants'!$G$41*$D33,IF($E33="Distribution Rev.",VLOOKUP(F$4,'4. Billing Determinants'!$B$19:$P$41,8,0)/'4. Billing Determinants'!$I$41*$D33, VLOOKUP(F$4,'4. Billing Determinants'!$B$19:$P$41,3,0)/'4. Billing Determinants'!$D$41*$D33))))),0)</f>
        <v>0</v>
      </c>
      <c r="G33" s="70">
        <f>IFERROR(IF(G$4="",0,IF($E33="kWh",VLOOKUP(G$4,'4. Billing Determinants'!$B$19:$P$41,4,0)/'4. Billing Determinants'!$E$41*$D33,IF($E33="kW",VLOOKUP(G$4,'4. Billing Determinants'!$B$19:$P$41,5,0)/'4. Billing Determinants'!$F$41*$D33,IF($E33="Non-RPP kWh",VLOOKUP(G$4,'4. Billing Determinants'!$B$19:$P$41,6,0)/'4. Billing Determinants'!$G$41*$D33,IF($E33="Distribution Rev.",VLOOKUP(G$4,'4. Billing Determinants'!$B$19:$P$41,8,0)/'4. Billing Determinants'!$I$41*$D33, VLOOKUP(G$4,'4. Billing Determinants'!$B$19:$P$41,3,0)/'4. Billing Determinants'!$D$41*$D33))))),0)</f>
        <v>0</v>
      </c>
      <c r="H33" s="70">
        <f>IFERROR(IF(H$4="",0,IF($E33="kWh",VLOOKUP(H$4,'4. Billing Determinants'!$B$19:$P$41,4,0)/'4. Billing Determinants'!$E$41*$D33,IF($E33="kW",VLOOKUP(H$4,'4. Billing Determinants'!$B$19:$P$41,5,0)/'4. Billing Determinants'!$F$41*$D33,IF($E33="Non-RPP kWh",VLOOKUP(H$4,'4. Billing Determinants'!$B$19:$P$41,6,0)/'4. Billing Determinants'!$G$41*$D33,IF($E33="Distribution Rev.",VLOOKUP(H$4,'4. Billing Determinants'!$B$19:$P$41,8,0)/'4. Billing Determinants'!$I$41*$D33, VLOOKUP(H$4,'4. Billing Determinants'!$B$19:$P$41,3,0)/'4. Billing Determinants'!$D$41*$D33))))),0)</f>
        <v>0</v>
      </c>
      <c r="I33" s="70">
        <f>IFERROR(IF(I$4="",0,IF($E33="kWh",VLOOKUP(I$4,'4. Billing Determinants'!$B$19:$P$41,4,0)/'4. Billing Determinants'!$E$41*$D33,IF($E33="kW",VLOOKUP(I$4,'4. Billing Determinants'!$B$19:$P$41,5,0)/'4. Billing Determinants'!$F$41*$D33,IF($E33="Non-RPP kWh",VLOOKUP(I$4,'4. Billing Determinants'!$B$19:$P$41,6,0)/'4. Billing Determinants'!$G$41*$D33,IF($E33="Distribution Rev.",VLOOKUP(I$4,'4. Billing Determinants'!$B$19:$P$41,8,0)/'4. Billing Determinants'!$I$41*$D33, VLOOKUP(I$4,'4. Billing Determinants'!$B$19:$P$41,3,0)/'4. Billing Determinants'!$D$41*$D33))))),0)</f>
        <v>0</v>
      </c>
      <c r="J33" s="70">
        <f>IFERROR(IF(J$4="",0,IF($E33="kWh",VLOOKUP(J$4,'4. Billing Determinants'!$B$19:$P$41,4,0)/'4. Billing Determinants'!$E$41*$D33,IF($E33="kW",VLOOKUP(J$4,'4. Billing Determinants'!$B$19:$P$41,5,0)/'4. Billing Determinants'!$F$41*$D33,IF($E33="Non-RPP kWh",VLOOKUP(J$4,'4. Billing Determinants'!$B$19:$P$41,6,0)/'4. Billing Determinants'!$G$41*$D33,IF($E33="Distribution Rev.",VLOOKUP(J$4,'4. Billing Determinants'!$B$19:$P$41,8,0)/'4. Billing Determinants'!$I$41*$D33, VLOOKUP(J$4,'4. Billing Determinants'!$B$19:$P$41,3,0)/'4. Billing Determinants'!$D$41*$D33))))),0)</f>
        <v>0</v>
      </c>
      <c r="K33" s="70">
        <f>IFERROR(IF(K$4="",0,IF($E33="kWh",VLOOKUP(K$4,'4. Billing Determinants'!$B$19:$P$41,4,0)/'4. Billing Determinants'!$E$41*$D33,IF($E33="kW",VLOOKUP(K$4,'4. Billing Determinants'!$B$19:$P$41,5,0)/'4. Billing Determinants'!$F$41*$D33,IF($E33="Non-RPP kWh",VLOOKUP(K$4,'4. Billing Determinants'!$B$19:$P$41,6,0)/'4. Billing Determinants'!$G$41*$D33,IF($E33="Distribution Rev.",VLOOKUP(K$4,'4. Billing Determinants'!$B$19:$P$41,8,0)/'4. Billing Determinants'!$I$41*$D33, VLOOKUP(K$4,'4. Billing Determinants'!$B$19:$P$41,3,0)/'4. Billing Determinants'!$D$41*$D33))))),0)</f>
        <v>0</v>
      </c>
      <c r="L33" s="70">
        <f>IFERROR(IF(L$4="",0,IF($E33="kWh",VLOOKUP(L$4,'4. Billing Determinants'!$B$19:$P$41,4,0)/'4. Billing Determinants'!$E$41*$D33,IF($E33="kW",VLOOKUP(L$4,'4. Billing Determinants'!$B$19:$P$41,5,0)/'4. Billing Determinants'!$F$41*$D33,IF($E33="Non-RPP kWh",VLOOKUP(L$4,'4. Billing Determinants'!$B$19:$P$41,6,0)/'4. Billing Determinants'!$G$41*$D33,IF($E33="Distribution Rev.",VLOOKUP(L$4,'4. Billing Determinants'!$B$19:$P$41,8,0)/'4. Billing Determinants'!$I$41*$D33, VLOOKUP(L$4,'4. Billing Determinants'!$B$19:$P$41,3,0)/'4. Billing Determinants'!$D$41*$D33))))),0)</f>
        <v>0</v>
      </c>
      <c r="M33" s="70">
        <f>IFERROR(IF(M$4="",0,IF($E33="kWh",VLOOKUP(M$4,'4. Billing Determinants'!$B$19:$P$41,4,0)/'4. Billing Determinants'!$E$41*$D33,IF($E33="kW",VLOOKUP(M$4,'4. Billing Determinants'!$B$19:$P$41,5,0)/'4. Billing Determinants'!$F$41*$D33,IF($E33="Non-RPP kWh",VLOOKUP(M$4,'4. Billing Determinants'!$B$19:$P$41,6,0)/'4. Billing Determinants'!$G$41*$D33,IF($E33="Distribution Rev.",VLOOKUP(M$4,'4. Billing Determinants'!$B$19:$P$41,8,0)/'4. Billing Determinants'!$I$41*$D33, VLOOKUP(M$4,'4. Billing Determinants'!$B$19:$P$41,3,0)/'4. Billing Determinants'!$D$41*$D33))))),0)</f>
        <v>0</v>
      </c>
      <c r="N33" s="70">
        <f>IFERROR(IF(N$4="",0,IF($E33="kWh",VLOOKUP(N$4,'4. Billing Determinants'!$B$19:$P$41,4,0)/'4. Billing Determinants'!$E$41*$D33,IF($E33="kW",VLOOKUP(N$4,'4. Billing Determinants'!$B$19:$P$41,5,0)/'4. Billing Determinants'!$F$41*$D33,IF($E33="Non-RPP kWh",VLOOKUP(N$4,'4. Billing Determinants'!$B$19:$P$41,6,0)/'4. Billing Determinants'!$G$41*$D33,IF($E33="Distribution Rev.",VLOOKUP(N$4,'4. Billing Determinants'!$B$19:$P$41,8,0)/'4. Billing Determinants'!$I$41*$D33, VLOOKUP(N$4,'4. Billing Determinants'!$B$19:$P$41,3,0)/'4. Billing Determinants'!$D$41*$D33))))),0)</f>
        <v>0</v>
      </c>
      <c r="O33" s="70">
        <f>IFERROR(IF(O$4="",0,IF($E33="kWh",VLOOKUP(O$4,'4. Billing Determinants'!$B$19:$P$41,4,0)/'4. Billing Determinants'!$E$41*$D33,IF($E33="kW",VLOOKUP(O$4,'4. Billing Determinants'!$B$19:$P$41,5,0)/'4. Billing Determinants'!$F$41*$D33,IF($E33="Non-RPP kWh",VLOOKUP(O$4,'4. Billing Determinants'!$B$19:$P$41,6,0)/'4. Billing Determinants'!$G$41*$D33,IF($E33="Distribution Rev.",VLOOKUP(O$4,'4. Billing Determinants'!$B$19:$P$41,8,0)/'4. Billing Determinants'!$I$41*$D33, VLOOKUP(O$4,'4. Billing Determinants'!$B$19:$P$41,3,0)/'4. Billing Determinants'!$D$41*$D33))))),0)</f>
        <v>0</v>
      </c>
      <c r="P33" s="70">
        <f>IFERROR(IF(P$4="",0,IF($E33="kWh",VLOOKUP(P$4,'4. Billing Determinants'!$B$19:$P$41,4,0)/'4. Billing Determinants'!$E$41*$D33,IF($E33="kW",VLOOKUP(P$4,'4. Billing Determinants'!$B$19:$P$41,5,0)/'4. Billing Determinants'!$F$41*$D33,IF($E33="Non-RPP kWh",VLOOKUP(P$4,'4. Billing Determinants'!$B$19:$P$41,6,0)/'4. Billing Determinants'!$G$41*$D33,IF($E33="Distribution Rev.",VLOOKUP(P$4,'4. Billing Determinants'!$B$19:$P$41,8,0)/'4. Billing Determinants'!$I$41*$D33, VLOOKUP(P$4,'4. Billing Determinants'!$B$19:$P$41,3,0)/'4. Billing Determinants'!$D$41*$D33))))),0)</f>
        <v>0</v>
      </c>
      <c r="Q33" s="70">
        <f>IFERROR(IF(Q$4="",0,IF($E33="kWh",VLOOKUP(Q$4,'4. Billing Determinants'!$B$19:$P$41,4,0)/'4. Billing Determinants'!$E$41*$D33,IF($E33="kW",VLOOKUP(Q$4,'4. Billing Determinants'!$B$19:$P$41,5,0)/'4. Billing Determinants'!$F$41*$D33,IF($E33="Non-RPP kWh",VLOOKUP(Q$4,'4. Billing Determinants'!$B$19:$P$41,6,0)/'4. Billing Determinants'!$G$41*$D33,IF($E33="Distribution Rev.",VLOOKUP(Q$4,'4. Billing Determinants'!$B$19:$P$41,8,0)/'4. Billing Determinants'!$I$41*$D33, VLOOKUP(Q$4,'4. Billing Determinants'!$B$19:$P$41,3,0)/'4. Billing Determinants'!$D$41*$D33))))),0)</f>
        <v>0</v>
      </c>
      <c r="R33" s="70">
        <f>IFERROR(IF(R$4="",0,IF($E33="kWh",VLOOKUP(R$4,'4. Billing Determinants'!$B$19:$P$41,4,0)/'4. Billing Determinants'!$E$41*$D33,IF($E33="kW",VLOOKUP(R$4,'4. Billing Determinants'!$B$19:$P$41,5,0)/'4. Billing Determinants'!$F$41*$D33,IF($E33="Non-RPP kWh",VLOOKUP(R$4,'4. Billing Determinants'!$B$19:$P$41,6,0)/'4. Billing Determinants'!$G$41*$D33,IF($E33="Distribution Rev.",VLOOKUP(R$4,'4. Billing Determinants'!$B$19:$P$41,8,0)/'4. Billing Determinants'!$I$41*$D33, VLOOKUP(R$4,'4. Billing Determinants'!$B$19:$P$41,3,0)/'4. Billing Determinants'!$D$41*$D33))))),0)</f>
        <v>0</v>
      </c>
      <c r="S33" s="70">
        <f>IFERROR(IF(S$4="",0,IF($E33="kWh",VLOOKUP(S$4,'4. Billing Determinants'!$B$19:$P$41,4,0)/'4. Billing Determinants'!$E$41*$D33,IF($E33="kW",VLOOKUP(S$4,'4. Billing Determinants'!$B$19:$P$41,5,0)/'4. Billing Determinants'!$F$41*$D33,IF($E33="Non-RPP kWh",VLOOKUP(S$4,'4. Billing Determinants'!$B$19:$P$41,6,0)/'4. Billing Determinants'!$G$41*$D33,IF($E33="Distribution Rev.",VLOOKUP(S$4,'4. Billing Determinants'!$B$19:$P$41,8,0)/'4. Billing Determinants'!$I$41*$D33, VLOOKUP(S$4,'4. Billing Determinants'!$B$19:$P$41,3,0)/'4. Billing Determinants'!$D$41*$D33))))),0)</f>
        <v>0</v>
      </c>
      <c r="T33" s="70">
        <f>IFERROR(IF(T$4="",0,IF($E33="kWh",VLOOKUP(T$4,'4. Billing Determinants'!$B$19:$P$41,4,0)/'4. Billing Determinants'!$E$41*$D33,IF($E33="kW",VLOOKUP(T$4,'4. Billing Determinants'!$B$19:$P$41,5,0)/'4. Billing Determinants'!$F$41*$D33,IF($E33="Non-RPP kWh",VLOOKUP(T$4,'4. Billing Determinants'!$B$19:$P$41,6,0)/'4. Billing Determinants'!$G$41*$D33,IF($E33="Distribution Rev.",VLOOKUP(T$4,'4. Billing Determinants'!$B$19:$P$41,8,0)/'4. Billing Determinants'!$I$41*$D33, VLOOKUP(T$4,'4. Billing Determinants'!$B$19:$P$41,3,0)/'4. Billing Determinants'!$D$41*$D33))))),0)</f>
        <v>0</v>
      </c>
      <c r="U33" s="70">
        <f>IFERROR(IF(U$4="",0,IF($E33="kWh",VLOOKUP(U$4,'4. Billing Determinants'!$B$19:$P$41,4,0)/'4. Billing Determinants'!$E$41*$D33,IF($E33="kW",VLOOKUP(U$4,'4. Billing Determinants'!$B$19:$P$41,5,0)/'4. Billing Determinants'!$F$41*$D33,IF($E33="Non-RPP kWh",VLOOKUP(U$4,'4. Billing Determinants'!$B$19:$P$41,6,0)/'4. Billing Determinants'!$G$41*$D33,IF($E33="Distribution Rev.",VLOOKUP(U$4,'4. Billing Determinants'!$B$19:$P$41,8,0)/'4. Billing Determinants'!$I$41*$D33, VLOOKUP(U$4,'4. Billing Determinants'!$B$19:$P$41,3,0)/'4. Billing Determinants'!$D$41*$D33))))),0)</f>
        <v>0</v>
      </c>
      <c r="V33" s="70">
        <f>IFERROR(IF(V$4="",0,IF($E33="kWh",VLOOKUP(V$4,'4. Billing Determinants'!$B$19:$P$41,4,0)/'4. Billing Determinants'!$E$41*$D33,IF($E33="kW",VLOOKUP(V$4,'4. Billing Determinants'!$B$19:$P$41,5,0)/'4. Billing Determinants'!$F$41*$D33,IF($E33="Non-RPP kWh",VLOOKUP(V$4,'4. Billing Determinants'!$B$19:$P$41,6,0)/'4. Billing Determinants'!$G$41*$D33,IF($E33="Distribution Rev.",VLOOKUP(V$4,'4. Billing Determinants'!$B$19:$P$41,8,0)/'4. Billing Determinants'!$I$41*$D33, VLOOKUP(V$4,'4. Billing Determinants'!$B$19:$P$41,3,0)/'4. Billing Determinants'!$D$41*$D33))))),0)</f>
        <v>0</v>
      </c>
      <c r="W33" s="70">
        <f>IFERROR(IF(W$4="",0,IF($E33="kWh",VLOOKUP(W$4,'4. Billing Determinants'!$B$19:$P$41,4,0)/'4. Billing Determinants'!$E$41*$D33,IF($E33="kW",VLOOKUP(W$4,'4. Billing Determinants'!$B$19:$P$41,5,0)/'4. Billing Determinants'!$F$41*$D33,IF($E33="Non-RPP kWh",VLOOKUP(W$4,'4. Billing Determinants'!$B$19:$P$41,6,0)/'4. Billing Determinants'!$G$41*$D33,IF($E33="Distribution Rev.",VLOOKUP(W$4,'4. Billing Determinants'!$B$19:$P$41,8,0)/'4. Billing Determinants'!$I$41*$D33, VLOOKUP(W$4,'4. Billing Determinants'!$B$19:$P$41,3,0)/'4. Billing Determinants'!$D$41*$D33))))),0)</f>
        <v>0</v>
      </c>
      <c r="X33" s="70">
        <f>IFERROR(IF(X$4="",0,IF($E33="kWh",VLOOKUP(X$4,'4. Billing Determinants'!$B$19:$P$41,4,0)/'4. Billing Determinants'!$E$41*$D33,IF($E33="kW",VLOOKUP(X$4,'4. Billing Determinants'!$B$19:$P$41,5,0)/'4. Billing Determinants'!$F$41*$D33,IF($E33="Non-RPP kWh",VLOOKUP(X$4,'4. Billing Determinants'!$B$19:$P$41,6,0)/'4. Billing Determinants'!$G$41*$D33,IF($E33="Distribution Rev.",VLOOKUP(X$4,'4. Billing Determinants'!$B$19:$P$41,8,0)/'4. Billing Determinants'!$I$41*$D33, VLOOKUP(X$4,'4. Billing Determinants'!$B$19:$P$41,3,0)/'4. Billing Determinants'!$D$41*$D33))))),0)</f>
        <v>0</v>
      </c>
      <c r="Y33" s="70">
        <f>IFERROR(IF(Y$4="",0,IF($E33="kWh",VLOOKUP(Y$4,'4. Billing Determinants'!$B$19:$P$41,4,0)/'4. Billing Determinants'!$E$41*$D33,IF($E33="kW",VLOOKUP(Y$4,'4. Billing Determinants'!$B$19:$P$41,5,0)/'4. Billing Determinants'!$F$41*$D33,IF($E33="Non-RPP kWh",VLOOKUP(Y$4,'4. Billing Determinants'!$B$19:$P$41,6,0)/'4. Billing Determinants'!$G$41*$D33,IF($E33="Distribution Rev.",VLOOKUP(Y$4,'4. Billing Determinants'!$B$19:$P$41,8,0)/'4. Billing Determinants'!$I$41*$D33, VLOOKUP(Y$4,'4. Billing Determinants'!$B$19:$P$41,3,0)/'4. Billing Determinants'!$D$41*$D33))))),0)</f>
        <v>0</v>
      </c>
    </row>
    <row r="34" spans="1:25" x14ac:dyDescent="0.2">
      <c r="B34" s="68" t="s">
        <v>10</v>
      </c>
      <c r="C34" s="69">
        <v>1572</v>
      </c>
      <c r="D34" s="70">
        <f>'2. 2014 Continuity Schedule'!BO57</f>
        <v>0</v>
      </c>
      <c r="E34" s="130"/>
      <c r="F34" s="70">
        <f>IFERROR(IF(F$4="",0,IF($E34="kWh",VLOOKUP(F$4,'4. Billing Determinants'!$B$19:$P$41,4,0)/'4. Billing Determinants'!$E$41*$D34,IF($E34="kW",VLOOKUP(F$4,'4. Billing Determinants'!$B$19:$P$41,5,0)/'4. Billing Determinants'!$F$41*$D34,IF($E34="Non-RPP kWh",VLOOKUP(F$4,'4. Billing Determinants'!$B$19:$P$41,6,0)/'4. Billing Determinants'!$G$41*$D34,IF($E34="Distribution Rev.",VLOOKUP(F$4,'4. Billing Determinants'!$B$19:$P$41,8,0)/'4. Billing Determinants'!$I$41*$D34, VLOOKUP(F$4,'4. Billing Determinants'!$B$19:$P$41,3,0)/'4. Billing Determinants'!$D$41*$D34))))),0)</f>
        <v>0</v>
      </c>
      <c r="G34" s="70">
        <f>IFERROR(IF(G$4="",0,IF($E34="kWh",VLOOKUP(G$4,'4. Billing Determinants'!$B$19:$P$41,4,0)/'4. Billing Determinants'!$E$41*$D34,IF($E34="kW",VLOOKUP(G$4,'4. Billing Determinants'!$B$19:$P$41,5,0)/'4. Billing Determinants'!$F$41*$D34,IF($E34="Non-RPP kWh",VLOOKUP(G$4,'4. Billing Determinants'!$B$19:$P$41,6,0)/'4. Billing Determinants'!$G$41*$D34,IF($E34="Distribution Rev.",VLOOKUP(G$4,'4. Billing Determinants'!$B$19:$P$41,8,0)/'4. Billing Determinants'!$I$41*$D34, VLOOKUP(G$4,'4. Billing Determinants'!$B$19:$P$41,3,0)/'4. Billing Determinants'!$D$41*$D34))))),0)</f>
        <v>0</v>
      </c>
      <c r="H34" s="70">
        <f>IFERROR(IF(H$4="",0,IF($E34="kWh",VLOOKUP(H$4,'4. Billing Determinants'!$B$19:$P$41,4,0)/'4. Billing Determinants'!$E$41*$D34,IF($E34="kW",VLOOKUP(H$4,'4. Billing Determinants'!$B$19:$P$41,5,0)/'4. Billing Determinants'!$F$41*$D34,IF($E34="Non-RPP kWh",VLOOKUP(H$4,'4. Billing Determinants'!$B$19:$P$41,6,0)/'4. Billing Determinants'!$G$41*$D34,IF($E34="Distribution Rev.",VLOOKUP(H$4,'4. Billing Determinants'!$B$19:$P$41,8,0)/'4. Billing Determinants'!$I$41*$D34, VLOOKUP(H$4,'4. Billing Determinants'!$B$19:$P$41,3,0)/'4. Billing Determinants'!$D$41*$D34))))),0)</f>
        <v>0</v>
      </c>
      <c r="I34" s="70">
        <f>IFERROR(IF(I$4="",0,IF($E34="kWh",VLOOKUP(I$4,'4. Billing Determinants'!$B$19:$P$41,4,0)/'4. Billing Determinants'!$E$41*$D34,IF($E34="kW",VLOOKUP(I$4,'4. Billing Determinants'!$B$19:$P$41,5,0)/'4. Billing Determinants'!$F$41*$D34,IF($E34="Non-RPP kWh",VLOOKUP(I$4,'4. Billing Determinants'!$B$19:$P$41,6,0)/'4. Billing Determinants'!$G$41*$D34,IF($E34="Distribution Rev.",VLOOKUP(I$4,'4. Billing Determinants'!$B$19:$P$41,8,0)/'4. Billing Determinants'!$I$41*$D34, VLOOKUP(I$4,'4. Billing Determinants'!$B$19:$P$41,3,0)/'4. Billing Determinants'!$D$41*$D34))))),0)</f>
        <v>0</v>
      </c>
      <c r="J34" s="70">
        <f>IFERROR(IF(J$4="",0,IF($E34="kWh",VLOOKUP(J$4,'4. Billing Determinants'!$B$19:$P$41,4,0)/'4. Billing Determinants'!$E$41*$D34,IF($E34="kW",VLOOKUP(J$4,'4. Billing Determinants'!$B$19:$P$41,5,0)/'4. Billing Determinants'!$F$41*$D34,IF($E34="Non-RPP kWh",VLOOKUP(J$4,'4. Billing Determinants'!$B$19:$P$41,6,0)/'4. Billing Determinants'!$G$41*$D34,IF($E34="Distribution Rev.",VLOOKUP(J$4,'4. Billing Determinants'!$B$19:$P$41,8,0)/'4. Billing Determinants'!$I$41*$D34, VLOOKUP(J$4,'4. Billing Determinants'!$B$19:$P$41,3,0)/'4. Billing Determinants'!$D$41*$D34))))),0)</f>
        <v>0</v>
      </c>
      <c r="K34" s="70">
        <f>IFERROR(IF(K$4="",0,IF($E34="kWh",VLOOKUP(K$4,'4. Billing Determinants'!$B$19:$P$41,4,0)/'4. Billing Determinants'!$E$41*$D34,IF($E34="kW",VLOOKUP(K$4,'4. Billing Determinants'!$B$19:$P$41,5,0)/'4. Billing Determinants'!$F$41*$D34,IF($E34="Non-RPP kWh",VLOOKUP(K$4,'4. Billing Determinants'!$B$19:$P$41,6,0)/'4. Billing Determinants'!$G$41*$D34,IF($E34="Distribution Rev.",VLOOKUP(K$4,'4. Billing Determinants'!$B$19:$P$41,8,0)/'4. Billing Determinants'!$I$41*$D34, VLOOKUP(K$4,'4. Billing Determinants'!$B$19:$P$41,3,0)/'4. Billing Determinants'!$D$41*$D34))))),0)</f>
        <v>0</v>
      </c>
      <c r="L34" s="70">
        <f>IFERROR(IF(L$4="",0,IF($E34="kWh",VLOOKUP(L$4,'4. Billing Determinants'!$B$19:$P$41,4,0)/'4. Billing Determinants'!$E$41*$D34,IF($E34="kW",VLOOKUP(L$4,'4. Billing Determinants'!$B$19:$P$41,5,0)/'4. Billing Determinants'!$F$41*$D34,IF($E34="Non-RPP kWh",VLOOKUP(L$4,'4. Billing Determinants'!$B$19:$P$41,6,0)/'4. Billing Determinants'!$G$41*$D34,IF($E34="Distribution Rev.",VLOOKUP(L$4,'4. Billing Determinants'!$B$19:$P$41,8,0)/'4. Billing Determinants'!$I$41*$D34, VLOOKUP(L$4,'4. Billing Determinants'!$B$19:$P$41,3,0)/'4. Billing Determinants'!$D$41*$D34))))),0)</f>
        <v>0</v>
      </c>
      <c r="M34" s="70">
        <f>IFERROR(IF(M$4="",0,IF($E34="kWh",VLOOKUP(M$4,'4. Billing Determinants'!$B$19:$P$41,4,0)/'4. Billing Determinants'!$E$41*$D34,IF($E34="kW",VLOOKUP(M$4,'4. Billing Determinants'!$B$19:$P$41,5,0)/'4. Billing Determinants'!$F$41*$D34,IF($E34="Non-RPP kWh",VLOOKUP(M$4,'4. Billing Determinants'!$B$19:$P$41,6,0)/'4. Billing Determinants'!$G$41*$D34,IF($E34="Distribution Rev.",VLOOKUP(M$4,'4. Billing Determinants'!$B$19:$P$41,8,0)/'4. Billing Determinants'!$I$41*$D34, VLOOKUP(M$4,'4. Billing Determinants'!$B$19:$P$41,3,0)/'4. Billing Determinants'!$D$41*$D34))))),0)</f>
        <v>0</v>
      </c>
      <c r="N34" s="70">
        <f>IFERROR(IF(N$4="",0,IF($E34="kWh",VLOOKUP(N$4,'4. Billing Determinants'!$B$19:$P$41,4,0)/'4. Billing Determinants'!$E$41*$D34,IF($E34="kW",VLOOKUP(N$4,'4. Billing Determinants'!$B$19:$P$41,5,0)/'4. Billing Determinants'!$F$41*$D34,IF($E34="Non-RPP kWh",VLOOKUP(N$4,'4. Billing Determinants'!$B$19:$P$41,6,0)/'4. Billing Determinants'!$G$41*$D34,IF($E34="Distribution Rev.",VLOOKUP(N$4,'4. Billing Determinants'!$B$19:$P$41,8,0)/'4. Billing Determinants'!$I$41*$D34, VLOOKUP(N$4,'4. Billing Determinants'!$B$19:$P$41,3,0)/'4. Billing Determinants'!$D$41*$D34))))),0)</f>
        <v>0</v>
      </c>
      <c r="O34" s="70">
        <f>IFERROR(IF(O$4="",0,IF($E34="kWh",VLOOKUP(O$4,'4. Billing Determinants'!$B$19:$P$41,4,0)/'4. Billing Determinants'!$E$41*$D34,IF($E34="kW",VLOOKUP(O$4,'4. Billing Determinants'!$B$19:$P$41,5,0)/'4. Billing Determinants'!$F$41*$D34,IF($E34="Non-RPP kWh",VLOOKUP(O$4,'4. Billing Determinants'!$B$19:$P$41,6,0)/'4. Billing Determinants'!$G$41*$D34,IF($E34="Distribution Rev.",VLOOKUP(O$4,'4. Billing Determinants'!$B$19:$P$41,8,0)/'4. Billing Determinants'!$I$41*$D34, VLOOKUP(O$4,'4. Billing Determinants'!$B$19:$P$41,3,0)/'4. Billing Determinants'!$D$41*$D34))))),0)</f>
        <v>0</v>
      </c>
      <c r="P34" s="70">
        <f>IFERROR(IF(P$4="",0,IF($E34="kWh",VLOOKUP(P$4,'4. Billing Determinants'!$B$19:$P$41,4,0)/'4. Billing Determinants'!$E$41*$D34,IF($E34="kW",VLOOKUP(P$4,'4. Billing Determinants'!$B$19:$P$41,5,0)/'4. Billing Determinants'!$F$41*$D34,IF($E34="Non-RPP kWh",VLOOKUP(P$4,'4. Billing Determinants'!$B$19:$P$41,6,0)/'4. Billing Determinants'!$G$41*$D34,IF($E34="Distribution Rev.",VLOOKUP(P$4,'4. Billing Determinants'!$B$19:$P$41,8,0)/'4. Billing Determinants'!$I$41*$D34, VLOOKUP(P$4,'4. Billing Determinants'!$B$19:$P$41,3,0)/'4. Billing Determinants'!$D$41*$D34))))),0)</f>
        <v>0</v>
      </c>
      <c r="Q34" s="70">
        <f>IFERROR(IF(Q$4="",0,IF($E34="kWh",VLOOKUP(Q$4,'4. Billing Determinants'!$B$19:$P$41,4,0)/'4. Billing Determinants'!$E$41*$D34,IF($E34="kW",VLOOKUP(Q$4,'4. Billing Determinants'!$B$19:$P$41,5,0)/'4. Billing Determinants'!$F$41*$D34,IF($E34="Non-RPP kWh",VLOOKUP(Q$4,'4. Billing Determinants'!$B$19:$P$41,6,0)/'4. Billing Determinants'!$G$41*$D34,IF($E34="Distribution Rev.",VLOOKUP(Q$4,'4. Billing Determinants'!$B$19:$P$41,8,0)/'4. Billing Determinants'!$I$41*$D34, VLOOKUP(Q$4,'4. Billing Determinants'!$B$19:$P$41,3,0)/'4. Billing Determinants'!$D$41*$D34))))),0)</f>
        <v>0</v>
      </c>
      <c r="R34" s="70">
        <f>IFERROR(IF(R$4="",0,IF($E34="kWh",VLOOKUP(R$4,'4. Billing Determinants'!$B$19:$P$41,4,0)/'4. Billing Determinants'!$E$41*$D34,IF($E34="kW",VLOOKUP(R$4,'4. Billing Determinants'!$B$19:$P$41,5,0)/'4. Billing Determinants'!$F$41*$D34,IF($E34="Non-RPP kWh",VLOOKUP(R$4,'4. Billing Determinants'!$B$19:$P$41,6,0)/'4. Billing Determinants'!$G$41*$D34,IF($E34="Distribution Rev.",VLOOKUP(R$4,'4. Billing Determinants'!$B$19:$P$41,8,0)/'4. Billing Determinants'!$I$41*$D34, VLOOKUP(R$4,'4. Billing Determinants'!$B$19:$P$41,3,0)/'4. Billing Determinants'!$D$41*$D34))))),0)</f>
        <v>0</v>
      </c>
      <c r="S34" s="70">
        <f>IFERROR(IF(S$4="",0,IF($E34="kWh",VLOOKUP(S$4,'4. Billing Determinants'!$B$19:$P$41,4,0)/'4. Billing Determinants'!$E$41*$D34,IF($E34="kW",VLOOKUP(S$4,'4. Billing Determinants'!$B$19:$P$41,5,0)/'4. Billing Determinants'!$F$41*$D34,IF($E34="Non-RPP kWh",VLOOKUP(S$4,'4. Billing Determinants'!$B$19:$P$41,6,0)/'4. Billing Determinants'!$G$41*$D34,IF($E34="Distribution Rev.",VLOOKUP(S$4,'4. Billing Determinants'!$B$19:$P$41,8,0)/'4. Billing Determinants'!$I$41*$D34, VLOOKUP(S$4,'4. Billing Determinants'!$B$19:$P$41,3,0)/'4. Billing Determinants'!$D$41*$D34))))),0)</f>
        <v>0</v>
      </c>
      <c r="T34" s="70">
        <f>IFERROR(IF(T$4="",0,IF($E34="kWh",VLOOKUP(T$4,'4. Billing Determinants'!$B$19:$P$41,4,0)/'4. Billing Determinants'!$E$41*$D34,IF($E34="kW",VLOOKUP(T$4,'4. Billing Determinants'!$B$19:$P$41,5,0)/'4. Billing Determinants'!$F$41*$D34,IF($E34="Non-RPP kWh",VLOOKUP(T$4,'4. Billing Determinants'!$B$19:$P$41,6,0)/'4. Billing Determinants'!$G$41*$D34,IF($E34="Distribution Rev.",VLOOKUP(T$4,'4. Billing Determinants'!$B$19:$P$41,8,0)/'4. Billing Determinants'!$I$41*$D34, VLOOKUP(T$4,'4. Billing Determinants'!$B$19:$P$41,3,0)/'4. Billing Determinants'!$D$41*$D34))))),0)</f>
        <v>0</v>
      </c>
      <c r="U34" s="70">
        <f>IFERROR(IF(U$4="",0,IF($E34="kWh",VLOOKUP(U$4,'4. Billing Determinants'!$B$19:$P$41,4,0)/'4. Billing Determinants'!$E$41*$D34,IF($E34="kW",VLOOKUP(U$4,'4. Billing Determinants'!$B$19:$P$41,5,0)/'4. Billing Determinants'!$F$41*$D34,IF($E34="Non-RPP kWh",VLOOKUP(U$4,'4. Billing Determinants'!$B$19:$P$41,6,0)/'4. Billing Determinants'!$G$41*$D34,IF($E34="Distribution Rev.",VLOOKUP(U$4,'4. Billing Determinants'!$B$19:$P$41,8,0)/'4. Billing Determinants'!$I$41*$D34, VLOOKUP(U$4,'4. Billing Determinants'!$B$19:$P$41,3,0)/'4. Billing Determinants'!$D$41*$D34))))),0)</f>
        <v>0</v>
      </c>
      <c r="V34" s="70">
        <f>IFERROR(IF(V$4="",0,IF($E34="kWh",VLOOKUP(V$4,'4. Billing Determinants'!$B$19:$P$41,4,0)/'4. Billing Determinants'!$E$41*$D34,IF($E34="kW",VLOOKUP(V$4,'4. Billing Determinants'!$B$19:$P$41,5,0)/'4. Billing Determinants'!$F$41*$D34,IF($E34="Non-RPP kWh",VLOOKUP(V$4,'4. Billing Determinants'!$B$19:$P$41,6,0)/'4. Billing Determinants'!$G$41*$D34,IF($E34="Distribution Rev.",VLOOKUP(V$4,'4. Billing Determinants'!$B$19:$P$41,8,0)/'4. Billing Determinants'!$I$41*$D34, VLOOKUP(V$4,'4. Billing Determinants'!$B$19:$P$41,3,0)/'4. Billing Determinants'!$D$41*$D34))))),0)</f>
        <v>0</v>
      </c>
      <c r="W34" s="70">
        <f>IFERROR(IF(W$4="",0,IF($E34="kWh",VLOOKUP(W$4,'4. Billing Determinants'!$B$19:$P$41,4,0)/'4. Billing Determinants'!$E$41*$D34,IF($E34="kW",VLOOKUP(W$4,'4. Billing Determinants'!$B$19:$P$41,5,0)/'4. Billing Determinants'!$F$41*$D34,IF($E34="Non-RPP kWh",VLOOKUP(W$4,'4. Billing Determinants'!$B$19:$P$41,6,0)/'4. Billing Determinants'!$G$41*$D34,IF($E34="Distribution Rev.",VLOOKUP(W$4,'4. Billing Determinants'!$B$19:$P$41,8,0)/'4. Billing Determinants'!$I$41*$D34, VLOOKUP(W$4,'4. Billing Determinants'!$B$19:$P$41,3,0)/'4. Billing Determinants'!$D$41*$D34))))),0)</f>
        <v>0</v>
      </c>
      <c r="X34" s="70">
        <f>IFERROR(IF(X$4="",0,IF($E34="kWh",VLOOKUP(X$4,'4. Billing Determinants'!$B$19:$P$41,4,0)/'4. Billing Determinants'!$E$41*$D34,IF($E34="kW",VLOOKUP(X$4,'4. Billing Determinants'!$B$19:$P$41,5,0)/'4. Billing Determinants'!$F$41*$D34,IF($E34="Non-RPP kWh",VLOOKUP(X$4,'4. Billing Determinants'!$B$19:$P$41,6,0)/'4. Billing Determinants'!$G$41*$D34,IF($E34="Distribution Rev.",VLOOKUP(X$4,'4. Billing Determinants'!$B$19:$P$41,8,0)/'4. Billing Determinants'!$I$41*$D34, VLOOKUP(X$4,'4. Billing Determinants'!$B$19:$P$41,3,0)/'4. Billing Determinants'!$D$41*$D34))))),0)</f>
        <v>0</v>
      </c>
      <c r="Y34" s="70">
        <f>IFERROR(IF(Y$4="",0,IF($E34="kWh",VLOOKUP(Y$4,'4. Billing Determinants'!$B$19:$P$41,4,0)/'4. Billing Determinants'!$E$41*$D34,IF($E34="kW",VLOOKUP(Y$4,'4. Billing Determinants'!$B$19:$P$41,5,0)/'4. Billing Determinants'!$F$41*$D34,IF($E34="Non-RPP kWh",VLOOKUP(Y$4,'4. Billing Determinants'!$B$19:$P$41,6,0)/'4. Billing Determinants'!$G$41*$D34,IF($E34="Distribution Rev.",VLOOKUP(Y$4,'4. Billing Determinants'!$B$19:$P$41,8,0)/'4. Billing Determinants'!$I$41*$D34, VLOOKUP(Y$4,'4. Billing Determinants'!$B$19:$P$41,3,0)/'4. Billing Determinants'!$D$41*$D34))))),0)</f>
        <v>0</v>
      </c>
    </row>
    <row r="35" spans="1:25" x14ac:dyDescent="0.2">
      <c r="B35" s="68" t="s">
        <v>6</v>
      </c>
      <c r="C35" s="69">
        <v>1574</v>
      </c>
      <c r="D35" s="70">
        <f>'2. 2014 Continuity Schedule'!BO58</f>
        <v>0</v>
      </c>
      <c r="E35" s="130"/>
      <c r="F35" s="70">
        <f>IFERROR(IF(F$4="",0,IF($E35="kWh",VLOOKUP(F$4,'4. Billing Determinants'!$B$19:$P$41,4,0)/'4. Billing Determinants'!$E$41*$D35,IF($E35="kW",VLOOKUP(F$4,'4. Billing Determinants'!$B$19:$P$41,5,0)/'4. Billing Determinants'!$F$41*$D35,IF($E35="Non-RPP kWh",VLOOKUP(F$4,'4. Billing Determinants'!$B$19:$P$41,6,0)/'4. Billing Determinants'!$G$41*$D35,IF($E35="Distribution Rev.",VLOOKUP(F$4,'4. Billing Determinants'!$B$19:$P$41,8,0)/'4. Billing Determinants'!$I$41*$D35, VLOOKUP(F$4,'4. Billing Determinants'!$B$19:$P$41,3,0)/'4. Billing Determinants'!$D$41*$D35))))),0)</f>
        <v>0</v>
      </c>
      <c r="G35" s="70">
        <f>IFERROR(IF(G$4="",0,IF($E35="kWh",VLOOKUP(G$4,'4. Billing Determinants'!$B$19:$P$41,4,0)/'4. Billing Determinants'!$E$41*$D35,IF($E35="kW",VLOOKUP(G$4,'4. Billing Determinants'!$B$19:$P$41,5,0)/'4. Billing Determinants'!$F$41*$D35,IF($E35="Non-RPP kWh",VLOOKUP(G$4,'4. Billing Determinants'!$B$19:$P$41,6,0)/'4. Billing Determinants'!$G$41*$D35,IF($E35="Distribution Rev.",VLOOKUP(G$4,'4. Billing Determinants'!$B$19:$P$41,8,0)/'4. Billing Determinants'!$I$41*$D35, VLOOKUP(G$4,'4. Billing Determinants'!$B$19:$P$41,3,0)/'4. Billing Determinants'!$D$41*$D35))))),0)</f>
        <v>0</v>
      </c>
      <c r="H35" s="70">
        <f>IFERROR(IF(H$4="",0,IF($E35="kWh",VLOOKUP(H$4,'4. Billing Determinants'!$B$19:$P$41,4,0)/'4. Billing Determinants'!$E$41*$D35,IF($E35="kW",VLOOKUP(H$4,'4. Billing Determinants'!$B$19:$P$41,5,0)/'4. Billing Determinants'!$F$41*$D35,IF($E35="Non-RPP kWh",VLOOKUP(H$4,'4. Billing Determinants'!$B$19:$P$41,6,0)/'4. Billing Determinants'!$G$41*$D35,IF($E35="Distribution Rev.",VLOOKUP(H$4,'4. Billing Determinants'!$B$19:$P$41,8,0)/'4. Billing Determinants'!$I$41*$D35, VLOOKUP(H$4,'4. Billing Determinants'!$B$19:$P$41,3,0)/'4. Billing Determinants'!$D$41*$D35))))),0)</f>
        <v>0</v>
      </c>
      <c r="I35" s="70">
        <f>IFERROR(IF(I$4="",0,IF($E35="kWh",VLOOKUP(I$4,'4. Billing Determinants'!$B$19:$P$41,4,0)/'4. Billing Determinants'!$E$41*$D35,IF($E35="kW",VLOOKUP(I$4,'4. Billing Determinants'!$B$19:$P$41,5,0)/'4. Billing Determinants'!$F$41*$D35,IF($E35="Non-RPP kWh",VLOOKUP(I$4,'4. Billing Determinants'!$B$19:$P$41,6,0)/'4. Billing Determinants'!$G$41*$D35,IF($E35="Distribution Rev.",VLOOKUP(I$4,'4. Billing Determinants'!$B$19:$P$41,8,0)/'4. Billing Determinants'!$I$41*$D35, VLOOKUP(I$4,'4. Billing Determinants'!$B$19:$P$41,3,0)/'4. Billing Determinants'!$D$41*$D35))))),0)</f>
        <v>0</v>
      </c>
      <c r="J35" s="70">
        <f>IFERROR(IF(J$4="",0,IF($E35="kWh",VLOOKUP(J$4,'4. Billing Determinants'!$B$19:$P$41,4,0)/'4. Billing Determinants'!$E$41*$D35,IF($E35="kW",VLOOKUP(J$4,'4. Billing Determinants'!$B$19:$P$41,5,0)/'4. Billing Determinants'!$F$41*$D35,IF($E35="Non-RPP kWh",VLOOKUP(J$4,'4. Billing Determinants'!$B$19:$P$41,6,0)/'4. Billing Determinants'!$G$41*$D35,IF($E35="Distribution Rev.",VLOOKUP(J$4,'4. Billing Determinants'!$B$19:$P$41,8,0)/'4. Billing Determinants'!$I$41*$D35, VLOOKUP(J$4,'4. Billing Determinants'!$B$19:$P$41,3,0)/'4. Billing Determinants'!$D$41*$D35))))),0)</f>
        <v>0</v>
      </c>
      <c r="K35" s="70">
        <f>IFERROR(IF(K$4="",0,IF($E35="kWh",VLOOKUP(K$4,'4. Billing Determinants'!$B$19:$P$41,4,0)/'4. Billing Determinants'!$E$41*$D35,IF($E35="kW",VLOOKUP(K$4,'4. Billing Determinants'!$B$19:$P$41,5,0)/'4. Billing Determinants'!$F$41*$D35,IF($E35="Non-RPP kWh",VLOOKUP(K$4,'4. Billing Determinants'!$B$19:$P$41,6,0)/'4. Billing Determinants'!$G$41*$D35,IF($E35="Distribution Rev.",VLOOKUP(K$4,'4. Billing Determinants'!$B$19:$P$41,8,0)/'4. Billing Determinants'!$I$41*$D35, VLOOKUP(K$4,'4. Billing Determinants'!$B$19:$P$41,3,0)/'4. Billing Determinants'!$D$41*$D35))))),0)</f>
        <v>0</v>
      </c>
      <c r="L35" s="70">
        <f>IFERROR(IF(L$4="",0,IF($E35="kWh",VLOOKUP(L$4,'4. Billing Determinants'!$B$19:$P$41,4,0)/'4. Billing Determinants'!$E$41*$D35,IF($E35="kW",VLOOKUP(L$4,'4. Billing Determinants'!$B$19:$P$41,5,0)/'4. Billing Determinants'!$F$41*$D35,IF($E35="Non-RPP kWh",VLOOKUP(L$4,'4. Billing Determinants'!$B$19:$P$41,6,0)/'4. Billing Determinants'!$G$41*$D35,IF($E35="Distribution Rev.",VLOOKUP(L$4,'4. Billing Determinants'!$B$19:$P$41,8,0)/'4. Billing Determinants'!$I$41*$D35, VLOOKUP(L$4,'4. Billing Determinants'!$B$19:$P$41,3,0)/'4. Billing Determinants'!$D$41*$D35))))),0)</f>
        <v>0</v>
      </c>
      <c r="M35" s="70">
        <f>IFERROR(IF(M$4="",0,IF($E35="kWh",VLOOKUP(M$4,'4. Billing Determinants'!$B$19:$P$41,4,0)/'4. Billing Determinants'!$E$41*$D35,IF($E35="kW",VLOOKUP(M$4,'4. Billing Determinants'!$B$19:$P$41,5,0)/'4. Billing Determinants'!$F$41*$D35,IF($E35="Non-RPP kWh",VLOOKUP(M$4,'4. Billing Determinants'!$B$19:$P$41,6,0)/'4. Billing Determinants'!$G$41*$D35,IF($E35="Distribution Rev.",VLOOKUP(M$4,'4. Billing Determinants'!$B$19:$P$41,8,0)/'4. Billing Determinants'!$I$41*$D35, VLOOKUP(M$4,'4. Billing Determinants'!$B$19:$P$41,3,0)/'4. Billing Determinants'!$D$41*$D35))))),0)</f>
        <v>0</v>
      </c>
      <c r="N35" s="70">
        <f>IFERROR(IF(N$4="",0,IF($E35="kWh",VLOOKUP(N$4,'4. Billing Determinants'!$B$19:$P$41,4,0)/'4. Billing Determinants'!$E$41*$D35,IF($E35="kW",VLOOKUP(N$4,'4. Billing Determinants'!$B$19:$P$41,5,0)/'4. Billing Determinants'!$F$41*$D35,IF($E35="Non-RPP kWh",VLOOKUP(N$4,'4. Billing Determinants'!$B$19:$P$41,6,0)/'4. Billing Determinants'!$G$41*$D35,IF($E35="Distribution Rev.",VLOOKUP(N$4,'4. Billing Determinants'!$B$19:$P$41,8,0)/'4. Billing Determinants'!$I$41*$D35, VLOOKUP(N$4,'4. Billing Determinants'!$B$19:$P$41,3,0)/'4. Billing Determinants'!$D$41*$D35))))),0)</f>
        <v>0</v>
      </c>
      <c r="O35" s="70">
        <f>IFERROR(IF(O$4="",0,IF($E35="kWh",VLOOKUP(O$4,'4. Billing Determinants'!$B$19:$P$41,4,0)/'4. Billing Determinants'!$E$41*$D35,IF($E35="kW",VLOOKUP(O$4,'4. Billing Determinants'!$B$19:$P$41,5,0)/'4. Billing Determinants'!$F$41*$D35,IF($E35="Non-RPP kWh",VLOOKUP(O$4,'4. Billing Determinants'!$B$19:$P$41,6,0)/'4. Billing Determinants'!$G$41*$D35,IF($E35="Distribution Rev.",VLOOKUP(O$4,'4. Billing Determinants'!$B$19:$P$41,8,0)/'4. Billing Determinants'!$I$41*$D35, VLOOKUP(O$4,'4. Billing Determinants'!$B$19:$P$41,3,0)/'4. Billing Determinants'!$D$41*$D35))))),0)</f>
        <v>0</v>
      </c>
      <c r="P35" s="70">
        <f>IFERROR(IF(P$4="",0,IF($E35="kWh",VLOOKUP(P$4,'4. Billing Determinants'!$B$19:$P$41,4,0)/'4. Billing Determinants'!$E$41*$D35,IF($E35="kW",VLOOKUP(P$4,'4. Billing Determinants'!$B$19:$P$41,5,0)/'4. Billing Determinants'!$F$41*$D35,IF($E35="Non-RPP kWh",VLOOKUP(P$4,'4. Billing Determinants'!$B$19:$P$41,6,0)/'4. Billing Determinants'!$G$41*$D35,IF($E35="Distribution Rev.",VLOOKUP(P$4,'4. Billing Determinants'!$B$19:$P$41,8,0)/'4. Billing Determinants'!$I$41*$D35, VLOOKUP(P$4,'4. Billing Determinants'!$B$19:$P$41,3,0)/'4. Billing Determinants'!$D$41*$D35))))),0)</f>
        <v>0</v>
      </c>
      <c r="Q35" s="70">
        <f>IFERROR(IF(Q$4="",0,IF($E35="kWh",VLOOKUP(Q$4,'4. Billing Determinants'!$B$19:$P$41,4,0)/'4. Billing Determinants'!$E$41*$D35,IF($E35="kW",VLOOKUP(Q$4,'4. Billing Determinants'!$B$19:$P$41,5,0)/'4. Billing Determinants'!$F$41*$D35,IF($E35="Non-RPP kWh",VLOOKUP(Q$4,'4. Billing Determinants'!$B$19:$P$41,6,0)/'4. Billing Determinants'!$G$41*$D35,IF($E35="Distribution Rev.",VLOOKUP(Q$4,'4. Billing Determinants'!$B$19:$P$41,8,0)/'4. Billing Determinants'!$I$41*$D35, VLOOKUP(Q$4,'4. Billing Determinants'!$B$19:$P$41,3,0)/'4. Billing Determinants'!$D$41*$D35))))),0)</f>
        <v>0</v>
      </c>
      <c r="R35" s="70">
        <f>IFERROR(IF(R$4="",0,IF($E35="kWh",VLOOKUP(R$4,'4. Billing Determinants'!$B$19:$P$41,4,0)/'4. Billing Determinants'!$E$41*$D35,IF($E35="kW",VLOOKUP(R$4,'4. Billing Determinants'!$B$19:$P$41,5,0)/'4. Billing Determinants'!$F$41*$D35,IF($E35="Non-RPP kWh",VLOOKUP(R$4,'4. Billing Determinants'!$B$19:$P$41,6,0)/'4. Billing Determinants'!$G$41*$D35,IF($E35="Distribution Rev.",VLOOKUP(R$4,'4. Billing Determinants'!$B$19:$P$41,8,0)/'4. Billing Determinants'!$I$41*$D35, VLOOKUP(R$4,'4. Billing Determinants'!$B$19:$P$41,3,0)/'4. Billing Determinants'!$D$41*$D35))))),0)</f>
        <v>0</v>
      </c>
      <c r="S35" s="70">
        <f>IFERROR(IF(S$4="",0,IF($E35="kWh",VLOOKUP(S$4,'4. Billing Determinants'!$B$19:$P$41,4,0)/'4. Billing Determinants'!$E$41*$D35,IF($E35="kW",VLOOKUP(S$4,'4. Billing Determinants'!$B$19:$P$41,5,0)/'4. Billing Determinants'!$F$41*$D35,IF($E35="Non-RPP kWh",VLOOKUP(S$4,'4. Billing Determinants'!$B$19:$P$41,6,0)/'4. Billing Determinants'!$G$41*$D35,IF($E35="Distribution Rev.",VLOOKUP(S$4,'4. Billing Determinants'!$B$19:$P$41,8,0)/'4. Billing Determinants'!$I$41*$D35, VLOOKUP(S$4,'4. Billing Determinants'!$B$19:$P$41,3,0)/'4. Billing Determinants'!$D$41*$D35))))),0)</f>
        <v>0</v>
      </c>
      <c r="T35" s="70">
        <f>IFERROR(IF(T$4="",0,IF($E35="kWh",VLOOKUP(T$4,'4. Billing Determinants'!$B$19:$P$41,4,0)/'4. Billing Determinants'!$E$41*$D35,IF($E35="kW",VLOOKUP(T$4,'4. Billing Determinants'!$B$19:$P$41,5,0)/'4. Billing Determinants'!$F$41*$D35,IF($E35="Non-RPP kWh",VLOOKUP(T$4,'4. Billing Determinants'!$B$19:$P$41,6,0)/'4. Billing Determinants'!$G$41*$D35,IF($E35="Distribution Rev.",VLOOKUP(T$4,'4. Billing Determinants'!$B$19:$P$41,8,0)/'4. Billing Determinants'!$I$41*$D35, VLOOKUP(T$4,'4. Billing Determinants'!$B$19:$P$41,3,0)/'4. Billing Determinants'!$D$41*$D35))))),0)</f>
        <v>0</v>
      </c>
      <c r="U35" s="70">
        <f>IFERROR(IF(U$4="",0,IF($E35="kWh",VLOOKUP(U$4,'4. Billing Determinants'!$B$19:$P$41,4,0)/'4. Billing Determinants'!$E$41*$D35,IF($E35="kW",VLOOKUP(U$4,'4. Billing Determinants'!$B$19:$P$41,5,0)/'4. Billing Determinants'!$F$41*$D35,IF($E35="Non-RPP kWh",VLOOKUP(U$4,'4. Billing Determinants'!$B$19:$P$41,6,0)/'4. Billing Determinants'!$G$41*$D35,IF($E35="Distribution Rev.",VLOOKUP(U$4,'4. Billing Determinants'!$B$19:$P$41,8,0)/'4. Billing Determinants'!$I$41*$D35, VLOOKUP(U$4,'4. Billing Determinants'!$B$19:$P$41,3,0)/'4. Billing Determinants'!$D$41*$D35))))),0)</f>
        <v>0</v>
      </c>
      <c r="V35" s="70">
        <f>IFERROR(IF(V$4="",0,IF($E35="kWh",VLOOKUP(V$4,'4. Billing Determinants'!$B$19:$P$41,4,0)/'4. Billing Determinants'!$E$41*$D35,IF($E35="kW",VLOOKUP(V$4,'4. Billing Determinants'!$B$19:$P$41,5,0)/'4. Billing Determinants'!$F$41*$D35,IF($E35="Non-RPP kWh",VLOOKUP(V$4,'4. Billing Determinants'!$B$19:$P$41,6,0)/'4. Billing Determinants'!$G$41*$D35,IF($E35="Distribution Rev.",VLOOKUP(V$4,'4. Billing Determinants'!$B$19:$P$41,8,0)/'4. Billing Determinants'!$I$41*$D35, VLOOKUP(V$4,'4. Billing Determinants'!$B$19:$P$41,3,0)/'4. Billing Determinants'!$D$41*$D35))))),0)</f>
        <v>0</v>
      </c>
      <c r="W35" s="70">
        <f>IFERROR(IF(W$4="",0,IF($E35="kWh",VLOOKUP(W$4,'4. Billing Determinants'!$B$19:$P$41,4,0)/'4. Billing Determinants'!$E$41*$D35,IF($E35="kW",VLOOKUP(W$4,'4. Billing Determinants'!$B$19:$P$41,5,0)/'4. Billing Determinants'!$F$41*$D35,IF($E35="Non-RPP kWh",VLOOKUP(W$4,'4. Billing Determinants'!$B$19:$P$41,6,0)/'4. Billing Determinants'!$G$41*$D35,IF($E35="Distribution Rev.",VLOOKUP(W$4,'4. Billing Determinants'!$B$19:$P$41,8,0)/'4. Billing Determinants'!$I$41*$D35, VLOOKUP(W$4,'4. Billing Determinants'!$B$19:$P$41,3,0)/'4. Billing Determinants'!$D$41*$D35))))),0)</f>
        <v>0</v>
      </c>
      <c r="X35" s="70">
        <f>IFERROR(IF(X$4="",0,IF($E35="kWh",VLOOKUP(X$4,'4. Billing Determinants'!$B$19:$P$41,4,0)/'4. Billing Determinants'!$E$41*$D35,IF($E35="kW",VLOOKUP(X$4,'4. Billing Determinants'!$B$19:$P$41,5,0)/'4. Billing Determinants'!$F$41*$D35,IF($E35="Non-RPP kWh",VLOOKUP(X$4,'4. Billing Determinants'!$B$19:$P$41,6,0)/'4. Billing Determinants'!$G$41*$D35,IF($E35="Distribution Rev.",VLOOKUP(X$4,'4. Billing Determinants'!$B$19:$P$41,8,0)/'4. Billing Determinants'!$I$41*$D35, VLOOKUP(X$4,'4. Billing Determinants'!$B$19:$P$41,3,0)/'4. Billing Determinants'!$D$41*$D35))))),0)</f>
        <v>0</v>
      </c>
      <c r="Y35" s="70">
        <f>IFERROR(IF(Y$4="",0,IF($E35="kWh",VLOOKUP(Y$4,'4. Billing Determinants'!$B$19:$P$41,4,0)/'4. Billing Determinants'!$E$41*$D35,IF($E35="kW",VLOOKUP(Y$4,'4. Billing Determinants'!$B$19:$P$41,5,0)/'4. Billing Determinants'!$F$41*$D35,IF($E35="Non-RPP kWh",VLOOKUP(Y$4,'4. Billing Determinants'!$B$19:$P$41,6,0)/'4. Billing Determinants'!$G$41*$D35,IF($E35="Distribution Rev.",VLOOKUP(Y$4,'4. Billing Determinants'!$B$19:$P$41,8,0)/'4. Billing Determinants'!$I$41*$D35, VLOOKUP(Y$4,'4. Billing Determinants'!$B$19:$P$41,3,0)/'4. Billing Determinants'!$D$41*$D35))))),0)</f>
        <v>0</v>
      </c>
    </row>
    <row r="36" spans="1:25" x14ac:dyDescent="0.2">
      <c r="B36" s="68" t="s">
        <v>40</v>
      </c>
      <c r="C36" s="69">
        <v>1582</v>
      </c>
      <c r="D36" s="70">
        <f>'2. 2014 Continuity Schedule'!BO59</f>
        <v>0</v>
      </c>
      <c r="E36" s="130"/>
      <c r="F36" s="70">
        <f>IFERROR(IF(F$4="",0,IF($E36="kWh",VLOOKUP(F$4,'4. Billing Determinants'!$B$19:$P$41,4,0)/'4. Billing Determinants'!$E$41*$D36,IF($E36="kW",VLOOKUP(F$4,'4. Billing Determinants'!$B$19:$P$41,5,0)/'4. Billing Determinants'!$F$41*$D36,IF($E36="Non-RPP kWh",VLOOKUP(F$4,'4. Billing Determinants'!$B$19:$P$41,6,0)/'4. Billing Determinants'!$G$41*$D36,IF($E36="Distribution Rev.",VLOOKUP(F$4,'4. Billing Determinants'!$B$19:$P$41,8,0)/'4. Billing Determinants'!$I$41*$D36, VLOOKUP(F$4,'4. Billing Determinants'!$B$19:$P$41,3,0)/'4. Billing Determinants'!$D$41*$D36))))),0)</f>
        <v>0</v>
      </c>
      <c r="G36" s="70">
        <f>IFERROR(IF(G$4="",0,IF($E36="kWh",VLOOKUP(G$4,'4. Billing Determinants'!$B$19:$P$41,4,0)/'4. Billing Determinants'!$E$41*$D36,IF($E36="kW",VLOOKUP(G$4,'4. Billing Determinants'!$B$19:$P$41,5,0)/'4. Billing Determinants'!$F$41*$D36,IF($E36="Non-RPP kWh",VLOOKUP(G$4,'4. Billing Determinants'!$B$19:$P$41,6,0)/'4. Billing Determinants'!$G$41*$D36,IF($E36="Distribution Rev.",VLOOKUP(G$4,'4. Billing Determinants'!$B$19:$P$41,8,0)/'4. Billing Determinants'!$I$41*$D36, VLOOKUP(G$4,'4. Billing Determinants'!$B$19:$P$41,3,0)/'4. Billing Determinants'!$D$41*$D36))))),0)</f>
        <v>0</v>
      </c>
      <c r="H36" s="70">
        <f>IFERROR(IF(H$4="",0,IF($E36="kWh",VLOOKUP(H$4,'4. Billing Determinants'!$B$19:$P$41,4,0)/'4. Billing Determinants'!$E$41*$D36,IF($E36="kW",VLOOKUP(H$4,'4. Billing Determinants'!$B$19:$P$41,5,0)/'4. Billing Determinants'!$F$41*$D36,IF($E36="Non-RPP kWh",VLOOKUP(H$4,'4. Billing Determinants'!$B$19:$P$41,6,0)/'4. Billing Determinants'!$G$41*$D36,IF($E36="Distribution Rev.",VLOOKUP(H$4,'4. Billing Determinants'!$B$19:$P$41,8,0)/'4. Billing Determinants'!$I$41*$D36, VLOOKUP(H$4,'4. Billing Determinants'!$B$19:$P$41,3,0)/'4. Billing Determinants'!$D$41*$D36))))),0)</f>
        <v>0</v>
      </c>
      <c r="I36" s="70">
        <f>IFERROR(IF(I$4="",0,IF($E36="kWh",VLOOKUP(I$4,'4. Billing Determinants'!$B$19:$P$41,4,0)/'4. Billing Determinants'!$E$41*$D36,IF($E36="kW",VLOOKUP(I$4,'4. Billing Determinants'!$B$19:$P$41,5,0)/'4. Billing Determinants'!$F$41*$D36,IF($E36="Non-RPP kWh",VLOOKUP(I$4,'4. Billing Determinants'!$B$19:$P$41,6,0)/'4. Billing Determinants'!$G$41*$D36,IF($E36="Distribution Rev.",VLOOKUP(I$4,'4. Billing Determinants'!$B$19:$P$41,8,0)/'4. Billing Determinants'!$I$41*$D36, VLOOKUP(I$4,'4. Billing Determinants'!$B$19:$P$41,3,0)/'4. Billing Determinants'!$D$41*$D36))))),0)</f>
        <v>0</v>
      </c>
      <c r="J36" s="70">
        <f>IFERROR(IF(J$4="",0,IF($E36="kWh",VLOOKUP(J$4,'4. Billing Determinants'!$B$19:$P$41,4,0)/'4. Billing Determinants'!$E$41*$D36,IF($E36="kW",VLOOKUP(J$4,'4. Billing Determinants'!$B$19:$P$41,5,0)/'4. Billing Determinants'!$F$41*$D36,IF($E36="Non-RPP kWh",VLOOKUP(J$4,'4. Billing Determinants'!$B$19:$P$41,6,0)/'4. Billing Determinants'!$G$41*$D36,IF($E36="Distribution Rev.",VLOOKUP(J$4,'4. Billing Determinants'!$B$19:$P$41,8,0)/'4. Billing Determinants'!$I$41*$D36, VLOOKUP(J$4,'4. Billing Determinants'!$B$19:$P$41,3,0)/'4. Billing Determinants'!$D$41*$D36))))),0)</f>
        <v>0</v>
      </c>
      <c r="K36" s="70">
        <f>IFERROR(IF(K$4="",0,IF($E36="kWh",VLOOKUP(K$4,'4. Billing Determinants'!$B$19:$P$41,4,0)/'4. Billing Determinants'!$E$41*$D36,IF($E36="kW",VLOOKUP(K$4,'4. Billing Determinants'!$B$19:$P$41,5,0)/'4. Billing Determinants'!$F$41*$D36,IF($E36="Non-RPP kWh",VLOOKUP(K$4,'4. Billing Determinants'!$B$19:$P$41,6,0)/'4. Billing Determinants'!$G$41*$D36,IF($E36="Distribution Rev.",VLOOKUP(K$4,'4. Billing Determinants'!$B$19:$P$41,8,0)/'4. Billing Determinants'!$I$41*$D36, VLOOKUP(K$4,'4. Billing Determinants'!$B$19:$P$41,3,0)/'4. Billing Determinants'!$D$41*$D36))))),0)</f>
        <v>0</v>
      </c>
      <c r="L36" s="70">
        <f>IFERROR(IF(L$4="",0,IF($E36="kWh",VLOOKUP(L$4,'4. Billing Determinants'!$B$19:$P$41,4,0)/'4. Billing Determinants'!$E$41*$D36,IF($E36="kW",VLOOKUP(L$4,'4. Billing Determinants'!$B$19:$P$41,5,0)/'4. Billing Determinants'!$F$41*$D36,IF($E36="Non-RPP kWh",VLOOKUP(L$4,'4. Billing Determinants'!$B$19:$P$41,6,0)/'4. Billing Determinants'!$G$41*$D36,IF($E36="Distribution Rev.",VLOOKUP(L$4,'4. Billing Determinants'!$B$19:$P$41,8,0)/'4. Billing Determinants'!$I$41*$D36, VLOOKUP(L$4,'4. Billing Determinants'!$B$19:$P$41,3,0)/'4. Billing Determinants'!$D$41*$D36))))),0)</f>
        <v>0</v>
      </c>
      <c r="M36" s="70">
        <f>IFERROR(IF(M$4="",0,IF($E36="kWh",VLOOKUP(M$4,'4. Billing Determinants'!$B$19:$P$41,4,0)/'4. Billing Determinants'!$E$41*$D36,IF($E36="kW",VLOOKUP(M$4,'4. Billing Determinants'!$B$19:$P$41,5,0)/'4. Billing Determinants'!$F$41*$D36,IF($E36="Non-RPP kWh",VLOOKUP(M$4,'4. Billing Determinants'!$B$19:$P$41,6,0)/'4. Billing Determinants'!$G$41*$D36,IF($E36="Distribution Rev.",VLOOKUP(M$4,'4. Billing Determinants'!$B$19:$P$41,8,0)/'4. Billing Determinants'!$I$41*$D36, VLOOKUP(M$4,'4. Billing Determinants'!$B$19:$P$41,3,0)/'4. Billing Determinants'!$D$41*$D36))))),0)</f>
        <v>0</v>
      </c>
      <c r="N36" s="70">
        <f>IFERROR(IF(N$4="",0,IF($E36="kWh",VLOOKUP(N$4,'4. Billing Determinants'!$B$19:$P$41,4,0)/'4. Billing Determinants'!$E$41*$D36,IF($E36="kW",VLOOKUP(N$4,'4. Billing Determinants'!$B$19:$P$41,5,0)/'4. Billing Determinants'!$F$41*$D36,IF($E36="Non-RPP kWh",VLOOKUP(N$4,'4. Billing Determinants'!$B$19:$P$41,6,0)/'4. Billing Determinants'!$G$41*$D36,IF($E36="Distribution Rev.",VLOOKUP(N$4,'4. Billing Determinants'!$B$19:$P$41,8,0)/'4. Billing Determinants'!$I$41*$D36, VLOOKUP(N$4,'4. Billing Determinants'!$B$19:$P$41,3,0)/'4. Billing Determinants'!$D$41*$D36))))),0)</f>
        <v>0</v>
      </c>
      <c r="O36" s="70">
        <f>IFERROR(IF(O$4="",0,IF($E36="kWh",VLOOKUP(O$4,'4. Billing Determinants'!$B$19:$P$41,4,0)/'4. Billing Determinants'!$E$41*$D36,IF($E36="kW",VLOOKUP(O$4,'4. Billing Determinants'!$B$19:$P$41,5,0)/'4. Billing Determinants'!$F$41*$D36,IF($E36="Non-RPP kWh",VLOOKUP(O$4,'4. Billing Determinants'!$B$19:$P$41,6,0)/'4. Billing Determinants'!$G$41*$D36,IF($E36="Distribution Rev.",VLOOKUP(O$4,'4. Billing Determinants'!$B$19:$P$41,8,0)/'4. Billing Determinants'!$I$41*$D36, VLOOKUP(O$4,'4. Billing Determinants'!$B$19:$P$41,3,0)/'4. Billing Determinants'!$D$41*$D36))))),0)</f>
        <v>0</v>
      </c>
      <c r="P36" s="70">
        <f>IFERROR(IF(P$4="",0,IF($E36="kWh",VLOOKUP(P$4,'4. Billing Determinants'!$B$19:$P$41,4,0)/'4. Billing Determinants'!$E$41*$D36,IF($E36="kW",VLOOKUP(P$4,'4. Billing Determinants'!$B$19:$P$41,5,0)/'4. Billing Determinants'!$F$41*$D36,IF($E36="Non-RPP kWh",VLOOKUP(P$4,'4. Billing Determinants'!$B$19:$P$41,6,0)/'4. Billing Determinants'!$G$41*$D36,IF($E36="Distribution Rev.",VLOOKUP(P$4,'4. Billing Determinants'!$B$19:$P$41,8,0)/'4. Billing Determinants'!$I$41*$D36, VLOOKUP(P$4,'4. Billing Determinants'!$B$19:$P$41,3,0)/'4. Billing Determinants'!$D$41*$D36))))),0)</f>
        <v>0</v>
      </c>
      <c r="Q36" s="70">
        <f>IFERROR(IF(Q$4="",0,IF($E36="kWh",VLOOKUP(Q$4,'4. Billing Determinants'!$B$19:$P$41,4,0)/'4. Billing Determinants'!$E$41*$D36,IF($E36="kW",VLOOKUP(Q$4,'4. Billing Determinants'!$B$19:$P$41,5,0)/'4. Billing Determinants'!$F$41*$D36,IF($E36="Non-RPP kWh",VLOOKUP(Q$4,'4. Billing Determinants'!$B$19:$P$41,6,0)/'4. Billing Determinants'!$G$41*$D36,IF($E36="Distribution Rev.",VLOOKUP(Q$4,'4. Billing Determinants'!$B$19:$P$41,8,0)/'4. Billing Determinants'!$I$41*$D36, VLOOKUP(Q$4,'4. Billing Determinants'!$B$19:$P$41,3,0)/'4. Billing Determinants'!$D$41*$D36))))),0)</f>
        <v>0</v>
      </c>
      <c r="R36" s="70">
        <f>IFERROR(IF(R$4="",0,IF($E36="kWh",VLOOKUP(R$4,'4. Billing Determinants'!$B$19:$P$41,4,0)/'4. Billing Determinants'!$E$41*$D36,IF($E36="kW",VLOOKUP(R$4,'4. Billing Determinants'!$B$19:$P$41,5,0)/'4. Billing Determinants'!$F$41*$D36,IF($E36="Non-RPP kWh",VLOOKUP(R$4,'4. Billing Determinants'!$B$19:$P$41,6,0)/'4. Billing Determinants'!$G$41*$D36,IF($E36="Distribution Rev.",VLOOKUP(R$4,'4. Billing Determinants'!$B$19:$P$41,8,0)/'4. Billing Determinants'!$I$41*$D36, VLOOKUP(R$4,'4. Billing Determinants'!$B$19:$P$41,3,0)/'4. Billing Determinants'!$D$41*$D36))))),0)</f>
        <v>0</v>
      </c>
      <c r="S36" s="70">
        <f>IFERROR(IF(S$4="",0,IF($E36="kWh",VLOOKUP(S$4,'4. Billing Determinants'!$B$19:$P$41,4,0)/'4. Billing Determinants'!$E$41*$D36,IF($E36="kW",VLOOKUP(S$4,'4. Billing Determinants'!$B$19:$P$41,5,0)/'4. Billing Determinants'!$F$41*$D36,IF($E36="Non-RPP kWh",VLOOKUP(S$4,'4. Billing Determinants'!$B$19:$P$41,6,0)/'4. Billing Determinants'!$G$41*$D36,IF($E36="Distribution Rev.",VLOOKUP(S$4,'4. Billing Determinants'!$B$19:$P$41,8,0)/'4. Billing Determinants'!$I$41*$D36, VLOOKUP(S$4,'4. Billing Determinants'!$B$19:$P$41,3,0)/'4. Billing Determinants'!$D$41*$D36))))),0)</f>
        <v>0</v>
      </c>
      <c r="T36" s="70">
        <f>IFERROR(IF(T$4="",0,IF($E36="kWh",VLOOKUP(T$4,'4. Billing Determinants'!$B$19:$P$41,4,0)/'4. Billing Determinants'!$E$41*$D36,IF($E36="kW",VLOOKUP(T$4,'4. Billing Determinants'!$B$19:$P$41,5,0)/'4. Billing Determinants'!$F$41*$D36,IF($E36="Non-RPP kWh",VLOOKUP(T$4,'4. Billing Determinants'!$B$19:$P$41,6,0)/'4. Billing Determinants'!$G$41*$D36,IF($E36="Distribution Rev.",VLOOKUP(T$4,'4. Billing Determinants'!$B$19:$P$41,8,0)/'4. Billing Determinants'!$I$41*$D36, VLOOKUP(T$4,'4. Billing Determinants'!$B$19:$P$41,3,0)/'4. Billing Determinants'!$D$41*$D36))))),0)</f>
        <v>0</v>
      </c>
      <c r="U36" s="70">
        <f>IFERROR(IF(U$4="",0,IF($E36="kWh",VLOOKUP(U$4,'4. Billing Determinants'!$B$19:$P$41,4,0)/'4. Billing Determinants'!$E$41*$D36,IF($E36="kW",VLOOKUP(U$4,'4. Billing Determinants'!$B$19:$P$41,5,0)/'4. Billing Determinants'!$F$41*$D36,IF($E36="Non-RPP kWh",VLOOKUP(U$4,'4. Billing Determinants'!$B$19:$P$41,6,0)/'4. Billing Determinants'!$G$41*$D36,IF($E36="Distribution Rev.",VLOOKUP(U$4,'4. Billing Determinants'!$B$19:$P$41,8,0)/'4. Billing Determinants'!$I$41*$D36, VLOOKUP(U$4,'4. Billing Determinants'!$B$19:$P$41,3,0)/'4. Billing Determinants'!$D$41*$D36))))),0)</f>
        <v>0</v>
      </c>
      <c r="V36" s="70">
        <f>IFERROR(IF(V$4="",0,IF($E36="kWh",VLOOKUP(V$4,'4. Billing Determinants'!$B$19:$P$41,4,0)/'4. Billing Determinants'!$E$41*$D36,IF($E36="kW",VLOOKUP(V$4,'4. Billing Determinants'!$B$19:$P$41,5,0)/'4. Billing Determinants'!$F$41*$D36,IF($E36="Non-RPP kWh",VLOOKUP(V$4,'4. Billing Determinants'!$B$19:$P$41,6,0)/'4. Billing Determinants'!$G$41*$D36,IF($E36="Distribution Rev.",VLOOKUP(V$4,'4. Billing Determinants'!$B$19:$P$41,8,0)/'4. Billing Determinants'!$I$41*$D36, VLOOKUP(V$4,'4. Billing Determinants'!$B$19:$P$41,3,0)/'4. Billing Determinants'!$D$41*$D36))))),0)</f>
        <v>0</v>
      </c>
      <c r="W36" s="70">
        <f>IFERROR(IF(W$4="",0,IF($E36="kWh",VLOOKUP(W$4,'4. Billing Determinants'!$B$19:$P$41,4,0)/'4. Billing Determinants'!$E$41*$D36,IF($E36="kW",VLOOKUP(W$4,'4. Billing Determinants'!$B$19:$P$41,5,0)/'4. Billing Determinants'!$F$41*$D36,IF($E36="Non-RPP kWh",VLOOKUP(W$4,'4. Billing Determinants'!$B$19:$P$41,6,0)/'4. Billing Determinants'!$G$41*$D36,IF($E36="Distribution Rev.",VLOOKUP(W$4,'4. Billing Determinants'!$B$19:$P$41,8,0)/'4. Billing Determinants'!$I$41*$D36, VLOOKUP(W$4,'4. Billing Determinants'!$B$19:$P$41,3,0)/'4. Billing Determinants'!$D$41*$D36))))),0)</f>
        <v>0</v>
      </c>
      <c r="X36" s="70">
        <f>IFERROR(IF(X$4="",0,IF($E36="kWh",VLOOKUP(X$4,'4. Billing Determinants'!$B$19:$P$41,4,0)/'4. Billing Determinants'!$E$41*$D36,IF($E36="kW",VLOOKUP(X$4,'4. Billing Determinants'!$B$19:$P$41,5,0)/'4. Billing Determinants'!$F$41*$D36,IF($E36="Non-RPP kWh",VLOOKUP(X$4,'4. Billing Determinants'!$B$19:$P$41,6,0)/'4. Billing Determinants'!$G$41*$D36,IF($E36="Distribution Rev.",VLOOKUP(X$4,'4. Billing Determinants'!$B$19:$P$41,8,0)/'4. Billing Determinants'!$I$41*$D36, VLOOKUP(X$4,'4. Billing Determinants'!$B$19:$P$41,3,0)/'4. Billing Determinants'!$D$41*$D36))))),0)</f>
        <v>0</v>
      </c>
      <c r="Y36" s="70">
        <f>IFERROR(IF(Y$4="",0,IF($E36="kWh",VLOOKUP(Y$4,'4. Billing Determinants'!$B$19:$P$41,4,0)/'4. Billing Determinants'!$E$41*$D36,IF($E36="kW",VLOOKUP(Y$4,'4. Billing Determinants'!$B$19:$P$41,5,0)/'4. Billing Determinants'!$F$41*$D36,IF($E36="Non-RPP kWh",VLOOKUP(Y$4,'4. Billing Determinants'!$B$19:$P$41,6,0)/'4. Billing Determinants'!$G$41*$D36,IF($E36="Distribution Rev.",VLOOKUP(Y$4,'4. Billing Determinants'!$B$19:$P$41,8,0)/'4. Billing Determinants'!$I$41*$D36, VLOOKUP(Y$4,'4. Billing Determinants'!$B$19:$P$41,3,0)/'4. Billing Determinants'!$D$41*$D36))))),0)</f>
        <v>0</v>
      </c>
    </row>
    <row r="37" spans="1:25" x14ac:dyDescent="0.2">
      <c r="B37" s="68" t="s">
        <v>7</v>
      </c>
      <c r="C37" s="69">
        <v>2425</v>
      </c>
      <c r="D37" s="70">
        <f>'2. 2014 Continuity Schedule'!BO60</f>
        <v>0</v>
      </c>
      <c r="E37" s="130"/>
      <c r="F37" s="70">
        <f>IFERROR(IF(F$4="",0,IF($E37="kWh",VLOOKUP(F$4,'4. Billing Determinants'!$B$19:$P$41,4,0)/'4. Billing Determinants'!$E$41*$D37,IF($E37="kW",VLOOKUP(F$4,'4. Billing Determinants'!$B$19:$P$41,5,0)/'4. Billing Determinants'!$F$41*$D37,IF($E37="Non-RPP kWh",VLOOKUP(F$4,'4. Billing Determinants'!$B$19:$P$41,6,0)/'4. Billing Determinants'!$G$41*$D37,IF($E37="Distribution Rev.",VLOOKUP(F$4,'4. Billing Determinants'!$B$19:$P$41,8,0)/'4. Billing Determinants'!$I$41*$D37, VLOOKUP(F$4,'4. Billing Determinants'!$B$19:$P$41,3,0)/'4. Billing Determinants'!$D$41*$D37))))),0)</f>
        <v>0</v>
      </c>
      <c r="G37" s="70">
        <f>IFERROR(IF(G$4="",0,IF($E37="kWh",VLOOKUP(G$4,'4. Billing Determinants'!$B$19:$P$41,4,0)/'4. Billing Determinants'!$E$41*$D37,IF($E37="kW",VLOOKUP(G$4,'4. Billing Determinants'!$B$19:$P$41,5,0)/'4. Billing Determinants'!$F$41*$D37,IF($E37="Non-RPP kWh",VLOOKUP(G$4,'4. Billing Determinants'!$B$19:$P$41,6,0)/'4. Billing Determinants'!$G$41*$D37,IF($E37="Distribution Rev.",VLOOKUP(G$4,'4. Billing Determinants'!$B$19:$P$41,8,0)/'4. Billing Determinants'!$I$41*$D37, VLOOKUP(G$4,'4. Billing Determinants'!$B$19:$P$41,3,0)/'4. Billing Determinants'!$D$41*$D37))))),0)</f>
        <v>0</v>
      </c>
      <c r="H37" s="70">
        <f>IFERROR(IF(H$4="",0,IF($E37="kWh",VLOOKUP(H$4,'4. Billing Determinants'!$B$19:$P$41,4,0)/'4. Billing Determinants'!$E$41*$D37,IF($E37="kW",VLOOKUP(H$4,'4. Billing Determinants'!$B$19:$P$41,5,0)/'4. Billing Determinants'!$F$41*$D37,IF($E37="Non-RPP kWh",VLOOKUP(H$4,'4. Billing Determinants'!$B$19:$P$41,6,0)/'4. Billing Determinants'!$G$41*$D37,IF($E37="Distribution Rev.",VLOOKUP(H$4,'4. Billing Determinants'!$B$19:$P$41,8,0)/'4. Billing Determinants'!$I$41*$D37, VLOOKUP(H$4,'4. Billing Determinants'!$B$19:$P$41,3,0)/'4. Billing Determinants'!$D$41*$D37))))),0)</f>
        <v>0</v>
      </c>
      <c r="I37" s="70">
        <f>IFERROR(IF(I$4="",0,IF($E37="kWh",VLOOKUP(I$4,'4. Billing Determinants'!$B$19:$P$41,4,0)/'4. Billing Determinants'!$E$41*$D37,IF($E37="kW",VLOOKUP(I$4,'4. Billing Determinants'!$B$19:$P$41,5,0)/'4. Billing Determinants'!$F$41*$D37,IF($E37="Non-RPP kWh",VLOOKUP(I$4,'4. Billing Determinants'!$B$19:$P$41,6,0)/'4. Billing Determinants'!$G$41*$D37,IF($E37="Distribution Rev.",VLOOKUP(I$4,'4. Billing Determinants'!$B$19:$P$41,8,0)/'4. Billing Determinants'!$I$41*$D37, VLOOKUP(I$4,'4. Billing Determinants'!$B$19:$P$41,3,0)/'4. Billing Determinants'!$D$41*$D37))))),0)</f>
        <v>0</v>
      </c>
      <c r="J37" s="70">
        <f>IFERROR(IF(J$4="",0,IF($E37="kWh",VLOOKUP(J$4,'4. Billing Determinants'!$B$19:$P$41,4,0)/'4. Billing Determinants'!$E$41*$D37,IF($E37="kW",VLOOKUP(J$4,'4. Billing Determinants'!$B$19:$P$41,5,0)/'4. Billing Determinants'!$F$41*$D37,IF($E37="Non-RPP kWh",VLOOKUP(J$4,'4. Billing Determinants'!$B$19:$P$41,6,0)/'4. Billing Determinants'!$G$41*$D37,IF($E37="Distribution Rev.",VLOOKUP(J$4,'4. Billing Determinants'!$B$19:$P$41,8,0)/'4. Billing Determinants'!$I$41*$D37, VLOOKUP(J$4,'4. Billing Determinants'!$B$19:$P$41,3,0)/'4. Billing Determinants'!$D$41*$D37))))),0)</f>
        <v>0</v>
      </c>
      <c r="K37" s="70">
        <f>IFERROR(IF(K$4="",0,IF($E37="kWh",VLOOKUP(K$4,'4. Billing Determinants'!$B$19:$P$41,4,0)/'4. Billing Determinants'!$E$41*$D37,IF($E37="kW",VLOOKUP(K$4,'4. Billing Determinants'!$B$19:$P$41,5,0)/'4. Billing Determinants'!$F$41*$D37,IF($E37="Non-RPP kWh",VLOOKUP(K$4,'4. Billing Determinants'!$B$19:$P$41,6,0)/'4. Billing Determinants'!$G$41*$D37,IF($E37="Distribution Rev.",VLOOKUP(K$4,'4. Billing Determinants'!$B$19:$P$41,8,0)/'4. Billing Determinants'!$I$41*$D37, VLOOKUP(K$4,'4. Billing Determinants'!$B$19:$P$41,3,0)/'4. Billing Determinants'!$D$41*$D37))))),0)</f>
        <v>0</v>
      </c>
      <c r="L37" s="70">
        <f>IFERROR(IF(L$4="",0,IF($E37="kWh",VLOOKUP(L$4,'4. Billing Determinants'!$B$19:$P$41,4,0)/'4. Billing Determinants'!$E$41*$D37,IF($E37="kW",VLOOKUP(L$4,'4. Billing Determinants'!$B$19:$P$41,5,0)/'4. Billing Determinants'!$F$41*$D37,IF($E37="Non-RPP kWh",VLOOKUP(L$4,'4. Billing Determinants'!$B$19:$P$41,6,0)/'4. Billing Determinants'!$G$41*$D37,IF($E37="Distribution Rev.",VLOOKUP(L$4,'4. Billing Determinants'!$B$19:$P$41,8,0)/'4. Billing Determinants'!$I$41*$D37, VLOOKUP(L$4,'4. Billing Determinants'!$B$19:$P$41,3,0)/'4. Billing Determinants'!$D$41*$D37))))),0)</f>
        <v>0</v>
      </c>
      <c r="M37" s="70">
        <f>IFERROR(IF(M$4="",0,IF($E37="kWh",VLOOKUP(M$4,'4. Billing Determinants'!$B$19:$P$41,4,0)/'4. Billing Determinants'!$E$41*$D37,IF($E37="kW",VLOOKUP(M$4,'4. Billing Determinants'!$B$19:$P$41,5,0)/'4. Billing Determinants'!$F$41*$D37,IF($E37="Non-RPP kWh",VLOOKUP(M$4,'4. Billing Determinants'!$B$19:$P$41,6,0)/'4. Billing Determinants'!$G$41*$D37,IF($E37="Distribution Rev.",VLOOKUP(M$4,'4. Billing Determinants'!$B$19:$P$41,8,0)/'4. Billing Determinants'!$I$41*$D37, VLOOKUP(M$4,'4. Billing Determinants'!$B$19:$P$41,3,0)/'4. Billing Determinants'!$D$41*$D37))))),0)</f>
        <v>0</v>
      </c>
      <c r="N37" s="70">
        <f>IFERROR(IF(N$4="",0,IF($E37="kWh",VLOOKUP(N$4,'4. Billing Determinants'!$B$19:$P$41,4,0)/'4. Billing Determinants'!$E$41*$D37,IF($E37="kW",VLOOKUP(N$4,'4. Billing Determinants'!$B$19:$P$41,5,0)/'4. Billing Determinants'!$F$41*$D37,IF($E37="Non-RPP kWh",VLOOKUP(N$4,'4. Billing Determinants'!$B$19:$P$41,6,0)/'4. Billing Determinants'!$G$41*$D37,IF($E37="Distribution Rev.",VLOOKUP(N$4,'4. Billing Determinants'!$B$19:$P$41,8,0)/'4. Billing Determinants'!$I$41*$D37, VLOOKUP(N$4,'4. Billing Determinants'!$B$19:$P$41,3,0)/'4. Billing Determinants'!$D$41*$D37))))),0)</f>
        <v>0</v>
      </c>
      <c r="O37" s="70">
        <f>IFERROR(IF(O$4="",0,IF($E37="kWh",VLOOKUP(O$4,'4. Billing Determinants'!$B$19:$P$41,4,0)/'4. Billing Determinants'!$E$41*$D37,IF($E37="kW",VLOOKUP(O$4,'4. Billing Determinants'!$B$19:$P$41,5,0)/'4. Billing Determinants'!$F$41*$D37,IF($E37="Non-RPP kWh",VLOOKUP(O$4,'4. Billing Determinants'!$B$19:$P$41,6,0)/'4. Billing Determinants'!$G$41*$D37,IF($E37="Distribution Rev.",VLOOKUP(O$4,'4. Billing Determinants'!$B$19:$P$41,8,0)/'4. Billing Determinants'!$I$41*$D37, VLOOKUP(O$4,'4. Billing Determinants'!$B$19:$P$41,3,0)/'4. Billing Determinants'!$D$41*$D37))))),0)</f>
        <v>0</v>
      </c>
      <c r="P37" s="70">
        <f>IFERROR(IF(P$4="",0,IF($E37="kWh",VLOOKUP(P$4,'4. Billing Determinants'!$B$19:$P$41,4,0)/'4. Billing Determinants'!$E$41*$D37,IF($E37="kW",VLOOKUP(P$4,'4. Billing Determinants'!$B$19:$P$41,5,0)/'4. Billing Determinants'!$F$41*$D37,IF($E37="Non-RPP kWh",VLOOKUP(P$4,'4. Billing Determinants'!$B$19:$P$41,6,0)/'4. Billing Determinants'!$G$41*$D37,IF($E37="Distribution Rev.",VLOOKUP(P$4,'4. Billing Determinants'!$B$19:$P$41,8,0)/'4. Billing Determinants'!$I$41*$D37, VLOOKUP(P$4,'4. Billing Determinants'!$B$19:$P$41,3,0)/'4. Billing Determinants'!$D$41*$D37))))),0)</f>
        <v>0</v>
      </c>
      <c r="Q37" s="70">
        <f>IFERROR(IF(Q$4="",0,IF($E37="kWh",VLOOKUP(Q$4,'4. Billing Determinants'!$B$19:$P$41,4,0)/'4. Billing Determinants'!$E$41*$D37,IF($E37="kW",VLOOKUP(Q$4,'4. Billing Determinants'!$B$19:$P$41,5,0)/'4. Billing Determinants'!$F$41*$D37,IF($E37="Non-RPP kWh",VLOOKUP(Q$4,'4. Billing Determinants'!$B$19:$P$41,6,0)/'4. Billing Determinants'!$G$41*$D37,IF($E37="Distribution Rev.",VLOOKUP(Q$4,'4. Billing Determinants'!$B$19:$P$41,8,0)/'4. Billing Determinants'!$I$41*$D37, VLOOKUP(Q$4,'4. Billing Determinants'!$B$19:$P$41,3,0)/'4. Billing Determinants'!$D$41*$D37))))),0)</f>
        <v>0</v>
      </c>
      <c r="R37" s="70">
        <f>IFERROR(IF(R$4="",0,IF($E37="kWh",VLOOKUP(R$4,'4. Billing Determinants'!$B$19:$P$41,4,0)/'4. Billing Determinants'!$E$41*$D37,IF($E37="kW",VLOOKUP(R$4,'4. Billing Determinants'!$B$19:$P$41,5,0)/'4. Billing Determinants'!$F$41*$D37,IF($E37="Non-RPP kWh",VLOOKUP(R$4,'4. Billing Determinants'!$B$19:$P$41,6,0)/'4. Billing Determinants'!$G$41*$D37,IF($E37="Distribution Rev.",VLOOKUP(R$4,'4. Billing Determinants'!$B$19:$P$41,8,0)/'4. Billing Determinants'!$I$41*$D37, VLOOKUP(R$4,'4. Billing Determinants'!$B$19:$P$41,3,0)/'4. Billing Determinants'!$D$41*$D37))))),0)</f>
        <v>0</v>
      </c>
      <c r="S37" s="70">
        <f>IFERROR(IF(S$4="",0,IF($E37="kWh",VLOOKUP(S$4,'4. Billing Determinants'!$B$19:$P$41,4,0)/'4. Billing Determinants'!$E$41*$D37,IF($E37="kW",VLOOKUP(S$4,'4. Billing Determinants'!$B$19:$P$41,5,0)/'4. Billing Determinants'!$F$41*$D37,IF($E37="Non-RPP kWh",VLOOKUP(S$4,'4. Billing Determinants'!$B$19:$P$41,6,0)/'4. Billing Determinants'!$G$41*$D37,IF($E37="Distribution Rev.",VLOOKUP(S$4,'4. Billing Determinants'!$B$19:$P$41,8,0)/'4. Billing Determinants'!$I$41*$D37, VLOOKUP(S$4,'4. Billing Determinants'!$B$19:$P$41,3,0)/'4. Billing Determinants'!$D$41*$D37))))),0)</f>
        <v>0</v>
      </c>
      <c r="T37" s="70">
        <f>IFERROR(IF(T$4="",0,IF($E37="kWh",VLOOKUP(T$4,'4. Billing Determinants'!$B$19:$P$41,4,0)/'4. Billing Determinants'!$E$41*$D37,IF($E37="kW",VLOOKUP(T$4,'4. Billing Determinants'!$B$19:$P$41,5,0)/'4. Billing Determinants'!$F$41*$D37,IF($E37="Non-RPP kWh",VLOOKUP(T$4,'4. Billing Determinants'!$B$19:$P$41,6,0)/'4. Billing Determinants'!$G$41*$D37,IF($E37="Distribution Rev.",VLOOKUP(T$4,'4. Billing Determinants'!$B$19:$P$41,8,0)/'4. Billing Determinants'!$I$41*$D37, VLOOKUP(T$4,'4. Billing Determinants'!$B$19:$P$41,3,0)/'4. Billing Determinants'!$D$41*$D37))))),0)</f>
        <v>0</v>
      </c>
      <c r="U37" s="70">
        <f>IFERROR(IF(U$4="",0,IF($E37="kWh",VLOOKUP(U$4,'4. Billing Determinants'!$B$19:$P$41,4,0)/'4. Billing Determinants'!$E$41*$D37,IF($E37="kW",VLOOKUP(U$4,'4. Billing Determinants'!$B$19:$P$41,5,0)/'4. Billing Determinants'!$F$41*$D37,IF($E37="Non-RPP kWh",VLOOKUP(U$4,'4. Billing Determinants'!$B$19:$P$41,6,0)/'4. Billing Determinants'!$G$41*$D37,IF($E37="Distribution Rev.",VLOOKUP(U$4,'4. Billing Determinants'!$B$19:$P$41,8,0)/'4. Billing Determinants'!$I$41*$D37, VLOOKUP(U$4,'4. Billing Determinants'!$B$19:$P$41,3,0)/'4. Billing Determinants'!$D$41*$D37))))),0)</f>
        <v>0</v>
      </c>
      <c r="V37" s="70">
        <f>IFERROR(IF(V$4="",0,IF($E37="kWh",VLOOKUP(V$4,'4. Billing Determinants'!$B$19:$P$41,4,0)/'4. Billing Determinants'!$E$41*$D37,IF($E37="kW",VLOOKUP(V$4,'4. Billing Determinants'!$B$19:$P$41,5,0)/'4. Billing Determinants'!$F$41*$D37,IF($E37="Non-RPP kWh",VLOOKUP(V$4,'4. Billing Determinants'!$B$19:$P$41,6,0)/'4. Billing Determinants'!$G$41*$D37,IF($E37="Distribution Rev.",VLOOKUP(V$4,'4. Billing Determinants'!$B$19:$P$41,8,0)/'4. Billing Determinants'!$I$41*$D37, VLOOKUP(V$4,'4. Billing Determinants'!$B$19:$P$41,3,0)/'4. Billing Determinants'!$D$41*$D37))))),0)</f>
        <v>0</v>
      </c>
      <c r="W37" s="70">
        <f>IFERROR(IF(W$4="",0,IF($E37="kWh",VLOOKUP(W$4,'4. Billing Determinants'!$B$19:$P$41,4,0)/'4. Billing Determinants'!$E$41*$D37,IF($E37="kW",VLOOKUP(W$4,'4. Billing Determinants'!$B$19:$P$41,5,0)/'4. Billing Determinants'!$F$41*$D37,IF($E37="Non-RPP kWh",VLOOKUP(W$4,'4. Billing Determinants'!$B$19:$P$41,6,0)/'4. Billing Determinants'!$G$41*$D37,IF($E37="Distribution Rev.",VLOOKUP(W$4,'4. Billing Determinants'!$B$19:$P$41,8,0)/'4. Billing Determinants'!$I$41*$D37, VLOOKUP(W$4,'4. Billing Determinants'!$B$19:$P$41,3,0)/'4. Billing Determinants'!$D$41*$D37))))),0)</f>
        <v>0</v>
      </c>
      <c r="X37" s="70">
        <f>IFERROR(IF(X$4="",0,IF($E37="kWh",VLOOKUP(X$4,'4. Billing Determinants'!$B$19:$P$41,4,0)/'4. Billing Determinants'!$E$41*$D37,IF($E37="kW",VLOOKUP(X$4,'4. Billing Determinants'!$B$19:$P$41,5,0)/'4. Billing Determinants'!$F$41*$D37,IF($E37="Non-RPP kWh",VLOOKUP(X$4,'4. Billing Determinants'!$B$19:$P$41,6,0)/'4. Billing Determinants'!$G$41*$D37,IF($E37="Distribution Rev.",VLOOKUP(X$4,'4. Billing Determinants'!$B$19:$P$41,8,0)/'4. Billing Determinants'!$I$41*$D37, VLOOKUP(X$4,'4. Billing Determinants'!$B$19:$P$41,3,0)/'4. Billing Determinants'!$D$41*$D37))))),0)</f>
        <v>0</v>
      </c>
      <c r="Y37" s="70">
        <f>IFERROR(IF(Y$4="",0,IF($E37="kWh",VLOOKUP(Y$4,'4. Billing Determinants'!$B$19:$P$41,4,0)/'4. Billing Determinants'!$E$41*$D37,IF($E37="kW",VLOOKUP(Y$4,'4. Billing Determinants'!$B$19:$P$41,5,0)/'4. Billing Determinants'!$F$41*$D37,IF($E37="Non-RPP kWh",VLOOKUP(Y$4,'4. Billing Determinants'!$B$19:$P$41,6,0)/'4. Billing Determinants'!$G$41*$D37,IF($E37="Distribution Rev.",VLOOKUP(Y$4,'4. Billing Determinants'!$B$19:$P$41,8,0)/'4. Billing Determinants'!$I$41*$D37, VLOOKUP(Y$4,'4. Billing Determinants'!$B$19:$P$41,3,0)/'4. Billing Determinants'!$D$41*$D37))))),0)</f>
        <v>0</v>
      </c>
    </row>
    <row r="38" spans="1:25" s="57" customFormat="1" x14ac:dyDescent="0.2">
      <c r="A38" s="56"/>
      <c r="B38" s="88" t="s">
        <v>114</v>
      </c>
      <c r="C38" s="90"/>
      <c r="D38" s="89">
        <f>SUM(D19:D37)</f>
        <v>-345274.21699659975</v>
      </c>
      <c r="E38" s="90"/>
      <c r="F38" s="89">
        <f t="shared" ref="F38:Y38" si="1">SUM(F19:F37)</f>
        <v>-313610.55418293999</v>
      </c>
      <c r="G38" s="89">
        <f t="shared" si="1"/>
        <v>-34742.6146710053</v>
      </c>
      <c r="H38" s="89">
        <f t="shared" si="1"/>
        <v>75029.167004051924</v>
      </c>
      <c r="I38" s="89">
        <f t="shared" si="1"/>
        <v>1683.9120320986517</v>
      </c>
      <c r="J38" s="89">
        <f t="shared" si="1"/>
        <v>-85.844521357068331</v>
      </c>
      <c r="K38" s="89">
        <f t="shared" si="1"/>
        <v>-5176.9673474188539</v>
      </c>
      <c r="L38" s="89">
        <f t="shared" si="1"/>
        <v>-68371.315310029109</v>
      </c>
      <c r="M38" s="89">
        <f t="shared" si="1"/>
        <v>0</v>
      </c>
      <c r="N38" s="89">
        <f t="shared" si="1"/>
        <v>0</v>
      </c>
      <c r="O38" s="89">
        <f t="shared" si="1"/>
        <v>0</v>
      </c>
      <c r="P38" s="89">
        <f t="shared" si="1"/>
        <v>0</v>
      </c>
      <c r="Q38" s="89">
        <f t="shared" si="1"/>
        <v>0</v>
      </c>
      <c r="R38" s="89">
        <f t="shared" si="1"/>
        <v>0</v>
      </c>
      <c r="S38" s="89">
        <f t="shared" si="1"/>
        <v>0</v>
      </c>
      <c r="T38" s="89">
        <f t="shared" si="1"/>
        <v>0</v>
      </c>
      <c r="U38" s="89">
        <f t="shared" si="1"/>
        <v>0</v>
      </c>
      <c r="V38" s="89">
        <f t="shared" si="1"/>
        <v>0</v>
      </c>
      <c r="W38" s="89">
        <f t="shared" si="1"/>
        <v>0</v>
      </c>
      <c r="X38" s="89">
        <f t="shared" si="1"/>
        <v>0</v>
      </c>
      <c r="Y38" s="89">
        <f t="shared" si="1"/>
        <v>0</v>
      </c>
    </row>
    <row r="39" spans="1:25" s="76" customFormat="1" x14ac:dyDescent="0.2">
      <c r="B39" s="77"/>
      <c r="C39" s="78"/>
      <c r="D39" s="79"/>
      <c r="E39" s="84"/>
      <c r="F39" s="79"/>
      <c r="G39" s="79"/>
      <c r="H39" s="79"/>
      <c r="I39" s="79"/>
      <c r="J39" s="79"/>
      <c r="K39" s="79"/>
      <c r="L39" s="79"/>
      <c r="M39" s="79"/>
      <c r="N39" s="79"/>
      <c r="O39" s="79"/>
      <c r="P39" s="79"/>
      <c r="Q39" s="79"/>
      <c r="R39" s="79"/>
      <c r="S39" s="79"/>
      <c r="T39" s="79"/>
      <c r="U39" s="79"/>
      <c r="V39" s="79"/>
      <c r="W39" s="79"/>
      <c r="X39" s="79"/>
      <c r="Y39" s="79"/>
    </row>
    <row r="40" spans="1:25" x14ac:dyDescent="0.2">
      <c r="B40" s="85" t="s">
        <v>8</v>
      </c>
      <c r="C40" s="83">
        <v>1562</v>
      </c>
      <c r="D40" s="70">
        <f>'2. 2014 Continuity Schedule'!BO64</f>
        <v>0</v>
      </c>
      <c r="E40" s="130"/>
      <c r="F40" s="70">
        <f>IFERROR(IF(F$4="",0,IF($E40="kWh",VLOOKUP(F$4,'4. Billing Determinants'!$B$19:$P$41,4,0)/'4. Billing Determinants'!$E$41*$D40,IF($E40="kW",VLOOKUP(F$4,'4. Billing Determinants'!$B$19:$P$41,5,0)/'4. Billing Determinants'!$F$41*$D40,IF($E40="Non-RPP kWh",VLOOKUP(F$4,'4. Billing Determinants'!$B$19:$P$41,6,0)/'4. Billing Determinants'!$G$41*$D40,IF($E40="Distribution Rev.",VLOOKUP(F$4,'4. Billing Determinants'!$B$19:$P$41,8,0)/'4. Billing Determinants'!$I$41*$D40, VLOOKUP(F$4,'4. Billing Determinants'!$B$19:$P$41,3,0)/'4. Billing Determinants'!$D$41*$D40))))),0)</f>
        <v>0</v>
      </c>
      <c r="G40" s="70">
        <f>IFERROR(IF(G$4="",0,IF($E40="kWh",VLOOKUP(G$4,'4. Billing Determinants'!$B$19:$P$41,4,0)/'4. Billing Determinants'!$E$41*$D40,IF($E40="kW",VLOOKUP(G$4,'4. Billing Determinants'!$B$19:$P$41,5,0)/'4. Billing Determinants'!$F$41*$D40,IF($E40="Non-RPP kWh",VLOOKUP(G$4,'4. Billing Determinants'!$B$19:$P$41,6,0)/'4. Billing Determinants'!$G$41*$D40,IF($E40="Distribution Rev.",VLOOKUP(G$4,'4. Billing Determinants'!$B$19:$P$41,8,0)/'4. Billing Determinants'!$I$41*$D40, VLOOKUP(G$4,'4. Billing Determinants'!$B$19:$P$41,3,0)/'4. Billing Determinants'!$D$41*$D40))))),0)</f>
        <v>0</v>
      </c>
      <c r="H40" s="70">
        <f>IFERROR(IF(H$4="",0,IF($E40="kWh",VLOOKUP(H$4,'4. Billing Determinants'!$B$19:$P$41,4,0)/'4. Billing Determinants'!$E$41*$D40,IF($E40="kW",VLOOKUP(H$4,'4. Billing Determinants'!$B$19:$P$41,5,0)/'4. Billing Determinants'!$F$41*$D40,IF($E40="Non-RPP kWh",VLOOKUP(H$4,'4. Billing Determinants'!$B$19:$P$41,6,0)/'4. Billing Determinants'!$G$41*$D40,IF($E40="Distribution Rev.",VLOOKUP(H$4,'4. Billing Determinants'!$B$19:$P$41,8,0)/'4. Billing Determinants'!$I$41*$D40, VLOOKUP(H$4,'4. Billing Determinants'!$B$19:$P$41,3,0)/'4. Billing Determinants'!$D$41*$D40))))),0)</f>
        <v>0</v>
      </c>
      <c r="I40" s="70">
        <f>IFERROR(IF(I$4="",0,IF($E40="kWh",VLOOKUP(I$4,'4. Billing Determinants'!$B$19:$P$41,4,0)/'4. Billing Determinants'!$E$41*$D40,IF($E40="kW",VLOOKUP(I$4,'4. Billing Determinants'!$B$19:$P$41,5,0)/'4. Billing Determinants'!$F$41*$D40,IF($E40="Non-RPP kWh",VLOOKUP(I$4,'4. Billing Determinants'!$B$19:$P$41,6,0)/'4. Billing Determinants'!$G$41*$D40,IF($E40="Distribution Rev.",VLOOKUP(I$4,'4. Billing Determinants'!$B$19:$P$41,8,0)/'4. Billing Determinants'!$I$41*$D40, VLOOKUP(I$4,'4. Billing Determinants'!$B$19:$P$41,3,0)/'4. Billing Determinants'!$D$41*$D40))))),0)</f>
        <v>0</v>
      </c>
      <c r="J40" s="70">
        <f>IFERROR(IF(J$4="",0,IF($E40="kWh",VLOOKUP(J$4,'4. Billing Determinants'!$B$19:$P$41,4,0)/'4. Billing Determinants'!$E$41*$D40,IF($E40="kW",VLOOKUP(J$4,'4. Billing Determinants'!$B$19:$P$41,5,0)/'4. Billing Determinants'!$F$41*$D40,IF($E40="Non-RPP kWh",VLOOKUP(J$4,'4. Billing Determinants'!$B$19:$P$41,6,0)/'4. Billing Determinants'!$G$41*$D40,IF($E40="Distribution Rev.",VLOOKUP(J$4,'4. Billing Determinants'!$B$19:$P$41,8,0)/'4. Billing Determinants'!$I$41*$D40, VLOOKUP(J$4,'4. Billing Determinants'!$B$19:$P$41,3,0)/'4. Billing Determinants'!$D$41*$D40))))),0)</f>
        <v>0</v>
      </c>
      <c r="K40" s="70">
        <f>IFERROR(IF(K$4="",0,IF($E40="kWh",VLOOKUP(K$4,'4. Billing Determinants'!$B$19:$P$41,4,0)/'4. Billing Determinants'!$E$41*$D40,IF($E40="kW",VLOOKUP(K$4,'4. Billing Determinants'!$B$19:$P$41,5,0)/'4. Billing Determinants'!$F$41*$D40,IF($E40="Non-RPP kWh",VLOOKUP(K$4,'4. Billing Determinants'!$B$19:$P$41,6,0)/'4. Billing Determinants'!$G$41*$D40,IF($E40="Distribution Rev.",VLOOKUP(K$4,'4. Billing Determinants'!$B$19:$P$41,8,0)/'4. Billing Determinants'!$I$41*$D40, VLOOKUP(K$4,'4. Billing Determinants'!$B$19:$P$41,3,0)/'4. Billing Determinants'!$D$41*$D40))))),0)</f>
        <v>0</v>
      </c>
      <c r="L40" s="70">
        <f>IFERROR(IF(L$4="",0,IF($E40="kWh",VLOOKUP(L$4,'4. Billing Determinants'!$B$19:$P$41,4,0)/'4. Billing Determinants'!$E$41*$D40,IF($E40="kW",VLOOKUP(L$4,'4. Billing Determinants'!$B$19:$P$41,5,0)/'4. Billing Determinants'!$F$41*$D40,IF($E40="Non-RPP kWh",VLOOKUP(L$4,'4. Billing Determinants'!$B$19:$P$41,6,0)/'4. Billing Determinants'!$G$41*$D40,IF($E40="Distribution Rev.",VLOOKUP(L$4,'4. Billing Determinants'!$B$19:$P$41,8,0)/'4. Billing Determinants'!$I$41*$D40, VLOOKUP(L$4,'4. Billing Determinants'!$B$19:$P$41,3,0)/'4. Billing Determinants'!$D$41*$D40))))),0)</f>
        <v>0</v>
      </c>
      <c r="M40" s="70">
        <f>IFERROR(IF(M$4="",0,IF($E40="kWh",VLOOKUP(M$4,'4. Billing Determinants'!$B$19:$P$41,4,0)/'4. Billing Determinants'!$E$41*$D40,IF($E40="kW",VLOOKUP(M$4,'4. Billing Determinants'!$B$19:$P$41,5,0)/'4. Billing Determinants'!$F$41*$D40,IF($E40="Non-RPP kWh",VLOOKUP(M$4,'4. Billing Determinants'!$B$19:$P$41,6,0)/'4. Billing Determinants'!$G$41*$D40,IF($E40="Distribution Rev.",VLOOKUP(M$4,'4. Billing Determinants'!$B$19:$P$41,8,0)/'4. Billing Determinants'!$I$41*$D40, VLOOKUP(M$4,'4. Billing Determinants'!$B$19:$P$41,3,0)/'4. Billing Determinants'!$D$41*$D40))))),0)</f>
        <v>0</v>
      </c>
      <c r="N40" s="70">
        <f>IFERROR(IF(N$4="",0,IF($E40="kWh",VLOOKUP(N$4,'4. Billing Determinants'!$B$19:$P$41,4,0)/'4. Billing Determinants'!$E$41*$D40,IF($E40="kW",VLOOKUP(N$4,'4. Billing Determinants'!$B$19:$P$41,5,0)/'4. Billing Determinants'!$F$41*$D40,IF($E40="Non-RPP kWh",VLOOKUP(N$4,'4. Billing Determinants'!$B$19:$P$41,6,0)/'4. Billing Determinants'!$G$41*$D40,IF($E40="Distribution Rev.",VLOOKUP(N$4,'4. Billing Determinants'!$B$19:$P$41,8,0)/'4. Billing Determinants'!$I$41*$D40, VLOOKUP(N$4,'4. Billing Determinants'!$B$19:$P$41,3,0)/'4. Billing Determinants'!$D$41*$D40))))),0)</f>
        <v>0</v>
      </c>
      <c r="O40" s="70">
        <f>IFERROR(IF(O$4="",0,IF($E40="kWh",VLOOKUP(O$4,'4. Billing Determinants'!$B$19:$P$41,4,0)/'4. Billing Determinants'!$E$41*$D40,IF($E40="kW",VLOOKUP(O$4,'4. Billing Determinants'!$B$19:$P$41,5,0)/'4. Billing Determinants'!$F$41*$D40,IF($E40="Non-RPP kWh",VLOOKUP(O$4,'4. Billing Determinants'!$B$19:$P$41,6,0)/'4. Billing Determinants'!$G$41*$D40,IF($E40="Distribution Rev.",VLOOKUP(O$4,'4. Billing Determinants'!$B$19:$P$41,8,0)/'4. Billing Determinants'!$I$41*$D40, VLOOKUP(O$4,'4. Billing Determinants'!$B$19:$P$41,3,0)/'4. Billing Determinants'!$D$41*$D40))))),0)</f>
        <v>0</v>
      </c>
      <c r="P40" s="70">
        <f>IFERROR(IF(P$4="",0,IF($E40="kWh",VLOOKUP(P$4,'4. Billing Determinants'!$B$19:$P$41,4,0)/'4. Billing Determinants'!$E$41*$D40,IF($E40="kW",VLOOKUP(P$4,'4. Billing Determinants'!$B$19:$P$41,5,0)/'4. Billing Determinants'!$F$41*$D40,IF($E40="Non-RPP kWh",VLOOKUP(P$4,'4. Billing Determinants'!$B$19:$P$41,6,0)/'4. Billing Determinants'!$G$41*$D40,IF($E40="Distribution Rev.",VLOOKUP(P$4,'4. Billing Determinants'!$B$19:$P$41,8,0)/'4. Billing Determinants'!$I$41*$D40, VLOOKUP(P$4,'4. Billing Determinants'!$B$19:$P$41,3,0)/'4. Billing Determinants'!$D$41*$D40))))),0)</f>
        <v>0</v>
      </c>
      <c r="Q40" s="70">
        <f>IFERROR(IF(Q$4="",0,IF($E40="kWh",VLOOKUP(Q$4,'4. Billing Determinants'!$B$19:$P$41,4,0)/'4. Billing Determinants'!$E$41*$D40,IF($E40="kW",VLOOKUP(Q$4,'4. Billing Determinants'!$B$19:$P$41,5,0)/'4. Billing Determinants'!$F$41*$D40,IF($E40="Non-RPP kWh",VLOOKUP(Q$4,'4. Billing Determinants'!$B$19:$P$41,6,0)/'4. Billing Determinants'!$G$41*$D40,IF($E40="Distribution Rev.",VLOOKUP(Q$4,'4. Billing Determinants'!$B$19:$P$41,8,0)/'4. Billing Determinants'!$I$41*$D40, VLOOKUP(Q$4,'4. Billing Determinants'!$B$19:$P$41,3,0)/'4. Billing Determinants'!$D$41*$D40))))),0)</f>
        <v>0</v>
      </c>
      <c r="R40" s="70">
        <f>IFERROR(IF(R$4="",0,IF($E40="kWh",VLOOKUP(R$4,'4. Billing Determinants'!$B$19:$P$41,4,0)/'4. Billing Determinants'!$E$41*$D40,IF($E40="kW",VLOOKUP(R$4,'4. Billing Determinants'!$B$19:$P$41,5,0)/'4. Billing Determinants'!$F$41*$D40,IF($E40="Non-RPP kWh",VLOOKUP(R$4,'4. Billing Determinants'!$B$19:$P$41,6,0)/'4. Billing Determinants'!$G$41*$D40,IF($E40="Distribution Rev.",VLOOKUP(R$4,'4. Billing Determinants'!$B$19:$P$41,8,0)/'4. Billing Determinants'!$I$41*$D40, VLOOKUP(R$4,'4. Billing Determinants'!$B$19:$P$41,3,0)/'4. Billing Determinants'!$D$41*$D40))))),0)</f>
        <v>0</v>
      </c>
      <c r="S40" s="70">
        <f>IFERROR(IF(S$4="",0,IF($E40="kWh",VLOOKUP(S$4,'4. Billing Determinants'!$B$19:$P$41,4,0)/'4. Billing Determinants'!$E$41*$D40,IF($E40="kW",VLOOKUP(S$4,'4. Billing Determinants'!$B$19:$P$41,5,0)/'4. Billing Determinants'!$F$41*$D40,IF($E40="Non-RPP kWh",VLOOKUP(S$4,'4. Billing Determinants'!$B$19:$P$41,6,0)/'4. Billing Determinants'!$G$41*$D40,IF($E40="Distribution Rev.",VLOOKUP(S$4,'4. Billing Determinants'!$B$19:$P$41,8,0)/'4. Billing Determinants'!$I$41*$D40, VLOOKUP(S$4,'4. Billing Determinants'!$B$19:$P$41,3,0)/'4. Billing Determinants'!$D$41*$D40))))),0)</f>
        <v>0</v>
      </c>
      <c r="T40" s="70">
        <f>IFERROR(IF(T$4="",0,IF($E40="kWh",VLOOKUP(T$4,'4. Billing Determinants'!$B$19:$P$41,4,0)/'4. Billing Determinants'!$E$41*$D40,IF($E40="kW",VLOOKUP(T$4,'4. Billing Determinants'!$B$19:$P$41,5,0)/'4. Billing Determinants'!$F$41*$D40,IF($E40="Non-RPP kWh",VLOOKUP(T$4,'4. Billing Determinants'!$B$19:$P$41,6,0)/'4. Billing Determinants'!$G$41*$D40,IF($E40="Distribution Rev.",VLOOKUP(T$4,'4. Billing Determinants'!$B$19:$P$41,8,0)/'4. Billing Determinants'!$I$41*$D40, VLOOKUP(T$4,'4. Billing Determinants'!$B$19:$P$41,3,0)/'4. Billing Determinants'!$D$41*$D40))))),0)</f>
        <v>0</v>
      </c>
      <c r="U40" s="70">
        <f>IFERROR(IF(U$4="",0,IF($E40="kWh",VLOOKUP(U$4,'4. Billing Determinants'!$B$19:$P$41,4,0)/'4. Billing Determinants'!$E$41*$D40,IF($E40="kW",VLOOKUP(U$4,'4. Billing Determinants'!$B$19:$P$41,5,0)/'4. Billing Determinants'!$F$41*$D40,IF($E40="Non-RPP kWh",VLOOKUP(U$4,'4. Billing Determinants'!$B$19:$P$41,6,0)/'4. Billing Determinants'!$G$41*$D40,IF($E40="Distribution Rev.",VLOOKUP(U$4,'4. Billing Determinants'!$B$19:$P$41,8,0)/'4. Billing Determinants'!$I$41*$D40, VLOOKUP(U$4,'4. Billing Determinants'!$B$19:$P$41,3,0)/'4. Billing Determinants'!$D$41*$D40))))),0)</f>
        <v>0</v>
      </c>
      <c r="V40" s="70">
        <f>IFERROR(IF(V$4="",0,IF($E40="kWh",VLOOKUP(V$4,'4. Billing Determinants'!$B$19:$P$41,4,0)/'4. Billing Determinants'!$E$41*$D40,IF($E40="kW",VLOOKUP(V$4,'4. Billing Determinants'!$B$19:$P$41,5,0)/'4. Billing Determinants'!$F$41*$D40,IF($E40="Non-RPP kWh",VLOOKUP(V$4,'4. Billing Determinants'!$B$19:$P$41,6,0)/'4. Billing Determinants'!$G$41*$D40,IF($E40="Distribution Rev.",VLOOKUP(V$4,'4. Billing Determinants'!$B$19:$P$41,8,0)/'4. Billing Determinants'!$I$41*$D40, VLOOKUP(V$4,'4. Billing Determinants'!$B$19:$P$41,3,0)/'4. Billing Determinants'!$D$41*$D40))))),0)</f>
        <v>0</v>
      </c>
      <c r="W40" s="70">
        <f>IFERROR(IF(W$4="",0,IF($E40="kWh",VLOOKUP(W$4,'4. Billing Determinants'!$B$19:$P$41,4,0)/'4. Billing Determinants'!$E$41*$D40,IF($E40="kW",VLOOKUP(W$4,'4. Billing Determinants'!$B$19:$P$41,5,0)/'4. Billing Determinants'!$F$41*$D40,IF($E40="Non-RPP kWh",VLOOKUP(W$4,'4. Billing Determinants'!$B$19:$P$41,6,0)/'4. Billing Determinants'!$G$41*$D40,IF($E40="Distribution Rev.",VLOOKUP(W$4,'4. Billing Determinants'!$B$19:$P$41,8,0)/'4. Billing Determinants'!$I$41*$D40, VLOOKUP(W$4,'4. Billing Determinants'!$B$19:$P$41,3,0)/'4. Billing Determinants'!$D$41*$D40))))),0)</f>
        <v>0</v>
      </c>
      <c r="X40" s="70">
        <f>IFERROR(IF(X$4="",0,IF($E40="kWh",VLOOKUP(X$4,'4. Billing Determinants'!$B$19:$P$41,4,0)/'4. Billing Determinants'!$E$41*$D40,IF($E40="kW",VLOOKUP(X$4,'4. Billing Determinants'!$B$19:$P$41,5,0)/'4. Billing Determinants'!$F$41*$D40,IF($E40="Non-RPP kWh",VLOOKUP(X$4,'4. Billing Determinants'!$B$19:$P$41,6,0)/'4. Billing Determinants'!$G$41*$D40,IF($E40="Distribution Rev.",VLOOKUP(X$4,'4. Billing Determinants'!$B$19:$P$41,8,0)/'4. Billing Determinants'!$I$41*$D40, VLOOKUP(X$4,'4. Billing Determinants'!$B$19:$P$41,3,0)/'4. Billing Determinants'!$D$41*$D40))))),0)</f>
        <v>0</v>
      </c>
      <c r="Y40" s="70">
        <f>IFERROR(IF(Y$4="",0,IF($E40="kWh",VLOOKUP(Y$4,'4. Billing Determinants'!$B$19:$P$41,4,0)/'4. Billing Determinants'!$E$41*$D40,IF($E40="kW",VLOOKUP(Y$4,'4. Billing Determinants'!$B$19:$P$41,5,0)/'4. Billing Determinants'!$F$41*$D40,IF($E40="Non-RPP kWh",VLOOKUP(Y$4,'4. Billing Determinants'!$B$19:$P$41,6,0)/'4. Billing Determinants'!$G$41*$D40,IF($E40="Distribution Rev.",VLOOKUP(Y$4,'4. Billing Determinants'!$B$19:$P$41,8,0)/'4. Billing Determinants'!$I$41*$D40, VLOOKUP(Y$4,'4. Billing Determinants'!$B$19:$P$41,3,0)/'4. Billing Determinants'!$D$41*$D40))))),0)</f>
        <v>0</v>
      </c>
    </row>
    <row r="41" spans="1:25" ht="25.5" x14ac:dyDescent="0.2">
      <c r="B41" s="86" t="s">
        <v>117</v>
      </c>
      <c r="C41" s="83">
        <v>1592</v>
      </c>
      <c r="D41" s="70">
        <f>'2. 2014 Continuity Schedule'!BO65</f>
        <v>-210.81579611196472</v>
      </c>
      <c r="E41" s="130" t="s">
        <v>276</v>
      </c>
      <c r="F41" s="70">
        <f>IFERROR(IF(F$4="",0,IF($E41="kWh",VLOOKUP(F$4,'4. Billing Determinants'!$B$19:$P$41,4,0)/'4. Billing Determinants'!$E$41*$D41,IF($E41="kW",VLOOKUP(F$4,'4. Billing Determinants'!$B$19:$P$41,5,0)/'4. Billing Determinants'!$F$41*$D41,IF($E41="Non-RPP kWh",VLOOKUP(F$4,'4. Billing Determinants'!$B$19:$P$41,6,0)/'4. Billing Determinants'!$G$41*$D41,IF($E41="Distribution Rev.",VLOOKUP(F$4,'4. Billing Determinants'!$B$19:$P$41,8,0)/'4. Billing Determinants'!$I$41*$D41, VLOOKUP(F$4,'4. Billing Determinants'!$B$19:$P$41,3,0)/'4. Billing Determinants'!$D$41*$D41))))),0)</f>
        <v>-83.238978439285887</v>
      </c>
      <c r="G41" s="70">
        <f>IFERROR(IF(G$4="",0,IF($E41="kWh",VLOOKUP(G$4,'4. Billing Determinants'!$B$19:$P$41,4,0)/'4. Billing Determinants'!$E$41*$D41,IF($E41="kW",VLOOKUP(G$4,'4. Billing Determinants'!$B$19:$P$41,5,0)/'4. Billing Determinants'!$F$41*$D41,IF($E41="Non-RPP kWh",VLOOKUP(G$4,'4. Billing Determinants'!$B$19:$P$41,6,0)/'4. Billing Determinants'!$G$41*$D41,IF($E41="Distribution Rev.",VLOOKUP(G$4,'4. Billing Determinants'!$B$19:$P$41,8,0)/'4. Billing Determinants'!$I$41*$D41, VLOOKUP(G$4,'4. Billing Determinants'!$B$19:$P$41,3,0)/'4. Billing Determinants'!$D$41*$D41))))),0)</f>
        <v>-34.576421218403759</v>
      </c>
      <c r="H41" s="70">
        <f>IFERROR(IF(H$4="",0,IF($E41="kWh",VLOOKUP(H$4,'4. Billing Determinants'!$B$19:$P$41,4,0)/'4. Billing Determinants'!$E$41*$D41,IF($E41="kW",VLOOKUP(H$4,'4. Billing Determinants'!$B$19:$P$41,5,0)/'4. Billing Determinants'!$F$41*$D41,IF($E41="Non-RPP kWh",VLOOKUP(H$4,'4. Billing Determinants'!$B$19:$P$41,6,0)/'4. Billing Determinants'!$G$41*$D41,IF($E41="Distribution Rev.",VLOOKUP(H$4,'4. Billing Determinants'!$B$19:$P$41,8,0)/'4. Billing Determinants'!$I$41*$D41, VLOOKUP(H$4,'4. Billing Determinants'!$B$19:$P$41,3,0)/'4. Billing Determinants'!$D$41*$D41))))),0)</f>
        <v>-85.016006869524517</v>
      </c>
      <c r="I41" s="70">
        <f>IFERROR(IF(I$4="",0,IF($E41="kWh",VLOOKUP(I$4,'4. Billing Determinants'!$B$19:$P$41,4,0)/'4. Billing Determinants'!$E$41*$D41,IF($E41="kW",VLOOKUP(I$4,'4. Billing Determinants'!$B$19:$P$41,5,0)/'4. Billing Determinants'!$F$41*$D41,IF($E41="Non-RPP kWh",VLOOKUP(I$4,'4. Billing Determinants'!$B$19:$P$41,6,0)/'4. Billing Determinants'!$G$41*$D41,IF($E41="Distribution Rev.",VLOOKUP(I$4,'4. Billing Determinants'!$B$19:$P$41,8,0)/'4. Billing Determinants'!$I$41*$D41, VLOOKUP(I$4,'4. Billing Determinants'!$B$19:$P$41,3,0)/'4. Billing Determinants'!$D$41*$D41))))),0)</f>
        <v>-6.9892495438857019</v>
      </c>
      <c r="J41" s="70">
        <f>IFERROR(IF(J$4="",0,IF($E41="kWh",VLOOKUP(J$4,'4. Billing Determinants'!$B$19:$P$41,4,0)/'4. Billing Determinants'!$E$41*$D41,IF($E41="kW",VLOOKUP(J$4,'4. Billing Determinants'!$B$19:$P$41,5,0)/'4. Billing Determinants'!$F$41*$D41,IF($E41="Non-RPP kWh",VLOOKUP(J$4,'4. Billing Determinants'!$B$19:$P$41,6,0)/'4. Billing Determinants'!$G$41*$D41,IF($E41="Distribution Rev.",VLOOKUP(J$4,'4. Billing Determinants'!$B$19:$P$41,8,0)/'4. Billing Determinants'!$I$41*$D41, VLOOKUP(J$4,'4. Billing Determinants'!$B$19:$P$41,3,0)/'4. Billing Determinants'!$D$41*$D41))))),0)</f>
        <v>-1.2980040018588572E-2</v>
      </c>
      <c r="K41" s="70">
        <f>IFERROR(IF(K$4="",0,IF($E41="kWh",VLOOKUP(K$4,'4. Billing Determinants'!$B$19:$P$41,4,0)/'4. Billing Determinants'!$E$41*$D41,IF($E41="kW",VLOOKUP(K$4,'4. Billing Determinants'!$B$19:$P$41,5,0)/'4. Billing Determinants'!$F$41*$D41,IF($E41="Non-RPP kWh",VLOOKUP(K$4,'4. Billing Determinants'!$B$19:$P$41,6,0)/'4. Billing Determinants'!$G$41*$D41,IF($E41="Distribution Rev.",VLOOKUP(K$4,'4. Billing Determinants'!$B$19:$P$41,8,0)/'4. Billing Determinants'!$I$41*$D41, VLOOKUP(K$4,'4. Billing Determinants'!$B$19:$P$41,3,0)/'4. Billing Determinants'!$D$41*$D41))))),0)</f>
        <v>-0.16443824985608707</v>
      </c>
      <c r="L41" s="70">
        <f>IFERROR(IF(L$4="",0,IF($E41="kWh",VLOOKUP(L$4,'4. Billing Determinants'!$B$19:$P$41,4,0)/'4. Billing Determinants'!$E$41*$D41,IF($E41="kW",VLOOKUP(L$4,'4. Billing Determinants'!$B$19:$P$41,5,0)/'4. Billing Determinants'!$F$41*$D41,IF($E41="Non-RPP kWh",VLOOKUP(L$4,'4. Billing Determinants'!$B$19:$P$41,6,0)/'4. Billing Determinants'!$G$41*$D41,IF($E41="Distribution Rev.",VLOOKUP(L$4,'4. Billing Determinants'!$B$19:$P$41,8,0)/'4. Billing Determinants'!$I$41*$D41, VLOOKUP(L$4,'4. Billing Determinants'!$B$19:$P$41,3,0)/'4. Billing Determinants'!$D$41*$D41))))),0)</f>
        <v>-0.81772175099020861</v>
      </c>
      <c r="M41" s="70">
        <f>IFERROR(IF(M$4="",0,IF($E41="kWh",VLOOKUP(M$4,'4. Billing Determinants'!$B$19:$P$41,4,0)/'4. Billing Determinants'!$E$41*$D41,IF($E41="kW",VLOOKUP(M$4,'4. Billing Determinants'!$B$19:$P$41,5,0)/'4. Billing Determinants'!$F$41*$D41,IF($E41="Non-RPP kWh",VLOOKUP(M$4,'4. Billing Determinants'!$B$19:$P$41,6,0)/'4. Billing Determinants'!$G$41*$D41,IF($E41="Distribution Rev.",VLOOKUP(M$4,'4. Billing Determinants'!$B$19:$P$41,8,0)/'4. Billing Determinants'!$I$41*$D41, VLOOKUP(M$4,'4. Billing Determinants'!$B$19:$P$41,3,0)/'4. Billing Determinants'!$D$41*$D41))))),0)</f>
        <v>0</v>
      </c>
      <c r="N41" s="70">
        <f>IFERROR(IF(N$4="",0,IF($E41="kWh",VLOOKUP(N$4,'4. Billing Determinants'!$B$19:$P$41,4,0)/'4. Billing Determinants'!$E$41*$D41,IF($E41="kW",VLOOKUP(N$4,'4. Billing Determinants'!$B$19:$P$41,5,0)/'4. Billing Determinants'!$F$41*$D41,IF($E41="Non-RPP kWh",VLOOKUP(N$4,'4. Billing Determinants'!$B$19:$P$41,6,0)/'4. Billing Determinants'!$G$41*$D41,IF($E41="Distribution Rev.",VLOOKUP(N$4,'4. Billing Determinants'!$B$19:$P$41,8,0)/'4. Billing Determinants'!$I$41*$D41, VLOOKUP(N$4,'4. Billing Determinants'!$B$19:$P$41,3,0)/'4. Billing Determinants'!$D$41*$D41))))),0)</f>
        <v>0</v>
      </c>
      <c r="O41" s="70">
        <f>IFERROR(IF(O$4="",0,IF($E41="kWh",VLOOKUP(O$4,'4. Billing Determinants'!$B$19:$P$41,4,0)/'4. Billing Determinants'!$E$41*$D41,IF($E41="kW",VLOOKUP(O$4,'4. Billing Determinants'!$B$19:$P$41,5,0)/'4. Billing Determinants'!$F$41*$D41,IF($E41="Non-RPP kWh",VLOOKUP(O$4,'4. Billing Determinants'!$B$19:$P$41,6,0)/'4. Billing Determinants'!$G$41*$D41,IF($E41="Distribution Rev.",VLOOKUP(O$4,'4. Billing Determinants'!$B$19:$P$41,8,0)/'4. Billing Determinants'!$I$41*$D41, VLOOKUP(O$4,'4. Billing Determinants'!$B$19:$P$41,3,0)/'4. Billing Determinants'!$D$41*$D41))))),0)</f>
        <v>0</v>
      </c>
      <c r="P41" s="70">
        <f>IFERROR(IF(P$4="",0,IF($E41="kWh",VLOOKUP(P$4,'4. Billing Determinants'!$B$19:$P$41,4,0)/'4. Billing Determinants'!$E$41*$D41,IF($E41="kW",VLOOKUP(P$4,'4. Billing Determinants'!$B$19:$P$41,5,0)/'4. Billing Determinants'!$F$41*$D41,IF($E41="Non-RPP kWh",VLOOKUP(P$4,'4. Billing Determinants'!$B$19:$P$41,6,0)/'4. Billing Determinants'!$G$41*$D41,IF($E41="Distribution Rev.",VLOOKUP(P$4,'4. Billing Determinants'!$B$19:$P$41,8,0)/'4. Billing Determinants'!$I$41*$D41, VLOOKUP(P$4,'4. Billing Determinants'!$B$19:$P$41,3,0)/'4. Billing Determinants'!$D$41*$D41))))),0)</f>
        <v>0</v>
      </c>
      <c r="Q41" s="70">
        <f>IFERROR(IF(Q$4="",0,IF($E41="kWh",VLOOKUP(Q$4,'4. Billing Determinants'!$B$19:$P$41,4,0)/'4. Billing Determinants'!$E$41*$D41,IF($E41="kW",VLOOKUP(Q$4,'4. Billing Determinants'!$B$19:$P$41,5,0)/'4. Billing Determinants'!$F$41*$D41,IF($E41="Non-RPP kWh",VLOOKUP(Q$4,'4. Billing Determinants'!$B$19:$P$41,6,0)/'4. Billing Determinants'!$G$41*$D41,IF($E41="Distribution Rev.",VLOOKUP(Q$4,'4. Billing Determinants'!$B$19:$P$41,8,0)/'4. Billing Determinants'!$I$41*$D41, VLOOKUP(Q$4,'4. Billing Determinants'!$B$19:$P$41,3,0)/'4. Billing Determinants'!$D$41*$D41))))),0)</f>
        <v>0</v>
      </c>
      <c r="R41" s="70">
        <f>IFERROR(IF(R$4="",0,IF($E41="kWh",VLOOKUP(R$4,'4. Billing Determinants'!$B$19:$P$41,4,0)/'4. Billing Determinants'!$E$41*$D41,IF($E41="kW",VLOOKUP(R$4,'4. Billing Determinants'!$B$19:$P$41,5,0)/'4. Billing Determinants'!$F$41*$D41,IF($E41="Non-RPP kWh",VLOOKUP(R$4,'4. Billing Determinants'!$B$19:$P$41,6,0)/'4. Billing Determinants'!$G$41*$D41,IF($E41="Distribution Rev.",VLOOKUP(R$4,'4. Billing Determinants'!$B$19:$P$41,8,0)/'4. Billing Determinants'!$I$41*$D41, VLOOKUP(R$4,'4. Billing Determinants'!$B$19:$P$41,3,0)/'4. Billing Determinants'!$D$41*$D41))))),0)</f>
        <v>0</v>
      </c>
      <c r="S41" s="70">
        <f>IFERROR(IF(S$4="",0,IF($E41="kWh",VLOOKUP(S$4,'4. Billing Determinants'!$B$19:$P$41,4,0)/'4. Billing Determinants'!$E$41*$D41,IF($E41="kW",VLOOKUP(S$4,'4. Billing Determinants'!$B$19:$P$41,5,0)/'4. Billing Determinants'!$F$41*$D41,IF($E41="Non-RPP kWh",VLOOKUP(S$4,'4. Billing Determinants'!$B$19:$P$41,6,0)/'4. Billing Determinants'!$G$41*$D41,IF($E41="Distribution Rev.",VLOOKUP(S$4,'4. Billing Determinants'!$B$19:$P$41,8,0)/'4. Billing Determinants'!$I$41*$D41, VLOOKUP(S$4,'4. Billing Determinants'!$B$19:$P$41,3,0)/'4. Billing Determinants'!$D$41*$D41))))),0)</f>
        <v>0</v>
      </c>
      <c r="T41" s="70">
        <f>IFERROR(IF(T$4="",0,IF($E41="kWh",VLOOKUP(T$4,'4. Billing Determinants'!$B$19:$P$41,4,0)/'4. Billing Determinants'!$E$41*$D41,IF($E41="kW",VLOOKUP(T$4,'4. Billing Determinants'!$B$19:$P$41,5,0)/'4. Billing Determinants'!$F$41*$D41,IF($E41="Non-RPP kWh",VLOOKUP(T$4,'4. Billing Determinants'!$B$19:$P$41,6,0)/'4. Billing Determinants'!$G$41*$D41,IF($E41="Distribution Rev.",VLOOKUP(T$4,'4. Billing Determinants'!$B$19:$P$41,8,0)/'4. Billing Determinants'!$I$41*$D41, VLOOKUP(T$4,'4. Billing Determinants'!$B$19:$P$41,3,0)/'4. Billing Determinants'!$D$41*$D41))))),0)</f>
        <v>0</v>
      </c>
      <c r="U41" s="70">
        <f>IFERROR(IF(U$4="",0,IF($E41="kWh",VLOOKUP(U$4,'4. Billing Determinants'!$B$19:$P$41,4,0)/'4. Billing Determinants'!$E$41*$D41,IF($E41="kW",VLOOKUP(U$4,'4. Billing Determinants'!$B$19:$P$41,5,0)/'4. Billing Determinants'!$F$41*$D41,IF($E41="Non-RPP kWh",VLOOKUP(U$4,'4. Billing Determinants'!$B$19:$P$41,6,0)/'4. Billing Determinants'!$G$41*$D41,IF($E41="Distribution Rev.",VLOOKUP(U$4,'4. Billing Determinants'!$B$19:$P$41,8,0)/'4. Billing Determinants'!$I$41*$D41, VLOOKUP(U$4,'4. Billing Determinants'!$B$19:$P$41,3,0)/'4. Billing Determinants'!$D$41*$D41))))),0)</f>
        <v>0</v>
      </c>
      <c r="V41" s="70">
        <f>IFERROR(IF(V$4="",0,IF($E41="kWh",VLOOKUP(V$4,'4. Billing Determinants'!$B$19:$P$41,4,0)/'4. Billing Determinants'!$E$41*$D41,IF($E41="kW",VLOOKUP(V$4,'4. Billing Determinants'!$B$19:$P$41,5,0)/'4. Billing Determinants'!$F$41*$D41,IF($E41="Non-RPP kWh",VLOOKUP(V$4,'4. Billing Determinants'!$B$19:$P$41,6,0)/'4. Billing Determinants'!$G$41*$D41,IF($E41="Distribution Rev.",VLOOKUP(V$4,'4. Billing Determinants'!$B$19:$P$41,8,0)/'4. Billing Determinants'!$I$41*$D41, VLOOKUP(V$4,'4. Billing Determinants'!$B$19:$P$41,3,0)/'4. Billing Determinants'!$D$41*$D41))))),0)</f>
        <v>0</v>
      </c>
      <c r="W41" s="70">
        <f>IFERROR(IF(W$4="",0,IF($E41="kWh",VLOOKUP(W$4,'4. Billing Determinants'!$B$19:$P$41,4,0)/'4. Billing Determinants'!$E$41*$D41,IF($E41="kW",VLOOKUP(W$4,'4. Billing Determinants'!$B$19:$P$41,5,0)/'4. Billing Determinants'!$F$41*$D41,IF($E41="Non-RPP kWh",VLOOKUP(W$4,'4. Billing Determinants'!$B$19:$P$41,6,0)/'4. Billing Determinants'!$G$41*$D41,IF($E41="Distribution Rev.",VLOOKUP(W$4,'4. Billing Determinants'!$B$19:$P$41,8,0)/'4. Billing Determinants'!$I$41*$D41, VLOOKUP(W$4,'4. Billing Determinants'!$B$19:$P$41,3,0)/'4. Billing Determinants'!$D$41*$D41))))),0)</f>
        <v>0</v>
      </c>
      <c r="X41" s="70">
        <f>IFERROR(IF(X$4="",0,IF($E41="kWh",VLOOKUP(X$4,'4. Billing Determinants'!$B$19:$P$41,4,0)/'4. Billing Determinants'!$E$41*$D41,IF($E41="kW",VLOOKUP(X$4,'4. Billing Determinants'!$B$19:$P$41,5,0)/'4. Billing Determinants'!$F$41*$D41,IF($E41="Non-RPP kWh",VLOOKUP(X$4,'4. Billing Determinants'!$B$19:$P$41,6,0)/'4. Billing Determinants'!$G$41*$D41,IF($E41="Distribution Rev.",VLOOKUP(X$4,'4. Billing Determinants'!$B$19:$P$41,8,0)/'4. Billing Determinants'!$I$41*$D41, VLOOKUP(X$4,'4. Billing Determinants'!$B$19:$P$41,3,0)/'4. Billing Determinants'!$D$41*$D41))))),0)</f>
        <v>0</v>
      </c>
      <c r="Y41" s="70">
        <f>IFERROR(IF(Y$4="",0,IF($E41="kWh",VLOOKUP(Y$4,'4. Billing Determinants'!$B$19:$P$41,4,0)/'4. Billing Determinants'!$E$41*$D41,IF($E41="kW",VLOOKUP(Y$4,'4. Billing Determinants'!$B$19:$P$41,5,0)/'4. Billing Determinants'!$F$41*$D41,IF($E41="Non-RPP kWh",VLOOKUP(Y$4,'4. Billing Determinants'!$B$19:$P$41,6,0)/'4. Billing Determinants'!$G$41*$D41,IF($E41="Distribution Rev.",VLOOKUP(Y$4,'4. Billing Determinants'!$B$19:$P$41,8,0)/'4. Billing Determinants'!$I$41*$D41, VLOOKUP(Y$4,'4. Billing Determinants'!$B$19:$P$41,3,0)/'4. Billing Determinants'!$D$41*$D41))))),0)</f>
        <v>0</v>
      </c>
    </row>
    <row r="42" spans="1:25" ht="25.5" x14ac:dyDescent="0.2">
      <c r="B42" s="86" t="s">
        <v>112</v>
      </c>
      <c r="C42" s="83">
        <v>1592</v>
      </c>
      <c r="D42" s="70">
        <f>'2. 2014 Continuity Schedule'!BO66</f>
        <v>0</v>
      </c>
      <c r="E42" s="130"/>
      <c r="F42" s="70">
        <f>IFERROR(IF(F$4="",0,IF($E42="kWh",VLOOKUP(F$4,'4. Billing Determinants'!$B$19:$P$41,4,0)/'4. Billing Determinants'!$E$41*$D42,IF($E42="kW",VLOOKUP(F$4,'4. Billing Determinants'!$B$19:$P$41,5,0)/'4. Billing Determinants'!$F$41*$D42,IF($E42="Non-RPP kWh",VLOOKUP(F$4,'4. Billing Determinants'!$B$19:$P$41,6,0)/'4. Billing Determinants'!$G$41*$D42,IF($E42="Distribution Rev.",VLOOKUP(F$4,'4. Billing Determinants'!$B$19:$P$41,8,0)/'4. Billing Determinants'!$I$41*$D42, VLOOKUP(F$4,'4. Billing Determinants'!$B$19:$P$41,3,0)/'4. Billing Determinants'!$D$41*$D42))))),0)</f>
        <v>0</v>
      </c>
      <c r="G42" s="70">
        <f>IFERROR(IF(G$4="",0,IF($E42="kWh",VLOOKUP(G$4,'4. Billing Determinants'!$B$19:$P$41,4,0)/'4. Billing Determinants'!$E$41*$D42,IF($E42="kW",VLOOKUP(G$4,'4. Billing Determinants'!$B$19:$P$41,5,0)/'4. Billing Determinants'!$F$41*$D42,IF($E42="Non-RPP kWh",VLOOKUP(G$4,'4. Billing Determinants'!$B$19:$P$41,6,0)/'4. Billing Determinants'!$G$41*$D42,IF($E42="Distribution Rev.",VLOOKUP(G$4,'4. Billing Determinants'!$B$19:$P$41,8,0)/'4. Billing Determinants'!$I$41*$D42, VLOOKUP(G$4,'4. Billing Determinants'!$B$19:$P$41,3,0)/'4. Billing Determinants'!$D$41*$D42))))),0)</f>
        <v>0</v>
      </c>
      <c r="H42" s="70">
        <f>IFERROR(IF(H$4="",0,IF($E42="kWh",VLOOKUP(H$4,'4. Billing Determinants'!$B$19:$P$41,4,0)/'4. Billing Determinants'!$E$41*$D42,IF($E42="kW",VLOOKUP(H$4,'4. Billing Determinants'!$B$19:$P$41,5,0)/'4. Billing Determinants'!$F$41*$D42,IF($E42="Non-RPP kWh",VLOOKUP(H$4,'4. Billing Determinants'!$B$19:$P$41,6,0)/'4. Billing Determinants'!$G$41*$D42,IF($E42="Distribution Rev.",VLOOKUP(H$4,'4. Billing Determinants'!$B$19:$P$41,8,0)/'4. Billing Determinants'!$I$41*$D42, VLOOKUP(H$4,'4. Billing Determinants'!$B$19:$P$41,3,0)/'4. Billing Determinants'!$D$41*$D42))))),0)</f>
        <v>0</v>
      </c>
      <c r="I42" s="70">
        <f>IFERROR(IF(I$4="",0,IF($E42="kWh",VLOOKUP(I$4,'4. Billing Determinants'!$B$19:$P$41,4,0)/'4. Billing Determinants'!$E$41*$D42,IF($E42="kW",VLOOKUP(I$4,'4. Billing Determinants'!$B$19:$P$41,5,0)/'4. Billing Determinants'!$F$41*$D42,IF($E42="Non-RPP kWh",VLOOKUP(I$4,'4. Billing Determinants'!$B$19:$P$41,6,0)/'4. Billing Determinants'!$G$41*$D42,IF($E42="Distribution Rev.",VLOOKUP(I$4,'4. Billing Determinants'!$B$19:$P$41,8,0)/'4. Billing Determinants'!$I$41*$D42, VLOOKUP(I$4,'4. Billing Determinants'!$B$19:$P$41,3,0)/'4. Billing Determinants'!$D$41*$D42))))),0)</f>
        <v>0</v>
      </c>
      <c r="J42" s="70">
        <f>IFERROR(IF(J$4="",0,IF($E42="kWh",VLOOKUP(J$4,'4. Billing Determinants'!$B$19:$P$41,4,0)/'4. Billing Determinants'!$E$41*$D42,IF($E42="kW",VLOOKUP(J$4,'4. Billing Determinants'!$B$19:$P$41,5,0)/'4. Billing Determinants'!$F$41*$D42,IF($E42="Non-RPP kWh",VLOOKUP(J$4,'4. Billing Determinants'!$B$19:$P$41,6,0)/'4. Billing Determinants'!$G$41*$D42,IF($E42="Distribution Rev.",VLOOKUP(J$4,'4. Billing Determinants'!$B$19:$P$41,8,0)/'4. Billing Determinants'!$I$41*$D42, VLOOKUP(J$4,'4. Billing Determinants'!$B$19:$P$41,3,0)/'4. Billing Determinants'!$D$41*$D42))))),0)</f>
        <v>0</v>
      </c>
      <c r="K42" s="70">
        <f>IFERROR(IF(K$4="",0,IF($E42="kWh",VLOOKUP(K$4,'4. Billing Determinants'!$B$19:$P$41,4,0)/'4. Billing Determinants'!$E$41*$D42,IF($E42="kW",VLOOKUP(K$4,'4. Billing Determinants'!$B$19:$P$41,5,0)/'4. Billing Determinants'!$F$41*$D42,IF($E42="Non-RPP kWh",VLOOKUP(K$4,'4. Billing Determinants'!$B$19:$P$41,6,0)/'4. Billing Determinants'!$G$41*$D42,IF($E42="Distribution Rev.",VLOOKUP(K$4,'4. Billing Determinants'!$B$19:$P$41,8,0)/'4. Billing Determinants'!$I$41*$D42, VLOOKUP(K$4,'4. Billing Determinants'!$B$19:$P$41,3,0)/'4. Billing Determinants'!$D$41*$D42))))),0)</f>
        <v>0</v>
      </c>
      <c r="L42" s="70">
        <f>IFERROR(IF(L$4="",0,IF($E42="kWh",VLOOKUP(L$4,'4. Billing Determinants'!$B$19:$P$41,4,0)/'4. Billing Determinants'!$E$41*$D42,IF($E42="kW",VLOOKUP(L$4,'4. Billing Determinants'!$B$19:$P$41,5,0)/'4. Billing Determinants'!$F$41*$D42,IF($E42="Non-RPP kWh",VLOOKUP(L$4,'4. Billing Determinants'!$B$19:$P$41,6,0)/'4. Billing Determinants'!$G$41*$D42,IF($E42="Distribution Rev.",VLOOKUP(L$4,'4. Billing Determinants'!$B$19:$P$41,8,0)/'4. Billing Determinants'!$I$41*$D42, VLOOKUP(L$4,'4. Billing Determinants'!$B$19:$P$41,3,0)/'4. Billing Determinants'!$D$41*$D42))))),0)</f>
        <v>0</v>
      </c>
      <c r="M42" s="70">
        <f>IFERROR(IF(M$4="",0,IF($E42="kWh",VLOOKUP(M$4,'4. Billing Determinants'!$B$19:$P$41,4,0)/'4. Billing Determinants'!$E$41*$D42,IF($E42="kW",VLOOKUP(M$4,'4. Billing Determinants'!$B$19:$P$41,5,0)/'4. Billing Determinants'!$F$41*$D42,IF($E42="Non-RPP kWh",VLOOKUP(M$4,'4. Billing Determinants'!$B$19:$P$41,6,0)/'4. Billing Determinants'!$G$41*$D42,IF($E42="Distribution Rev.",VLOOKUP(M$4,'4. Billing Determinants'!$B$19:$P$41,8,0)/'4. Billing Determinants'!$I$41*$D42, VLOOKUP(M$4,'4. Billing Determinants'!$B$19:$P$41,3,0)/'4. Billing Determinants'!$D$41*$D42))))),0)</f>
        <v>0</v>
      </c>
      <c r="N42" s="70">
        <f>IFERROR(IF(N$4="",0,IF($E42="kWh",VLOOKUP(N$4,'4. Billing Determinants'!$B$19:$P$41,4,0)/'4. Billing Determinants'!$E$41*$D42,IF($E42="kW",VLOOKUP(N$4,'4. Billing Determinants'!$B$19:$P$41,5,0)/'4. Billing Determinants'!$F$41*$D42,IF($E42="Non-RPP kWh",VLOOKUP(N$4,'4. Billing Determinants'!$B$19:$P$41,6,0)/'4. Billing Determinants'!$G$41*$D42,IF($E42="Distribution Rev.",VLOOKUP(N$4,'4. Billing Determinants'!$B$19:$P$41,8,0)/'4. Billing Determinants'!$I$41*$D42, VLOOKUP(N$4,'4. Billing Determinants'!$B$19:$P$41,3,0)/'4. Billing Determinants'!$D$41*$D42))))),0)</f>
        <v>0</v>
      </c>
      <c r="O42" s="70">
        <f>IFERROR(IF(O$4="",0,IF($E42="kWh",VLOOKUP(O$4,'4. Billing Determinants'!$B$19:$P$41,4,0)/'4. Billing Determinants'!$E$41*$D42,IF($E42="kW",VLOOKUP(O$4,'4. Billing Determinants'!$B$19:$P$41,5,0)/'4. Billing Determinants'!$F$41*$D42,IF($E42="Non-RPP kWh",VLOOKUP(O$4,'4. Billing Determinants'!$B$19:$P$41,6,0)/'4. Billing Determinants'!$G$41*$D42,IF($E42="Distribution Rev.",VLOOKUP(O$4,'4. Billing Determinants'!$B$19:$P$41,8,0)/'4. Billing Determinants'!$I$41*$D42, VLOOKUP(O$4,'4. Billing Determinants'!$B$19:$P$41,3,0)/'4. Billing Determinants'!$D$41*$D42))))),0)</f>
        <v>0</v>
      </c>
      <c r="P42" s="70">
        <f>IFERROR(IF(P$4="",0,IF($E42="kWh",VLOOKUP(P$4,'4. Billing Determinants'!$B$19:$P$41,4,0)/'4. Billing Determinants'!$E$41*$D42,IF($E42="kW",VLOOKUP(P$4,'4. Billing Determinants'!$B$19:$P$41,5,0)/'4. Billing Determinants'!$F$41*$D42,IF($E42="Non-RPP kWh",VLOOKUP(P$4,'4. Billing Determinants'!$B$19:$P$41,6,0)/'4. Billing Determinants'!$G$41*$D42,IF($E42="Distribution Rev.",VLOOKUP(P$4,'4. Billing Determinants'!$B$19:$P$41,8,0)/'4. Billing Determinants'!$I$41*$D42, VLOOKUP(P$4,'4. Billing Determinants'!$B$19:$P$41,3,0)/'4. Billing Determinants'!$D$41*$D42))))),0)</f>
        <v>0</v>
      </c>
      <c r="Q42" s="70">
        <f>IFERROR(IF(Q$4="",0,IF($E42="kWh",VLOOKUP(Q$4,'4. Billing Determinants'!$B$19:$P$41,4,0)/'4. Billing Determinants'!$E$41*$D42,IF($E42="kW",VLOOKUP(Q$4,'4. Billing Determinants'!$B$19:$P$41,5,0)/'4. Billing Determinants'!$F$41*$D42,IF($E42="Non-RPP kWh",VLOOKUP(Q$4,'4. Billing Determinants'!$B$19:$P$41,6,0)/'4. Billing Determinants'!$G$41*$D42,IF($E42="Distribution Rev.",VLOOKUP(Q$4,'4. Billing Determinants'!$B$19:$P$41,8,0)/'4. Billing Determinants'!$I$41*$D42, VLOOKUP(Q$4,'4. Billing Determinants'!$B$19:$P$41,3,0)/'4. Billing Determinants'!$D$41*$D42))))),0)</f>
        <v>0</v>
      </c>
      <c r="R42" s="70">
        <f>IFERROR(IF(R$4="",0,IF($E42="kWh",VLOOKUP(R$4,'4. Billing Determinants'!$B$19:$P$41,4,0)/'4. Billing Determinants'!$E$41*$D42,IF($E42="kW",VLOOKUP(R$4,'4. Billing Determinants'!$B$19:$P$41,5,0)/'4. Billing Determinants'!$F$41*$D42,IF($E42="Non-RPP kWh",VLOOKUP(R$4,'4. Billing Determinants'!$B$19:$P$41,6,0)/'4. Billing Determinants'!$G$41*$D42,IF($E42="Distribution Rev.",VLOOKUP(R$4,'4. Billing Determinants'!$B$19:$P$41,8,0)/'4. Billing Determinants'!$I$41*$D42, VLOOKUP(R$4,'4. Billing Determinants'!$B$19:$P$41,3,0)/'4. Billing Determinants'!$D$41*$D42))))),0)</f>
        <v>0</v>
      </c>
      <c r="S42" s="70">
        <f>IFERROR(IF(S$4="",0,IF($E42="kWh",VLOOKUP(S$4,'4. Billing Determinants'!$B$19:$P$41,4,0)/'4. Billing Determinants'!$E$41*$D42,IF($E42="kW",VLOOKUP(S$4,'4. Billing Determinants'!$B$19:$P$41,5,0)/'4. Billing Determinants'!$F$41*$D42,IF($E42="Non-RPP kWh",VLOOKUP(S$4,'4. Billing Determinants'!$B$19:$P$41,6,0)/'4. Billing Determinants'!$G$41*$D42,IF($E42="Distribution Rev.",VLOOKUP(S$4,'4. Billing Determinants'!$B$19:$P$41,8,0)/'4. Billing Determinants'!$I$41*$D42, VLOOKUP(S$4,'4. Billing Determinants'!$B$19:$P$41,3,0)/'4. Billing Determinants'!$D$41*$D42))))),0)</f>
        <v>0</v>
      </c>
      <c r="T42" s="70">
        <f>IFERROR(IF(T$4="",0,IF($E42="kWh",VLOOKUP(T$4,'4. Billing Determinants'!$B$19:$P$41,4,0)/'4. Billing Determinants'!$E$41*$D42,IF($E42="kW",VLOOKUP(T$4,'4. Billing Determinants'!$B$19:$P$41,5,0)/'4. Billing Determinants'!$F$41*$D42,IF($E42="Non-RPP kWh",VLOOKUP(T$4,'4. Billing Determinants'!$B$19:$P$41,6,0)/'4. Billing Determinants'!$G$41*$D42,IF($E42="Distribution Rev.",VLOOKUP(T$4,'4. Billing Determinants'!$B$19:$P$41,8,0)/'4. Billing Determinants'!$I$41*$D42, VLOOKUP(T$4,'4. Billing Determinants'!$B$19:$P$41,3,0)/'4. Billing Determinants'!$D$41*$D42))))),0)</f>
        <v>0</v>
      </c>
      <c r="U42" s="70">
        <f>IFERROR(IF(U$4="",0,IF($E42="kWh",VLOOKUP(U$4,'4. Billing Determinants'!$B$19:$P$41,4,0)/'4. Billing Determinants'!$E$41*$D42,IF($E42="kW",VLOOKUP(U$4,'4. Billing Determinants'!$B$19:$P$41,5,0)/'4. Billing Determinants'!$F$41*$D42,IF($E42="Non-RPP kWh",VLOOKUP(U$4,'4. Billing Determinants'!$B$19:$P$41,6,0)/'4. Billing Determinants'!$G$41*$D42,IF($E42="Distribution Rev.",VLOOKUP(U$4,'4. Billing Determinants'!$B$19:$P$41,8,0)/'4. Billing Determinants'!$I$41*$D42, VLOOKUP(U$4,'4. Billing Determinants'!$B$19:$P$41,3,0)/'4. Billing Determinants'!$D$41*$D42))))),0)</f>
        <v>0</v>
      </c>
      <c r="V42" s="70">
        <f>IFERROR(IF(V$4="",0,IF($E42="kWh",VLOOKUP(V$4,'4. Billing Determinants'!$B$19:$P$41,4,0)/'4. Billing Determinants'!$E$41*$D42,IF($E42="kW",VLOOKUP(V$4,'4. Billing Determinants'!$B$19:$P$41,5,0)/'4. Billing Determinants'!$F$41*$D42,IF($E42="Non-RPP kWh",VLOOKUP(V$4,'4. Billing Determinants'!$B$19:$P$41,6,0)/'4. Billing Determinants'!$G$41*$D42,IF($E42="Distribution Rev.",VLOOKUP(V$4,'4. Billing Determinants'!$B$19:$P$41,8,0)/'4. Billing Determinants'!$I$41*$D42, VLOOKUP(V$4,'4. Billing Determinants'!$B$19:$P$41,3,0)/'4. Billing Determinants'!$D$41*$D42))))),0)</f>
        <v>0</v>
      </c>
      <c r="W42" s="70">
        <f>IFERROR(IF(W$4="",0,IF($E42="kWh",VLOOKUP(W$4,'4. Billing Determinants'!$B$19:$P$41,4,0)/'4. Billing Determinants'!$E$41*$D42,IF($E42="kW",VLOOKUP(W$4,'4. Billing Determinants'!$B$19:$P$41,5,0)/'4. Billing Determinants'!$F$41*$D42,IF($E42="Non-RPP kWh",VLOOKUP(W$4,'4. Billing Determinants'!$B$19:$P$41,6,0)/'4. Billing Determinants'!$G$41*$D42,IF($E42="Distribution Rev.",VLOOKUP(W$4,'4. Billing Determinants'!$B$19:$P$41,8,0)/'4. Billing Determinants'!$I$41*$D42, VLOOKUP(W$4,'4. Billing Determinants'!$B$19:$P$41,3,0)/'4. Billing Determinants'!$D$41*$D42))))),0)</f>
        <v>0</v>
      </c>
      <c r="X42" s="70">
        <f>IFERROR(IF(X$4="",0,IF($E42="kWh",VLOOKUP(X$4,'4. Billing Determinants'!$B$19:$P$41,4,0)/'4. Billing Determinants'!$E$41*$D42,IF($E42="kW",VLOOKUP(X$4,'4. Billing Determinants'!$B$19:$P$41,5,0)/'4. Billing Determinants'!$F$41*$D42,IF($E42="Non-RPP kWh",VLOOKUP(X$4,'4. Billing Determinants'!$B$19:$P$41,6,0)/'4. Billing Determinants'!$G$41*$D42,IF($E42="Distribution Rev.",VLOOKUP(X$4,'4. Billing Determinants'!$B$19:$P$41,8,0)/'4. Billing Determinants'!$I$41*$D42, VLOOKUP(X$4,'4. Billing Determinants'!$B$19:$P$41,3,0)/'4. Billing Determinants'!$D$41*$D42))))),0)</f>
        <v>0</v>
      </c>
      <c r="Y42" s="70">
        <f>IFERROR(IF(Y$4="",0,IF($E42="kWh",VLOOKUP(Y$4,'4. Billing Determinants'!$B$19:$P$41,4,0)/'4. Billing Determinants'!$E$41*$D42,IF($E42="kW",VLOOKUP(Y$4,'4. Billing Determinants'!$B$19:$P$41,5,0)/'4. Billing Determinants'!$F$41*$D42,IF($E42="Non-RPP kWh",VLOOKUP(Y$4,'4. Billing Determinants'!$B$19:$P$41,6,0)/'4. Billing Determinants'!$G$41*$D42,IF($E42="Distribution Rev.",VLOOKUP(Y$4,'4. Billing Determinants'!$B$19:$P$41,8,0)/'4. Billing Determinants'!$I$41*$D42, VLOOKUP(Y$4,'4. Billing Determinants'!$B$19:$P$41,3,0)/'4. Billing Determinants'!$D$41*$D42))))),0)</f>
        <v>0</v>
      </c>
    </row>
    <row r="43" spans="1:25" s="57" customFormat="1" x14ac:dyDescent="0.2">
      <c r="A43" s="56"/>
      <c r="B43" s="88" t="s">
        <v>118</v>
      </c>
      <c r="C43" s="90"/>
      <c r="D43" s="89">
        <f>SUM(D40:D42)</f>
        <v>-210.81579611196472</v>
      </c>
      <c r="E43" s="90"/>
      <c r="F43" s="89">
        <f>SUM(F40:F42)</f>
        <v>-83.238978439285887</v>
      </c>
      <c r="G43" s="89">
        <f t="shared" ref="G43:Y43" si="2">SUM(G40:G42)</f>
        <v>-34.576421218403759</v>
      </c>
      <c r="H43" s="89">
        <f t="shared" si="2"/>
        <v>-85.016006869524517</v>
      </c>
      <c r="I43" s="89">
        <f t="shared" si="2"/>
        <v>-6.9892495438857019</v>
      </c>
      <c r="J43" s="89">
        <f t="shared" si="2"/>
        <v>-1.2980040018588572E-2</v>
      </c>
      <c r="K43" s="89">
        <f t="shared" si="2"/>
        <v>-0.16443824985608707</v>
      </c>
      <c r="L43" s="89">
        <f t="shared" si="2"/>
        <v>-0.81772175099020861</v>
      </c>
      <c r="M43" s="89">
        <f t="shared" si="2"/>
        <v>0</v>
      </c>
      <c r="N43" s="89">
        <f t="shared" si="2"/>
        <v>0</v>
      </c>
      <c r="O43" s="89">
        <f t="shared" si="2"/>
        <v>0</v>
      </c>
      <c r="P43" s="89">
        <f t="shared" si="2"/>
        <v>0</v>
      </c>
      <c r="Q43" s="89">
        <f t="shared" si="2"/>
        <v>0</v>
      </c>
      <c r="R43" s="89">
        <f t="shared" si="2"/>
        <v>0</v>
      </c>
      <c r="S43" s="89">
        <f t="shared" si="2"/>
        <v>0</v>
      </c>
      <c r="T43" s="89">
        <f t="shared" si="2"/>
        <v>0</v>
      </c>
      <c r="U43" s="89">
        <f t="shared" si="2"/>
        <v>0</v>
      </c>
      <c r="V43" s="89">
        <f t="shared" si="2"/>
        <v>0</v>
      </c>
      <c r="W43" s="89">
        <f t="shared" si="2"/>
        <v>0</v>
      </c>
      <c r="X43" s="89">
        <f t="shared" si="2"/>
        <v>0</v>
      </c>
      <c r="Y43" s="89">
        <f t="shared" si="2"/>
        <v>0</v>
      </c>
    </row>
    <row r="44" spans="1:25" x14ac:dyDescent="0.2">
      <c r="B44" s="77"/>
      <c r="C44" s="80"/>
      <c r="D44" s="81"/>
      <c r="E44" s="80"/>
    </row>
    <row r="45" spans="1:25" x14ac:dyDescent="0.2">
      <c r="B45" s="86" t="s">
        <v>119</v>
      </c>
      <c r="C45" s="83">
        <v>1568</v>
      </c>
      <c r="D45" s="70">
        <f>'2. 2014 Continuity Schedule'!BO71</f>
        <v>229636.58000000005</v>
      </c>
      <c r="E45" s="94"/>
      <c r="F45" s="131">
        <f>'4. Billing Determinants'!P21</f>
        <v>42101.483403091697</v>
      </c>
      <c r="G45" s="131">
        <f>'4. Billing Determinants'!P22</f>
        <v>76441.591489594619</v>
      </c>
      <c r="H45" s="131">
        <f>'4. Billing Determinants'!P23</f>
        <v>37574.997756618999</v>
      </c>
      <c r="I45" s="131">
        <v>0</v>
      </c>
      <c r="J45" s="131">
        <v>0</v>
      </c>
      <c r="K45" s="131">
        <v>0</v>
      </c>
      <c r="L45" s="131">
        <f>'4. Billing Determinants'!P27</f>
        <v>73518.511319126701</v>
      </c>
      <c r="M45" s="131"/>
      <c r="N45" s="131"/>
      <c r="O45" s="131"/>
      <c r="P45" s="131"/>
      <c r="Q45" s="131"/>
      <c r="R45" s="131"/>
      <c r="S45" s="131"/>
      <c r="T45" s="131"/>
      <c r="U45" s="131"/>
      <c r="V45" s="131"/>
      <c r="W45" s="131"/>
      <c r="X45" s="131"/>
      <c r="Y45" s="131"/>
    </row>
    <row r="46" spans="1:25" s="76" customFormat="1" x14ac:dyDescent="0.2">
      <c r="B46" s="271" t="s">
        <v>121</v>
      </c>
      <c r="C46" s="271"/>
      <c r="D46" s="95">
        <f>SUM(F45:Y45)</f>
        <v>229636.58396843201</v>
      </c>
    </row>
    <row r="47" spans="1:25" s="76" customFormat="1" x14ac:dyDescent="0.2">
      <c r="B47" s="272" t="s">
        <v>107</v>
      </c>
      <c r="C47" s="272"/>
      <c r="D47" s="79">
        <f>D45-D46</f>
        <v>-3.9684319635853171E-3</v>
      </c>
      <c r="E47" s="93"/>
    </row>
    <row r="48" spans="1:25" s="76" customFormat="1" x14ac:dyDescent="0.2"/>
    <row r="49" spans="2:25" s="97" customFormat="1" x14ac:dyDescent="0.2">
      <c r="B49" s="273" t="s">
        <v>280</v>
      </c>
      <c r="C49" s="273"/>
      <c r="D49" s="102">
        <f>SUM(F49:Y49)</f>
        <v>35359.780159108966</v>
      </c>
      <c r="E49" s="103"/>
      <c r="F49" s="102">
        <f>SUM(F43,F38,F17)</f>
        <v>-212049.45388975303</v>
      </c>
      <c r="G49" s="102">
        <f t="shared" ref="G49:Y49" si="3">SUM(G43,G38,G17)</f>
        <v>10319.301454246284</v>
      </c>
      <c r="H49" s="102">
        <f t="shared" si="3"/>
        <v>281052.23887041863</v>
      </c>
      <c r="I49" s="102">
        <f t="shared" si="3"/>
        <v>30106.648571809215</v>
      </c>
      <c r="J49" s="102">
        <f t="shared" si="3"/>
        <v>-99.759968708028055</v>
      </c>
      <c r="K49" s="102">
        <f t="shared" si="3"/>
        <v>-5181.2338452577078</v>
      </c>
      <c r="L49" s="102">
        <f t="shared" si="3"/>
        <v>-68787.961033646396</v>
      </c>
      <c r="M49" s="102">
        <f t="shared" si="3"/>
        <v>0</v>
      </c>
      <c r="N49" s="102">
        <f t="shared" si="3"/>
        <v>0</v>
      </c>
      <c r="O49" s="102">
        <f t="shared" si="3"/>
        <v>0</v>
      </c>
      <c r="P49" s="102">
        <f t="shared" si="3"/>
        <v>0</v>
      </c>
      <c r="Q49" s="102">
        <f t="shared" si="3"/>
        <v>0</v>
      </c>
      <c r="R49" s="102">
        <f t="shared" si="3"/>
        <v>0</v>
      </c>
      <c r="S49" s="102">
        <f t="shared" si="3"/>
        <v>0</v>
      </c>
      <c r="T49" s="102">
        <f t="shared" si="3"/>
        <v>0</v>
      </c>
      <c r="U49" s="102">
        <f t="shared" si="3"/>
        <v>0</v>
      </c>
      <c r="V49" s="102">
        <f t="shared" si="3"/>
        <v>0</v>
      </c>
      <c r="W49" s="102">
        <f t="shared" si="3"/>
        <v>0</v>
      </c>
      <c r="X49" s="102">
        <f t="shared" si="3"/>
        <v>0</v>
      </c>
      <c r="Y49" s="102">
        <f t="shared" si="3"/>
        <v>0</v>
      </c>
    </row>
    <row r="50" spans="2:25" s="98" customFormat="1" x14ac:dyDescent="0.2">
      <c r="B50" s="273" t="s">
        <v>149</v>
      </c>
      <c r="C50" s="273"/>
      <c r="D50" s="102">
        <f>D11</f>
        <v>419716.32977431302</v>
      </c>
      <c r="E50" s="102"/>
      <c r="F50" s="102">
        <f>F11</f>
        <v>25114.123057829118</v>
      </c>
      <c r="G50" s="102">
        <f t="shared" ref="G50:Y50" si="4">G11</f>
        <v>21053.66257696422</v>
      </c>
      <c r="H50" s="102">
        <f t="shared" si="4"/>
        <v>341662.91432882246</v>
      </c>
      <c r="I50" s="102">
        <f t="shared" si="4"/>
        <v>28502.63896344115</v>
      </c>
      <c r="J50" s="102">
        <f t="shared" si="4"/>
        <v>0</v>
      </c>
      <c r="K50" s="102">
        <f t="shared" si="4"/>
        <v>48.265467273545099</v>
      </c>
      <c r="L50" s="102">
        <f t="shared" si="4"/>
        <v>3334.7253799825116</v>
      </c>
      <c r="M50" s="102">
        <f t="shared" si="4"/>
        <v>0</v>
      </c>
      <c r="N50" s="102">
        <f t="shared" si="4"/>
        <v>0</v>
      </c>
      <c r="O50" s="102">
        <f t="shared" si="4"/>
        <v>0</v>
      </c>
      <c r="P50" s="102">
        <f t="shared" si="4"/>
        <v>0</v>
      </c>
      <c r="Q50" s="102">
        <f t="shared" si="4"/>
        <v>0</v>
      </c>
      <c r="R50" s="102">
        <f t="shared" si="4"/>
        <v>0</v>
      </c>
      <c r="S50" s="102">
        <f t="shared" si="4"/>
        <v>0</v>
      </c>
      <c r="T50" s="102">
        <f t="shared" si="4"/>
        <v>0</v>
      </c>
      <c r="U50" s="102">
        <f t="shared" si="4"/>
        <v>0</v>
      </c>
      <c r="V50" s="102">
        <f t="shared" si="4"/>
        <v>0</v>
      </c>
      <c r="W50" s="102">
        <f t="shared" si="4"/>
        <v>0</v>
      </c>
      <c r="X50" s="102">
        <f t="shared" si="4"/>
        <v>0</v>
      </c>
      <c r="Y50" s="102">
        <f t="shared" si="4"/>
        <v>0</v>
      </c>
    </row>
    <row r="51" spans="2:25" s="76" customFormat="1" x14ac:dyDescent="0.2">
      <c r="B51" s="274" t="s">
        <v>281</v>
      </c>
      <c r="C51" s="274"/>
      <c r="D51" s="104">
        <f>SUM(D49:D50)</f>
        <v>455076.10993342201</v>
      </c>
      <c r="E51" s="105"/>
      <c r="F51" s="104">
        <f t="shared" ref="F51:Y51" si="5">SUM(F49:F50)</f>
        <v>-186935.3308319239</v>
      </c>
      <c r="G51" s="104">
        <f t="shared" si="5"/>
        <v>31372.964031210504</v>
      </c>
      <c r="H51" s="104">
        <f t="shared" si="5"/>
        <v>622715.15319924103</v>
      </c>
      <c r="I51" s="104">
        <f t="shared" si="5"/>
        <v>58609.287535250362</v>
      </c>
      <c r="J51" s="104">
        <f t="shared" si="5"/>
        <v>-99.759968708028055</v>
      </c>
      <c r="K51" s="104">
        <f t="shared" si="5"/>
        <v>-5132.9683779841625</v>
      </c>
      <c r="L51" s="104">
        <f t="shared" si="5"/>
        <v>-65453.235653663884</v>
      </c>
      <c r="M51" s="104">
        <f t="shared" si="5"/>
        <v>0</v>
      </c>
      <c r="N51" s="104">
        <f t="shared" si="5"/>
        <v>0</v>
      </c>
      <c r="O51" s="104">
        <f t="shared" si="5"/>
        <v>0</v>
      </c>
      <c r="P51" s="104">
        <f t="shared" si="5"/>
        <v>0</v>
      </c>
      <c r="Q51" s="104">
        <f t="shared" si="5"/>
        <v>0</v>
      </c>
      <c r="R51" s="104">
        <f t="shared" si="5"/>
        <v>0</v>
      </c>
      <c r="S51" s="104">
        <f t="shared" si="5"/>
        <v>0</v>
      </c>
      <c r="T51" s="104">
        <f t="shared" si="5"/>
        <v>0</v>
      </c>
      <c r="U51" s="104">
        <f t="shared" si="5"/>
        <v>0</v>
      </c>
      <c r="V51" s="104">
        <f t="shared" si="5"/>
        <v>0</v>
      </c>
      <c r="W51" s="104">
        <f t="shared" si="5"/>
        <v>0</v>
      </c>
      <c r="X51" s="104">
        <f t="shared" si="5"/>
        <v>0</v>
      </c>
      <c r="Y51" s="104">
        <f t="shared" si="5"/>
        <v>0</v>
      </c>
    </row>
    <row r="52" spans="2:25" x14ac:dyDescent="0.2">
      <c r="D52" s="82"/>
    </row>
    <row r="53" spans="2:25" x14ac:dyDescent="0.2">
      <c r="B53" s="71" t="s">
        <v>230</v>
      </c>
      <c r="C53" s="71">
        <v>1575</v>
      </c>
      <c r="D53" s="70">
        <f>'2. 2014 Continuity Schedule'!BO81</f>
        <v>69206.86997326347</v>
      </c>
      <c r="E53" s="130" t="s">
        <v>276</v>
      </c>
      <c r="F53" s="70">
        <f>IFERROR(IF(F$4="",0,IF($E53="kWh",VLOOKUP(F$4,'4. Billing Determinants'!$B$19:$P$41,4,0)/'4. Billing Determinants'!$E$41*$D53,IF($E53="kW",VLOOKUP(F$4,'4. Billing Determinants'!$B$19:$P$41,5,0)/'4. Billing Determinants'!$F$41*$D53,IF($E53="Non-RPP kWh",VLOOKUP(F$4,'4. Billing Determinants'!$B$19:$P$41,6,0)/'4. Billing Determinants'!$G$41*$D53,IF($E53="Distribution Rev.",VLOOKUP(F$4,'4. Billing Determinants'!$B$19:$P$41,8,0)/'4. Billing Determinants'!$I$41*$D53, VLOOKUP(F$4,'4. Billing Determinants'!$B$19:$P$41,3,0)/'4. Billing Determinants'!$D$41*$D53))))),0)</f>
        <v>27325.794669083596</v>
      </c>
      <c r="G53" s="70">
        <f>IFERROR(IF(G$4="",0,IF($E53="kWh",VLOOKUP(G$4,'4. Billing Determinants'!$B$19:$P$41,4,0)/'4. Billing Determinants'!$E$41*$D53,IF($E53="kW",VLOOKUP(G$4,'4. Billing Determinants'!$B$19:$P$41,5,0)/'4. Billing Determinants'!$F$41*$D53,IF($E53="Non-RPP kWh",VLOOKUP(G$4,'4. Billing Determinants'!$B$19:$P$41,6,0)/'4. Billing Determinants'!$G$41*$D53,IF($E53="Distribution Rev.",VLOOKUP(G$4,'4. Billing Determinants'!$B$19:$P$41,8,0)/'4. Billing Determinants'!$I$41*$D53, VLOOKUP(G$4,'4. Billing Determinants'!$B$19:$P$41,3,0)/'4. Billing Determinants'!$D$41*$D53))))),0)</f>
        <v>11350.790270630239</v>
      </c>
      <c r="H53" s="70">
        <f>IFERROR(IF(H$4="",0,IF($E53="kWh",VLOOKUP(H$4,'4. Billing Determinants'!$B$19:$P$41,4,0)/'4. Billing Determinants'!$E$41*$D53,IF($E53="kW",VLOOKUP(H$4,'4. Billing Determinants'!$B$19:$P$41,5,0)/'4. Billing Determinants'!$F$41*$D53,IF($E53="Non-RPP kWh",VLOOKUP(H$4,'4. Billing Determinants'!$B$19:$P$41,6,0)/'4. Billing Determinants'!$G$41*$D53,IF($E53="Distribution Rev.",VLOOKUP(H$4,'4. Billing Determinants'!$B$19:$P$41,8,0)/'4. Billing Determinants'!$I$41*$D53, VLOOKUP(H$4,'4. Billing Determinants'!$B$19:$P$41,3,0)/'4. Billing Determinants'!$D$41*$D53))))),0)</f>
        <v>27909.159757366644</v>
      </c>
      <c r="I53" s="70">
        <f>IFERROR(IF(I$4="",0,IF($E53="kWh",VLOOKUP(I$4,'4. Billing Determinants'!$B$19:$P$41,4,0)/'4. Billing Determinants'!$E$41*$D53,IF($E53="kW",VLOOKUP(I$4,'4. Billing Determinants'!$B$19:$P$41,5,0)/'4. Billing Determinants'!$F$41*$D53,IF($E53="Non-RPP kWh",VLOOKUP(I$4,'4. Billing Determinants'!$B$19:$P$41,6,0)/'4. Billing Determinants'!$G$41*$D53,IF($E53="Distribution Rev.",VLOOKUP(I$4,'4. Billing Determinants'!$B$19:$P$41,8,0)/'4. Billing Determinants'!$I$41*$D53, VLOOKUP(I$4,'4. Billing Determinants'!$B$19:$P$41,3,0)/'4. Billing Determinants'!$D$41*$D53))))),0)</f>
        <v>2294.4394742483742</v>
      </c>
      <c r="J53" s="70">
        <f>IFERROR(IF(J$4="",0,IF($E53="kWh",VLOOKUP(J$4,'4. Billing Determinants'!$B$19:$P$41,4,0)/'4. Billing Determinants'!$E$41*$D53,IF($E53="kW",VLOOKUP(J$4,'4. Billing Determinants'!$B$19:$P$41,5,0)/'4. Billing Determinants'!$F$41*$D53,IF($E53="Non-RPP kWh",VLOOKUP(J$4,'4. Billing Determinants'!$B$19:$P$41,6,0)/'4. Billing Determinants'!$G$41*$D53,IF($E53="Distribution Rev.",VLOOKUP(J$4,'4. Billing Determinants'!$B$19:$P$41,8,0)/'4. Billing Determinants'!$I$41*$D53, VLOOKUP(J$4,'4. Billing Determinants'!$B$19:$P$41,3,0)/'4. Billing Determinants'!$D$41*$D53))))),0)</f>
        <v>4.2611035718458323</v>
      </c>
      <c r="K53" s="70">
        <f>IFERROR(IF(K$4="",0,IF($E53="kWh",VLOOKUP(K$4,'4. Billing Determinants'!$B$19:$P$41,4,0)/'4. Billing Determinants'!$E$41*$D53,IF($E53="kW",VLOOKUP(K$4,'4. Billing Determinants'!$B$19:$P$41,5,0)/'4. Billing Determinants'!$F$41*$D53,IF($E53="Non-RPP kWh",VLOOKUP(K$4,'4. Billing Determinants'!$B$19:$P$41,6,0)/'4. Billing Determinants'!$G$41*$D53,IF($E53="Distribution Rev.",VLOOKUP(K$4,'4. Billing Determinants'!$B$19:$P$41,8,0)/'4. Billing Determinants'!$I$41*$D53, VLOOKUP(K$4,'4. Billing Determinants'!$B$19:$P$41,3,0)/'4. Billing Determinants'!$D$41*$D53))))),0)</f>
        <v>53.981991797128671</v>
      </c>
      <c r="L53" s="70">
        <f>IFERROR(IF(L$4="",0,IF($E53="kWh",VLOOKUP(L$4,'4. Billing Determinants'!$B$19:$P$41,4,0)/'4. Billing Determinants'!$E$41*$D53,IF($E53="kW",VLOOKUP(L$4,'4. Billing Determinants'!$B$19:$P$41,5,0)/'4. Billing Determinants'!$F$41*$D53,IF($E53="Non-RPP kWh",VLOOKUP(L$4,'4. Billing Determinants'!$B$19:$P$41,6,0)/'4. Billing Determinants'!$G$41*$D53,IF($E53="Distribution Rev.",VLOOKUP(L$4,'4. Billing Determinants'!$B$19:$P$41,8,0)/'4. Billing Determinants'!$I$41*$D53, VLOOKUP(L$4,'4. Billing Determinants'!$B$19:$P$41,3,0)/'4. Billing Determinants'!$D$41*$D53))))),0)</f>
        <v>268.44270656565311</v>
      </c>
      <c r="M53" s="70">
        <f>IFERROR(IF(M$4="",0,IF($E53="kWh",VLOOKUP(M$4,'4. Billing Determinants'!$B$19:$P$41,4,0)/'4. Billing Determinants'!$E$41*$D53,IF($E53="kW",VLOOKUP(M$4,'4. Billing Determinants'!$B$19:$P$41,5,0)/'4. Billing Determinants'!$F$41*$D53,IF($E53="Non-RPP kWh",VLOOKUP(M$4,'4. Billing Determinants'!$B$19:$P$41,6,0)/'4. Billing Determinants'!$G$41*$D53,IF($E53="Distribution Rev.",VLOOKUP(M$4,'4. Billing Determinants'!$B$19:$P$41,8,0)/'4. Billing Determinants'!$I$41*$D53, VLOOKUP(M$4,'4. Billing Determinants'!$B$19:$P$41,3,0)/'4. Billing Determinants'!$D$41*$D53))))),0)</f>
        <v>0</v>
      </c>
      <c r="N53" s="70">
        <f>IFERROR(IF(N$4="",0,IF($E53="kWh",VLOOKUP(N$4,'4. Billing Determinants'!$B$19:$P$41,4,0)/'4. Billing Determinants'!$E$41*$D53,IF($E53="kW",VLOOKUP(N$4,'4. Billing Determinants'!$B$19:$P$41,5,0)/'4. Billing Determinants'!$F$41*$D53,IF($E53="Non-RPP kWh",VLOOKUP(N$4,'4. Billing Determinants'!$B$19:$P$41,6,0)/'4. Billing Determinants'!$G$41*$D53,IF($E53="Distribution Rev.",VLOOKUP(N$4,'4. Billing Determinants'!$B$19:$P$41,8,0)/'4. Billing Determinants'!$I$41*$D53, VLOOKUP(N$4,'4. Billing Determinants'!$B$19:$P$41,3,0)/'4. Billing Determinants'!$D$41*$D53))))),0)</f>
        <v>0</v>
      </c>
      <c r="O53" s="70">
        <f>IFERROR(IF(O$4="",0,IF($E53="kWh",VLOOKUP(O$4,'4. Billing Determinants'!$B$19:$P$41,4,0)/'4. Billing Determinants'!$E$41*$D53,IF($E53="kW",VLOOKUP(O$4,'4. Billing Determinants'!$B$19:$P$41,5,0)/'4. Billing Determinants'!$F$41*$D53,IF($E53="Non-RPP kWh",VLOOKUP(O$4,'4. Billing Determinants'!$B$19:$P$41,6,0)/'4. Billing Determinants'!$G$41*$D53,IF($E53="Distribution Rev.",VLOOKUP(O$4,'4. Billing Determinants'!$B$19:$P$41,8,0)/'4. Billing Determinants'!$I$41*$D53, VLOOKUP(O$4,'4. Billing Determinants'!$B$19:$P$41,3,0)/'4. Billing Determinants'!$D$41*$D53))))),0)</f>
        <v>0</v>
      </c>
      <c r="P53" s="70">
        <f>IFERROR(IF(P$4="",0,IF($E53="kWh",VLOOKUP(P$4,'4. Billing Determinants'!$B$19:$P$41,4,0)/'4. Billing Determinants'!$E$41*$D53,IF($E53="kW",VLOOKUP(P$4,'4. Billing Determinants'!$B$19:$P$41,5,0)/'4. Billing Determinants'!$F$41*$D53,IF($E53="Non-RPP kWh",VLOOKUP(P$4,'4. Billing Determinants'!$B$19:$P$41,6,0)/'4. Billing Determinants'!$G$41*$D53,IF($E53="Distribution Rev.",VLOOKUP(P$4,'4. Billing Determinants'!$B$19:$P$41,8,0)/'4. Billing Determinants'!$I$41*$D53, VLOOKUP(P$4,'4. Billing Determinants'!$B$19:$P$41,3,0)/'4. Billing Determinants'!$D$41*$D53))))),0)</f>
        <v>0</v>
      </c>
      <c r="Q53" s="70">
        <f>IFERROR(IF(Q$4="",0,IF($E53="kWh",VLOOKUP(Q$4,'4. Billing Determinants'!$B$19:$P$41,4,0)/'4. Billing Determinants'!$E$41*$D53,IF($E53="kW",VLOOKUP(Q$4,'4. Billing Determinants'!$B$19:$P$41,5,0)/'4. Billing Determinants'!$F$41*$D53,IF($E53="Non-RPP kWh",VLOOKUP(Q$4,'4. Billing Determinants'!$B$19:$P$41,6,0)/'4. Billing Determinants'!$G$41*$D53,IF($E53="Distribution Rev.",VLOOKUP(Q$4,'4. Billing Determinants'!$B$19:$P$41,8,0)/'4. Billing Determinants'!$I$41*$D53, VLOOKUP(Q$4,'4. Billing Determinants'!$B$19:$P$41,3,0)/'4. Billing Determinants'!$D$41*$D53))))),0)</f>
        <v>0</v>
      </c>
      <c r="R53" s="70">
        <f>IFERROR(IF(R$4="",0,IF($E53="kWh",VLOOKUP(R$4,'4. Billing Determinants'!$B$19:$P$41,4,0)/'4. Billing Determinants'!$E$41*$D53,IF($E53="kW",VLOOKUP(R$4,'4. Billing Determinants'!$B$19:$P$41,5,0)/'4. Billing Determinants'!$F$41*$D53,IF($E53="Non-RPP kWh",VLOOKUP(R$4,'4. Billing Determinants'!$B$19:$P$41,6,0)/'4. Billing Determinants'!$G$41*$D53,IF($E53="Distribution Rev.",VLOOKUP(R$4,'4. Billing Determinants'!$B$19:$P$41,8,0)/'4. Billing Determinants'!$I$41*$D53, VLOOKUP(R$4,'4. Billing Determinants'!$B$19:$P$41,3,0)/'4. Billing Determinants'!$D$41*$D53))))),0)</f>
        <v>0</v>
      </c>
      <c r="S53" s="70">
        <f>IFERROR(IF(S$4="",0,IF($E53="kWh",VLOOKUP(S$4,'4. Billing Determinants'!$B$19:$P$41,4,0)/'4. Billing Determinants'!$E$41*$D53,IF($E53="kW",VLOOKUP(S$4,'4. Billing Determinants'!$B$19:$P$41,5,0)/'4. Billing Determinants'!$F$41*$D53,IF($E53="Non-RPP kWh",VLOOKUP(S$4,'4. Billing Determinants'!$B$19:$P$41,6,0)/'4. Billing Determinants'!$G$41*$D53,IF($E53="Distribution Rev.",VLOOKUP(S$4,'4. Billing Determinants'!$B$19:$P$41,8,0)/'4. Billing Determinants'!$I$41*$D53, VLOOKUP(S$4,'4. Billing Determinants'!$B$19:$P$41,3,0)/'4. Billing Determinants'!$D$41*$D53))))),0)</f>
        <v>0</v>
      </c>
      <c r="T53" s="70">
        <f>IFERROR(IF(T$4="",0,IF($E53="kWh",VLOOKUP(T$4,'4. Billing Determinants'!$B$19:$P$41,4,0)/'4. Billing Determinants'!$E$41*$D53,IF($E53="kW",VLOOKUP(T$4,'4. Billing Determinants'!$B$19:$P$41,5,0)/'4. Billing Determinants'!$F$41*$D53,IF($E53="Non-RPP kWh",VLOOKUP(T$4,'4. Billing Determinants'!$B$19:$P$41,6,0)/'4. Billing Determinants'!$G$41*$D53,IF($E53="Distribution Rev.",VLOOKUP(T$4,'4. Billing Determinants'!$B$19:$P$41,8,0)/'4. Billing Determinants'!$I$41*$D53, VLOOKUP(T$4,'4. Billing Determinants'!$B$19:$P$41,3,0)/'4. Billing Determinants'!$D$41*$D53))))),0)</f>
        <v>0</v>
      </c>
      <c r="U53" s="70">
        <f>IFERROR(IF(U$4="",0,IF($E53="kWh",VLOOKUP(U$4,'4. Billing Determinants'!$B$19:$P$41,4,0)/'4. Billing Determinants'!$E$41*$D53,IF($E53="kW",VLOOKUP(U$4,'4. Billing Determinants'!$B$19:$P$41,5,0)/'4. Billing Determinants'!$F$41*$D53,IF($E53="Non-RPP kWh",VLOOKUP(U$4,'4. Billing Determinants'!$B$19:$P$41,6,0)/'4. Billing Determinants'!$G$41*$D53,IF($E53="Distribution Rev.",VLOOKUP(U$4,'4. Billing Determinants'!$B$19:$P$41,8,0)/'4. Billing Determinants'!$I$41*$D53, VLOOKUP(U$4,'4. Billing Determinants'!$B$19:$P$41,3,0)/'4. Billing Determinants'!$D$41*$D53))))),0)</f>
        <v>0</v>
      </c>
      <c r="V53" s="70">
        <f>IFERROR(IF(V$4="",0,IF($E53="kWh",VLOOKUP(V$4,'4. Billing Determinants'!$B$19:$P$41,4,0)/'4. Billing Determinants'!$E$41*$D53,IF($E53="kW",VLOOKUP(V$4,'4. Billing Determinants'!$B$19:$P$41,5,0)/'4. Billing Determinants'!$F$41*$D53,IF($E53="Non-RPP kWh",VLOOKUP(V$4,'4. Billing Determinants'!$B$19:$P$41,6,0)/'4. Billing Determinants'!$G$41*$D53,IF($E53="Distribution Rev.",VLOOKUP(V$4,'4. Billing Determinants'!$B$19:$P$41,8,0)/'4. Billing Determinants'!$I$41*$D53, VLOOKUP(V$4,'4. Billing Determinants'!$B$19:$P$41,3,0)/'4. Billing Determinants'!$D$41*$D53))))),0)</f>
        <v>0</v>
      </c>
      <c r="W53" s="70">
        <f>IFERROR(IF(W$4="",0,IF($E53="kWh",VLOOKUP(W$4,'4. Billing Determinants'!$B$19:$P$41,4,0)/'4. Billing Determinants'!$E$41*$D53,IF($E53="kW",VLOOKUP(W$4,'4. Billing Determinants'!$B$19:$P$41,5,0)/'4. Billing Determinants'!$F$41*$D53,IF($E53="Non-RPP kWh",VLOOKUP(W$4,'4. Billing Determinants'!$B$19:$P$41,6,0)/'4. Billing Determinants'!$G$41*$D53,IF($E53="Distribution Rev.",VLOOKUP(W$4,'4. Billing Determinants'!$B$19:$P$41,8,0)/'4. Billing Determinants'!$I$41*$D53, VLOOKUP(W$4,'4. Billing Determinants'!$B$19:$P$41,3,0)/'4. Billing Determinants'!$D$41*$D53))))),0)</f>
        <v>0</v>
      </c>
      <c r="X53" s="70">
        <f>IFERROR(IF(X$4="",0,IF($E53="kWh",VLOOKUP(X$4,'4. Billing Determinants'!$B$19:$P$41,4,0)/'4. Billing Determinants'!$E$41*$D53,IF($E53="kW",VLOOKUP(X$4,'4. Billing Determinants'!$B$19:$P$41,5,0)/'4. Billing Determinants'!$F$41*$D53,IF($E53="Non-RPP kWh",VLOOKUP(X$4,'4. Billing Determinants'!$B$19:$P$41,6,0)/'4. Billing Determinants'!$G$41*$D53,IF($E53="Distribution Rev.",VLOOKUP(X$4,'4. Billing Determinants'!$B$19:$P$41,8,0)/'4. Billing Determinants'!$I$41*$D53, VLOOKUP(X$4,'4. Billing Determinants'!$B$19:$P$41,3,0)/'4. Billing Determinants'!$D$41*$D53))))),0)</f>
        <v>0</v>
      </c>
      <c r="Y53" s="70">
        <f>IFERROR(IF(Y$4="",0,IF($E53="kWh",VLOOKUP(Y$4,'4. Billing Determinants'!$B$19:$P$41,4,0)/'4. Billing Determinants'!$E$41*$D53,IF($E53="kW",VLOOKUP(Y$4,'4. Billing Determinants'!$B$19:$P$41,5,0)/'4. Billing Determinants'!$F$41*$D53,IF($E53="Non-RPP kWh",VLOOKUP(Y$4,'4. Billing Determinants'!$B$19:$P$41,6,0)/'4. Billing Determinants'!$G$41*$D53,IF($E53="Distribution Rev.",VLOOKUP(Y$4,'4. Billing Determinants'!$B$19:$P$41,8,0)/'4. Billing Determinants'!$I$41*$D53, VLOOKUP(Y$4,'4. Billing Determinants'!$B$19:$P$41,3,0)/'4. Billing Determinants'!$D$41*$D53))))),0)</f>
        <v>0</v>
      </c>
    </row>
    <row r="54" spans="2:25" x14ac:dyDescent="0.2">
      <c r="B54" s="71" t="s">
        <v>231</v>
      </c>
      <c r="C54" s="71">
        <v>1576</v>
      </c>
      <c r="D54" s="70">
        <f>'2. 2014 Continuity Schedule'!BO82</f>
        <v>-3862584.0630856263</v>
      </c>
      <c r="E54" s="130" t="s">
        <v>276</v>
      </c>
      <c r="F54" s="70">
        <f>IFERROR(IF(F$4="",0,IF($E54="kWh",VLOOKUP(F$4,'4. Billing Determinants'!$B$19:$P$41,4,0)/'4. Billing Determinants'!$E$41*$D54,IF($E54="kW",VLOOKUP(F$4,'4. Billing Determinants'!$B$19:$P$41,5,0)/'4. Billing Determinants'!$F$41*$D54,IF($E54="Non-RPP kWh",VLOOKUP(F$4,'4. Billing Determinants'!$B$19:$P$41,6,0)/'4. Billing Determinants'!$G$41*$D54,IF($E54="Distribution Rev.",VLOOKUP(F$4,'4. Billing Determinants'!$B$19:$P$41,8,0)/'4. Billing Determinants'!$I$41*$D54, VLOOKUP(F$4,'4. Billing Determinants'!$B$19:$P$41,3,0)/'4. Billing Determinants'!$D$41*$D54))))),0)</f>
        <v>-1525111.2937303572</v>
      </c>
      <c r="G54" s="70">
        <f>IFERROR(IF(G$4="",0,IF($E54="kWh",VLOOKUP(G$4,'4. Billing Determinants'!$B$19:$P$41,4,0)/'4. Billing Determinants'!$E$41*$D54,IF($E54="kW",VLOOKUP(G$4,'4. Billing Determinants'!$B$19:$P$41,5,0)/'4. Billing Determinants'!$F$41*$D54,IF($E54="Non-RPP kWh",VLOOKUP(G$4,'4. Billing Determinants'!$B$19:$P$41,6,0)/'4. Billing Determinants'!$G$41*$D54,IF($E54="Distribution Rev.",VLOOKUP(G$4,'4. Billing Determinants'!$B$19:$P$41,8,0)/'4. Billing Determinants'!$I$41*$D54, VLOOKUP(G$4,'4. Billing Determinants'!$B$19:$P$41,3,0)/'4. Billing Determinants'!$D$41*$D54))))),0)</f>
        <v>-633511.9854387528</v>
      </c>
      <c r="H54" s="70">
        <f>IFERROR(IF(H$4="",0,IF($E54="kWh",VLOOKUP(H$4,'4. Billing Determinants'!$B$19:$P$41,4,0)/'4. Billing Determinants'!$E$41*$D54,IF($E54="kW",VLOOKUP(H$4,'4. Billing Determinants'!$B$19:$P$41,5,0)/'4. Billing Determinants'!$F$41*$D54,IF($E54="Non-RPP kWh",VLOOKUP(H$4,'4. Billing Determinants'!$B$19:$P$41,6,0)/'4. Billing Determinants'!$G$41*$D54,IF($E54="Distribution Rev.",VLOOKUP(H$4,'4. Billing Determinants'!$B$19:$P$41,8,0)/'4. Billing Determinants'!$I$41*$D54, VLOOKUP(H$4,'4. Billing Determinants'!$B$19:$P$41,3,0)/'4. Billing Determinants'!$D$41*$D54))))),0)</f>
        <v>-1557670.1523210311</v>
      </c>
      <c r="I54" s="70">
        <f>IFERROR(IF(I$4="",0,IF($E54="kWh",VLOOKUP(I$4,'4. Billing Determinants'!$B$19:$P$41,4,0)/'4. Billing Determinants'!$E$41*$D54,IF($E54="kW",VLOOKUP(I$4,'4. Billing Determinants'!$B$19:$P$41,5,0)/'4. Billing Determinants'!$F$41*$D54,IF($E54="Non-RPP kWh",VLOOKUP(I$4,'4. Billing Determinants'!$B$19:$P$41,6,0)/'4. Billing Determinants'!$G$41*$D54,IF($E54="Distribution Rev.",VLOOKUP(I$4,'4. Billing Determinants'!$B$19:$P$41,8,0)/'4. Billing Determinants'!$I$41*$D54, VLOOKUP(I$4,'4. Billing Determinants'!$B$19:$P$41,3,0)/'4. Billing Determinants'!$D$41*$D54))))),0)</f>
        <v>-128057.59529899487</v>
      </c>
      <c r="J54" s="70">
        <f>IFERROR(IF(J$4="",0,IF($E54="kWh",VLOOKUP(J$4,'4. Billing Determinants'!$B$19:$P$41,4,0)/'4. Billing Determinants'!$E$41*$D54,IF($E54="kW",VLOOKUP(J$4,'4. Billing Determinants'!$B$19:$P$41,5,0)/'4. Billing Determinants'!$F$41*$D54,IF($E54="Non-RPP kWh",VLOOKUP(J$4,'4. Billing Determinants'!$B$19:$P$41,6,0)/'4. Billing Determinants'!$G$41*$D54,IF($E54="Distribution Rev.",VLOOKUP(J$4,'4. Billing Determinants'!$B$19:$P$41,8,0)/'4. Billing Determinants'!$I$41*$D54, VLOOKUP(J$4,'4. Billing Determinants'!$B$19:$P$41,3,0)/'4. Billing Determinants'!$D$41*$D54))))),0)</f>
        <v>-237.82134279627832</v>
      </c>
      <c r="K54" s="70">
        <f>IFERROR(IF(K$4="",0,IF($E54="kWh",VLOOKUP(K$4,'4. Billing Determinants'!$B$19:$P$41,4,0)/'4. Billing Determinants'!$E$41*$D54,IF($E54="kW",VLOOKUP(K$4,'4. Billing Determinants'!$B$19:$P$41,5,0)/'4. Billing Determinants'!$F$41*$D54,IF($E54="Non-RPP kWh",VLOOKUP(K$4,'4. Billing Determinants'!$B$19:$P$41,6,0)/'4. Billing Determinants'!$G$41*$D54,IF($E54="Distribution Rev.",VLOOKUP(K$4,'4. Billing Determinants'!$B$19:$P$41,8,0)/'4. Billing Determinants'!$I$41*$D54, VLOOKUP(K$4,'4. Billing Determinants'!$B$19:$P$41,3,0)/'4. Billing Determinants'!$D$41*$D54))))),0)</f>
        <v>-3012.8509104625218</v>
      </c>
      <c r="L54" s="70">
        <f>IFERROR(IF(L$4="",0,IF($E54="kWh",VLOOKUP(L$4,'4. Billing Determinants'!$B$19:$P$41,4,0)/'4. Billing Determinants'!$E$41*$D54,IF($E54="kW",VLOOKUP(L$4,'4. Billing Determinants'!$B$19:$P$41,5,0)/'4. Billing Determinants'!$F$41*$D54,IF($E54="Non-RPP kWh",VLOOKUP(L$4,'4. Billing Determinants'!$B$19:$P$41,6,0)/'4. Billing Determinants'!$G$41*$D54,IF($E54="Distribution Rev.",VLOOKUP(L$4,'4. Billing Determinants'!$B$19:$P$41,8,0)/'4. Billing Determinants'!$I$41*$D54, VLOOKUP(L$4,'4. Billing Determinants'!$B$19:$P$41,3,0)/'4. Billing Determinants'!$D$41*$D54))))),0)</f>
        <v>-14982.364043232115</v>
      </c>
      <c r="M54" s="70">
        <f>IFERROR(IF(M$4="",0,IF($E54="kWh",VLOOKUP(M$4,'4. Billing Determinants'!$B$19:$P$41,4,0)/'4. Billing Determinants'!$E$41*$D54,IF($E54="kW",VLOOKUP(M$4,'4. Billing Determinants'!$B$19:$P$41,5,0)/'4. Billing Determinants'!$F$41*$D54,IF($E54="Non-RPP kWh",VLOOKUP(M$4,'4. Billing Determinants'!$B$19:$P$41,6,0)/'4. Billing Determinants'!$G$41*$D54,IF($E54="Distribution Rev.",VLOOKUP(M$4,'4. Billing Determinants'!$B$19:$P$41,8,0)/'4. Billing Determinants'!$I$41*$D54, VLOOKUP(M$4,'4. Billing Determinants'!$B$19:$P$41,3,0)/'4. Billing Determinants'!$D$41*$D54))))),0)</f>
        <v>0</v>
      </c>
      <c r="N54" s="70">
        <f>IFERROR(IF(N$4="",0,IF($E54="kWh",VLOOKUP(N$4,'4. Billing Determinants'!$B$19:$P$41,4,0)/'4. Billing Determinants'!$E$41*$D54,IF($E54="kW",VLOOKUP(N$4,'4. Billing Determinants'!$B$19:$P$41,5,0)/'4. Billing Determinants'!$F$41*$D54,IF($E54="Non-RPP kWh",VLOOKUP(N$4,'4. Billing Determinants'!$B$19:$P$41,6,0)/'4. Billing Determinants'!$G$41*$D54,IF($E54="Distribution Rev.",VLOOKUP(N$4,'4. Billing Determinants'!$B$19:$P$41,8,0)/'4. Billing Determinants'!$I$41*$D54, VLOOKUP(N$4,'4. Billing Determinants'!$B$19:$P$41,3,0)/'4. Billing Determinants'!$D$41*$D54))))),0)</f>
        <v>0</v>
      </c>
      <c r="O54" s="70">
        <f>IFERROR(IF(O$4="",0,IF($E54="kWh",VLOOKUP(O$4,'4. Billing Determinants'!$B$19:$P$41,4,0)/'4. Billing Determinants'!$E$41*$D54,IF($E54="kW",VLOOKUP(O$4,'4. Billing Determinants'!$B$19:$P$41,5,0)/'4. Billing Determinants'!$F$41*$D54,IF($E54="Non-RPP kWh",VLOOKUP(O$4,'4. Billing Determinants'!$B$19:$P$41,6,0)/'4. Billing Determinants'!$G$41*$D54,IF($E54="Distribution Rev.",VLOOKUP(O$4,'4. Billing Determinants'!$B$19:$P$41,8,0)/'4. Billing Determinants'!$I$41*$D54, VLOOKUP(O$4,'4. Billing Determinants'!$B$19:$P$41,3,0)/'4. Billing Determinants'!$D$41*$D54))))),0)</f>
        <v>0</v>
      </c>
      <c r="P54" s="70">
        <f>IFERROR(IF(P$4="",0,IF($E54="kWh",VLOOKUP(P$4,'4. Billing Determinants'!$B$19:$P$41,4,0)/'4. Billing Determinants'!$E$41*$D54,IF($E54="kW",VLOOKUP(P$4,'4. Billing Determinants'!$B$19:$P$41,5,0)/'4. Billing Determinants'!$F$41*$D54,IF($E54="Non-RPP kWh",VLOOKUP(P$4,'4. Billing Determinants'!$B$19:$P$41,6,0)/'4. Billing Determinants'!$G$41*$D54,IF($E54="Distribution Rev.",VLOOKUP(P$4,'4. Billing Determinants'!$B$19:$P$41,8,0)/'4. Billing Determinants'!$I$41*$D54, VLOOKUP(P$4,'4. Billing Determinants'!$B$19:$P$41,3,0)/'4. Billing Determinants'!$D$41*$D54))))),0)</f>
        <v>0</v>
      </c>
      <c r="Q54" s="70">
        <f>IFERROR(IF(Q$4="",0,IF($E54="kWh",VLOOKUP(Q$4,'4. Billing Determinants'!$B$19:$P$41,4,0)/'4. Billing Determinants'!$E$41*$D54,IF($E54="kW",VLOOKUP(Q$4,'4. Billing Determinants'!$B$19:$P$41,5,0)/'4. Billing Determinants'!$F$41*$D54,IF($E54="Non-RPP kWh",VLOOKUP(Q$4,'4. Billing Determinants'!$B$19:$P$41,6,0)/'4. Billing Determinants'!$G$41*$D54,IF($E54="Distribution Rev.",VLOOKUP(Q$4,'4. Billing Determinants'!$B$19:$P$41,8,0)/'4. Billing Determinants'!$I$41*$D54, VLOOKUP(Q$4,'4. Billing Determinants'!$B$19:$P$41,3,0)/'4. Billing Determinants'!$D$41*$D54))))),0)</f>
        <v>0</v>
      </c>
      <c r="R54" s="70">
        <f>IFERROR(IF(R$4="",0,IF($E54="kWh",VLOOKUP(R$4,'4. Billing Determinants'!$B$19:$P$41,4,0)/'4. Billing Determinants'!$E$41*$D54,IF($E54="kW",VLOOKUP(R$4,'4. Billing Determinants'!$B$19:$P$41,5,0)/'4. Billing Determinants'!$F$41*$D54,IF($E54="Non-RPP kWh",VLOOKUP(R$4,'4. Billing Determinants'!$B$19:$P$41,6,0)/'4. Billing Determinants'!$G$41*$D54,IF($E54="Distribution Rev.",VLOOKUP(R$4,'4. Billing Determinants'!$B$19:$P$41,8,0)/'4. Billing Determinants'!$I$41*$D54, VLOOKUP(R$4,'4. Billing Determinants'!$B$19:$P$41,3,0)/'4. Billing Determinants'!$D$41*$D54))))),0)</f>
        <v>0</v>
      </c>
      <c r="S54" s="70">
        <f>IFERROR(IF(S$4="",0,IF($E54="kWh",VLOOKUP(S$4,'4. Billing Determinants'!$B$19:$P$41,4,0)/'4. Billing Determinants'!$E$41*$D54,IF($E54="kW",VLOOKUP(S$4,'4. Billing Determinants'!$B$19:$P$41,5,0)/'4. Billing Determinants'!$F$41*$D54,IF($E54="Non-RPP kWh",VLOOKUP(S$4,'4. Billing Determinants'!$B$19:$P$41,6,0)/'4. Billing Determinants'!$G$41*$D54,IF($E54="Distribution Rev.",VLOOKUP(S$4,'4. Billing Determinants'!$B$19:$P$41,8,0)/'4. Billing Determinants'!$I$41*$D54, VLOOKUP(S$4,'4. Billing Determinants'!$B$19:$P$41,3,0)/'4. Billing Determinants'!$D$41*$D54))))),0)</f>
        <v>0</v>
      </c>
      <c r="T54" s="70">
        <f>IFERROR(IF(T$4="",0,IF($E54="kWh",VLOOKUP(T$4,'4. Billing Determinants'!$B$19:$P$41,4,0)/'4. Billing Determinants'!$E$41*$D54,IF($E54="kW",VLOOKUP(T$4,'4. Billing Determinants'!$B$19:$P$41,5,0)/'4. Billing Determinants'!$F$41*$D54,IF($E54="Non-RPP kWh",VLOOKUP(T$4,'4. Billing Determinants'!$B$19:$P$41,6,0)/'4. Billing Determinants'!$G$41*$D54,IF($E54="Distribution Rev.",VLOOKUP(T$4,'4. Billing Determinants'!$B$19:$P$41,8,0)/'4. Billing Determinants'!$I$41*$D54, VLOOKUP(T$4,'4. Billing Determinants'!$B$19:$P$41,3,0)/'4. Billing Determinants'!$D$41*$D54))))),0)</f>
        <v>0</v>
      </c>
      <c r="U54" s="70">
        <f>IFERROR(IF(U$4="",0,IF($E54="kWh",VLOOKUP(U$4,'4. Billing Determinants'!$B$19:$P$41,4,0)/'4. Billing Determinants'!$E$41*$D54,IF($E54="kW",VLOOKUP(U$4,'4. Billing Determinants'!$B$19:$P$41,5,0)/'4. Billing Determinants'!$F$41*$D54,IF($E54="Non-RPP kWh",VLOOKUP(U$4,'4. Billing Determinants'!$B$19:$P$41,6,0)/'4. Billing Determinants'!$G$41*$D54,IF($E54="Distribution Rev.",VLOOKUP(U$4,'4. Billing Determinants'!$B$19:$P$41,8,0)/'4. Billing Determinants'!$I$41*$D54, VLOOKUP(U$4,'4. Billing Determinants'!$B$19:$P$41,3,0)/'4. Billing Determinants'!$D$41*$D54))))),0)</f>
        <v>0</v>
      </c>
      <c r="V54" s="70">
        <f>IFERROR(IF(V$4="",0,IF($E54="kWh",VLOOKUP(V$4,'4. Billing Determinants'!$B$19:$P$41,4,0)/'4. Billing Determinants'!$E$41*$D54,IF($E54="kW",VLOOKUP(V$4,'4. Billing Determinants'!$B$19:$P$41,5,0)/'4. Billing Determinants'!$F$41*$D54,IF($E54="Non-RPP kWh",VLOOKUP(V$4,'4. Billing Determinants'!$B$19:$P$41,6,0)/'4. Billing Determinants'!$G$41*$D54,IF($E54="Distribution Rev.",VLOOKUP(V$4,'4. Billing Determinants'!$B$19:$P$41,8,0)/'4. Billing Determinants'!$I$41*$D54, VLOOKUP(V$4,'4. Billing Determinants'!$B$19:$P$41,3,0)/'4. Billing Determinants'!$D$41*$D54))))),0)</f>
        <v>0</v>
      </c>
      <c r="W54" s="70">
        <f>IFERROR(IF(W$4="",0,IF($E54="kWh",VLOOKUP(W$4,'4. Billing Determinants'!$B$19:$P$41,4,0)/'4. Billing Determinants'!$E$41*$D54,IF($E54="kW",VLOOKUP(W$4,'4. Billing Determinants'!$B$19:$P$41,5,0)/'4. Billing Determinants'!$F$41*$D54,IF($E54="Non-RPP kWh",VLOOKUP(W$4,'4. Billing Determinants'!$B$19:$P$41,6,0)/'4. Billing Determinants'!$G$41*$D54,IF($E54="Distribution Rev.",VLOOKUP(W$4,'4. Billing Determinants'!$B$19:$P$41,8,0)/'4. Billing Determinants'!$I$41*$D54, VLOOKUP(W$4,'4. Billing Determinants'!$B$19:$P$41,3,0)/'4. Billing Determinants'!$D$41*$D54))))),0)</f>
        <v>0</v>
      </c>
      <c r="X54" s="70">
        <f>IFERROR(IF(X$4="",0,IF($E54="kWh",VLOOKUP(X$4,'4. Billing Determinants'!$B$19:$P$41,4,0)/'4. Billing Determinants'!$E$41*$D54,IF($E54="kW",VLOOKUP(X$4,'4. Billing Determinants'!$B$19:$P$41,5,0)/'4. Billing Determinants'!$F$41*$D54,IF($E54="Non-RPP kWh",VLOOKUP(X$4,'4. Billing Determinants'!$B$19:$P$41,6,0)/'4. Billing Determinants'!$G$41*$D54,IF($E54="Distribution Rev.",VLOOKUP(X$4,'4. Billing Determinants'!$B$19:$P$41,8,0)/'4. Billing Determinants'!$I$41*$D54, VLOOKUP(X$4,'4. Billing Determinants'!$B$19:$P$41,3,0)/'4. Billing Determinants'!$D$41*$D54))))),0)</f>
        <v>0</v>
      </c>
      <c r="Y54" s="70">
        <f>IFERROR(IF(Y$4="",0,IF($E54="kWh",VLOOKUP(Y$4,'4. Billing Determinants'!$B$19:$P$41,4,0)/'4. Billing Determinants'!$E$41*$D54,IF($E54="kW",VLOOKUP(Y$4,'4. Billing Determinants'!$B$19:$P$41,5,0)/'4. Billing Determinants'!$F$41*$D54,IF($E54="Non-RPP kWh",VLOOKUP(Y$4,'4. Billing Determinants'!$B$19:$P$41,6,0)/'4. Billing Determinants'!$G$41*$D54,IF($E54="Distribution Rev.",VLOOKUP(Y$4,'4. Billing Determinants'!$B$19:$P$41,8,0)/'4. Billing Determinants'!$I$41*$D54, VLOOKUP(Y$4,'4. Billing Determinants'!$B$19:$P$41,3,0)/'4. Billing Determinants'!$D$41*$D54))))),0)</f>
        <v>0</v>
      </c>
    </row>
    <row r="55" spans="2:25" x14ac:dyDescent="0.2">
      <c r="B55" s="88" t="s">
        <v>151</v>
      </c>
      <c r="C55" s="88"/>
      <c r="D55" s="89">
        <f>SUM(D53:D54)</f>
        <v>-3793377.1931123631</v>
      </c>
      <c r="E55" s="89"/>
      <c r="F55" s="89">
        <f>SUM(F53:F54)</f>
        <v>-1497785.4990612736</v>
      </c>
      <c r="G55" s="89">
        <f t="shared" ref="G55:Y55" si="6">SUM(G53:G54)</f>
        <v>-622161.19516812253</v>
      </c>
      <c r="H55" s="89">
        <f t="shared" si="6"/>
        <v>-1529760.9925636644</v>
      </c>
      <c r="I55" s="89">
        <f t="shared" si="6"/>
        <v>-125763.1558247465</v>
      </c>
      <c r="J55" s="89">
        <f t="shared" si="6"/>
        <v>-233.56023922443248</v>
      </c>
      <c r="K55" s="89">
        <f t="shared" si="6"/>
        <v>-2958.8689186653933</v>
      </c>
      <c r="L55" s="89">
        <f t="shared" si="6"/>
        <v>-14713.921336666463</v>
      </c>
      <c r="M55" s="89">
        <f t="shared" si="6"/>
        <v>0</v>
      </c>
      <c r="N55" s="89">
        <f t="shared" si="6"/>
        <v>0</v>
      </c>
      <c r="O55" s="89">
        <f t="shared" si="6"/>
        <v>0</v>
      </c>
      <c r="P55" s="89">
        <f t="shared" si="6"/>
        <v>0</v>
      </c>
      <c r="Q55" s="89">
        <f t="shared" si="6"/>
        <v>0</v>
      </c>
      <c r="R55" s="89">
        <f t="shared" si="6"/>
        <v>0</v>
      </c>
      <c r="S55" s="89">
        <f t="shared" si="6"/>
        <v>0</v>
      </c>
      <c r="T55" s="89">
        <f t="shared" si="6"/>
        <v>0</v>
      </c>
      <c r="U55" s="89">
        <f t="shared" si="6"/>
        <v>0</v>
      </c>
      <c r="V55" s="89">
        <f t="shared" si="6"/>
        <v>0</v>
      </c>
      <c r="W55" s="89">
        <f t="shared" si="6"/>
        <v>0</v>
      </c>
      <c r="X55" s="89">
        <f t="shared" si="6"/>
        <v>0</v>
      </c>
      <c r="Y55" s="89">
        <f t="shared" si="6"/>
        <v>0</v>
      </c>
    </row>
  </sheetData>
  <mergeCells count="5">
    <mergeCell ref="B46:C46"/>
    <mergeCell ref="B47:C47"/>
    <mergeCell ref="B49:C49"/>
    <mergeCell ref="B50:C50"/>
    <mergeCell ref="B51:C51"/>
  </mergeCells>
  <dataValidations count="4">
    <dataValidation type="list" allowBlank="1" showInputMessage="1" showErrorMessage="1" sqref="E5:E11">
      <formula1>"kWh, kW, Non-RPP kWh"</formula1>
    </dataValidation>
    <dataValidation type="list" allowBlank="1" showInputMessage="1" showErrorMessage="1" sqref="E40:E43 E38 E53:E54">
      <formula1>"kWh, kW, Non-RPP kWh, Distribution Rev."</formula1>
    </dataValidation>
    <dataValidation type="list" allowBlank="1" showInputMessage="1" showErrorMessage="1" sqref="E19:E37">
      <formula1>"kWh, kW, Non-RPP kWh, Distribution Rev., # of Customers"</formula1>
    </dataValidation>
    <dataValidation type="list" allowBlank="1" showInputMessage="1" showErrorMessage="1" sqref="E12:E16">
      <formula1>"kWh, kW, Non-RPP kWh, %"</formula1>
    </dataValidation>
  </dataValidations>
  <pageMargins left="0.23622047244094499" right="0.23622047244094499" top="0.74803149606299202" bottom="0.74803149606299202" header="0.31496062992126" footer="0.31496062992126"/>
  <pageSetup scale="48" orientation="landscape" r:id="rId1"/>
  <headerFooter>
    <oddFooter>&amp;A</oddFooter>
  </headerFooter>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I123"/>
  <sheetViews>
    <sheetView showGridLines="0" tabSelected="1" topLeftCell="A64" zoomScaleNormal="100" workbookViewId="0">
      <selection activeCell="E14" sqref="E14"/>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x14ac:dyDescent="0.2">
      <c r="B13" s="111" t="s">
        <v>123</v>
      </c>
      <c r="C13" s="112"/>
      <c r="D13" s="113">
        <v>1</v>
      </c>
    </row>
    <row r="16" spans="2:4" ht="18" x14ac:dyDescent="0.25">
      <c r="B16" s="115" t="s">
        <v>125</v>
      </c>
    </row>
    <row r="18" spans="2:7" ht="12.75" customHeight="1" x14ac:dyDescent="0.2">
      <c r="B18" s="269" t="s">
        <v>116</v>
      </c>
      <c r="C18" s="268" t="s">
        <v>102</v>
      </c>
      <c r="D18" s="275" t="s">
        <v>124</v>
      </c>
      <c r="E18" s="275" t="s">
        <v>150</v>
      </c>
      <c r="F18" s="277" t="s">
        <v>122</v>
      </c>
    </row>
    <row r="19" spans="2:7" ht="27" customHeight="1" x14ac:dyDescent="0.2">
      <c r="B19" s="270"/>
      <c r="C19" s="268"/>
      <c r="D19" s="276"/>
      <c r="E19" s="276"/>
      <c r="F19" s="277"/>
    </row>
    <row r="20" spans="2:7" x14ac:dyDescent="0.2">
      <c r="B20" s="96" t="str">
        <f>IF(ISBLANK('4. Billing Determinants'!B21), "", '4. Billing Determinants'!B21)</f>
        <v>RESIDENTIAL</v>
      </c>
      <c r="C20" s="130" t="s">
        <v>276</v>
      </c>
      <c r="D20" s="99">
        <f>IF(C20="", 0, IF(C20="kWh", '4. Billing Determinants'!E21, IF(C20="kW", '4. Billing Determinants'!F21, '4. Billing Determinants'!D21)))</f>
        <v>205497424.88810688</v>
      </c>
      <c r="E20" s="100">
        <f>HLOOKUP($B20, '5. Allocation of Balances'!$C$4:$Y$49, 46,FALSE)</f>
        <v>-212049.45388975303</v>
      </c>
      <c r="F20" s="110">
        <f>IF(ISERROR(E20/D20), 0, IF(C20="# of Customers", E20/D20/12/$D$13, E20/D20/$D$13))</f>
        <v>-1.0318837523400292E-3</v>
      </c>
      <c r="G20" t="str">
        <f>IF(C20="", "", IF(C20="# of Customers", "per customer per month", "$/"&amp;C20))</f>
        <v>$/kWh</v>
      </c>
    </row>
    <row r="21" spans="2:7" x14ac:dyDescent="0.2">
      <c r="B21" s="96" t="str">
        <f>IF(ISBLANK('4. Billing Determinants'!B22), "", '4. Billing Determinants'!B22)</f>
        <v>GENERAL SERVICE LESS THAN 50 KW</v>
      </c>
      <c r="C21" s="130" t="s">
        <v>276</v>
      </c>
      <c r="D21" s="99">
        <f>IF(C21="", 0, IF(C21="kWh", '4. Billing Determinants'!E22, IF(C21="kW", '4. Billing Determinants'!F22, '4. Billing Determinants'!D22)))</f>
        <v>85361037.046016753</v>
      </c>
      <c r="E21" s="100">
        <f>HLOOKUP($B21, '5. Allocation of Balances'!$C$4:$Y$49, 46,FALSE)</f>
        <v>10319.301454246284</v>
      </c>
      <c r="F21" s="110">
        <f t="shared" ref="F21:F39" si="0">IF(ISERROR(E21/D21), 0, IF(C21="# of Customers", E21/D21/12/$D$13, E21/D21/$D$13))</f>
        <v>1.2089006660829713E-4</v>
      </c>
      <c r="G21" t="str">
        <f t="shared" ref="G21:G39" si="1">IF(C21="", "", IF(C21="# of Customers", "per customer per month", "$/"&amp;C21))</f>
        <v>$/kWh</v>
      </c>
    </row>
    <row r="22" spans="2:7" x14ac:dyDescent="0.2">
      <c r="B22" s="96" t="str">
        <f>IF(ISBLANK('4. Billing Determinants'!B23), "", '4. Billing Determinants'!B23)</f>
        <v>GENERAL SERVICE 50 TO 2,999 KW</v>
      </c>
      <c r="C22" s="130" t="s">
        <v>297</v>
      </c>
      <c r="D22" s="99">
        <f>IF(C22="", 0, IF(C22="kWh", '4. Billing Determinants'!E23, IF(C22="kW", '4. Billing Determinants'!F23, '4. Billing Determinants'!D23)))</f>
        <v>519864.63481550448</v>
      </c>
      <c r="E22" s="100">
        <f>HLOOKUP($B22, '5. Allocation of Balances'!$C$4:$Y$49, 46,FALSE)</f>
        <v>281052.23887041863</v>
      </c>
      <c r="F22" s="110">
        <f t="shared" si="0"/>
        <v>0.54062580919773795</v>
      </c>
      <c r="G22" t="str">
        <f t="shared" si="1"/>
        <v>$/kW</v>
      </c>
    </row>
    <row r="23" spans="2:7" x14ac:dyDescent="0.2">
      <c r="B23" s="96" t="str">
        <f>IF(ISBLANK('4. Billing Determinants'!B24), "", '4. Billing Determinants'!B24)</f>
        <v>GENERAL SERVICE 3,000 TO 4,999 KW</v>
      </c>
      <c r="C23" s="130" t="str">
        <f>IF(ISBLANK('4. Billing Determinants'!C24), "", '4. Billing Determinants'!C24)</f>
        <v>kW</v>
      </c>
      <c r="D23" s="99">
        <f>IF(C23="", 0, IF(C23="kWh", '4. Billing Determinants'!E24, IF(C23="kW", '4. Billing Determinants'!F24, '4. Billing Determinants'!D24)))</f>
        <v>33801.425697666316</v>
      </c>
      <c r="E23" s="100">
        <f>HLOOKUP($B23, '5. Allocation of Balances'!$C$4:$Y$49, 46,FALSE)</f>
        <v>30106.648571809215</v>
      </c>
      <c r="F23" s="110">
        <f t="shared" si="0"/>
        <v>0.89069167795155479</v>
      </c>
      <c r="G23" t="str">
        <f t="shared" si="1"/>
        <v>$/kW</v>
      </c>
    </row>
    <row r="24" spans="2:7" x14ac:dyDescent="0.2">
      <c r="B24" s="96" t="str">
        <f>IF(ISBLANK('4. Billing Determinants'!B25), "", '4. Billing Determinants'!B25)</f>
        <v>UNMETERED SCATTERED LOAD</v>
      </c>
      <c r="C24" s="130" t="s">
        <v>276</v>
      </c>
      <c r="D24" s="99">
        <f>IF(C24="", 0, IF(C24="kWh", '4. Billing Determinants'!E25, IF(C24="kW", '4. Billing Determinants'!F25, '4. Billing Determinants'!D25)))</f>
        <v>32044.660431652101</v>
      </c>
      <c r="E24" s="100">
        <f>HLOOKUP($B24, '5. Allocation of Balances'!$C$4:$Y$49, 46,FALSE)</f>
        <v>-99.759968708028055</v>
      </c>
      <c r="F24" s="110">
        <f t="shared" si="0"/>
        <v>-3.1131541843236444E-3</v>
      </c>
      <c r="G24" t="str">
        <f t="shared" si="1"/>
        <v>$/kWh</v>
      </c>
    </row>
    <row r="25" spans="2:7" x14ac:dyDescent="0.2">
      <c r="B25" s="96" t="str">
        <f>IF(ISBLANK('4. Billing Determinants'!B26), "", '4. Billing Determinants'!B26)</f>
        <v>SENTINEL LIGHTING</v>
      </c>
      <c r="C25" s="130" t="str">
        <f>IF(ISBLANK('4. Billing Determinants'!C26), "", '4. Billing Determinants'!C26)</f>
        <v>kW</v>
      </c>
      <c r="D25" s="99">
        <f>IF(C25="", 0, IF(C25="kWh", '4. Billing Determinants'!E26, IF(C25="kW", '4. Billing Determinants'!F26, '4. Billing Determinants'!D26)))</f>
        <v>1193.4344347067597</v>
      </c>
      <c r="E25" s="100">
        <f>HLOOKUP($B25, '5. Allocation of Balances'!$C$4:$Y$49, 46,FALSE)</f>
        <v>-5181.2338452577078</v>
      </c>
      <c r="F25" s="110">
        <f t="shared" si="0"/>
        <v>-4.3414482560416445</v>
      </c>
      <c r="G25" t="str">
        <f t="shared" si="1"/>
        <v>$/kW</v>
      </c>
    </row>
    <row r="26" spans="2:7" x14ac:dyDescent="0.2">
      <c r="B26" s="96" t="str">
        <f>IF(ISBLANK('4. Billing Determinants'!B27), "", '4. Billing Determinants'!B27)</f>
        <v>STREET LIGHTING</v>
      </c>
      <c r="C26" s="130" t="str">
        <f>IF(ISBLANK('4. Billing Determinants'!C27), "", '4. Billing Determinants'!C27)</f>
        <v>kW</v>
      </c>
      <c r="D26" s="99">
        <f>IF(C26="", 0, IF(C26="kWh", '4. Billing Determinants'!E27, IF(C26="kW", '4. Billing Determinants'!F27, '4. Billing Determinants'!D27)))</f>
        <v>5641.08</v>
      </c>
      <c r="E26" s="100">
        <f>HLOOKUP($B26, '5. Allocation of Balances'!$C$4:$Y$49, 46,FALSE)</f>
        <v>-68787.961033646396</v>
      </c>
      <c r="F26" s="110">
        <f t="shared" si="0"/>
        <v>-12.194111949067624</v>
      </c>
      <c r="G26" t="str">
        <f t="shared" si="1"/>
        <v>$/kW</v>
      </c>
    </row>
    <row r="27" spans="2:7" x14ac:dyDescent="0.2">
      <c r="B27" s="96" t="str">
        <f>IF(ISBLANK('4. Billing Determinants'!B28), "", '4. Billing Determinants'!B28)</f>
        <v/>
      </c>
      <c r="C27" s="130" t="str">
        <f>IF(ISBLANK('4. Billing Determinants'!C28), "", '4. Billing Determinants'!C28)</f>
        <v/>
      </c>
      <c r="D27" s="99">
        <f>IF(C27="", 0, IF(C27="kWh", '4. Billing Determinants'!E28, IF(C27="kW", '4. Billing Determinants'!F28, '4. Billing Determinants'!D28)))</f>
        <v>0</v>
      </c>
      <c r="E27" s="100">
        <f>HLOOKUP($B27, '5. Allocation of Balances'!$C$4:$Y$49, 46,FALSE)</f>
        <v>0</v>
      </c>
      <c r="F27" s="110">
        <f t="shared" si="0"/>
        <v>0</v>
      </c>
      <c r="G27" t="str">
        <f t="shared" si="1"/>
        <v/>
      </c>
    </row>
    <row r="28" spans="2:7" x14ac:dyDescent="0.2">
      <c r="B28" s="96" t="str">
        <f>IF(ISBLANK('4. Billing Determinants'!B29), "", '4. Billing Determinants'!B29)</f>
        <v/>
      </c>
      <c r="C28" s="130" t="str">
        <f>IF(ISBLANK('4. Billing Determinants'!C29), "", '4. Billing Determinants'!C29)</f>
        <v/>
      </c>
      <c r="D28" s="99">
        <f>IF(C28="", 0, IF(C28="kWh", '4. Billing Determinants'!E29, IF(C28="kW", '4. Billing Determinants'!F29, '4. Billing Determinants'!D29)))</f>
        <v>0</v>
      </c>
      <c r="E28" s="100">
        <f>HLOOKUP($B28, '5. Allocation of Balances'!$C$4:$Y$49, 46,FALSE)</f>
        <v>0</v>
      </c>
      <c r="F28" s="110">
        <f t="shared" si="0"/>
        <v>0</v>
      </c>
      <c r="G28" t="str">
        <f t="shared" si="1"/>
        <v/>
      </c>
    </row>
    <row r="29" spans="2:7" x14ac:dyDescent="0.2">
      <c r="B29" s="96" t="str">
        <f>IF(ISBLANK('4. Billing Determinants'!B30), "", '4. Billing Determinants'!B30)</f>
        <v/>
      </c>
      <c r="C29" s="130" t="str">
        <f>IF(ISBLANK('4. Billing Determinants'!C30), "", '4. Billing Determinants'!C30)</f>
        <v/>
      </c>
      <c r="D29" s="99">
        <f>IF(C29="", 0, IF(C29="kWh", '4. Billing Determinants'!E30, IF(C29="kW", '4. Billing Determinants'!F30, '4. Billing Determinants'!D30)))</f>
        <v>0</v>
      </c>
      <c r="E29" s="100">
        <f>HLOOKUP($B29, '5. Allocation of Balances'!$C$4:$Y$49, 46,FALSE)</f>
        <v>0</v>
      </c>
      <c r="F29" s="110">
        <f t="shared" si="0"/>
        <v>0</v>
      </c>
      <c r="G29" t="str">
        <f t="shared" si="1"/>
        <v/>
      </c>
    </row>
    <row r="30" spans="2:7" x14ac:dyDescent="0.2">
      <c r="B30" s="96" t="str">
        <f>IF(ISBLANK('4. Billing Determinants'!B31), "", '4. Billing Determinants'!B31)</f>
        <v/>
      </c>
      <c r="C30" s="130" t="str">
        <f>IF(ISBLANK('4. Billing Determinants'!C31), "", '4. Billing Determinants'!C31)</f>
        <v/>
      </c>
      <c r="D30" s="99">
        <f>IF(C30="", 0, IF(C30="kWh", '4. Billing Determinants'!E31, IF(C30="kW", '4. Billing Determinants'!F31, '4. Billing Determinants'!D31)))</f>
        <v>0</v>
      </c>
      <c r="E30" s="100">
        <f>HLOOKUP($B30, '5. Allocation of Balances'!$C$4:$Y$49, 46,FALSE)</f>
        <v>0</v>
      </c>
      <c r="F30" s="110">
        <f t="shared" si="0"/>
        <v>0</v>
      </c>
      <c r="G30" t="str">
        <f t="shared" si="1"/>
        <v/>
      </c>
    </row>
    <row r="31" spans="2:7" x14ac:dyDescent="0.2">
      <c r="B31" s="96" t="str">
        <f>IF(ISBLANK('4. Billing Determinants'!B32), "", '4. Billing Determinants'!B32)</f>
        <v/>
      </c>
      <c r="C31" s="130" t="str">
        <f>IF(ISBLANK('4. Billing Determinants'!C32), "", '4. Billing Determinants'!C32)</f>
        <v/>
      </c>
      <c r="D31" s="99">
        <f>IF(C31="", 0, IF(C31="kWh", '4. Billing Determinants'!E32, IF(C31="kW", '4. Billing Determinants'!F32, '4. Billing Determinants'!D32)))</f>
        <v>0</v>
      </c>
      <c r="E31" s="100">
        <f>HLOOKUP($B31, '5. Allocation of Balances'!$C$4:$Y$49, 46,FALSE)</f>
        <v>0</v>
      </c>
      <c r="F31" s="110">
        <f t="shared" si="0"/>
        <v>0</v>
      </c>
      <c r="G31" t="str">
        <f t="shared" si="1"/>
        <v/>
      </c>
    </row>
    <row r="32" spans="2:7" x14ac:dyDescent="0.2">
      <c r="B32" s="96" t="str">
        <f>IF(ISBLANK('4. Billing Determinants'!B33), "", '4. Billing Determinants'!B33)</f>
        <v/>
      </c>
      <c r="C32" s="130" t="str">
        <f>IF(ISBLANK('4. Billing Determinants'!C33), "", '4. Billing Determinants'!C33)</f>
        <v/>
      </c>
      <c r="D32" s="99">
        <f>IF(C32="", 0, IF(C32="kWh", '4. Billing Determinants'!E33, IF(C32="kW", '4. Billing Determinants'!F33, '4. Billing Determinants'!D33)))</f>
        <v>0</v>
      </c>
      <c r="E32" s="100">
        <f>HLOOKUP($B32, '5. Allocation of Balances'!$C$4:$Y$49, 46,FALSE)</f>
        <v>0</v>
      </c>
      <c r="F32" s="110">
        <f t="shared" si="0"/>
        <v>0</v>
      </c>
      <c r="G32" t="str">
        <f t="shared" si="1"/>
        <v/>
      </c>
    </row>
    <row r="33" spans="2:9" x14ac:dyDescent="0.2">
      <c r="B33" s="96" t="str">
        <f>IF(ISBLANK('4. Billing Determinants'!B34), "", '4. Billing Determinants'!B34)</f>
        <v/>
      </c>
      <c r="C33" s="130"/>
      <c r="D33" s="99">
        <f>IF(C33="", 0, IF(C33="kWh", '4. Billing Determinants'!E34, IF(C33="kW", '4. Billing Determinants'!F34, '4. Billing Determinants'!D34)))</f>
        <v>0</v>
      </c>
      <c r="E33" s="100">
        <f>HLOOKUP($B33, '5. Allocation of Balances'!$C$4:$Y$49, 46,FALSE)</f>
        <v>0</v>
      </c>
      <c r="F33" s="110">
        <f t="shared" si="0"/>
        <v>0</v>
      </c>
      <c r="G33" t="str">
        <f t="shared" si="1"/>
        <v/>
      </c>
    </row>
    <row r="34" spans="2:9" x14ac:dyDescent="0.2">
      <c r="B34" s="96" t="str">
        <f>IF(ISBLANK('4. Billing Determinants'!B35), "", '4. Billing Determinants'!B35)</f>
        <v/>
      </c>
      <c r="C34" s="130" t="str">
        <f>IF(ISBLANK('4. Billing Determinants'!C35), "", '4. Billing Determinants'!C35)</f>
        <v/>
      </c>
      <c r="D34" s="99">
        <f>IF(C34="", 0, IF(C34="kWh", '4. Billing Determinants'!E35, IF(C34="kW", '4. Billing Determinants'!F35, '4. Billing Determinants'!D35)))</f>
        <v>0</v>
      </c>
      <c r="E34" s="100">
        <f>HLOOKUP($B34, '5. Allocation of Balances'!$C$4:$Y$49, 46,FALSE)</f>
        <v>0</v>
      </c>
      <c r="F34" s="110">
        <f t="shared" si="0"/>
        <v>0</v>
      </c>
      <c r="G34" t="str">
        <f t="shared" si="1"/>
        <v/>
      </c>
    </row>
    <row r="35" spans="2:9" x14ac:dyDescent="0.2">
      <c r="B35" s="96" t="str">
        <f>IF(ISBLANK('4. Billing Determinants'!B36), "", '4. Billing Determinants'!B36)</f>
        <v/>
      </c>
      <c r="C35" s="130" t="str">
        <f>IF(ISBLANK('4. Billing Determinants'!C36), "", '4. Billing Determinants'!C36)</f>
        <v/>
      </c>
      <c r="D35" s="99">
        <f>IF(C35="", 0, IF(C35="kWh", '4. Billing Determinants'!E36, IF(C35="kW", '4. Billing Determinants'!F36, '4. Billing Determinants'!D36)))</f>
        <v>0</v>
      </c>
      <c r="E35" s="100">
        <f>HLOOKUP($B35, '5. Allocation of Balances'!$C$4:$Y$49, 46,FALSE)</f>
        <v>0</v>
      </c>
      <c r="F35" s="110">
        <f t="shared" si="0"/>
        <v>0</v>
      </c>
      <c r="G35" t="str">
        <f t="shared" si="1"/>
        <v/>
      </c>
    </row>
    <row r="36" spans="2:9" x14ac:dyDescent="0.2">
      <c r="B36" s="96" t="str">
        <f>IF(ISBLANK('4. Billing Determinants'!B37), "", '4. Billing Determinants'!B37)</f>
        <v/>
      </c>
      <c r="C36" s="130" t="str">
        <f>IF(ISBLANK('4. Billing Determinants'!C37), "", '4. Billing Determinants'!C37)</f>
        <v/>
      </c>
      <c r="D36" s="99">
        <f>IF(C36="", 0, IF(C36="kWh", '4. Billing Determinants'!E37, IF(C36="kW", '4. Billing Determinants'!F37, '4. Billing Determinants'!D37)))</f>
        <v>0</v>
      </c>
      <c r="E36" s="100">
        <f>HLOOKUP($B36, '5. Allocation of Balances'!$C$4:$Y$49, 46,FALSE)</f>
        <v>0</v>
      </c>
      <c r="F36" s="110">
        <f t="shared" si="0"/>
        <v>0</v>
      </c>
      <c r="G36" t="str">
        <f t="shared" si="1"/>
        <v/>
      </c>
    </row>
    <row r="37" spans="2:9" x14ac:dyDescent="0.2">
      <c r="B37" s="96" t="str">
        <f>IF(ISBLANK('4. Billing Determinants'!B38), "", '4. Billing Determinants'!B38)</f>
        <v/>
      </c>
      <c r="C37" s="130" t="str">
        <f>IF(ISBLANK('4. Billing Determinants'!C38), "", '4. Billing Determinants'!C38)</f>
        <v/>
      </c>
      <c r="D37" s="99">
        <f>IF(C37="", 0, IF(C37="kWh", '4. Billing Determinants'!E38, IF(C37="kW", '4. Billing Determinants'!F38, '4. Billing Determinants'!D38)))</f>
        <v>0</v>
      </c>
      <c r="E37" s="100">
        <f>HLOOKUP($B37, '5. Allocation of Balances'!$C$4:$Y$49, 46,FALSE)</f>
        <v>0</v>
      </c>
      <c r="F37" s="110">
        <f t="shared" si="0"/>
        <v>0</v>
      </c>
      <c r="G37" t="str">
        <f t="shared" si="1"/>
        <v/>
      </c>
    </row>
    <row r="38" spans="2:9" x14ac:dyDescent="0.2">
      <c r="B38" s="96" t="str">
        <f>IF(ISBLANK('4. Billing Determinants'!B39), "", '4. Billing Determinants'!B39)</f>
        <v/>
      </c>
      <c r="C38" s="130" t="str">
        <f>IF(ISBLANK('4. Billing Determinants'!C39), "", '4. Billing Determinants'!C39)</f>
        <v/>
      </c>
      <c r="D38" s="99">
        <f>IF(C38="", 0, IF(C38="kWh", '4. Billing Determinants'!E39, IF(C38="kW", '4. Billing Determinants'!F39, '4. Billing Determinants'!D39)))</f>
        <v>0</v>
      </c>
      <c r="E38" s="100">
        <f>HLOOKUP($B38, '5. Allocation of Balances'!$C$4:$Y$49, 46,FALSE)</f>
        <v>0</v>
      </c>
      <c r="F38" s="110">
        <f t="shared" si="0"/>
        <v>0</v>
      </c>
      <c r="G38" t="str">
        <f t="shared" si="1"/>
        <v/>
      </c>
      <c r="I38" s="116"/>
    </row>
    <row r="39" spans="2:9" x14ac:dyDescent="0.2">
      <c r="B39" s="96" t="str">
        <f>IF(ISBLANK('4. Billing Determinants'!B40), "", '4. Billing Determinants'!B40)</f>
        <v/>
      </c>
      <c r="C39" s="130" t="str">
        <f>IF(ISBLANK('4. Billing Determinants'!C40), "", '4. Billing Determinants'!C40)</f>
        <v/>
      </c>
      <c r="D39" s="99">
        <f>IF(C39="", 0, IF(C39="kWh", '4. Billing Determinants'!E40, IF(C39="kW", '4. Billing Determinants'!F40, '4. Billing Determinants'!D40)))</f>
        <v>0</v>
      </c>
      <c r="E39" s="100">
        <f>HLOOKUP($B39, '5. Allocation of Balances'!$C$4:$Y$49, 46,FALSE)</f>
        <v>0</v>
      </c>
      <c r="F39" s="110">
        <f t="shared" si="0"/>
        <v>0</v>
      </c>
      <c r="G39" t="str">
        <f t="shared" si="1"/>
        <v/>
      </c>
    </row>
    <row r="40" spans="2:9" x14ac:dyDescent="0.2">
      <c r="B40" s="106" t="s">
        <v>103</v>
      </c>
      <c r="C40" s="107"/>
      <c r="D40" s="108"/>
      <c r="E40" s="109">
        <f>SUM(E20:E39)</f>
        <v>35359.780159108966</v>
      </c>
      <c r="F40" s="106"/>
    </row>
    <row r="43" spans="2:9" ht="18" x14ac:dyDescent="0.25">
      <c r="B43" s="115" t="s">
        <v>232</v>
      </c>
    </row>
    <row r="45" spans="2:9" x14ac:dyDescent="0.2">
      <c r="B45" s="269" t="s">
        <v>116</v>
      </c>
      <c r="C45" s="268" t="s">
        <v>102</v>
      </c>
      <c r="D45" s="275" t="s">
        <v>235</v>
      </c>
      <c r="E45" s="275" t="s">
        <v>233</v>
      </c>
      <c r="F45" s="277" t="s">
        <v>234</v>
      </c>
    </row>
    <row r="46" spans="2:9" ht="54.75" customHeight="1" x14ac:dyDescent="0.2">
      <c r="B46" s="270"/>
      <c r="C46" s="268"/>
      <c r="D46" s="276"/>
      <c r="E46" s="276"/>
      <c r="F46" s="277"/>
    </row>
    <row r="47" spans="2:9" x14ac:dyDescent="0.2">
      <c r="B47" s="96" t="str">
        <f t="shared" ref="B47:B66" si="2">B20</f>
        <v>RESIDENTIAL</v>
      </c>
      <c r="C47" s="130" t="s">
        <v>276</v>
      </c>
      <c r="D47" s="99">
        <f>IF(C47="", 0, IF(C47="kWh", '4. Billing Determinants'!G21, IF(C47="kW", '4. Billing Determinants'!H21, '4. Billing Determinants'!D21)))</f>
        <v>15203484.48999998</v>
      </c>
      <c r="E47" s="100">
        <f>HLOOKUP($B20, '5. Allocation of Balances'!$C$4:$Y$50, 47,FALSE)</f>
        <v>25114.123057829118</v>
      </c>
      <c r="F47" s="110">
        <f>IF(ISERROR(E47/D47), 0, IF(C47="# of Customers", E47/D47/12/$D$13, E47/D47/$D$13))</f>
        <v>1.6518662596293511E-3</v>
      </c>
      <c r="G47" t="str">
        <f>IF(C47="", "", IF(C47="# of Customers", "per customer per month", "$/"&amp;C47))</f>
        <v>$/kWh</v>
      </c>
    </row>
    <row r="48" spans="2:9" x14ac:dyDescent="0.2">
      <c r="B48" s="96" t="str">
        <f t="shared" si="2"/>
        <v>GENERAL SERVICE LESS THAN 50 KW</v>
      </c>
      <c r="C48" s="130" t="s">
        <v>276</v>
      </c>
      <c r="D48" s="99">
        <f>IF(C48="", 0, IF(C48="kWh", '4. Billing Determinants'!G22, IF(C48="kW", '4. Billing Determinants'!H22, '4. Billing Determinants'!D22)))</f>
        <v>12745379.629999999</v>
      </c>
      <c r="E48" s="100">
        <f>HLOOKUP($B21, '5. Allocation of Balances'!$C$4:$Y$50, 47,FALSE)</f>
        <v>21053.66257696422</v>
      </c>
      <c r="F48" s="110">
        <f t="shared" ref="F48:F66" si="3">IF(ISERROR(E48/D48), 0, IF(C48="# of Customers", E48/D48/12/$D$13, E48/D48/$D$13))</f>
        <v>1.6518662596293509E-3</v>
      </c>
      <c r="G48" t="str">
        <f t="shared" ref="G48:G66" si="4">IF(C48="", "", IF(C48="# of Customers", "per customer per month", "$/"&amp;C48))</f>
        <v>$/kWh</v>
      </c>
    </row>
    <row r="49" spans="2:7" x14ac:dyDescent="0.2">
      <c r="B49" s="96" t="str">
        <f t="shared" si="2"/>
        <v>GENERAL SERVICE 50 TO 2,999 KW</v>
      </c>
      <c r="C49" s="130" t="s">
        <v>297</v>
      </c>
      <c r="D49" s="99">
        <f>IF(C49="", 0, IF(C49="kWh", '4. Billing Determinants'!G23, IF(C49="kW", '4. Billing Determinants'!H23, '4. Billing Determinants'!D23)))</f>
        <v>512310.06448542891</v>
      </c>
      <c r="E49" s="100">
        <f>HLOOKUP($B22, '5. Allocation of Balances'!$C$4:$Y$50, 47,FALSE)</f>
        <v>341662.91432882246</v>
      </c>
      <c r="F49" s="110">
        <f t="shared" si="3"/>
        <v>0.66690650450522238</v>
      </c>
      <c r="G49" t="str">
        <f t="shared" si="4"/>
        <v>$/kW</v>
      </c>
    </row>
    <row r="50" spans="2:7" x14ac:dyDescent="0.2">
      <c r="B50" s="96" t="str">
        <f t="shared" si="2"/>
        <v>GENERAL SERVICE 3,000 TO 4,999 KW</v>
      </c>
      <c r="C50" s="130" t="s">
        <v>297</v>
      </c>
      <c r="D50" s="99">
        <f>IF(C50="", 0, IF(C50="kWh", '4. Billing Determinants'!G24, IF(C50="kW", '4. Billing Determinants'!H24, '4. Billing Determinants'!D24)))</f>
        <v>33801.425697666316</v>
      </c>
      <c r="E50" s="100">
        <f>HLOOKUP($B23, '5. Allocation of Balances'!$C$4:$Y$50, 47,FALSE)</f>
        <v>28502.63896344115</v>
      </c>
      <c r="F50" s="110">
        <f t="shared" si="3"/>
        <v>0.84323777400339062</v>
      </c>
      <c r="G50" t="str">
        <f t="shared" si="4"/>
        <v>$/kW</v>
      </c>
    </row>
    <row r="51" spans="2:7" x14ac:dyDescent="0.2">
      <c r="B51" s="96" t="str">
        <f t="shared" si="2"/>
        <v>UNMETERED SCATTERED LOAD</v>
      </c>
      <c r="C51" s="130" t="s">
        <v>276</v>
      </c>
      <c r="D51" s="99">
        <f>IF(C51="", 0, IF(C51="kWh", '4. Billing Determinants'!G25, IF(C51="kW", '4. Billing Determinants'!H25, '4. Billing Determinants'!D25)))</f>
        <v>0</v>
      </c>
      <c r="E51" s="100">
        <f>HLOOKUP($B24, '5. Allocation of Balances'!$C$4:$Y$50, 47,FALSE)</f>
        <v>0</v>
      </c>
      <c r="F51" s="110">
        <f t="shared" si="3"/>
        <v>0</v>
      </c>
      <c r="G51" t="str">
        <f t="shared" si="4"/>
        <v>$/kWh</v>
      </c>
    </row>
    <row r="52" spans="2:7" x14ac:dyDescent="0.2">
      <c r="B52" s="96" t="str">
        <f t="shared" si="2"/>
        <v>SENTINEL LIGHTING</v>
      </c>
      <c r="C52" s="130" t="s">
        <v>297</v>
      </c>
      <c r="D52" s="99">
        <f>IF(C52="", 0, IF(C52="kWh", '4. Billing Determinants'!G26, IF(C52="kW", '4. Billing Determinants'!H26, '4. Billing Determinants'!D26)))</f>
        <v>85.896943184037795</v>
      </c>
      <c r="E52" s="100">
        <f>HLOOKUP($B25, '5. Allocation of Balances'!$C$4:$Y$50, 47,FALSE)</f>
        <v>48.265467273545099</v>
      </c>
      <c r="F52" s="110">
        <f t="shared" si="3"/>
        <v>0.56189970777114051</v>
      </c>
      <c r="G52" t="str">
        <f t="shared" si="4"/>
        <v>$/kW</v>
      </c>
    </row>
    <row r="53" spans="2:7" x14ac:dyDescent="0.2">
      <c r="B53" s="96" t="str">
        <f t="shared" si="2"/>
        <v>STREET LIGHTING</v>
      </c>
      <c r="C53" s="130" t="s">
        <v>297</v>
      </c>
      <c r="D53" s="99">
        <f>IF(C53="", 0, IF(C53="kWh", '4. Billing Determinants'!G27, IF(C53="kW", '4. Billing Determinants'!H27, '4. Billing Determinants'!D27)))</f>
        <v>5641.08</v>
      </c>
      <c r="E53" s="100">
        <f>HLOOKUP($B26, '5. Allocation of Balances'!$C$4:$Y$50, 47,FALSE)</f>
        <v>3334.7253799825116</v>
      </c>
      <c r="F53" s="110">
        <f t="shared" si="3"/>
        <v>0.5911501662771157</v>
      </c>
      <c r="G53" t="str">
        <f t="shared" si="4"/>
        <v>$/kW</v>
      </c>
    </row>
    <row r="54" spans="2:7" x14ac:dyDescent="0.2">
      <c r="B54" s="96" t="str">
        <f t="shared" si="2"/>
        <v/>
      </c>
      <c r="C54" s="130" t="str">
        <f>IF(ISBLANK('4. Billing Determinants'!C52), "", '4. Billing Determinants'!C52)</f>
        <v/>
      </c>
      <c r="D54" s="99">
        <f>IF(C54="", 0, IF(C54="kWh", '4. Billing Determinants'!G28, IF(C54="kW", '4. Billing Determinants'!H28, '4. Billing Determinants'!D28)))</f>
        <v>0</v>
      </c>
      <c r="E54" s="100">
        <f>HLOOKUP($B27, '5. Allocation of Balances'!$C$4:$Y$50, 47,FALSE)</f>
        <v>0</v>
      </c>
      <c r="F54" s="110">
        <f t="shared" si="3"/>
        <v>0</v>
      </c>
      <c r="G54" t="str">
        <f t="shared" si="4"/>
        <v/>
      </c>
    </row>
    <row r="55" spans="2:7" x14ac:dyDescent="0.2">
      <c r="B55" s="96" t="str">
        <f t="shared" si="2"/>
        <v/>
      </c>
      <c r="C55" s="130" t="str">
        <f>IF(ISBLANK('4. Billing Determinants'!C53), "", '4. Billing Determinants'!C53)</f>
        <v/>
      </c>
      <c r="D55" s="99">
        <f>IF(C55="", 0, IF(C55="kWh", '4. Billing Determinants'!G29, IF(C55="kW", '4. Billing Determinants'!H29, '4. Billing Determinants'!D29)))</f>
        <v>0</v>
      </c>
      <c r="E55" s="100">
        <f>HLOOKUP($B28, '5. Allocation of Balances'!$C$4:$Y$50, 47,FALSE)</f>
        <v>0</v>
      </c>
      <c r="F55" s="110">
        <f t="shared" si="3"/>
        <v>0</v>
      </c>
      <c r="G55" t="str">
        <f t="shared" si="4"/>
        <v/>
      </c>
    </row>
    <row r="56" spans="2:7" x14ac:dyDescent="0.2">
      <c r="B56" s="96" t="str">
        <f t="shared" si="2"/>
        <v/>
      </c>
      <c r="C56" s="130"/>
      <c r="D56" s="99">
        <f>IF(C56="", 0, IF(C56="kWh", '4. Billing Determinants'!G30, IF(C56="kW", '4. Billing Determinants'!H30, '4. Billing Determinants'!D30)))</f>
        <v>0</v>
      </c>
      <c r="E56" s="100">
        <f>HLOOKUP($B29, '5. Allocation of Balances'!$C$4:$Y$50, 47,FALSE)</f>
        <v>0</v>
      </c>
      <c r="F56" s="110">
        <f t="shared" si="3"/>
        <v>0</v>
      </c>
      <c r="G56" t="str">
        <f t="shared" si="4"/>
        <v/>
      </c>
    </row>
    <row r="57" spans="2:7" x14ac:dyDescent="0.2">
      <c r="B57" s="96" t="str">
        <f t="shared" si="2"/>
        <v/>
      </c>
      <c r="C57" s="130" t="str">
        <f>IF(ISBLANK('4. Billing Determinants'!C55), "", '4. Billing Determinants'!C55)</f>
        <v/>
      </c>
      <c r="D57" s="99">
        <f>IF(C57="", 0, IF(C57="kWh", '4. Billing Determinants'!G31, IF(C57="kW", '4. Billing Determinants'!H31, '4. Billing Determinants'!D31)))</f>
        <v>0</v>
      </c>
      <c r="E57" s="100">
        <f>HLOOKUP($B30, '5. Allocation of Balances'!$C$4:$Y$50, 47,FALSE)</f>
        <v>0</v>
      </c>
      <c r="F57" s="110">
        <f t="shared" si="3"/>
        <v>0</v>
      </c>
      <c r="G57" t="str">
        <f t="shared" si="4"/>
        <v/>
      </c>
    </row>
    <row r="58" spans="2:7" x14ac:dyDescent="0.2">
      <c r="B58" s="96" t="str">
        <f t="shared" si="2"/>
        <v/>
      </c>
      <c r="C58" s="130"/>
      <c r="D58" s="99">
        <f>IF(C58="", 0, IF(C58="kWh", '4. Billing Determinants'!G32, IF(C58="kW", '4. Billing Determinants'!H32, '4. Billing Determinants'!D32)))</f>
        <v>0</v>
      </c>
      <c r="E58" s="100">
        <f>HLOOKUP($B31, '5. Allocation of Balances'!$C$4:$Y$50, 47,FALSE)</f>
        <v>0</v>
      </c>
      <c r="F58" s="110">
        <f t="shared" si="3"/>
        <v>0</v>
      </c>
      <c r="G58" t="str">
        <f t="shared" si="4"/>
        <v/>
      </c>
    </row>
    <row r="59" spans="2:7" x14ac:dyDescent="0.2">
      <c r="B59" s="96" t="str">
        <f t="shared" si="2"/>
        <v/>
      </c>
      <c r="C59" s="130" t="str">
        <f>IF(ISBLANK('4. Billing Determinants'!C57), "", '4. Billing Determinants'!C57)</f>
        <v/>
      </c>
      <c r="D59" s="99">
        <f>IF(C59="", 0, IF(C59="kWh", '4. Billing Determinants'!G33, IF(C59="kW", '4. Billing Determinants'!H33, '4. Billing Determinants'!D33)))</f>
        <v>0</v>
      </c>
      <c r="E59" s="100">
        <f>HLOOKUP($B32, '5. Allocation of Balances'!$C$4:$Y$50, 47,FALSE)</f>
        <v>0</v>
      </c>
      <c r="F59" s="110">
        <f t="shared" si="3"/>
        <v>0</v>
      </c>
      <c r="G59" t="str">
        <f t="shared" si="4"/>
        <v/>
      </c>
    </row>
    <row r="60" spans="2:7" x14ac:dyDescent="0.2">
      <c r="B60" s="96" t="str">
        <f t="shared" si="2"/>
        <v/>
      </c>
      <c r="C60" s="130" t="str">
        <f>IF(ISBLANK('4. Billing Determinants'!C58), "", '4. Billing Determinants'!C58)</f>
        <v/>
      </c>
      <c r="D60" s="99">
        <f>IF(C60="", 0, IF(C60="kWh", '4. Billing Determinants'!G34, IF(C60="kW", '4. Billing Determinants'!H34, '4. Billing Determinants'!D34)))</f>
        <v>0</v>
      </c>
      <c r="E60" s="100">
        <f>HLOOKUP($B33, '5. Allocation of Balances'!$C$4:$Y$50, 47,FALSE)</f>
        <v>0</v>
      </c>
      <c r="F60" s="110">
        <f t="shared" si="3"/>
        <v>0</v>
      </c>
      <c r="G60" t="str">
        <f t="shared" si="4"/>
        <v/>
      </c>
    </row>
    <row r="61" spans="2:7" x14ac:dyDescent="0.2">
      <c r="B61" s="96" t="str">
        <f t="shared" si="2"/>
        <v/>
      </c>
      <c r="C61" s="130" t="str">
        <f>IF(ISBLANK('4. Billing Determinants'!C59), "", '4. Billing Determinants'!C59)</f>
        <v/>
      </c>
      <c r="D61" s="99">
        <f>IF(C61="", 0, IF(C61="kWh", '4. Billing Determinants'!G35, IF(C61="kW", '4. Billing Determinants'!H35, '4. Billing Determinants'!D35)))</f>
        <v>0</v>
      </c>
      <c r="E61" s="100">
        <f>HLOOKUP($B34, '5. Allocation of Balances'!$C$4:$Y$50, 47,FALSE)</f>
        <v>0</v>
      </c>
      <c r="F61" s="110">
        <f t="shared" si="3"/>
        <v>0</v>
      </c>
      <c r="G61" t="str">
        <f t="shared" si="4"/>
        <v/>
      </c>
    </row>
    <row r="62" spans="2:7" x14ac:dyDescent="0.2">
      <c r="B62" s="96" t="str">
        <f t="shared" si="2"/>
        <v/>
      </c>
      <c r="C62" s="130"/>
      <c r="D62" s="99">
        <f>IF(C62="", 0, IF(C62="kWh", '4. Billing Determinants'!G36, IF(C62="kW", '4. Billing Determinants'!H36, '4. Billing Determinants'!D36)))</f>
        <v>0</v>
      </c>
      <c r="E62" s="100">
        <f>HLOOKUP($B35, '5. Allocation of Balances'!$C$4:$Y$50, 47,FALSE)</f>
        <v>0</v>
      </c>
      <c r="F62" s="110">
        <f t="shared" si="3"/>
        <v>0</v>
      </c>
      <c r="G62" t="str">
        <f t="shared" si="4"/>
        <v/>
      </c>
    </row>
    <row r="63" spans="2:7" x14ac:dyDescent="0.2">
      <c r="B63" s="96" t="str">
        <f t="shared" si="2"/>
        <v/>
      </c>
      <c r="C63" s="130" t="str">
        <f>IF(ISBLANK('4. Billing Determinants'!C61), "", '4. Billing Determinants'!C61)</f>
        <v/>
      </c>
      <c r="D63" s="99">
        <f>IF(C63="", 0, IF(C63="kWh", '4. Billing Determinants'!G37, IF(C63="kW", '4. Billing Determinants'!H37, '4. Billing Determinants'!D37)))</f>
        <v>0</v>
      </c>
      <c r="E63" s="100">
        <f>HLOOKUP($B36, '5. Allocation of Balances'!$C$4:$Y$50, 47,FALSE)</f>
        <v>0</v>
      </c>
      <c r="F63" s="110">
        <f t="shared" si="3"/>
        <v>0</v>
      </c>
      <c r="G63" t="str">
        <f t="shared" si="4"/>
        <v/>
      </c>
    </row>
    <row r="64" spans="2:7" x14ac:dyDescent="0.2">
      <c r="B64" s="96" t="str">
        <f t="shared" si="2"/>
        <v/>
      </c>
      <c r="C64" s="130" t="str">
        <f>IF(ISBLANK('4. Billing Determinants'!C62), "", '4. Billing Determinants'!C62)</f>
        <v/>
      </c>
      <c r="D64" s="99">
        <f>IF(C64="", 0, IF(C64="kWh", '4. Billing Determinants'!G38, IF(C64="kW", '4. Billing Determinants'!H38, '4. Billing Determinants'!D38)))</f>
        <v>0</v>
      </c>
      <c r="E64" s="100">
        <f>HLOOKUP($B37, '5. Allocation of Balances'!$C$4:$Y$50, 47,FALSE)</f>
        <v>0</v>
      </c>
      <c r="F64" s="110">
        <f t="shared" si="3"/>
        <v>0</v>
      </c>
      <c r="G64" t="str">
        <f t="shared" si="4"/>
        <v/>
      </c>
    </row>
    <row r="65" spans="2:7" x14ac:dyDescent="0.2">
      <c r="B65" s="96" t="str">
        <f t="shared" si="2"/>
        <v/>
      </c>
      <c r="C65" s="130" t="str">
        <f>IF(ISBLANK('4. Billing Determinants'!C63), "", '4. Billing Determinants'!C63)</f>
        <v/>
      </c>
      <c r="D65" s="99">
        <f>IF(C65="", 0, IF(C65="kWh", '4. Billing Determinants'!G39, IF(C65="kW", '4. Billing Determinants'!H39, '4. Billing Determinants'!D39)))</f>
        <v>0</v>
      </c>
      <c r="E65" s="100">
        <f>HLOOKUP($B38, '5. Allocation of Balances'!$C$4:$Y$50, 47,FALSE)</f>
        <v>0</v>
      </c>
      <c r="F65" s="110">
        <f t="shared" si="3"/>
        <v>0</v>
      </c>
      <c r="G65" t="str">
        <f t="shared" si="4"/>
        <v/>
      </c>
    </row>
    <row r="66" spans="2:7" x14ac:dyDescent="0.2">
      <c r="B66" s="96" t="str">
        <f t="shared" si="2"/>
        <v/>
      </c>
      <c r="C66" s="130" t="str">
        <f>IF(ISBLANK('4. Billing Determinants'!C64), "", '4. Billing Determinants'!C64)</f>
        <v/>
      </c>
      <c r="D66" s="99">
        <f>IF(C66="", 0, IF(C66="kWh", '4. Billing Determinants'!G40, IF(C66="kW", '4. Billing Determinants'!H40, '4. Billing Determinants'!D40)))</f>
        <v>0</v>
      </c>
      <c r="E66" s="100">
        <f>HLOOKUP($B39, '5. Allocation of Balances'!$C$4:$Y$50, 47,FALSE)</f>
        <v>0</v>
      </c>
      <c r="F66" s="110">
        <f t="shared" si="3"/>
        <v>0</v>
      </c>
      <c r="G66" t="str">
        <f t="shared" si="4"/>
        <v/>
      </c>
    </row>
    <row r="67" spans="2:7" x14ac:dyDescent="0.2">
      <c r="B67" s="106" t="s">
        <v>103</v>
      </c>
      <c r="C67" s="107"/>
      <c r="D67" s="108"/>
      <c r="E67" s="109">
        <f>SUM(E47:E66)</f>
        <v>419716.32977431297</v>
      </c>
      <c r="F67" s="106"/>
    </row>
    <row r="69" spans="2:7" ht="18" x14ac:dyDescent="0.25">
      <c r="B69" s="115" t="s">
        <v>152</v>
      </c>
    </row>
    <row r="70" spans="2:7" ht="18" x14ac:dyDescent="0.25">
      <c r="B70" s="115"/>
    </row>
    <row r="71" spans="2:7" x14ac:dyDescent="0.2">
      <c r="B71" s="111" t="s">
        <v>123</v>
      </c>
      <c r="C71" s="112"/>
      <c r="D71" s="113">
        <v>2</v>
      </c>
    </row>
    <row r="73" spans="2:7" x14ac:dyDescent="0.2">
      <c r="B73" s="269" t="s">
        <v>116</v>
      </c>
      <c r="C73" s="268" t="s">
        <v>102</v>
      </c>
      <c r="D73" s="275" t="s">
        <v>124</v>
      </c>
      <c r="E73" s="275" t="s">
        <v>153</v>
      </c>
      <c r="F73" s="277" t="s">
        <v>154</v>
      </c>
    </row>
    <row r="74" spans="2:7" ht="25.5" customHeight="1" x14ac:dyDescent="0.2">
      <c r="B74" s="270"/>
      <c r="C74" s="268"/>
      <c r="D74" s="276"/>
      <c r="E74" s="276"/>
      <c r="F74" s="277"/>
    </row>
    <row r="75" spans="2:7" x14ac:dyDescent="0.2">
      <c r="B75" s="96" t="str">
        <f>B20</f>
        <v>RESIDENTIAL</v>
      </c>
      <c r="C75" s="130" t="s">
        <v>276</v>
      </c>
      <c r="D75" s="99">
        <f>IF(C75="", 0, IF(C75="kWh", '4. Billing Determinants'!E21, IF(C75="kW", '4. Billing Determinants'!F21, '4. Billing Determinants'!D21)))</f>
        <v>205497424.88810688</v>
      </c>
      <c r="E75" s="100">
        <f>HLOOKUP($B75, '5. Allocation of Balances'!$C$4:$Y$55, 52,FALSE)</f>
        <v>-1497785.4990612736</v>
      </c>
      <c r="F75" s="110">
        <f>IF(ISERROR(E75/D75), 0, IF(C75="# of Customers", E75/D75/12/$D$71, E75/D75/$D$71))</f>
        <v>-3.6442926228316881E-3</v>
      </c>
      <c r="G75" t="str">
        <f t="shared" ref="G75:G94" si="5">IF(C75="", "", IF(C75="# of Customers", "per customer per month", "$/"&amp;C75))</f>
        <v>$/kWh</v>
      </c>
    </row>
    <row r="76" spans="2:7" x14ac:dyDescent="0.2">
      <c r="B76" s="96" t="str">
        <f t="shared" ref="B76:B94" si="6">B21</f>
        <v>GENERAL SERVICE LESS THAN 50 KW</v>
      </c>
      <c r="C76" s="130" t="s">
        <v>276</v>
      </c>
      <c r="D76" s="99">
        <f>IF(C76="", 0, IF(C76="kWh", '4. Billing Determinants'!E22, IF(C76="kW", '4. Billing Determinants'!F22, '4. Billing Determinants'!D22)))</f>
        <v>85361037.046016753</v>
      </c>
      <c r="E76" s="100">
        <f>HLOOKUP($B76, '5. Allocation of Balances'!$C$4:$Y$55, 52,FALSE)</f>
        <v>-622161.19516812253</v>
      </c>
      <c r="F76" s="110">
        <f t="shared" ref="F76:F94" si="7">IF(ISERROR(E76/D76), 0, IF(C76="# of Customers", E76/D76/12/$D$71, E76/D76/$D$71))</f>
        <v>-3.6442926228316881E-3</v>
      </c>
      <c r="G76" t="str">
        <f t="shared" si="5"/>
        <v>$/kWh</v>
      </c>
    </row>
    <row r="77" spans="2:7" x14ac:dyDescent="0.2">
      <c r="B77" s="96" t="str">
        <f t="shared" si="6"/>
        <v>GENERAL SERVICE 50 TO 2,999 KW</v>
      </c>
      <c r="C77" s="130" t="s">
        <v>297</v>
      </c>
      <c r="D77" s="99">
        <f>IF(C77="", 0, IF(C77="kWh", '4. Billing Determinants'!E23, IF(C77="kW", '4. Billing Determinants'!F23, '4. Billing Determinants'!D23)))</f>
        <v>519864.63481550448</v>
      </c>
      <c r="E77" s="100">
        <f>HLOOKUP($B77, '5. Allocation of Balances'!$C$4:$Y$55, 52,FALSE)</f>
        <v>-1529760.9925636644</v>
      </c>
      <c r="F77" s="110">
        <f t="shared" si="7"/>
        <v>-1.4713070385202904</v>
      </c>
      <c r="G77" t="str">
        <f t="shared" si="5"/>
        <v>$/kW</v>
      </c>
    </row>
    <row r="78" spans="2:7" x14ac:dyDescent="0.2">
      <c r="B78" s="96" t="str">
        <f t="shared" si="6"/>
        <v>GENERAL SERVICE 3,000 TO 4,999 KW</v>
      </c>
      <c r="C78" s="130" t="s">
        <v>297</v>
      </c>
      <c r="D78" s="99">
        <f>IF(C78="", 0, IF(C78="kWh", '4. Billing Determinants'!E24, IF(C78="kW", '4. Billing Determinants'!F24, '4. Billing Determinants'!D24)))</f>
        <v>33801.425697666316</v>
      </c>
      <c r="E78" s="100">
        <f>HLOOKUP($B78, '5. Allocation of Balances'!$C$4:$Y$55, 52,FALSE)</f>
        <v>-125763.1558247465</v>
      </c>
      <c r="F78" s="110">
        <f t="shared" si="7"/>
        <v>-1.8603232441972013</v>
      </c>
      <c r="G78" t="str">
        <f t="shared" si="5"/>
        <v>$/kW</v>
      </c>
    </row>
    <row r="79" spans="2:7" x14ac:dyDescent="0.2">
      <c r="B79" s="96" t="str">
        <f t="shared" si="6"/>
        <v>UNMETERED SCATTERED LOAD</v>
      </c>
      <c r="C79" s="130" t="s">
        <v>276</v>
      </c>
      <c r="D79" s="99">
        <f>IF(C79="", 0, IF(C79="kWh", '4. Billing Determinants'!E25, IF(C79="kW", '4. Billing Determinants'!F25, '4. Billing Determinants'!D25)))</f>
        <v>32044.660431652101</v>
      </c>
      <c r="E79" s="100">
        <f>HLOOKUP($B79, '5. Allocation of Balances'!$C$4:$Y$55, 52,FALSE)</f>
        <v>-233.56023922443248</v>
      </c>
      <c r="F79" s="110">
        <f t="shared" si="7"/>
        <v>-3.6442926228316876E-3</v>
      </c>
      <c r="G79" t="str">
        <f t="shared" si="5"/>
        <v>$/kWh</v>
      </c>
    </row>
    <row r="80" spans="2:7" x14ac:dyDescent="0.2">
      <c r="B80" s="96" t="str">
        <f t="shared" si="6"/>
        <v>SENTINEL LIGHTING</v>
      </c>
      <c r="C80" s="130" t="s">
        <v>297</v>
      </c>
      <c r="D80" s="99">
        <f>IF(C80="", 0, IF(C80="kWh", '4. Billing Determinants'!E26, IF(C80="kW", '4. Billing Determinants'!F26, '4. Billing Determinants'!D26)))</f>
        <v>1193.4344347067597</v>
      </c>
      <c r="E80" s="100">
        <f>HLOOKUP($B80, '5. Allocation of Balances'!$C$4:$Y$55, 52,FALSE)</f>
        <v>-2958.8689186653933</v>
      </c>
      <c r="F80" s="110">
        <f t="shared" si="7"/>
        <v>-1.2396445219851648</v>
      </c>
      <c r="G80" t="str">
        <f t="shared" si="5"/>
        <v>$/kW</v>
      </c>
    </row>
    <row r="81" spans="2:7" x14ac:dyDescent="0.2">
      <c r="B81" s="96" t="str">
        <f t="shared" si="6"/>
        <v>STREET LIGHTING</v>
      </c>
      <c r="C81" s="130" t="s">
        <v>297</v>
      </c>
      <c r="D81" s="99">
        <f>IF(C81="", 0, IF(C81="kWh", '4. Billing Determinants'!E27, IF(C81="kW", '4. Billing Determinants'!F27, '4. Billing Determinants'!D27)))</f>
        <v>5641.08</v>
      </c>
      <c r="E81" s="100">
        <f>HLOOKUP($B81, '5. Allocation of Balances'!$C$4:$Y$55, 52,FALSE)</f>
        <v>-14713.921336666463</v>
      </c>
      <c r="F81" s="110">
        <f t="shared" si="7"/>
        <v>-1.3041759146002594</v>
      </c>
      <c r="G81" t="str">
        <f t="shared" si="5"/>
        <v>$/kW</v>
      </c>
    </row>
    <row r="82" spans="2:7" x14ac:dyDescent="0.2">
      <c r="B82" s="96" t="str">
        <f t="shared" si="6"/>
        <v/>
      </c>
      <c r="C82" s="130"/>
      <c r="D82" s="99">
        <f>IF(C82="", 0, IF(C82="kWh", '4. Billing Determinants'!E28, IF(C82="kW", '4. Billing Determinants'!F28, '4. Billing Determinants'!D28)))</f>
        <v>0</v>
      </c>
      <c r="E82" s="100">
        <f>HLOOKUP($B82, '5. Allocation of Balances'!$C$4:$Y$55, 52,FALSE)</f>
        <v>0</v>
      </c>
      <c r="F82" s="110">
        <f t="shared" si="7"/>
        <v>0</v>
      </c>
      <c r="G82" t="str">
        <f t="shared" si="5"/>
        <v/>
      </c>
    </row>
    <row r="83" spans="2:7" x14ac:dyDescent="0.2">
      <c r="B83" s="96" t="str">
        <f t="shared" si="6"/>
        <v/>
      </c>
      <c r="C83" s="130"/>
      <c r="D83" s="99">
        <f>IF(C83="", 0, IF(C83="kWh", '4. Billing Determinants'!E29, IF(C83="kW", '4. Billing Determinants'!F29, '4. Billing Determinants'!D29)))</f>
        <v>0</v>
      </c>
      <c r="E83" s="100">
        <f>HLOOKUP($B83, '5. Allocation of Balances'!$C$4:$Y$55, 52,FALSE)</f>
        <v>0</v>
      </c>
      <c r="F83" s="110">
        <f t="shared" si="7"/>
        <v>0</v>
      </c>
      <c r="G83" t="str">
        <f t="shared" si="5"/>
        <v/>
      </c>
    </row>
    <row r="84" spans="2:7" x14ac:dyDescent="0.2">
      <c r="B84" s="96" t="str">
        <f t="shared" si="6"/>
        <v/>
      </c>
      <c r="C84" s="130"/>
      <c r="D84" s="99">
        <f>IF(C84="", 0, IF(C84="kWh", '4. Billing Determinants'!E30, IF(C84="kW", '4. Billing Determinants'!F30, '4. Billing Determinants'!D30)))</f>
        <v>0</v>
      </c>
      <c r="E84" s="100">
        <f>HLOOKUP($B84, '5. Allocation of Balances'!$C$4:$Y$55, 52,FALSE)</f>
        <v>0</v>
      </c>
      <c r="F84" s="110">
        <f t="shared" si="7"/>
        <v>0</v>
      </c>
      <c r="G84" t="str">
        <f t="shared" si="5"/>
        <v/>
      </c>
    </row>
    <row r="85" spans="2:7" x14ac:dyDescent="0.2">
      <c r="B85" s="96" t="str">
        <f t="shared" si="6"/>
        <v/>
      </c>
      <c r="C85" s="130"/>
      <c r="D85" s="99">
        <f>IF(C85="", 0, IF(C85="kWh", '4. Billing Determinants'!E31, IF(C85="kW", '4. Billing Determinants'!F31, '4. Billing Determinants'!D31)))</f>
        <v>0</v>
      </c>
      <c r="E85" s="100">
        <f>HLOOKUP($B85, '5. Allocation of Balances'!$C$4:$Y$55, 52,FALSE)</f>
        <v>0</v>
      </c>
      <c r="F85" s="110">
        <f t="shared" si="7"/>
        <v>0</v>
      </c>
      <c r="G85" t="str">
        <f t="shared" si="5"/>
        <v/>
      </c>
    </row>
    <row r="86" spans="2:7" x14ac:dyDescent="0.2">
      <c r="B86" s="96" t="str">
        <f t="shared" si="6"/>
        <v/>
      </c>
      <c r="C86" s="130"/>
      <c r="D86" s="99">
        <f>IF(C86="", 0, IF(C86="kWh", '4. Billing Determinants'!E32, IF(C86="kW", '4. Billing Determinants'!F32, '4. Billing Determinants'!D32)))</f>
        <v>0</v>
      </c>
      <c r="E86" s="100">
        <f>HLOOKUP($B86, '5. Allocation of Balances'!$C$4:$Y$55, 52,FALSE)</f>
        <v>0</v>
      </c>
      <c r="F86" s="110">
        <f t="shared" si="7"/>
        <v>0</v>
      </c>
      <c r="G86" t="str">
        <f t="shared" si="5"/>
        <v/>
      </c>
    </row>
    <row r="87" spans="2:7" x14ac:dyDescent="0.2">
      <c r="B87" s="96" t="str">
        <f t="shared" si="6"/>
        <v/>
      </c>
      <c r="C87" s="130"/>
      <c r="D87" s="99">
        <f>IF(C87="", 0, IF(C87="kWh", '4. Billing Determinants'!E33, IF(C87="kW", '4. Billing Determinants'!F33, '4. Billing Determinants'!D33)))</f>
        <v>0</v>
      </c>
      <c r="E87" s="100">
        <f>HLOOKUP($B87, '5. Allocation of Balances'!$C$4:$Y$55, 52,FALSE)</f>
        <v>0</v>
      </c>
      <c r="F87" s="110">
        <f t="shared" si="7"/>
        <v>0</v>
      </c>
      <c r="G87" t="str">
        <f t="shared" si="5"/>
        <v/>
      </c>
    </row>
    <row r="88" spans="2:7" x14ac:dyDescent="0.2">
      <c r="B88" s="96" t="str">
        <f t="shared" si="6"/>
        <v/>
      </c>
      <c r="C88" s="130"/>
      <c r="D88" s="99">
        <f>IF(C88="", 0, IF(C88="kWh", '4. Billing Determinants'!E34, IF(C88="kW", '4. Billing Determinants'!F34, '4. Billing Determinants'!D34)))</f>
        <v>0</v>
      </c>
      <c r="E88" s="100">
        <f>HLOOKUP($B88, '5. Allocation of Balances'!$C$4:$Y$55, 52,FALSE)</f>
        <v>0</v>
      </c>
      <c r="F88" s="110">
        <f t="shared" si="7"/>
        <v>0</v>
      </c>
      <c r="G88" t="str">
        <f t="shared" si="5"/>
        <v/>
      </c>
    </row>
    <row r="89" spans="2:7" x14ac:dyDescent="0.2">
      <c r="B89" s="96" t="str">
        <f t="shared" si="6"/>
        <v/>
      </c>
      <c r="C89" s="130"/>
      <c r="D89" s="99">
        <f>IF(C89="", 0, IF(C89="kWh", '4. Billing Determinants'!E35, IF(C89="kW", '4. Billing Determinants'!F35, '4. Billing Determinants'!D35)))</f>
        <v>0</v>
      </c>
      <c r="E89" s="100">
        <f>HLOOKUP($B89, '5. Allocation of Balances'!$C$4:$Y$55, 52,FALSE)</f>
        <v>0</v>
      </c>
      <c r="F89" s="110">
        <f t="shared" si="7"/>
        <v>0</v>
      </c>
      <c r="G89" t="str">
        <f t="shared" si="5"/>
        <v/>
      </c>
    </row>
    <row r="90" spans="2:7" x14ac:dyDescent="0.2">
      <c r="B90" s="96" t="str">
        <f t="shared" si="6"/>
        <v/>
      </c>
      <c r="C90" s="130"/>
      <c r="D90" s="99">
        <f>IF(C90="", 0, IF(C90="kWh", '4. Billing Determinants'!E36, IF(C90="kW", '4. Billing Determinants'!F36, '4. Billing Determinants'!D36)))</f>
        <v>0</v>
      </c>
      <c r="E90" s="100">
        <f>HLOOKUP($B90, '5. Allocation of Balances'!$C$4:$Y$55, 52,FALSE)</f>
        <v>0</v>
      </c>
      <c r="F90" s="110">
        <f t="shared" si="7"/>
        <v>0</v>
      </c>
      <c r="G90" t="str">
        <f t="shared" si="5"/>
        <v/>
      </c>
    </row>
    <row r="91" spans="2:7" x14ac:dyDescent="0.2">
      <c r="B91" s="96" t="str">
        <f t="shared" si="6"/>
        <v/>
      </c>
      <c r="C91" s="130"/>
      <c r="D91" s="99">
        <f>IF(C91="", 0, IF(C91="kWh", '4. Billing Determinants'!E37, IF(C91="kW", '4. Billing Determinants'!F37, '4. Billing Determinants'!D37)))</f>
        <v>0</v>
      </c>
      <c r="E91" s="100">
        <f>HLOOKUP($B91, '5. Allocation of Balances'!$C$4:$Y$55, 52,FALSE)</f>
        <v>0</v>
      </c>
      <c r="F91" s="110">
        <f t="shared" si="7"/>
        <v>0</v>
      </c>
      <c r="G91" t="str">
        <f t="shared" si="5"/>
        <v/>
      </c>
    </row>
    <row r="92" spans="2:7" x14ac:dyDescent="0.2">
      <c r="B92" s="96" t="str">
        <f t="shared" si="6"/>
        <v/>
      </c>
      <c r="C92" s="130"/>
      <c r="D92" s="99">
        <f>IF(C92="", 0, IF(C92="kWh", '4. Billing Determinants'!E38, IF(C92="kW", '4. Billing Determinants'!F38, '4. Billing Determinants'!D38)))</f>
        <v>0</v>
      </c>
      <c r="E92" s="100">
        <f>HLOOKUP($B92, '5. Allocation of Balances'!$C$4:$Y$55, 52,FALSE)</f>
        <v>0</v>
      </c>
      <c r="F92" s="110">
        <f t="shared" si="7"/>
        <v>0</v>
      </c>
      <c r="G92" t="str">
        <f t="shared" si="5"/>
        <v/>
      </c>
    </row>
    <row r="93" spans="2:7" x14ac:dyDescent="0.2">
      <c r="B93" s="96" t="str">
        <f t="shared" si="6"/>
        <v/>
      </c>
      <c r="C93" s="130"/>
      <c r="D93" s="99">
        <f>IF(C93="", 0, IF(C93="kWh", '4. Billing Determinants'!E39, IF(C93="kW", '4. Billing Determinants'!F39, '4. Billing Determinants'!D39)))</f>
        <v>0</v>
      </c>
      <c r="E93" s="100">
        <f>HLOOKUP($B93, '5. Allocation of Balances'!$C$4:$Y$55, 52,FALSE)</f>
        <v>0</v>
      </c>
      <c r="F93" s="110">
        <f t="shared" si="7"/>
        <v>0</v>
      </c>
      <c r="G93" t="str">
        <f t="shared" si="5"/>
        <v/>
      </c>
    </row>
    <row r="94" spans="2:7" x14ac:dyDescent="0.2">
      <c r="B94" s="96" t="str">
        <f t="shared" si="6"/>
        <v/>
      </c>
      <c r="C94" s="130"/>
      <c r="D94" s="99">
        <f>IF(C94="", 0, IF(C94="kWh", '4. Billing Determinants'!E40, IF(C94="kW", '4. Billing Determinants'!F40, '4. Billing Determinants'!D40)))</f>
        <v>0</v>
      </c>
      <c r="E94" s="100">
        <f>HLOOKUP($B94, '5. Allocation of Balances'!$C$4:$Y$55, 52,FALSE)</f>
        <v>0</v>
      </c>
      <c r="F94" s="110">
        <f t="shared" si="7"/>
        <v>0</v>
      </c>
      <c r="G94" t="str">
        <f t="shared" si="5"/>
        <v/>
      </c>
    </row>
    <row r="95" spans="2:7" x14ac:dyDescent="0.2">
      <c r="B95" s="106" t="s">
        <v>103</v>
      </c>
      <c r="C95" s="107"/>
      <c r="D95" s="108"/>
      <c r="E95" s="109">
        <f>SUM(E75:E94)</f>
        <v>-3793377.1931123631</v>
      </c>
      <c r="F95" s="106"/>
    </row>
    <row r="97" spans="2:6" ht="18" x14ac:dyDescent="0.25">
      <c r="B97" s="115" t="s">
        <v>277</v>
      </c>
    </row>
    <row r="98" spans="2:6" ht="18" x14ac:dyDescent="0.25">
      <c r="B98" s="115"/>
    </row>
    <row r="99" spans="2:6" x14ac:dyDescent="0.2">
      <c r="B99" s="111" t="s">
        <v>123</v>
      </c>
      <c r="C99" s="112"/>
      <c r="D99" s="113">
        <v>1</v>
      </c>
    </row>
    <row r="101" spans="2:6" x14ac:dyDescent="0.2">
      <c r="B101" s="269" t="s">
        <v>116</v>
      </c>
      <c r="C101" s="268" t="s">
        <v>102</v>
      </c>
      <c r="D101" s="275" t="s">
        <v>124</v>
      </c>
      <c r="E101" s="275" t="s">
        <v>278</v>
      </c>
      <c r="F101" s="277" t="s">
        <v>279</v>
      </c>
    </row>
    <row r="102" spans="2:6" x14ac:dyDescent="0.2">
      <c r="B102" s="270"/>
      <c r="C102" s="268"/>
      <c r="D102" s="276"/>
      <c r="E102" s="276"/>
      <c r="F102" s="277"/>
    </row>
    <row r="103" spans="2:6" x14ac:dyDescent="0.2">
      <c r="B103" s="96" t="str">
        <f>B20</f>
        <v>RESIDENTIAL</v>
      </c>
      <c r="C103" s="130" t="s">
        <v>276</v>
      </c>
      <c r="D103" s="99">
        <f>IF(C103="", 0, IF(C103="kWh", '4. Billing Determinants'!E21, IF(C103="kW", '4. Billing Determinants'!F21, '4. Billing Determinants'!D21)))</f>
        <v>205497424.88810688</v>
      </c>
      <c r="E103" s="100">
        <f>HLOOKUP($B103, '5. Allocation of Balances'!$C$4:$Y$55, 42,FALSE)</f>
        <v>42101.483403091697</v>
      </c>
      <c r="F103" s="110">
        <f>IF(ISERROR(E103/D103), 0, IF(C103="# of Customers", E103/D103/12/$D$99, E103/D103/$D$99))</f>
        <v>2.0487596584733804E-4</v>
      </c>
    </row>
    <row r="104" spans="2:6" x14ac:dyDescent="0.2">
      <c r="B104" s="96" t="str">
        <f t="shared" ref="B104:B122" si="8">B21</f>
        <v>GENERAL SERVICE LESS THAN 50 KW</v>
      </c>
      <c r="C104" s="130" t="s">
        <v>276</v>
      </c>
      <c r="D104" s="99">
        <f>IF(C104="", 0, IF(C104="kWh", '4. Billing Determinants'!E22, IF(C104="kW", '4. Billing Determinants'!F22, '4. Billing Determinants'!D22)))</f>
        <v>85361037.046016753</v>
      </c>
      <c r="E104" s="100">
        <f>HLOOKUP($B104, '5. Allocation of Balances'!$C$4:$Y$55, 42,FALSE)</f>
        <v>76441.591489594619</v>
      </c>
      <c r="F104" s="110">
        <f>IF(ISERROR(E104/D104), 0, IF(C104="# of Customers", E104/D104/12/$D$99, E104/D104/$D$99))</f>
        <v>8.9550917063467952E-4</v>
      </c>
    </row>
    <row r="105" spans="2:6" x14ac:dyDescent="0.2">
      <c r="B105" s="96" t="str">
        <f t="shared" si="8"/>
        <v>GENERAL SERVICE 50 TO 2,999 KW</v>
      </c>
      <c r="C105" s="130" t="s">
        <v>297</v>
      </c>
      <c r="D105" s="99">
        <f>IF(C105="", 0, IF(C105="kWh", '4. Billing Determinants'!E23, IF(C105="kW", '4. Billing Determinants'!F23, '4. Billing Determinants'!D23)))</f>
        <v>519864.63481550448</v>
      </c>
      <c r="E105" s="100">
        <f>HLOOKUP($B105, '5. Allocation of Balances'!$C$4:$Y$55, 42,FALSE)</f>
        <v>37574.997756618999</v>
      </c>
      <c r="F105" s="110">
        <f>IF(ISERROR(E105/D105), 0, IF(C105="# of Customers", E105/D105/12/$D$99, E105/D105/$D$99))</f>
        <v>7.227842642143574E-2</v>
      </c>
    </row>
    <row r="106" spans="2:6" x14ac:dyDescent="0.2">
      <c r="B106" s="96" t="str">
        <f t="shared" si="8"/>
        <v>GENERAL SERVICE 3,000 TO 4,999 KW</v>
      </c>
      <c r="C106" s="130"/>
      <c r="D106" s="99">
        <f>IF(C106="", 0, IF(C106="kWh", '4. Billing Determinants'!E24, IF(C106="kW", '4. Billing Determinants'!F24, '4. Billing Determinants'!D24)))</f>
        <v>0</v>
      </c>
      <c r="E106" s="100">
        <f>HLOOKUP($B106, '5. Allocation of Balances'!$C$4:$Y$55, 42,FALSE)</f>
        <v>0</v>
      </c>
      <c r="F106" s="110">
        <f t="shared" ref="F106:F122" si="9">IF(ISERROR(E106/D106), 0, IF(C106="# of Customers", E106/D106/12/$D$71, E106/D106/$D$71))</f>
        <v>0</v>
      </c>
    </row>
    <row r="107" spans="2:6" x14ac:dyDescent="0.2">
      <c r="B107" s="96" t="str">
        <f t="shared" si="8"/>
        <v>UNMETERED SCATTERED LOAD</v>
      </c>
      <c r="C107" s="130"/>
      <c r="D107" s="99">
        <f>IF(C107="", 0, IF(C107="kWh", '4. Billing Determinants'!E25, IF(C107="kW", '4. Billing Determinants'!F25, '4. Billing Determinants'!D25)))</f>
        <v>0</v>
      </c>
      <c r="E107" s="100">
        <f>HLOOKUP($B107, '5. Allocation of Balances'!$C$4:$Y$55, 42,FALSE)</f>
        <v>0</v>
      </c>
      <c r="F107" s="110">
        <f t="shared" si="9"/>
        <v>0</v>
      </c>
    </row>
    <row r="108" spans="2:6" x14ac:dyDescent="0.2">
      <c r="B108" s="96" t="str">
        <f t="shared" si="8"/>
        <v>SENTINEL LIGHTING</v>
      </c>
      <c r="C108" s="130"/>
      <c r="D108" s="99">
        <f>IF(C108="", 0, IF(C108="kWh", '4. Billing Determinants'!E26, IF(C108="kW", '4. Billing Determinants'!F26, '4. Billing Determinants'!D26)))</f>
        <v>0</v>
      </c>
      <c r="E108" s="100">
        <f>HLOOKUP($B108, '5. Allocation of Balances'!$C$4:$Y$55, 42,FALSE)</f>
        <v>0</v>
      </c>
      <c r="F108" s="110">
        <f t="shared" si="9"/>
        <v>0</v>
      </c>
    </row>
    <row r="109" spans="2:6" x14ac:dyDescent="0.2">
      <c r="B109" s="96" t="str">
        <f t="shared" si="8"/>
        <v>STREET LIGHTING</v>
      </c>
      <c r="C109" s="130" t="s">
        <v>297</v>
      </c>
      <c r="D109" s="99">
        <f>IF(C109="", 0, IF(C109="kWh", '4. Billing Determinants'!E27, IF(C109="kW", '4. Billing Determinants'!F27, '4. Billing Determinants'!D27)))</f>
        <v>5641.08</v>
      </c>
      <c r="E109" s="100">
        <f>HLOOKUP($B109, '5. Allocation of Balances'!$C$4:$Y$55, 42,FALSE)</f>
        <v>73518.511319126701</v>
      </c>
      <c r="F109" s="110">
        <f>IF(ISERROR(E109/D109), 0, IF(C109="# of Customers", E109/D109/12/$D$99, E109/D109/$D$99))</f>
        <v>13.032701418722425</v>
      </c>
    </row>
    <row r="110" spans="2:6" x14ac:dyDescent="0.2">
      <c r="B110" s="96" t="str">
        <f t="shared" si="8"/>
        <v/>
      </c>
      <c r="C110" s="130"/>
      <c r="D110" s="99">
        <f>IF(C110="", 0, IF(C110="kWh", '4. Billing Determinants'!E28, IF(C110="kW", '4. Billing Determinants'!F28, '4. Billing Determinants'!D28)))</f>
        <v>0</v>
      </c>
      <c r="E110" s="100">
        <f>HLOOKUP($B110, '5. Allocation of Balances'!$C$4:$Y$55, 42,FALSE)</f>
        <v>0</v>
      </c>
      <c r="F110" s="110">
        <f t="shared" si="9"/>
        <v>0</v>
      </c>
    </row>
    <row r="111" spans="2:6" x14ac:dyDescent="0.2">
      <c r="B111" s="96" t="str">
        <f t="shared" si="8"/>
        <v/>
      </c>
      <c r="C111" s="130"/>
      <c r="D111" s="99">
        <f>IF(C111="", 0, IF(C111="kWh", '4. Billing Determinants'!E29, IF(C111="kW", '4. Billing Determinants'!F29, '4. Billing Determinants'!D29)))</f>
        <v>0</v>
      </c>
      <c r="E111" s="100">
        <f>HLOOKUP($B111, '5. Allocation of Balances'!$C$4:$Y$55, 42,FALSE)</f>
        <v>0</v>
      </c>
      <c r="F111" s="110">
        <f t="shared" si="9"/>
        <v>0</v>
      </c>
    </row>
    <row r="112" spans="2:6" x14ac:dyDescent="0.2">
      <c r="B112" s="96" t="str">
        <f t="shared" si="8"/>
        <v/>
      </c>
      <c r="C112" s="130"/>
      <c r="D112" s="99">
        <f>IF(C112="", 0, IF(C112="kWh", '4. Billing Determinants'!E30, IF(C112="kW", '4. Billing Determinants'!F30, '4. Billing Determinants'!D30)))</f>
        <v>0</v>
      </c>
      <c r="E112" s="100">
        <f>HLOOKUP($B112, '5. Allocation of Balances'!$C$4:$Y$55, 42,FALSE)</f>
        <v>0</v>
      </c>
      <c r="F112" s="110">
        <f t="shared" si="9"/>
        <v>0</v>
      </c>
    </row>
    <row r="113" spans="2:6" x14ac:dyDescent="0.2">
      <c r="B113" s="96" t="str">
        <f t="shared" si="8"/>
        <v/>
      </c>
      <c r="C113" s="130"/>
      <c r="D113" s="99">
        <f>IF(C113="", 0, IF(C113="kWh", '4. Billing Determinants'!E31, IF(C113="kW", '4. Billing Determinants'!F31, '4. Billing Determinants'!D31)))</f>
        <v>0</v>
      </c>
      <c r="E113" s="100">
        <f>HLOOKUP($B113, '5. Allocation of Balances'!$C$4:$Y$55, 42,FALSE)</f>
        <v>0</v>
      </c>
      <c r="F113" s="110">
        <f t="shared" si="9"/>
        <v>0</v>
      </c>
    </row>
    <row r="114" spans="2:6" x14ac:dyDescent="0.2">
      <c r="B114" s="96" t="str">
        <f t="shared" si="8"/>
        <v/>
      </c>
      <c r="C114" s="130"/>
      <c r="D114" s="99">
        <f>IF(C114="", 0, IF(C114="kWh", '4. Billing Determinants'!E32, IF(C114="kW", '4. Billing Determinants'!F32, '4. Billing Determinants'!D32)))</f>
        <v>0</v>
      </c>
      <c r="E114" s="100">
        <f>HLOOKUP($B114, '5. Allocation of Balances'!$C$4:$Y$55, 42,FALSE)</f>
        <v>0</v>
      </c>
      <c r="F114" s="110">
        <f t="shared" si="9"/>
        <v>0</v>
      </c>
    </row>
    <row r="115" spans="2:6" x14ac:dyDescent="0.2">
      <c r="B115" s="96" t="str">
        <f t="shared" si="8"/>
        <v/>
      </c>
      <c r="C115" s="130"/>
      <c r="D115" s="99">
        <f>IF(C115="", 0, IF(C115="kWh", '4. Billing Determinants'!E33, IF(C115="kW", '4. Billing Determinants'!F33, '4. Billing Determinants'!D33)))</f>
        <v>0</v>
      </c>
      <c r="E115" s="100">
        <f>HLOOKUP($B115, '5. Allocation of Balances'!$C$4:$Y$55, 42,FALSE)</f>
        <v>0</v>
      </c>
      <c r="F115" s="110">
        <f t="shared" si="9"/>
        <v>0</v>
      </c>
    </row>
    <row r="116" spans="2:6" x14ac:dyDescent="0.2">
      <c r="B116" s="96" t="str">
        <f t="shared" si="8"/>
        <v/>
      </c>
      <c r="C116" s="130"/>
      <c r="D116" s="99">
        <f>IF(C116="", 0, IF(C116="kWh", '4. Billing Determinants'!E34, IF(C116="kW", '4. Billing Determinants'!F34, '4. Billing Determinants'!D34)))</f>
        <v>0</v>
      </c>
      <c r="E116" s="100">
        <f>HLOOKUP($B116, '5. Allocation of Balances'!$C$4:$Y$55, 42,FALSE)</f>
        <v>0</v>
      </c>
      <c r="F116" s="110">
        <f t="shared" si="9"/>
        <v>0</v>
      </c>
    </row>
    <row r="117" spans="2:6" x14ac:dyDescent="0.2">
      <c r="B117" s="96" t="str">
        <f t="shared" si="8"/>
        <v/>
      </c>
      <c r="C117" s="130"/>
      <c r="D117" s="99">
        <f>IF(C117="", 0, IF(C117="kWh", '4. Billing Determinants'!E35, IF(C117="kW", '4. Billing Determinants'!F35, '4. Billing Determinants'!D35)))</f>
        <v>0</v>
      </c>
      <c r="E117" s="100">
        <f>HLOOKUP($B117, '5. Allocation of Balances'!$C$4:$Y$55, 42,FALSE)</f>
        <v>0</v>
      </c>
      <c r="F117" s="110">
        <f t="shared" si="9"/>
        <v>0</v>
      </c>
    </row>
    <row r="118" spans="2:6" x14ac:dyDescent="0.2">
      <c r="B118" s="96" t="str">
        <f t="shared" si="8"/>
        <v/>
      </c>
      <c r="C118" s="130"/>
      <c r="D118" s="99">
        <f>IF(C118="", 0, IF(C118="kWh", '4. Billing Determinants'!E36, IF(C118="kW", '4. Billing Determinants'!F36, '4. Billing Determinants'!D36)))</f>
        <v>0</v>
      </c>
      <c r="E118" s="100">
        <f>HLOOKUP($B118, '5. Allocation of Balances'!$C$4:$Y$55, 42,FALSE)</f>
        <v>0</v>
      </c>
      <c r="F118" s="110">
        <f t="shared" si="9"/>
        <v>0</v>
      </c>
    </row>
    <row r="119" spans="2:6" x14ac:dyDescent="0.2">
      <c r="B119" s="96" t="str">
        <f t="shared" si="8"/>
        <v/>
      </c>
      <c r="C119" s="130"/>
      <c r="D119" s="99">
        <f>IF(C119="", 0, IF(C119="kWh", '4. Billing Determinants'!E37, IF(C119="kW", '4. Billing Determinants'!F37, '4. Billing Determinants'!D37)))</f>
        <v>0</v>
      </c>
      <c r="E119" s="100">
        <f>HLOOKUP($B119, '5. Allocation of Balances'!$C$4:$Y$55, 42,FALSE)</f>
        <v>0</v>
      </c>
      <c r="F119" s="110">
        <f t="shared" si="9"/>
        <v>0</v>
      </c>
    </row>
    <row r="120" spans="2:6" x14ac:dyDescent="0.2">
      <c r="B120" s="96" t="str">
        <f t="shared" si="8"/>
        <v/>
      </c>
      <c r="C120" s="130"/>
      <c r="D120" s="99">
        <f>IF(C120="", 0, IF(C120="kWh", '4. Billing Determinants'!E38, IF(C120="kW", '4. Billing Determinants'!F38, '4. Billing Determinants'!D38)))</f>
        <v>0</v>
      </c>
      <c r="E120" s="100">
        <f>HLOOKUP($B120, '5. Allocation of Balances'!$C$4:$Y$55, 42,FALSE)</f>
        <v>0</v>
      </c>
      <c r="F120" s="110">
        <f t="shared" si="9"/>
        <v>0</v>
      </c>
    </row>
    <row r="121" spans="2:6" x14ac:dyDescent="0.2">
      <c r="B121" s="96" t="str">
        <f t="shared" si="8"/>
        <v/>
      </c>
      <c r="C121" s="130"/>
      <c r="D121" s="99">
        <f>IF(C121="", 0, IF(C121="kWh", '4. Billing Determinants'!E39, IF(C121="kW", '4. Billing Determinants'!F39, '4. Billing Determinants'!D39)))</f>
        <v>0</v>
      </c>
      <c r="E121" s="100">
        <f>HLOOKUP($B121, '5. Allocation of Balances'!$C$4:$Y$55, 42,FALSE)</f>
        <v>0</v>
      </c>
      <c r="F121" s="110">
        <f t="shared" si="9"/>
        <v>0</v>
      </c>
    </row>
    <row r="122" spans="2:6" x14ac:dyDescent="0.2">
      <c r="B122" s="96" t="str">
        <f t="shared" si="8"/>
        <v/>
      </c>
      <c r="C122" s="130"/>
      <c r="D122" s="99">
        <f>IF(C122="", 0, IF(C122="kWh", '4. Billing Determinants'!E40, IF(C122="kW", '4. Billing Determinants'!F40, '4. Billing Determinants'!D40)))</f>
        <v>0</v>
      </c>
      <c r="E122" s="100">
        <f>HLOOKUP($B122, '5. Allocation of Balances'!$C$4:$Y$55, 42,FALSE)</f>
        <v>0</v>
      </c>
      <c r="F122" s="110">
        <f t="shared" si="9"/>
        <v>0</v>
      </c>
    </row>
    <row r="123" spans="2:6" x14ac:dyDescent="0.2">
      <c r="B123" s="106" t="s">
        <v>103</v>
      </c>
      <c r="C123" s="107"/>
      <c r="D123" s="108"/>
      <c r="E123" s="109">
        <f>SUM(E103:E122)</f>
        <v>229636.58396843201</v>
      </c>
      <c r="F123" s="106"/>
    </row>
  </sheetData>
  <mergeCells count="20">
    <mergeCell ref="B101:B102"/>
    <mergeCell ref="C101:C102"/>
    <mergeCell ref="D101:D102"/>
    <mergeCell ref="E101:E102"/>
    <mergeCell ref="F101:F102"/>
    <mergeCell ref="B73:B74"/>
    <mergeCell ref="C73:C74"/>
    <mergeCell ref="D73:D74"/>
    <mergeCell ref="E73:E74"/>
    <mergeCell ref="F73:F74"/>
    <mergeCell ref="B45:B46"/>
    <mergeCell ref="C45:C46"/>
    <mergeCell ref="D18:D19"/>
    <mergeCell ref="E18:E19"/>
    <mergeCell ref="F18:F19"/>
    <mergeCell ref="E45:E46"/>
    <mergeCell ref="F45:F46"/>
    <mergeCell ref="D45:D46"/>
    <mergeCell ref="B18:B19"/>
    <mergeCell ref="C18:C19"/>
  </mergeCells>
  <conditionalFormatting sqref="C20:C39">
    <cfRule type="cellIs" dxfId="6" priority="10" operator="equal">
      <formula>"kW"</formula>
    </cfRule>
  </conditionalFormatting>
  <conditionalFormatting sqref="G20:G39">
    <cfRule type="cellIs" dxfId="5" priority="7" operator="equal">
      <formula>"$/kW"</formula>
    </cfRule>
  </conditionalFormatting>
  <conditionalFormatting sqref="G47:G66">
    <cfRule type="cellIs" dxfId="4" priority="6" operator="equal">
      <formula>"$/kW"</formula>
    </cfRule>
  </conditionalFormatting>
  <conditionalFormatting sqref="C47:C66">
    <cfRule type="cellIs" dxfId="3" priority="4" operator="equal">
      <formula>"kW"</formula>
    </cfRule>
  </conditionalFormatting>
  <conditionalFormatting sqref="C75:C94">
    <cfRule type="cellIs" dxfId="2" priority="3" operator="equal">
      <formula>"kW"</formula>
    </cfRule>
  </conditionalFormatting>
  <conditionalFormatting sqref="G75:G94">
    <cfRule type="cellIs" dxfId="1" priority="2" operator="equal">
      <formula>"$/kW"</formula>
    </cfRule>
  </conditionalFormatting>
  <conditionalFormatting sqref="C103:C122">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7:C66 C103:C122 C75:C94">
      <formula1>"kWh, kW, # of Customers"</formula1>
    </dataValidation>
    <dataValidation type="list" allowBlank="1" showInputMessage="1" showErrorMessage="1" sqref="D71 D99">
      <formula1>"1,2,3,4,5"</formula1>
    </dataValidation>
  </dataValidations>
  <pageMargins left="0.7" right="0.7" top="0.75" bottom="0.75" header="0.3" footer="0.3"/>
  <pageSetup scale="55" orientation="landscape" r:id="rId1"/>
  <headerFooter>
    <oddFooter>&amp;A</oddFooter>
  </headerFooter>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2"/>
  <sheetViews>
    <sheetView zoomScaleNormal="100" workbookViewId="0">
      <selection activeCell="E27" sqref="E27"/>
    </sheetView>
  </sheetViews>
  <sheetFormatPr defaultRowHeight="12.75" x14ac:dyDescent="0.2"/>
  <cols>
    <col min="1" max="1" width="69.28515625" customWidth="1"/>
    <col min="3" max="8" width="20.42578125" customWidth="1"/>
    <col min="9" max="11" width="21.140625" customWidth="1"/>
  </cols>
  <sheetData>
    <row r="1" spans="1:10" ht="34.5" customHeight="1" x14ac:dyDescent="0.2">
      <c r="C1" s="278" t="s">
        <v>259</v>
      </c>
      <c r="D1" s="278" t="s">
        <v>260</v>
      </c>
      <c r="E1" s="278" t="s">
        <v>267</v>
      </c>
      <c r="F1" s="278" t="s">
        <v>262</v>
      </c>
      <c r="G1" s="278" t="s">
        <v>266</v>
      </c>
      <c r="H1" s="278" t="s">
        <v>28</v>
      </c>
      <c r="I1" s="278" t="s">
        <v>268</v>
      </c>
      <c r="J1" s="278" t="s">
        <v>265</v>
      </c>
    </row>
    <row r="2" spans="1:10" ht="34.5" customHeight="1" x14ac:dyDescent="0.2">
      <c r="C2" s="279"/>
      <c r="D2" s="279"/>
      <c r="E2" s="279"/>
      <c r="F2" s="278"/>
      <c r="G2" s="278"/>
      <c r="H2" s="278"/>
      <c r="I2" s="278"/>
      <c r="J2" s="278"/>
    </row>
    <row r="3" spans="1:10" ht="34.5" customHeight="1" x14ac:dyDescent="0.2">
      <c r="C3" s="279"/>
      <c r="D3" s="279"/>
      <c r="E3" s="279"/>
      <c r="F3" s="278"/>
      <c r="G3" s="278"/>
      <c r="H3" s="278" t="s">
        <v>13</v>
      </c>
      <c r="I3" s="278"/>
      <c r="J3" s="278"/>
    </row>
    <row r="4" spans="1:10" ht="15" customHeight="1" x14ac:dyDescent="0.2">
      <c r="A4" s="196" t="s">
        <v>44</v>
      </c>
      <c r="B4" s="197">
        <v>1508</v>
      </c>
      <c r="C4" s="100">
        <f>VLOOKUP(A4, '2. 2014 Continuity Schedule'!$C$20:$BQ$82, MATCH('2. 2014 Continuity Schedule'!BK$20, '2. 2014 Continuity Schedule'!C$20:BQ$20,0),FALSE)</f>
        <v>40749.914000000004</v>
      </c>
      <c r="D4" s="100">
        <f>VLOOKUP(A4, '2. 2014 Continuity Schedule'!$C$20:$BQ$82, MATCH('2. 2014 Continuity Schedule'!BL$20, '2. 2014 Continuity Schedule'!C$20:BQ$20,0),FALSE)</f>
        <v>1793.657521566666</v>
      </c>
      <c r="E4" s="100">
        <f>SUM(C4:D4)</f>
        <v>42543.571521566671</v>
      </c>
      <c r="F4" s="100">
        <f>VLOOKUP(A4, '2. 2014 Continuity Schedule'!$C$20:$BQ$82, MATCH('2. 2014 Continuity Schedule'!BM$20, '2. 2014 Continuity Schedule'!C$20:BQ$20,0),FALSE)</f>
        <v>327.9351647499999</v>
      </c>
      <c r="G4" s="100">
        <f>VLOOKUP(A4, '2. 2014 Continuity Schedule'!$C$20:$BQ$82, MATCH('2. 2014 Continuity Schedule'!BN$20, '2. 2014 Continuity Schedule'!C$20:BQ$20,0),FALSE)</f>
        <v>185</v>
      </c>
      <c r="H4" s="100">
        <f>SUM(E4:G4)</f>
        <v>43056.506686316672</v>
      </c>
      <c r="I4" s="100">
        <f>VLOOKUP(A4, '2. 2014 Continuity Schedule'!$C$20:$BQ$82, MATCH('2. 2014 Continuity Schedule'!BP$20, '2. 2014 Continuity Schedule'!C$20:BQ$20,0),FALSE)</f>
        <v>15582.58</v>
      </c>
      <c r="J4" s="100">
        <f>VLOOKUP(A4, '2. 2014 Continuity Schedule'!$C$20:$BQ$82, MATCH('2. 2014 Continuity Schedule'!BQ$20, '2. 2014 Continuity Schedule'!C$20:BQ$20,0),FALSE)</f>
        <v>-4.1521566672599874E-2</v>
      </c>
    </row>
    <row r="5" spans="1:10" ht="14.25" x14ac:dyDescent="0.2">
      <c r="A5" s="196" t="s">
        <v>45</v>
      </c>
      <c r="B5" s="197">
        <v>1508</v>
      </c>
      <c r="C5" s="100">
        <f>VLOOKUP(A5, '2. 2014 Continuity Schedule'!$C$20:$BQ$82, MATCH('2. 2014 Continuity Schedule'!BK$20, '2. 2014 Continuity Schedule'!C$20:BQ$20,0),FALSE)</f>
        <v>0</v>
      </c>
      <c r="D5" s="100">
        <f>VLOOKUP(A5, '2. 2014 Continuity Schedule'!$C$20:$BQ$82, MATCH('2. 2014 Continuity Schedule'!BL$20, '2. 2014 Continuity Schedule'!C$20:BQ$20,0),FALSE)</f>
        <v>0</v>
      </c>
      <c r="E5" s="100">
        <f t="shared" ref="E5:E44" si="0">SUM(C5:D5)</f>
        <v>0</v>
      </c>
      <c r="F5" s="100">
        <f>VLOOKUP(A5, '2. 2014 Continuity Schedule'!$C$20:$BQ$82, MATCH('2. 2014 Continuity Schedule'!BM$20, '2. 2014 Continuity Schedule'!C$20:BQ$20,0),FALSE)</f>
        <v>0</v>
      </c>
      <c r="G5" s="100">
        <f>VLOOKUP(A5, '2. 2014 Continuity Schedule'!$C$20:$BQ$82, MATCH('2. 2014 Continuity Schedule'!BN$20, '2. 2014 Continuity Schedule'!C$20:BQ$20,0),FALSE)</f>
        <v>0</v>
      </c>
      <c r="H5" s="100">
        <f t="shared" ref="H5:H44" si="1">SUM(E5:G5)</f>
        <v>0</v>
      </c>
      <c r="I5" s="100">
        <f>VLOOKUP(A5, '2. 2014 Continuity Schedule'!$C$20:$BQ$82, MATCH('2. 2014 Continuity Schedule'!BP$20, '2. 2014 Continuity Schedule'!C$20:BQ$20,0),FALSE)</f>
        <v>0</v>
      </c>
      <c r="J5" s="100">
        <f>VLOOKUP(A5, '2. 2014 Continuity Schedule'!$C$20:$BQ$82, MATCH('2. 2014 Continuity Schedule'!BQ$20, '2. 2014 Continuity Schedule'!C$20:BQ$20,0),FALSE)</f>
        <v>0</v>
      </c>
    </row>
    <row r="6" spans="1:10" ht="30.75" x14ac:dyDescent="0.2">
      <c r="A6" s="198" t="s">
        <v>69</v>
      </c>
      <c r="B6" s="197">
        <v>1508</v>
      </c>
      <c r="C6" s="100">
        <f>VLOOKUP(A6, '2. 2014 Continuity Schedule'!$C$20:$BQ$82, MATCH('2. 2014 Continuity Schedule'!BK$20, '2. 2014 Continuity Schedule'!C$20:BQ$20,0),FALSE)</f>
        <v>0</v>
      </c>
      <c r="D6" s="100">
        <f>VLOOKUP(A6, '2. 2014 Continuity Schedule'!$C$20:$BQ$82, MATCH('2. 2014 Continuity Schedule'!BL$20, '2. 2014 Continuity Schedule'!C$20:BQ$20,0),FALSE)</f>
        <v>0</v>
      </c>
      <c r="E6" s="100">
        <f t="shared" si="0"/>
        <v>0</v>
      </c>
      <c r="F6" s="100">
        <f>VLOOKUP(A6, '2. 2014 Continuity Schedule'!$C$20:$BQ$82, MATCH('2. 2014 Continuity Schedule'!BM$20, '2. 2014 Continuity Schedule'!C$20:BQ$20,0),FALSE)</f>
        <v>0</v>
      </c>
      <c r="G6" s="100">
        <f>VLOOKUP(A6, '2. 2014 Continuity Schedule'!$C$20:$BQ$82, MATCH('2. 2014 Continuity Schedule'!BN$20, '2. 2014 Continuity Schedule'!C$20:BQ$20,0),FALSE)</f>
        <v>0</v>
      </c>
      <c r="H6" s="100">
        <f t="shared" si="1"/>
        <v>0</v>
      </c>
      <c r="I6" s="100">
        <f>VLOOKUP(A6, '2. 2014 Continuity Schedule'!$C$20:$BQ$82, MATCH('2. 2014 Continuity Schedule'!BP$20, '2. 2014 Continuity Schedule'!C$20:BQ$20,0),FALSE)</f>
        <v>0</v>
      </c>
      <c r="J6" s="100">
        <f>VLOOKUP(A6, '2. 2014 Continuity Schedule'!$C$20:$BQ$82, MATCH('2. 2014 Continuity Schedule'!BQ$20, '2. 2014 Continuity Schedule'!C$20:BQ$20,0),FALSE)</f>
        <v>0</v>
      </c>
    </row>
    <row r="7" spans="1:10" ht="28.5" x14ac:dyDescent="0.2">
      <c r="A7" s="198" t="s">
        <v>58</v>
      </c>
      <c r="B7" s="197">
        <v>1508</v>
      </c>
      <c r="C7" s="100">
        <f>VLOOKUP(A7, '2. 2014 Continuity Schedule'!$C$20:$BQ$82, MATCH('2. 2014 Continuity Schedule'!BK$20, '2. 2014 Continuity Schedule'!C$20:BQ$20,0),FALSE)</f>
        <v>0</v>
      </c>
      <c r="D7" s="100">
        <f>VLOOKUP(A7, '2. 2014 Continuity Schedule'!$C$20:$BQ$82, MATCH('2. 2014 Continuity Schedule'!BL$20, '2. 2014 Continuity Schedule'!C$20:BQ$20,0),FALSE)</f>
        <v>0</v>
      </c>
      <c r="E7" s="100">
        <f t="shared" si="0"/>
        <v>0</v>
      </c>
      <c r="F7" s="100">
        <f>VLOOKUP(A7, '2. 2014 Continuity Schedule'!$C$20:$BQ$82, MATCH('2. 2014 Continuity Schedule'!BM$20, '2. 2014 Continuity Schedule'!C$20:BQ$20,0),FALSE)</f>
        <v>0</v>
      </c>
      <c r="G7" s="100">
        <f>VLOOKUP(A7, '2. 2014 Continuity Schedule'!$C$20:$BQ$82, MATCH('2. 2014 Continuity Schedule'!BN$20, '2. 2014 Continuity Schedule'!C$20:BQ$20,0),FALSE)</f>
        <v>0</v>
      </c>
      <c r="H7" s="100">
        <f t="shared" si="1"/>
        <v>0</v>
      </c>
      <c r="I7" s="100">
        <f>VLOOKUP(A7, '2. 2014 Continuity Schedule'!$C$20:$BQ$82, MATCH('2. 2014 Continuity Schedule'!BP$20, '2. 2014 Continuity Schedule'!C$20:BQ$20,0),FALSE)</f>
        <v>0</v>
      </c>
      <c r="J7" s="100">
        <f>VLOOKUP(A7, '2. 2014 Continuity Schedule'!$C$20:$BQ$82, MATCH('2. 2014 Continuity Schedule'!BQ$20, '2. 2014 Continuity Schedule'!C$20:BQ$20,0),FALSE)</f>
        <v>0</v>
      </c>
    </row>
    <row r="8" spans="1:10" ht="16.5" x14ac:dyDescent="0.2">
      <c r="A8" s="196" t="s">
        <v>68</v>
      </c>
      <c r="B8" s="197">
        <v>1508</v>
      </c>
      <c r="C8" s="100">
        <f>VLOOKUP(A8, '2. 2014 Continuity Schedule'!$C$20:$BQ$82, MATCH('2. 2014 Continuity Schedule'!BK$20, '2. 2014 Continuity Schedule'!C$20:BQ$20,0),FALSE)</f>
        <v>641.71</v>
      </c>
      <c r="D8" s="100">
        <f>VLOOKUP(A8, '2. 2014 Continuity Schedule'!$C$20:$BQ$82, MATCH('2. 2014 Continuity Schedule'!BL$20, '2. 2014 Continuity Schedule'!C$20:BQ$20,0),FALSE)</f>
        <v>34.072186916855486</v>
      </c>
      <c r="E8" s="100">
        <f t="shared" si="0"/>
        <v>675.78218691685549</v>
      </c>
      <c r="F8" s="100">
        <f>VLOOKUP(A8, '2. 2014 Continuity Schedule'!$C$20:$BQ$82, MATCH('2. 2014 Continuity Schedule'!BM$20, '2. 2014 Continuity Schedule'!C$20:BQ$20,0),FALSE)</f>
        <v>9.43</v>
      </c>
      <c r="G8" s="100">
        <f>VLOOKUP(A8, '2. 2014 Continuity Schedule'!$C$20:$BQ$82, MATCH('2. 2014 Continuity Schedule'!BN$20, '2. 2014 Continuity Schedule'!C$20:BQ$20,0),FALSE)</f>
        <v>3.1400000000000006</v>
      </c>
      <c r="H8" s="100">
        <f t="shared" si="1"/>
        <v>688.35218691685543</v>
      </c>
      <c r="I8" s="100">
        <f>VLOOKUP(A8, '2. 2014 Continuity Schedule'!$C$20:$BQ$82, MATCH('2. 2014 Continuity Schedule'!BP$20, '2. 2014 Continuity Schedule'!C$20:BQ$20,0),FALSE)</f>
        <v>1047.1199999999999</v>
      </c>
      <c r="J8" s="100">
        <f>VLOOKUP(A8, '2. 2014 Continuity Schedule'!$C$20:$BQ$82, MATCH('2. 2014 Continuity Schedule'!BQ$20, '2. 2014 Continuity Schedule'!C$20:BQ$20,0),FALSE)</f>
        <v>371.3378130831444</v>
      </c>
    </row>
    <row r="9" spans="1:10" ht="14.25" x14ac:dyDescent="0.2">
      <c r="A9" s="196" t="s">
        <v>4</v>
      </c>
      <c r="B9" s="197">
        <v>1518</v>
      </c>
      <c r="C9" s="100">
        <f>VLOOKUP(A9, '2. 2014 Continuity Schedule'!$C$20:$BQ$82, MATCH('2. 2014 Continuity Schedule'!BK$20, '2. 2014 Continuity Schedule'!C$20:BQ$20,0),FALSE)</f>
        <v>-389622.30999999994</v>
      </c>
      <c r="D9" s="100">
        <f>VLOOKUP(A9, '2. 2014 Continuity Schedule'!$C$20:$BQ$82, MATCH('2. 2014 Continuity Schedule'!BL$20, '2. 2014 Continuity Schedule'!C$20:BQ$20,0),FALSE)</f>
        <v>-16318.805483583339</v>
      </c>
      <c r="E9" s="100">
        <f t="shared" si="0"/>
        <v>-405941.1154835833</v>
      </c>
      <c r="F9" s="100">
        <f>VLOOKUP(A9, '2. 2014 Continuity Schedule'!$C$20:$BQ$82, MATCH('2. 2014 Continuity Schedule'!BM$20, '2. 2014 Continuity Schedule'!C$20:BQ$20,0),FALSE)</f>
        <v>-5727.4479570000003</v>
      </c>
      <c r="G9" s="100">
        <f>VLOOKUP(A9, '2. 2014 Continuity Schedule'!$C$20:$BQ$82, MATCH('2. 2014 Continuity Schedule'!BN$20, '2. 2014 Continuity Schedule'!C$20:BQ$20,0),FALSE)</f>
        <v>-1909.15</v>
      </c>
      <c r="H9" s="100">
        <f t="shared" si="1"/>
        <v>-413577.71344058332</v>
      </c>
      <c r="I9" s="100">
        <f>VLOOKUP(A9, '2. 2014 Continuity Schedule'!$C$20:$BQ$82, MATCH('2. 2014 Continuity Schedule'!BP$20, '2. 2014 Continuity Schedule'!C$20:BQ$20,0),FALSE)</f>
        <v>-405941.11</v>
      </c>
      <c r="J9" s="100">
        <f>VLOOKUP(A9, '2. 2014 Continuity Schedule'!$C$20:$BQ$82, MATCH('2. 2014 Continuity Schedule'!BQ$20, '2. 2014 Continuity Schedule'!C$20:BQ$20,0),FALSE)</f>
        <v>5.4835833143442869E-3</v>
      </c>
    </row>
    <row r="10" spans="1:10" ht="14.25" x14ac:dyDescent="0.2">
      <c r="A10" s="196" t="s">
        <v>9</v>
      </c>
      <c r="B10" s="197">
        <v>1525</v>
      </c>
      <c r="C10" s="100">
        <f>VLOOKUP(A10, '2. 2014 Continuity Schedule'!$C$20:$BQ$82, MATCH('2. 2014 Continuity Schedule'!BK$20, '2. 2014 Continuity Schedule'!C$20:BQ$20,0),FALSE)</f>
        <v>0</v>
      </c>
      <c r="D10" s="100">
        <f>VLOOKUP(A10, '2. 2014 Continuity Schedule'!$C$20:$BQ$82, MATCH('2. 2014 Continuity Schedule'!BL$20, '2. 2014 Continuity Schedule'!C$20:BQ$20,0),FALSE)</f>
        <v>0</v>
      </c>
      <c r="E10" s="100">
        <f t="shared" si="0"/>
        <v>0</v>
      </c>
      <c r="F10" s="100">
        <f>VLOOKUP(A10, '2. 2014 Continuity Schedule'!$C$20:$BQ$82, MATCH('2. 2014 Continuity Schedule'!BM$20, '2. 2014 Continuity Schedule'!C$20:BQ$20,0),FALSE)</f>
        <v>0</v>
      </c>
      <c r="G10" s="100">
        <f>VLOOKUP(A10, '2. 2014 Continuity Schedule'!$C$20:$BQ$82, MATCH('2. 2014 Continuity Schedule'!BN$20, '2. 2014 Continuity Schedule'!C$20:BQ$20,0),FALSE)</f>
        <v>0</v>
      </c>
      <c r="H10" s="100">
        <f t="shared" si="1"/>
        <v>0</v>
      </c>
      <c r="I10" s="100">
        <f>VLOOKUP(A10, '2. 2014 Continuity Schedule'!$C$20:$BQ$82, MATCH('2. 2014 Continuity Schedule'!BP$20, '2. 2014 Continuity Schedule'!C$20:BQ$20,0),FALSE)</f>
        <v>37291.31</v>
      </c>
      <c r="J10" s="100">
        <f>VLOOKUP(A10, '2. 2014 Continuity Schedule'!$C$20:$BQ$82, MATCH('2. 2014 Continuity Schedule'!BQ$20, '2. 2014 Continuity Schedule'!C$20:BQ$20,0),FALSE)</f>
        <v>37291.31</v>
      </c>
    </row>
    <row r="11" spans="1:10" ht="14.25" x14ac:dyDescent="0.2">
      <c r="A11" s="196" t="s">
        <v>41</v>
      </c>
      <c r="B11" s="197">
        <v>1531</v>
      </c>
      <c r="C11" s="100">
        <f>VLOOKUP(A11, '2. 2014 Continuity Schedule'!$C$20:$BQ$82, MATCH('2. 2014 Continuity Schedule'!BK$20, '2. 2014 Continuity Schedule'!C$20:BQ$20,0),FALSE)</f>
        <v>0</v>
      </c>
      <c r="D11" s="100">
        <f>VLOOKUP(A11, '2. 2014 Continuity Schedule'!$C$20:$BQ$82, MATCH('2. 2014 Continuity Schedule'!BL$20, '2. 2014 Continuity Schedule'!C$20:BQ$20,0),FALSE)</f>
        <v>0</v>
      </c>
      <c r="E11" s="100">
        <f t="shared" si="0"/>
        <v>0</v>
      </c>
      <c r="F11" s="100">
        <f>VLOOKUP(A11, '2. 2014 Continuity Schedule'!$C$20:$BQ$82, MATCH('2. 2014 Continuity Schedule'!BM$20, '2. 2014 Continuity Schedule'!C$20:BQ$20,0),FALSE)</f>
        <v>0</v>
      </c>
      <c r="G11" s="100">
        <f>VLOOKUP(A11, '2. 2014 Continuity Schedule'!$C$20:$BQ$82, MATCH('2. 2014 Continuity Schedule'!BN$20, '2. 2014 Continuity Schedule'!C$20:BQ$20,0),FALSE)</f>
        <v>0</v>
      </c>
      <c r="H11" s="100">
        <f t="shared" si="1"/>
        <v>0</v>
      </c>
      <c r="I11" s="100">
        <f>VLOOKUP(A11, '2. 2014 Continuity Schedule'!$C$20:$BQ$82, MATCH('2. 2014 Continuity Schedule'!BP$20, '2. 2014 Continuity Schedule'!C$20:BQ$20,0),FALSE)</f>
        <v>0</v>
      </c>
      <c r="J11" s="100">
        <f>VLOOKUP(A11, '2. 2014 Continuity Schedule'!$C$20:$BQ$82, MATCH('2. 2014 Continuity Schedule'!BQ$20, '2. 2014 Continuity Schedule'!C$20:BQ$20,0),FALSE)</f>
        <v>0</v>
      </c>
    </row>
    <row r="12" spans="1:10" ht="14.25" x14ac:dyDescent="0.2">
      <c r="A12" s="196" t="s">
        <v>42</v>
      </c>
      <c r="B12" s="197">
        <v>1532</v>
      </c>
      <c r="C12" s="100">
        <f>VLOOKUP(A12, '2. 2014 Continuity Schedule'!$C$20:$BQ$82, MATCH('2. 2014 Continuity Schedule'!BK$20, '2. 2014 Continuity Schedule'!C$20:BQ$20,0),FALSE)</f>
        <v>0</v>
      </c>
      <c r="D12" s="100">
        <f>VLOOKUP(A12, '2. 2014 Continuity Schedule'!$C$20:$BQ$82, MATCH('2. 2014 Continuity Schedule'!BL$20, '2. 2014 Continuity Schedule'!C$20:BQ$20,0),FALSE)</f>
        <v>0</v>
      </c>
      <c r="E12" s="100">
        <f t="shared" si="0"/>
        <v>0</v>
      </c>
      <c r="F12" s="100">
        <f>VLOOKUP(A12, '2. 2014 Continuity Schedule'!$C$20:$BQ$82, MATCH('2. 2014 Continuity Schedule'!BM$20, '2. 2014 Continuity Schedule'!C$20:BQ$20,0),FALSE)</f>
        <v>0</v>
      </c>
      <c r="G12" s="100">
        <f>VLOOKUP(A12, '2. 2014 Continuity Schedule'!$C$20:$BQ$82, MATCH('2. 2014 Continuity Schedule'!BN$20, '2. 2014 Continuity Schedule'!C$20:BQ$20,0),FALSE)</f>
        <v>0</v>
      </c>
      <c r="H12" s="100">
        <f t="shared" si="1"/>
        <v>0</v>
      </c>
      <c r="I12" s="100">
        <f>VLOOKUP(A12, '2. 2014 Continuity Schedule'!$C$20:$BQ$82, MATCH('2. 2014 Continuity Schedule'!BP$20, '2. 2014 Continuity Schedule'!C$20:BQ$20,0),FALSE)</f>
        <v>0</v>
      </c>
      <c r="J12" s="100">
        <f>VLOOKUP(A12, '2. 2014 Continuity Schedule'!$C$20:$BQ$82, MATCH('2. 2014 Continuity Schedule'!BQ$20, '2. 2014 Continuity Schedule'!C$20:BQ$20,0),FALSE)</f>
        <v>0</v>
      </c>
    </row>
    <row r="13" spans="1:10" ht="14.25" x14ac:dyDescent="0.2">
      <c r="A13" s="199" t="s">
        <v>25</v>
      </c>
      <c r="B13" s="197">
        <v>1533</v>
      </c>
      <c r="C13" s="100">
        <f>VLOOKUP(A13, '2. 2014 Continuity Schedule'!$C$20:$BQ$82, MATCH('2. 2014 Continuity Schedule'!BK$20, '2. 2014 Continuity Schedule'!C$20:BQ$20,0),FALSE)</f>
        <v>0</v>
      </c>
      <c r="D13" s="100">
        <f>VLOOKUP(A13, '2. 2014 Continuity Schedule'!$C$20:$BQ$82, MATCH('2. 2014 Continuity Schedule'!BL$20, '2. 2014 Continuity Schedule'!C$20:BQ$20,0),FALSE)</f>
        <v>0</v>
      </c>
      <c r="E13" s="100">
        <f t="shared" si="0"/>
        <v>0</v>
      </c>
      <c r="F13" s="100">
        <f>VLOOKUP(A13, '2. 2014 Continuity Schedule'!$C$20:$BQ$82, MATCH('2. 2014 Continuity Schedule'!BM$20, '2. 2014 Continuity Schedule'!C$20:BQ$20,0),FALSE)</f>
        <v>0</v>
      </c>
      <c r="G13" s="100">
        <f>VLOOKUP(A13, '2. 2014 Continuity Schedule'!$C$20:$BQ$82, MATCH('2. 2014 Continuity Schedule'!BN$20, '2. 2014 Continuity Schedule'!C$20:BQ$20,0),FALSE)</f>
        <v>0</v>
      </c>
      <c r="H13" s="100">
        <f t="shared" si="1"/>
        <v>0</v>
      </c>
      <c r="I13" s="100">
        <f>VLOOKUP(A13, '2. 2014 Continuity Schedule'!$C$20:$BQ$82, MATCH('2. 2014 Continuity Schedule'!BP$20, '2. 2014 Continuity Schedule'!C$20:BQ$20,0),FALSE)</f>
        <v>0</v>
      </c>
      <c r="J13" s="100">
        <f>VLOOKUP(A13, '2. 2014 Continuity Schedule'!$C$20:$BQ$82, MATCH('2. 2014 Continuity Schedule'!BQ$20, '2. 2014 Continuity Schedule'!C$20:BQ$20,0),FALSE)</f>
        <v>0</v>
      </c>
    </row>
    <row r="14" spans="1:10" ht="14.25" x14ac:dyDescent="0.2">
      <c r="A14" s="196" t="s">
        <v>17</v>
      </c>
      <c r="B14" s="197">
        <v>1534</v>
      </c>
      <c r="C14" s="100">
        <f>VLOOKUP(A14, '2. 2014 Continuity Schedule'!$C$20:$BQ$82, MATCH('2. 2014 Continuity Schedule'!BK$20, '2. 2014 Continuity Schedule'!C$20:BQ$20,0),FALSE)</f>
        <v>2588.75</v>
      </c>
      <c r="D14" s="100">
        <f>VLOOKUP(A14, '2. 2014 Continuity Schedule'!$C$20:$BQ$82, MATCH('2. 2014 Continuity Schedule'!BL$20, '2. 2014 Continuity Schedule'!C$20:BQ$20,0),FALSE)</f>
        <v>118.97234583333335</v>
      </c>
      <c r="E14" s="100">
        <f t="shared" si="0"/>
        <v>2707.7223458333333</v>
      </c>
      <c r="F14" s="100">
        <f>VLOOKUP(A14, '2. 2014 Continuity Schedule'!$C$20:$BQ$82, MATCH('2. 2014 Continuity Schedule'!BM$20, '2. 2014 Continuity Schedule'!C$20:BQ$20,0),FALSE)</f>
        <v>38.054625000000009</v>
      </c>
      <c r="G14" s="100">
        <f>VLOOKUP(A14, '2. 2014 Continuity Schedule'!$C$20:$BQ$82, MATCH('2. 2014 Continuity Schedule'!BN$20, '2. 2014 Continuity Schedule'!C$20:BQ$20,0),FALSE)</f>
        <v>12.684875</v>
      </c>
      <c r="H14" s="100">
        <f t="shared" si="1"/>
        <v>2758.4618458333334</v>
      </c>
      <c r="I14" s="100">
        <f>VLOOKUP(A14, '2. 2014 Continuity Schedule'!$C$20:$BQ$82, MATCH('2. 2014 Continuity Schedule'!BP$20, '2. 2014 Continuity Schedule'!C$20:BQ$20,0),FALSE)</f>
        <v>2707.69</v>
      </c>
      <c r="J14" s="100">
        <f>VLOOKUP(A14, '2. 2014 Continuity Schedule'!$C$20:$BQ$82, MATCH('2. 2014 Continuity Schedule'!BQ$20, '2. 2014 Continuity Schedule'!C$20:BQ$20,0),FALSE)</f>
        <v>-3.2345833333238261E-2</v>
      </c>
    </row>
    <row r="15" spans="1:10" ht="14.25" x14ac:dyDescent="0.2">
      <c r="A15" s="196" t="s">
        <v>18</v>
      </c>
      <c r="B15" s="197">
        <v>1535</v>
      </c>
      <c r="C15" s="100">
        <f>VLOOKUP(A15, '2. 2014 Continuity Schedule'!$C$20:$BQ$82, MATCH('2. 2014 Continuity Schedule'!BK$20, '2. 2014 Continuity Schedule'!C$20:BQ$20,0),FALSE)</f>
        <v>56957.29</v>
      </c>
      <c r="D15" s="100">
        <f>VLOOKUP(A15, '2. 2014 Continuity Schedule'!$C$20:$BQ$82, MATCH('2. 2014 Continuity Schedule'!BL$20, '2. 2014 Continuity Schedule'!C$20:BQ$20,0),FALSE)</f>
        <v>734.69218058333331</v>
      </c>
      <c r="E15" s="100">
        <f t="shared" si="0"/>
        <v>57691.982180583334</v>
      </c>
      <c r="F15" s="100">
        <f>VLOOKUP(A15, '2. 2014 Continuity Schedule'!$C$20:$BQ$82, MATCH('2. 2014 Continuity Schedule'!BM$20, '2. 2014 Continuity Schedule'!C$20:BQ$20,0),FALSE)</f>
        <v>837.27216299999998</v>
      </c>
      <c r="G15" s="100">
        <f>VLOOKUP(A15, '2. 2014 Continuity Schedule'!$C$20:$BQ$82, MATCH('2. 2014 Continuity Schedule'!BN$20, '2. 2014 Continuity Schedule'!C$20:BQ$20,0),FALSE)</f>
        <v>279.09072099999997</v>
      </c>
      <c r="H15" s="100">
        <f t="shared" si="1"/>
        <v>58808.345064583336</v>
      </c>
      <c r="I15" s="100">
        <f>VLOOKUP(A15, '2. 2014 Continuity Schedule'!$C$20:$BQ$82, MATCH('2. 2014 Continuity Schedule'!BP$20, '2. 2014 Continuity Schedule'!C$20:BQ$20,0),FALSE)</f>
        <v>57691.85</v>
      </c>
      <c r="J15" s="100">
        <f>VLOOKUP(A15, '2. 2014 Continuity Schedule'!$C$20:$BQ$82, MATCH('2. 2014 Continuity Schedule'!BQ$20, '2. 2014 Continuity Schedule'!C$20:BQ$20,0),FALSE)</f>
        <v>-0.13218058333586669</v>
      </c>
    </row>
    <row r="16" spans="1:10" ht="14.25" x14ac:dyDescent="0.2">
      <c r="A16" s="196" t="s">
        <v>23</v>
      </c>
      <c r="B16" s="197">
        <v>1536</v>
      </c>
      <c r="C16" s="100">
        <f>VLOOKUP(A16, '2. 2014 Continuity Schedule'!$C$20:$BQ$82, MATCH('2. 2014 Continuity Schedule'!BK$20, '2. 2014 Continuity Schedule'!C$20:BQ$20,0),FALSE)</f>
        <v>-69182.52</v>
      </c>
      <c r="D16" s="100">
        <f>VLOOKUP(A16, '2. 2014 Continuity Schedule'!$C$20:$BQ$82, MATCH('2. 2014 Continuity Schedule'!BL$20, '2. 2014 Continuity Schedule'!C$20:BQ$20,0),FALSE)</f>
        <v>-2142.2657239166665</v>
      </c>
      <c r="E16" s="100">
        <f t="shared" si="0"/>
        <v>-71324.785723916677</v>
      </c>
      <c r="F16" s="100">
        <f>VLOOKUP(A16, '2. 2014 Continuity Schedule'!$C$20:$BQ$82, MATCH('2. 2014 Continuity Schedule'!BM$20, '2. 2014 Continuity Schedule'!C$20:BQ$20,0),FALSE)</f>
        <v>-1016.9830440000001</v>
      </c>
      <c r="G16" s="100">
        <f>VLOOKUP(A16, '2. 2014 Continuity Schedule'!$C$20:$BQ$82, MATCH('2. 2014 Continuity Schedule'!BN$20, '2. 2014 Continuity Schedule'!C$20:BQ$20,0),FALSE)</f>
        <v>-338.99434799999995</v>
      </c>
      <c r="H16" s="100">
        <f t="shared" si="1"/>
        <v>-72680.763115916663</v>
      </c>
      <c r="I16" s="100">
        <f>VLOOKUP(A16, '2. 2014 Continuity Schedule'!$C$20:$BQ$82, MATCH('2. 2014 Continuity Schedule'!BP$20, '2. 2014 Continuity Schedule'!C$20:BQ$20,0),FALSE)</f>
        <v>-71324.88</v>
      </c>
      <c r="J16" s="100">
        <f>VLOOKUP(A16, '2. 2014 Continuity Schedule'!$C$20:$BQ$82, MATCH('2. 2014 Continuity Schedule'!BQ$20, '2. 2014 Continuity Schedule'!C$20:BQ$20,0),FALSE)</f>
        <v>-9.4276083327713422E-2</v>
      </c>
    </row>
    <row r="17" spans="1:10" ht="14.25" x14ac:dyDescent="0.2">
      <c r="A17" s="196" t="s">
        <v>5</v>
      </c>
      <c r="B17" s="197">
        <v>1548</v>
      </c>
      <c r="C17" s="100">
        <f>VLOOKUP(A17, '2. 2014 Continuity Schedule'!$C$20:$BQ$82, MATCH('2. 2014 Continuity Schedule'!BK$20, '2. 2014 Continuity Schedule'!C$20:BQ$20,0),FALSE)</f>
        <v>34104.679999999993</v>
      </c>
      <c r="D17" s="100">
        <f>VLOOKUP(A17, '2. 2014 Continuity Schedule'!$C$20:$BQ$82, MATCH('2. 2014 Continuity Schedule'!BL$20, '2. 2014 Continuity Schedule'!C$20:BQ$20,0),FALSE)</f>
        <v>899.46498024999687</v>
      </c>
      <c r="E17" s="100">
        <f t="shared" si="0"/>
        <v>35004.144980249992</v>
      </c>
      <c r="F17" s="100">
        <f>VLOOKUP(A17, '2. 2014 Continuity Schedule'!$C$20:$BQ$82, MATCH('2. 2014 Continuity Schedule'!BM$20, '2. 2014 Continuity Schedule'!C$20:BQ$20,0),FALSE)</f>
        <v>501.33879599999938</v>
      </c>
      <c r="G17" s="100">
        <f>VLOOKUP(A17, '2. 2014 Continuity Schedule'!$C$20:$BQ$82, MATCH('2. 2014 Continuity Schedule'!BN$20, '2. 2014 Continuity Schedule'!C$20:BQ$20,0),FALSE)</f>
        <v>167.11</v>
      </c>
      <c r="H17" s="100">
        <f t="shared" si="1"/>
        <v>35672.593776249989</v>
      </c>
      <c r="I17" s="100">
        <f>VLOOKUP(A17, '2. 2014 Continuity Schedule'!$C$20:$BQ$82, MATCH('2. 2014 Continuity Schedule'!BP$20, '2. 2014 Continuity Schedule'!C$20:BQ$20,0),FALSE)</f>
        <v>35003.089999999997</v>
      </c>
      <c r="J17" s="100">
        <f>VLOOKUP(A17, '2. 2014 Continuity Schedule'!$C$20:$BQ$82, MATCH('2. 2014 Continuity Schedule'!BQ$20, '2. 2014 Continuity Schedule'!C$20:BQ$20,0),FALSE)</f>
        <v>-1.0549802499954239</v>
      </c>
    </row>
    <row r="18" spans="1:10" ht="14.25" x14ac:dyDescent="0.2">
      <c r="A18" s="196" t="s">
        <v>39</v>
      </c>
      <c r="B18" s="197">
        <v>1550</v>
      </c>
      <c r="C18" s="100">
        <f>VLOOKUP(A18, '2. 2014 Continuity Schedule'!$C$20:$BQ$82, MATCH('2. 2014 Continuity Schedule'!BK$20, '2. 2014 Continuity Schedule'!C$20:BQ$20,0),FALSE)</f>
        <v>13555.06934820702</v>
      </c>
      <c r="D18" s="100">
        <f>VLOOKUP(A18, '2. 2014 Continuity Schedule'!$C$20:$BQ$82, MATCH('2. 2014 Continuity Schedule'!BL$20, '2. 2014 Continuity Schedule'!C$20:BQ$20,0),FALSE)</f>
        <v>3.7755262972572154</v>
      </c>
      <c r="E18" s="100">
        <f t="shared" si="0"/>
        <v>13558.844874504277</v>
      </c>
      <c r="F18" s="100">
        <f>VLOOKUP(A18, '2. 2014 Continuity Schedule'!$C$20:$BQ$82, MATCH('2. 2014 Continuity Schedule'!BM$20, '2. 2014 Continuity Schedule'!C$20:BQ$20,0),FALSE)</f>
        <v>306.52999999999997</v>
      </c>
      <c r="G18" s="100">
        <f>VLOOKUP(A18, '2. 2014 Continuity Schedule'!$C$20:$BQ$82, MATCH('2. 2014 Continuity Schedule'!BN$20, '2. 2014 Continuity Schedule'!C$20:BQ$20,0),FALSE)</f>
        <v>66.42</v>
      </c>
      <c r="H18" s="100">
        <f t="shared" si="1"/>
        <v>13931.794874504278</v>
      </c>
      <c r="I18" s="100">
        <f>VLOOKUP(A18, '2. 2014 Continuity Schedule'!$C$20:$BQ$82, MATCH('2. 2014 Continuity Schedule'!BP$20, '2. 2014 Continuity Schedule'!C$20:BQ$20,0),FALSE)</f>
        <v>36111.300000000003</v>
      </c>
      <c r="J18" s="100">
        <f>VLOOKUP(A18, '2. 2014 Continuity Schedule'!$C$20:$BQ$82, MATCH('2. 2014 Continuity Schedule'!BQ$20, '2. 2014 Continuity Schedule'!C$20:BQ$20,0),FALSE)</f>
        <v>-1.487450427521253E-2</v>
      </c>
    </row>
    <row r="19" spans="1:10" ht="14.25" x14ac:dyDescent="0.2">
      <c r="A19" s="196" t="s">
        <v>244</v>
      </c>
      <c r="B19" s="197">
        <v>1551</v>
      </c>
      <c r="C19" s="100">
        <f>VLOOKUP(A19, '2. 2014 Continuity Schedule'!$C$20:$BQ$82, MATCH('2. 2014 Continuity Schedule'!BK$20, '2. 2014 Continuity Schedule'!C$20:BQ$20,0),FALSE)</f>
        <v>18051.173999999999</v>
      </c>
      <c r="D19" s="100">
        <f>VLOOKUP(A19, '2. 2014 Continuity Schedule'!$C$20:$BQ$82, MATCH('2. 2014 Continuity Schedule'!BL$20, '2. 2014 Continuity Schedule'!C$20:BQ$20,0),FALSE)</f>
        <v>182.3237895</v>
      </c>
      <c r="E19" s="100">
        <f t="shared" si="0"/>
        <v>18233.497789499997</v>
      </c>
      <c r="F19" s="100">
        <f>VLOOKUP(A19, '2. 2014 Continuity Schedule'!$C$20:$BQ$82, MATCH('2. 2014 Continuity Schedule'!BM$20, '2. 2014 Continuity Schedule'!C$20:BQ$20,0),FALSE)</f>
        <v>265.35572980000001</v>
      </c>
      <c r="G19" s="100">
        <f>VLOOKUP(A19, '2. 2014 Continuity Schedule'!$C$20:$BQ$82, MATCH('2. 2014 Continuity Schedule'!BN$20, '2. 2014 Continuity Schedule'!C$20:BQ$20,0),FALSE)</f>
        <v>88.448576599999996</v>
      </c>
      <c r="H19" s="100">
        <f t="shared" si="1"/>
        <v>18587.302095899999</v>
      </c>
      <c r="I19" s="100">
        <f>VLOOKUP(A19, '2. 2014 Continuity Schedule'!$C$20:$BQ$82, MATCH('2. 2014 Continuity Schedule'!BP$20, '2. 2014 Continuity Schedule'!C$20:BQ$20,0),FALSE)</f>
        <v>18233.490000000002</v>
      </c>
      <c r="J19" s="100">
        <f>VLOOKUP(A19, '2. 2014 Continuity Schedule'!$C$20:$BQ$82, MATCH('2. 2014 Continuity Schedule'!BQ$20, '2. 2014 Continuity Schedule'!C$20:BQ$20,0),FALSE)</f>
        <v>-7.7894999958516564E-3</v>
      </c>
    </row>
    <row r="20" spans="1:10" ht="16.5" x14ac:dyDescent="0.2">
      <c r="A20" s="196" t="s">
        <v>143</v>
      </c>
      <c r="B20" s="197">
        <v>1555</v>
      </c>
      <c r="C20" s="100">
        <f>VLOOKUP(A20, '2. 2014 Continuity Schedule'!$C$20:$BQ$82, MATCH('2. 2014 Continuity Schedule'!BK$20, '2. 2014 Continuity Schedule'!C$20:BQ$20,0),FALSE)</f>
        <v>-3.4412690438330173E-3</v>
      </c>
      <c r="D20" s="100">
        <f>VLOOKUP(A20, '2. 2014 Continuity Schedule'!$C$20:$BQ$82, MATCH('2. 2014 Continuity Schedule'!BL$20, '2. 2014 Continuity Schedule'!C$20:BQ$20,0),FALSE)</f>
        <v>-6.568260831409134E-2</v>
      </c>
      <c r="E20" s="100">
        <f t="shared" si="0"/>
        <v>-6.9123877357924357E-2</v>
      </c>
      <c r="F20" s="100">
        <f>VLOOKUP(A20, '2. 2014 Continuity Schedule'!$C$20:$BQ$82, MATCH('2. 2014 Continuity Schedule'!BM$20, '2. 2014 Continuity Schedule'!C$20:BQ$20,0),FALSE)</f>
        <v>0</v>
      </c>
      <c r="G20" s="100">
        <f>VLOOKUP(A20, '2. 2014 Continuity Schedule'!$C$20:$BQ$82, MATCH('2. 2014 Continuity Schedule'!BN$20, '2. 2014 Continuity Schedule'!C$20:BQ$20,0),FALSE)</f>
        <v>0</v>
      </c>
      <c r="H20" s="100">
        <f t="shared" si="1"/>
        <v>-6.9123877357924357E-2</v>
      </c>
      <c r="I20" s="100">
        <f>VLOOKUP(A20, '2. 2014 Continuity Schedule'!$C$20:$BQ$82, MATCH('2. 2014 Continuity Schedule'!BP$20, '2. 2014 Continuity Schedule'!C$20:BQ$20,0),FALSE)</f>
        <v>2626798.0700000003</v>
      </c>
      <c r="J20" s="100">
        <f>VLOOKUP(A20, '2. 2014 Continuity Schedule'!$C$20:$BQ$82, MATCH('2. 2014 Continuity Schedule'!BQ$20, '2. 2014 Continuity Schedule'!C$20:BQ$20,0),FALSE)</f>
        <v>-83003.500876122154</v>
      </c>
    </row>
    <row r="21" spans="1:10" ht="16.5" x14ac:dyDescent="0.2">
      <c r="A21" s="196" t="s">
        <v>144</v>
      </c>
      <c r="B21" s="197">
        <v>1555</v>
      </c>
      <c r="C21" s="100">
        <f>VLOOKUP(A21, '2. 2014 Continuity Schedule'!$C$20:$BQ$82, MATCH('2. 2014 Continuity Schedule'!BK$20, '2. 2014 Continuity Schedule'!C$20:BQ$20,0),FALSE)</f>
        <v>0</v>
      </c>
      <c r="D21" s="100">
        <f>VLOOKUP(A21, '2. 2014 Continuity Schedule'!$C$20:$BQ$82, MATCH('2. 2014 Continuity Schedule'!BL$20, '2. 2014 Continuity Schedule'!C$20:BQ$20,0),FALSE)</f>
        <v>-1.5154166903812438E-3</v>
      </c>
      <c r="E21" s="100">
        <f t="shared" si="0"/>
        <v>-1.5154166903812438E-3</v>
      </c>
      <c r="F21" s="100">
        <f>VLOOKUP(A21, '2. 2014 Continuity Schedule'!$C$20:$BQ$82, MATCH('2. 2014 Continuity Schedule'!BM$20, '2. 2014 Continuity Schedule'!C$20:BQ$20,0),FALSE)</f>
        <v>0</v>
      </c>
      <c r="G21" s="100">
        <f>VLOOKUP(A21, '2. 2014 Continuity Schedule'!$C$20:$BQ$82, MATCH('2. 2014 Continuity Schedule'!BN$20, '2. 2014 Continuity Schedule'!C$20:BQ$20,0),FALSE)</f>
        <v>0</v>
      </c>
      <c r="H21" s="100">
        <f t="shared" si="1"/>
        <v>-1.5154166903812438E-3</v>
      </c>
      <c r="I21" s="100">
        <f>VLOOKUP(A21, '2. 2014 Continuity Schedule'!$C$20:$BQ$82, MATCH('2. 2014 Continuity Schedule'!BP$20, '2. 2014 Continuity Schedule'!C$20:BQ$20,0),FALSE)</f>
        <v>-1526857.01</v>
      </c>
      <c r="J21" s="100">
        <f>VLOOKUP(A21, '2. 2014 Continuity Schedule'!$C$20:$BQ$82, MATCH('2. 2014 Continuity Schedule'!BQ$20, '2. 2014 Continuity Schedule'!C$20:BQ$20,0),FALSE)</f>
        <v>83007.361515416531</v>
      </c>
    </row>
    <row r="22" spans="1:10" ht="16.5" x14ac:dyDescent="0.2">
      <c r="A22" s="196" t="s">
        <v>145</v>
      </c>
      <c r="B22" s="197">
        <v>1555</v>
      </c>
      <c r="C22" s="100">
        <f>VLOOKUP(A22, '2. 2014 Continuity Schedule'!$C$20:$BQ$82, MATCH('2. 2014 Continuity Schedule'!BK$20, '2. 2014 Continuity Schedule'!C$20:BQ$20,0),FALSE)</f>
        <v>0</v>
      </c>
      <c r="D22" s="100">
        <f>VLOOKUP(A22, '2. 2014 Continuity Schedule'!$C$20:$BQ$82, MATCH('2. 2014 Continuity Schedule'!BL$20, '2. 2014 Continuity Schedule'!C$20:BQ$20,0),FALSE)</f>
        <v>0</v>
      </c>
      <c r="E22" s="100">
        <f t="shared" si="0"/>
        <v>0</v>
      </c>
      <c r="F22" s="100">
        <f>VLOOKUP(A22, '2. 2014 Continuity Schedule'!$C$20:$BQ$82, MATCH('2. 2014 Continuity Schedule'!BM$20, '2. 2014 Continuity Schedule'!C$20:BQ$20,0),FALSE)</f>
        <v>0</v>
      </c>
      <c r="G22" s="100">
        <f>VLOOKUP(A22, '2. 2014 Continuity Schedule'!$C$20:$BQ$82, MATCH('2. 2014 Continuity Schedule'!BN$20, '2. 2014 Continuity Schedule'!C$20:BQ$20,0),FALSE)</f>
        <v>0</v>
      </c>
      <c r="H22" s="100">
        <f t="shared" si="1"/>
        <v>0</v>
      </c>
      <c r="I22" s="100">
        <f>VLOOKUP(A22, '2. 2014 Continuity Schedule'!$C$20:$BQ$82, MATCH('2. 2014 Continuity Schedule'!BP$20, '2. 2014 Continuity Schedule'!C$20:BQ$20,0),FALSE)</f>
        <v>0</v>
      </c>
      <c r="J22" s="100">
        <f>VLOOKUP(A22, '2. 2014 Continuity Schedule'!$C$20:$BQ$82, MATCH('2. 2014 Continuity Schedule'!BQ$20, '2. 2014 Continuity Schedule'!C$20:BQ$20,0),FALSE)</f>
        <v>0</v>
      </c>
    </row>
    <row r="23" spans="1:10" ht="16.5" x14ac:dyDescent="0.2">
      <c r="A23" s="196" t="s">
        <v>146</v>
      </c>
      <c r="B23" s="197">
        <v>1556</v>
      </c>
      <c r="C23" s="100">
        <f>VLOOKUP(A23, '2. 2014 Continuity Schedule'!$C$20:$BQ$82, MATCH('2. 2014 Continuity Schedule'!BK$20, '2. 2014 Continuity Schedule'!C$20:BQ$20,0),FALSE)</f>
        <v>4.2441269848495722E-2</v>
      </c>
      <c r="D23" s="100">
        <f>VLOOKUP(A23, '2. 2014 Continuity Schedule'!$C$20:$BQ$82, MATCH('2. 2014 Continuity Schedule'!BL$20, '2. 2014 Continuity Schedule'!C$20:BQ$20,0),FALSE)</f>
        <v>-4.7996468503697542E-2</v>
      </c>
      <c r="E23" s="100">
        <f t="shared" si="0"/>
        <v>-5.5551986552018207E-3</v>
      </c>
      <c r="F23" s="100">
        <f>VLOOKUP(A23, '2. 2014 Continuity Schedule'!$C$20:$BQ$82, MATCH('2. 2014 Continuity Schedule'!BM$20, '2. 2014 Continuity Schedule'!C$20:BQ$20,0),FALSE)</f>
        <v>0</v>
      </c>
      <c r="G23" s="100">
        <f>VLOOKUP(A23, '2. 2014 Continuity Schedule'!$C$20:$BQ$82, MATCH('2. 2014 Continuity Schedule'!BN$20, '2. 2014 Continuity Schedule'!C$20:BQ$20,0),FALSE)</f>
        <v>0</v>
      </c>
      <c r="H23" s="100">
        <f t="shared" si="1"/>
        <v>-5.5551986552018207E-3</v>
      </c>
      <c r="I23" s="100">
        <f>VLOOKUP(A23, '2. 2014 Continuity Schedule'!$C$20:$BQ$82, MATCH('2. 2014 Continuity Schedule'!BP$20, '2. 2014 Continuity Schedule'!C$20:BQ$20,0),FALSE)</f>
        <v>1320687.8700000001</v>
      </c>
      <c r="J23" s="100">
        <f>VLOOKUP(A23, '2. 2014 Continuity Schedule'!$C$20:$BQ$82, MATCH('2. 2014 Continuity Schedule'!BQ$20, '2. 2014 Continuity Schedule'!C$20:BQ$20,0),FALSE)</f>
        <v>10.21555519872345</v>
      </c>
    </row>
    <row r="24" spans="1:10" ht="14.25" x14ac:dyDescent="0.2">
      <c r="A24" s="196" t="s">
        <v>8</v>
      </c>
      <c r="B24" s="197">
        <v>1562</v>
      </c>
      <c r="C24" s="100">
        <f>VLOOKUP(A24, '2. 2014 Continuity Schedule'!$C$20:$BQ$82, MATCH('2. 2014 Continuity Schedule'!BK$20, '2. 2014 Continuity Schedule'!C$20:BQ$20,0),FALSE)</f>
        <v>0</v>
      </c>
      <c r="D24" s="100">
        <f>VLOOKUP(A24, '2. 2014 Continuity Schedule'!$C$20:$BQ$82, MATCH('2. 2014 Continuity Schedule'!BL$20, '2. 2014 Continuity Schedule'!C$20:BQ$20,0),FALSE)</f>
        <v>0</v>
      </c>
      <c r="E24" s="100">
        <f t="shared" si="0"/>
        <v>0</v>
      </c>
      <c r="F24" s="100">
        <f>VLOOKUP(A24, '2. 2014 Continuity Schedule'!$C$20:$BQ$82, MATCH('2. 2014 Continuity Schedule'!BM$20, '2. 2014 Continuity Schedule'!C$20:BQ$20,0),FALSE)</f>
        <v>0</v>
      </c>
      <c r="G24" s="100">
        <f>VLOOKUP(A24, '2. 2014 Continuity Schedule'!$C$20:$BQ$82, MATCH('2. 2014 Continuity Schedule'!BN$20, '2. 2014 Continuity Schedule'!C$20:BQ$20,0),FALSE)</f>
        <v>0</v>
      </c>
      <c r="H24" s="100">
        <f t="shared" si="1"/>
        <v>0</v>
      </c>
      <c r="I24" s="100">
        <f>VLOOKUP(A24, '2. 2014 Continuity Schedule'!$C$20:$BQ$82, MATCH('2. 2014 Continuity Schedule'!BP$20, '2. 2014 Continuity Schedule'!C$20:BQ$20,0),FALSE)</f>
        <v>0</v>
      </c>
      <c r="J24" s="100">
        <f>VLOOKUP(A24, '2. 2014 Continuity Schedule'!$C$20:$BQ$82, MATCH('2. 2014 Continuity Schedule'!BQ$20, '2. 2014 Continuity Schedule'!C$20:BQ$20,0),FALSE)</f>
        <v>0</v>
      </c>
    </row>
    <row r="25" spans="1:10" ht="14.25" x14ac:dyDescent="0.2">
      <c r="A25" s="196" t="s">
        <v>43</v>
      </c>
      <c r="B25" s="197">
        <v>1567</v>
      </c>
      <c r="C25" s="100">
        <f>VLOOKUP(A25, '2. 2014 Continuity Schedule'!$C$20:$BQ$82, MATCH('2. 2014 Continuity Schedule'!BK$20, '2. 2014 Continuity Schedule'!C$20:BQ$20,0),FALSE)</f>
        <v>0</v>
      </c>
      <c r="D25" s="100">
        <f>VLOOKUP(A25, '2. 2014 Continuity Schedule'!$C$20:$BQ$82, MATCH('2. 2014 Continuity Schedule'!BL$20, '2. 2014 Continuity Schedule'!C$20:BQ$20,0),FALSE)</f>
        <v>0</v>
      </c>
      <c r="E25" s="100">
        <f t="shared" si="0"/>
        <v>0</v>
      </c>
      <c r="F25" s="100">
        <f>VLOOKUP(A25, '2. 2014 Continuity Schedule'!$C$20:$BQ$82, MATCH('2. 2014 Continuity Schedule'!BM$20, '2. 2014 Continuity Schedule'!C$20:BQ$20,0),FALSE)</f>
        <v>0</v>
      </c>
      <c r="G25" s="100">
        <f>VLOOKUP(A25, '2. 2014 Continuity Schedule'!$C$20:$BQ$82, MATCH('2. 2014 Continuity Schedule'!BN$20, '2. 2014 Continuity Schedule'!C$20:BQ$20,0),FALSE)</f>
        <v>0</v>
      </c>
      <c r="H25" s="100">
        <f t="shared" si="1"/>
        <v>0</v>
      </c>
      <c r="I25" s="100">
        <f>VLOOKUP(A25, '2. 2014 Continuity Schedule'!$C$20:$BQ$82, MATCH('2. 2014 Continuity Schedule'!BP$20, '2. 2014 Continuity Schedule'!C$20:BQ$20,0),FALSE)</f>
        <v>0</v>
      </c>
      <c r="J25" s="100">
        <f>VLOOKUP(A25, '2. 2014 Continuity Schedule'!$C$20:$BQ$82, MATCH('2. 2014 Continuity Schedule'!BQ$20, '2. 2014 Continuity Schedule'!C$20:BQ$20,0),FALSE)</f>
        <v>0</v>
      </c>
    </row>
    <row r="26" spans="1:10" ht="14.25" x14ac:dyDescent="0.2">
      <c r="A26" s="196" t="s">
        <v>98</v>
      </c>
      <c r="B26" s="197">
        <v>1568</v>
      </c>
      <c r="C26" s="100">
        <f>VLOOKUP(A26, '2. 2014 Continuity Schedule'!$C$20:$BQ$82, MATCH('2. 2014 Continuity Schedule'!BK$20, '2. 2014 Continuity Schedule'!C$20:BQ$20,0),FALSE)</f>
        <v>221924.11000000004</v>
      </c>
      <c r="D26" s="100">
        <f>VLOOKUP(A26, '2. 2014 Continuity Schedule'!$C$20:$BQ$82, MATCH('2. 2014 Continuity Schedule'!BL$20, '2. 2014 Continuity Schedule'!C$20:BQ$20,0),FALSE)</f>
        <v>3362.7700000000009</v>
      </c>
      <c r="E26" s="100">
        <f t="shared" si="0"/>
        <v>225286.88000000003</v>
      </c>
      <c r="F26" s="100">
        <f>VLOOKUP(A26, '2. 2014 Continuity Schedule'!$C$20:$BQ$82, MATCH('2. 2014 Continuity Schedule'!BM$20, '2. 2014 Continuity Schedule'!C$20:BQ$20,0),FALSE)</f>
        <v>3262.2799999999997</v>
      </c>
      <c r="G26" s="100">
        <f>VLOOKUP(A26, '2. 2014 Continuity Schedule'!$C$20:$BQ$82, MATCH('2. 2014 Continuity Schedule'!BN$20, '2. 2014 Continuity Schedule'!C$20:BQ$20,0),FALSE)</f>
        <v>1087.42</v>
      </c>
      <c r="H26" s="100">
        <f t="shared" si="1"/>
        <v>229636.58000000005</v>
      </c>
      <c r="I26" s="100">
        <f>VLOOKUP(A26, '2. 2014 Continuity Schedule'!$C$20:$BQ$82, MATCH('2. 2014 Continuity Schedule'!BP$20, '2. 2014 Continuity Schedule'!C$20:BQ$20,0),FALSE)</f>
        <v>246251.48</v>
      </c>
      <c r="J26" s="100">
        <f>VLOOKUP(A26, '2. 2014 Continuity Schedule'!$C$20:$BQ$82, MATCH('2. 2014 Continuity Schedule'!BQ$20, '2. 2014 Continuity Schedule'!C$20:BQ$20,0),FALSE)</f>
        <v>-6.5837701549753547E-4</v>
      </c>
    </row>
    <row r="27" spans="1:10" ht="14.25" x14ac:dyDescent="0.2">
      <c r="A27" s="196" t="s">
        <v>10</v>
      </c>
      <c r="B27" s="197">
        <v>1572</v>
      </c>
      <c r="C27" s="100">
        <f>VLOOKUP(A27, '2. 2014 Continuity Schedule'!$C$20:$BQ$82, MATCH('2. 2014 Continuity Schedule'!BK$20, '2. 2014 Continuity Schedule'!C$20:BQ$20,0),FALSE)</f>
        <v>0</v>
      </c>
      <c r="D27" s="100">
        <f>VLOOKUP(A27, '2. 2014 Continuity Schedule'!$C$20:$BQ$82, MATCH('2. 2014 Continuity Schedule'!BL$20, '2. 2014 Continuity Schedule'!C$20:BQ$20,0),FALSE)</f>
        <v>0</v>
      </c>
      <c r="E27" s="100">
        <f t="shared" si="0"/>
        <v>0</v>
      </c>
      <c r="F27" s="100">
        <f>VLOOKUP(A27, '2. 2014 Continuity Schedule'!$C$20:$BQ$82, MATCH('2. 2014 Continuity Schedule'!BM$20, '2. 2014 Continuity Schedule'!C$20:BQ$20,0),FALSE)</f>
        <v>0</v>
      </c>
      <c r="G27" s="100">
        <f>VLOOKUP(A27, '2. 2014 Continuity Schedule'!$C$20:$BQ$82, MATCH('2. 2014 Continuity Schedule'!BN$20, '2. 2014 Continuity Schedule'!C$20:BQ$20,0),FALSE)</f>
        <v>0</v>
      </c>
      <c r="H27" s="100">
        <f t="shared" si="1"/>
        <v>0</v>
      </c>
      <c r="I27" s="100">
        <f>VLOOKUP(A27, '2. 2014 Continuity Schedule'!$C$20:$BQ$82, MATCH('2. 2014 Continuity Schedule'!BP$20, '2. 2014 Continuity Schedule'!C$20:BQ$20,0),FALSE)</f>
        <v>-1838.78</v>
      </c>
      <c r="J27" s="100">
        <f>VLOOKUP(A27, '2. 2014 Continuity Schedule'!$C$20:$BQ$82, MATCH('2. 2014 Continuity Schedule'!BQ$20, '2. 2014 Continuity Schedule'!C$20:BQ$20,0),FALSE)</f>
        <v>-1838.78</v>
      </c>
    </row>
    <row r="28" spans="1:10" ht="14.25" x14ac:dyDescent="0.2">
      <c r="A28" s="196" t="s">
        <v>6</v>
      </c>
      <c r="B28" s="197">
        <v>1574</v>
      </c>
      <c r="C28" s="100">
        <f>VLOOKUP(A28, '2. 2014 Continuity Schedule'!$C$20:$BQ$82, MATCH('2. 2014 Continuity Schedule'!BK$20, '2. 2014 Continuity Schedule'!C$20:BQ$20,0),FALSE)</f>
        <v>0</v>
      </c>
      <c r="D28" s="100">
        <f>VLOOKUP(A28, '2. 2014 Continuity Schedule'!$C$20:$BQ$82, MATCH('2. 2014 Continuity Schedule'!BL$20, '2. 2014 Continuity Schedule'!C$20:BQ$20,0),FALSE)</f>
        <v>0</v>
      </c>
      <c r="E28" s="100">
        <f t="shared" si="0"/>
        <v>0</v>
      </c>
      <c r="F28" s="100">
        <f>VLOOKUP(A28, '2. 2014 Continuity Schedule'!$C$20:$BQ$82, MATCH('2. 2014 Continuity Schedule'!BM$20, '2. 2014 Continuity Schedule'!C$20:BQ$20,0),FALSE)</f>
        <v>0</v>
      </c>
      <c r="G28" s="100">
        <f>VLOOKUP(A28, '2. 2014 Continuity Schedule'!$C$20:$BQ$82, MATCH('2. 2014 Continuity Schedule'!BN$20, '2. 2014 Continuity Schedule'!C$20:BQ$20,0),FALSE)</f>
        <v>0</v>
      </c>
      <c r="H28" s="100">
        <f t="shared" si="1"/>
        <v>0</v>
      </c>
      <c r="I28" s="100">
        <f>VLOOKUP(A28, '2. 2014 Continuity Schedule'!$C$20:$BQ$82, MATCH('2. 2014 Continuity Schedule'!BP$20, '2. 2014 Continuity Schedule'!C$20:BQ$20,0),FALSE)</f>
        <v>0</v>
      </c>
      <c r="J28" s="100">
        <f>VLOOKUP(A28, '2. 2014 Continuity Schedule'!$C$20:$BQ$82, MATCH('2. 2014 Continuity Schedule'!BQ$20, '2. 2014 Continuity Schedule'!C$20:BQ$20,0),FALSE)</f>
        <v>0</v>
      </c>
    </row>
    <row r="29" spans="1:10" ht="30.75" x14ac:dyDescent="0.2">
      <c r="A29" s="200" t="s">
        <v>228</v>
      </c>
      <c r="B29" s="201">
        <v>1575</v>
      </c>
      <c r="C29" s="100">
        <f>VLOOKUP(A29, '2. 2014 Continuity Schedule'!$C$20:$BQ$82, MATCH('2. 2014 Continuity Schedule'!BK$20, '2. 2014 Continuity Schedule'!C$20:BQ$20,0),FALSE)</f>
        <v>69206.86997326347</v>
      </c>
      <c r="D29" s="100">
        <f>VLOOKUP(A29, '2. 2014 Continuity Schedule'!$C$20:$BQ$82, MATCH('2. 2014 Continuity Schedule'!BL$20, '2. 2014 Continuity Schedule'!C$20:BQ$20,0),FALSE)</f>
        <v>0</v>
      </c>
      <c r="E29" s="100">
        <f t="shared" si="0"/>
        <v>69206.86997326347</v>
      </c>
      <c r="F29" s="100">
        <f>VLOOKUP(A29, '2. 2014 Continuity Schedule'!$C$20:$BQ$82, MATCH('2. 2014 Continuity Schedule'!BM$20, '2. 2014 Continuity Schedule'!C$20:BQ$20,0),FALSE)</f>
        <v>0</v>
      </c>
      <c r="G29" s="100">
        <f>VLOOKUP(A29, '2. 2014 Continuity Schedule'!$C$20:$BQ$82, MATCH('2. 2014 Continuity Schedule'!BN$20, '2. 2014 Continuity Schedule'!C$20:BQ$20,0),FALSE)</f>
        <v>0</v>
      </c>
      <c r="H29" s="100">
        <f t="shared" si="1"/>
        <v>69206.86997326347</v>
      </c>
      <c r="I29" s="100">
        <f>VLOOKUP(A29, '2. 2014 Continuity Schedule'!$C$20:$BQ$82, MATCH('2. 2014 Continuity Schedule'!BP$20, '2. 2014 Continuity Schedule'!C$20:BQ$20,0),FALSE)</f>
        <v>0</v>
      </c>
      <c r="J29" s="100">
        <f>VLOOKUP(A29, '2. 2014 Continuity Schedule'!$C$20:$BQ$82, MATCH('2. 2014 Continuity Schedule'!BQ$20, '2. 2014 Continuity Schedule'!C$20:BQ$20,0),FALSE)</f>
        <v>-69206.86997326347</v>
      </c>
    </row>
    <row r="30" spans="1:10" ht="16.5" x14ac:dyDescent="0.2">
      <c r="A30" s="200" t="s">
        <v>229</v>
      </c>
      <c r="B30" s="201">
        <v>1576</v>
      </c>
      <c r="C30" s="100">
        <f>VLOOKUP(A30, '2. 2014 Continuity Schedule'!$C$20:$BQ$82, MATCH('2. 2014 Continuity Schedule'!BK$20, '2. 2014 Continuity Schedule'!C$20:BQ$20,0),FALSE)</f>
        <v>-3862584.0630856263</v>
      </c>
      <c r="D30" s="100">
        <f>VLOOKUP(A30, '2. 2014 Continuity Schedule'!$C$20:$BQ$82, MATCH('2. 2014 Continuity Schedule'!BL$20, '2. 2014 Continuity Schedule'!C$20:BQ$20,0),FALSE)</f>
        <v>0</v>
      </c>
      <c r="E30" s="100">
        <f t="shared" si="0"/>
        <v>-3862584.0630856263</v>
      </c>
      <c r="F30" s="100">
        <f>VLOOKUP(A30, '2. 2014 Continuity Schedule'!$C$20:$BQ$82, MATCH('2. 2014 Continuity Schedule'!BM$20, '2. 2014 Continuity Schedule'!C$20:BQ$20,0),FALSE)</f>
        <v>0</v>
      </c>
      <c r="G30" s="100">
        <f>VLOOKUP(A30, '2. 2014 Continuity Schedule'!$C$20:$BQ$82, MATCH('2. 2014 Continuity Schedule'!BN$20, '2. 2014 Continuity Schedule'!C$20:BQ$20,0),FALSE)</f>
        <v>0</v>
      </c>
      <c r="H30" s="100">
        <f t="shared" si="1"/>
        <v>-3862584.0630856263</v>
      </c>
      <c r="I30" s="100">
        <f>VLOOKUP(A30, '2. 2014 Continuity Schedule'!$C$20:$BQ$82, MATCH('2. 2014 Continuity Schedule'!BP$20, '2. 2014 Continuity Schedule'!C$20:BQ$20,0),FALSE)</f>
        <v>-2297538.0299999998</v>
      </c>
      <c r="J30" s="100">
        <f>VLOOKUP(A30, '2. 2014 Continuity Schedule'!$C$20:$BQ$82, MATCH('2. 2014 Continuity Schedule'!BQ$20, '2. 2014 Continuity Schedule'!C$20:BQ$20,0),FALSE)</f>
        <v>1565046.0330856266</v>
      </c>
    </row>
    <row r="31" spans="1:10" ht="14.25" x14ac:dyDescent="0.2">
      <c r="A31" s="199" t="s">
        <v>1</v>
      </c>
      <c r="B31" s="197">
        <v>1580</v>
      </c>
      <c r="C31" s="100">
        <f>VLOOKUP(A31, '2. 2014 Continuity Schedule'!$C$20:$BQ$82, MATCH('2. 2014 Continuity Schedule'!BK$20, '2. 2014 Continuity Schedule'!C$20:BQ$20,0),FALSE)</f>
        <v>-375711.98014800018</v>
      </c>
      <c r="D31" s="100">
        <f>VLOOKUP(A31, '2. 2014 Continuity Schedule'!$C$20:$BQ$82, MATCH('2. 2014 Continuity Schedule'!BL$20, '2. 2014 Continuity Schedule'!C$20:BQ$20,0),FALSE)</f>
        <v>2802.5266882171491</v>
      </c>
      <c r="E31" s="100">
        <f t="shared" si="0"/>
        <v>-372909.45345978305</v>
      </c>
      <c r="F31" s="100">
        <f>VLOOKUP(A31, '2. 2014 Continuity Schedule'!$C$20:$BQ$82, MATCH('2. 2014 Continuity Schedule'!BM$20, '2. 2014 Continuity Schedule'!C$20:BQ$20,0),FALSE)</f>
        <v>-12125.935854015601</v>
      </c>
      <c r="G31" s="100">
        <f>VLOOKUP(A31, '2. 2014 Continuity Schedule'!$C$20:$BQ$82, MATCH('2. 2014 Continuity Schedule'!BN$20, '2. 2014 Continuity Schedule'!C$20:BQ$20,0),FALSE)</f>
        <v>-1840.9882607252</v>
      </c>
      <c r="H31" s="100">
        <f t="shared" si="1"/>
        <v>-386876.37757452385</v>
      </c>
      <c r="I31" s="100">
        <f>VLOOKUP(A31, '2. 2014 Continuity Schedule'!$C$20:$BQ$82, MATCH('2. 2014 Continuity Schedule'!BP$20, '2. 2014 Continuity Schedule'!C$20:BQ$20,0),FALSE)</f>
        <v>-1765716.58</v>
      </c>
      <c r="J31" s="100">
        <f>VLOOKUP(A31, '2. 2014 Continuity Schedule'!$C$20:$BQ$82, MATCH('2. 2014 Continuity Schedule'!BQ$20, '2. 2014 Continuity Schedule'!C$20:BQ$20,0),FALSE)</f>
        <v>-2.4940217146649957E-2</v>
      </c>
    </row>
    <row r="32" spans="1:10" ht="14.25" x14ac:dyDescent="0.2">
      <c r="A32" s="199" t="s">
        <v>40</v>
      </c>
      <c r="B32" s="197">
        <v>1582</v>
      </c>
      <c r="C32" s="100">
        <f>VLOOKUP(A32, '2. 2014 Continuity Schedule'!$C$20:$BQ$82, MATCH('2. 2014 Continuity Schedule'!BK$20, '2. 2014 Continuity Schedule'!C$20:BQ$20,0),FALSE)</f>
        <v>0</v>
      </c>
      <c r="D32" s="100">
        <f>VLOOKUP(A32, '2. 2014 Continuity Schedule'!$C$20:$BQ$82, MATCH('2. 2014 Continuity Schedule'!BL$20, '2. 2014 Continuity Schedule'!C$20:BQ$20,0),FALSE)</f>
        <v>0</v>
      </c>
      <c r="E32" s="100">
        <f t="shared" si="0"/>
        <v>0</v>
      </c>
      <c r="F32" s="100">
        <f>VLOOKUP(A32, '2. 2014 Continuity Schedule'!$C$20:$BQ$82, MATCH('2. 2014 Continuity Schedule'!BM$20, '2. 2014 Continuity Schedule'!C$20:BQ$20,0),FALSE)</f>
        <v>0</v>
      </c>
      <c r="G32" s="100">
        <f>VLOOKUP(A32, '2. 2014 Continuity Schedule'!$C$20:$BQ$82, MATCH('2. 2014 Continuity Schedule'!BN$20, '2. 2014 Continuity Schedule'!C$20:BQ$20,0),FALSE)</f>
        <v>0</v>
      </c>
      <c r="H32" s="100">
        <f t="shared" si="1"/>
        <v>0</v>
      </c>
      <c r="I32" s="100">
        <f>VLOOKUP(A32, '2. 2014 Continuity Schedule'!$C$20:$BQ$82, MATCH('2. 2014 Continuity Schedule'!BP$20, '2. 2014 Continuity Schedule'!C$20:BQ$20,0),FALSE)</f>
        <v>0</v>
      </c>
      <c r="J32" s="100">
        <f>VLOOKUP(A32, '2. 2014 Continuity Schedule'!$C$20:$BQ$82, MATCH('2. 2014 Continuity Schedule'!BQ$20, '2. 2014 Continuity Schedule'!C$20:BQ$20,0),FALSE)</f>
        <v>0</v>
      </c>
    </row>
    <row r="33" spans="1:10" ht="14.25" x14ac:dyDescent="0.2">
      <c r="A33" s="199" t="s">
        <v>2</v>
      </c>
      <c r="B33" s="197">
        <v>1584</v>
      </c>
      <c r="C33" s="100">
        <f>VLOOKUP(A33, '2. 2014 Continuity Schedule'!$C$20:$BQ$82, MATCH('2. 2014 Continuity Schedule'!BK$20, '2. 2014 Continuity Schedule'!C$20:BQ$20,0),FALSE)</f>
        <v>186942.74975000037</v>
      </c>
      <c r="D33" s="100">
        <f>VLOOKUP(A33, '2. 2014 Continuity Schedule'!$C$20:$BQ$82, MATCH('2. 2014 Continuity Schedule'!BL$20, '2. 2014 Continuity Schedule'!C$20:BQ$20,0),FALSE)</f>
        <v>-727.24327443519542</v>
      </c>
      <c r="E33" s="100">
        <f t="shared" si="0"/>
        <v>186215.50647556517</v>
      </c>
      <c r="F33" s="100">
        <f>VLOOKUP(A33, '2. 2014 Continuity Schedule'!$C$20:$BQ$82, MATCH('2. 2014 Continuity Schedule'!BM$20, '2. 2014 Continuity Schedule'!C$20:BQ$20,0),FALSE)</f>
        <v>4571.1707368118214</v>
      </c>
      <c r="G33" s="100">
        <f>VLOOKUP(A33, '2. 2014 Continuity Schedule'!$C$20:$BQ$82, MATCH('2. 2014 Continuity Schedule'!BN$20, '2. 2014 Continuity Schedule'!C$20:BQ$20,0),FALSE)</f>
        <v>916.01947377499903</v>
      </c>
      <c r="H33" s="100">
        <f t="shared" si="1"/>
        <v>191702.69668615199</v>
      </c>
      <c r="I33" s="100">
        <f>VLOOKUP(A33, '2. 2014 Continuity Schedule'!$C$20:$BQ$82, MATCH('2. 2014 Continuity Schedule'!BP$20, '2. 2014 Continuity Schedule'!C$20:BQ$20,0),FALSE)</f>
        <v>574252.78</v>
      </c>
      <c r="J33" s="100">
        <f>VLOOKUP(A33, '2. 2014 Continuity Schedule'!$C$20:$BQ$82, MATCH('2. 2014 Continuity Schedule'!BQ$20, '2. 2014 Continuity Schedule'!C$20:BQ$20,0),FALSE)</f>
        <v>2.566998079419136E-2</v>
      </c>
    </row>
    <row r="34" spans="1:10" ht="14.25" x14ac:dyDescent="0.2">
      <c r="A34" s="199" t="s">
        <v>3</v>
      </c>
      <c r="B34" s="197">
        <v>1586</v>
      </c>
      <c r="C34" s="100">
        <f>VLOOKUP(A34, '2. 2014 Continuity Schedule'!$C$20:$BQ$82, MATCH('2. 2014 Continuity Schedule'!BK$20, '2. 2014 Continuity Schedule'!C$20:BQ$20,0),FALSE)</f>
        <v>159529.92475000006</v>
      </c>
      <c r="D34" s="100">
        <f>VLOOKUP(A34, '2. 2014 Continuity Schedule'!$C$20:$BQ$82, MATCH('2. 2014 Continuity Schedule'!BL$20, '2. 2014 Continuity Schedule'!C$20:BQ$20,0),FALSE)</f>
        <v>-246.16926183151463</v>
      </c>
      <c r="E34" s="100">
        <f t="shared" si="0"/>
        <v>159283.75548816854</v>
      </c>
      <c r="F34" s="100">
        <f>VLOOKUP(A34, '2. 2014 Continuity Schedule'!$C$20:$BQ$82, MATCH('2. 2014 Continuity Schedule'!BM$20, '2. 2014 Continuity Schedule'!C$20:BQ$20,0),FALSE)</f>
        <v>3402.2150179641112</v>
      </c>
      <c r="G34" s="100">
        <f>VLOOKUP(A34, '2. 2014 Continuity Schedule'!$C$20:$BQ$82, MATCH('2. 2014 Continuity Schedule'!BN$20, '2. 2014 Continuity Schedule'!C$20:BQ$20,0),FALSE)</f>
        <v>781.69663127500087</v>
      </c>
      <c r="H34" s="100">
        <f t="shared" si="1"/>
        <v>163467.66713740764</v>
      </c>
      <c r="I34" s="100">
        <f>VLOOKUP(A34, '2. 2014 Continuity Schedule'!$C$20:$BQ$82, MATCH('2. 2014 Continuity Schedule'!BP$20, '2. 2014 Continuity Schedule'!C$20:BQ$20,0),FALSE)</f>
        <v>383251.26</v>
      </c>
      <c r="J34" s="100">
        <f>VLOOKUP(A34, '2. 2014 Continuity Schedule'!$C$20:$BQ$82, MATCH('2. 2014 Continuity Schedule'!BQ$20, '2. 2014 Continuity Schedule'!C$20:BQ$20,0),FALSE)</f>
        <v>3.3258952491451055E-2</v>
      </c>
    </row>
    <row r="35" spans="1:10" ht="14.25" x14ac:dyDescent="0.2">
      <c r="A35" s="199" t="s">
        <v>75</v>
      </c>
      <c r="B35" s="197">
        <v>1588</v>
      </c>
      <c r="C35" s="100">
        <f>VLOOKUP(A35, '2. 2014 Continuity Schedule'!$C$20:$BQ$82, MATCH('2. 2014 Continuity Schedule'!BK$20, '2. 2014 Continuity Schedule'!C$20:BQ$20,0),FALSE)</f>
        <v>258168.6891976668</v>
      </c>
      <c r="D35" s="100">
        <f>VLOOKUP(A35, '2. 2014 Continuity Schedule'!$C$20:$BQ$82, MATCH('2. 2014 Continuity Schedule'!BL$20, '2. 2014 Continuity Schedule'!C$20:BQ$20,0),FALSE)</f>
        <v>1660.4999291138984</v>
      </c>
      <c r="E35" s="100">
        <f t="shared" si="0"/>
        <v>259829.18912678069</v>
      </c>
      <c r="F35" s="100">
        <f>VLOOKUP(A35, '2. 2014 Continuity Schedule'!$C$20:$BQ$82, MATCH('2. 2014 Continuity Schedule'!BM$20, '2. 2014 Continuity Schedule'!C$20:BQ$20,0),FALSE)</f>
        <v>2836.8714806775224</v>
      </c>
      <c r="G35" s="100">
        <f>VLOOKUP(A35, '2. 2014 Continuity Schedule'!$C$20:$BQ$82, MATCH('2. 2014 Continuity Schedule'!BN$20, '2. 2014 Continuity Schedule'!C$20:BQ$20,0),FALSE)</f>
        <v>1265.0265770685646</v>
      </c>
      <c r="H35" s="100">
        <f t="shared" si="1"/>
        <v>263931.08718452678</v>
      </c>
      <c r="I35" s="100">
        <f>VLOOKUP(A35, '2. 2014 Continuity Schedule'!$C$20:$BQ$82, MATCH('2. 2014 Continuity Schedule'!BP$20, '2. 2014 Continuity Schedule'!C$20:BQ$20,0),FALSE)</f>
        <v>57807.76</v>
      </c>
      <c r="J35" s="100">
        <f>VLOOKUP(A35, '2. 2014 Continuity Schedule'!$C$20:$BQ$82, MATCH('2. 2014 Continuity Schedule'!BQ$20, '2. 2014 Continuity Schedule'!C$20:BQ$20,0),FALSE)</f>
        <v>-4.7893555391055997E-2</v>
      </c>
    </row>
    <row r="36" spans="1:10" ht="14.25" x14ac:dyDescent="0.2">
      <c r="A36" s="199" t="s">
        <v>127</v>
      </c>
      <c r="B36" s="197">
        <v>1589</v>
      </c>
      <c r="C36" s="100">
        <f>VLOOKUP(A36, '2. 2014 Continuity Schedule'!$C$20:$BQ$82, MATCH('2. 2014 Continuity Schedule'!BK$20, '2. 2014 Continuity Schedule'!C$20:BQ$20,0),FALSE)</f>
        <v>408792.43555730651</v>
      </c>
      <c r="D36" s="100">
        <f>VLOOKUP(A36, '2. 2014 Continuity Schedule'!$C$20:$BQ$82, MATCH('2. 2014 Continuity Schedule'!BL$20, '2. 2014 Continuity Schedule'!C$20:BQ$20,0),FALSE)</f>
        <v>1836.3799093811249</v>
      </c>
      <c r="E36" s="100">
        <f t="shared" si="0"/>
        <v>410628.81546668767</v>
      </c>
      <c r="F36" s="100">
        <f>VLOOKUP(A36, '2. 2014 Continuity Schedule'!$C$20:$BQ$82, MATCH('2. 2014 Continuity Schedule'!BM$20, '2. 2014 Continuity Schedule'!C$20:BQ$20,0),FALSE)</f>
        <v>7084.4313733945619</v>
      </c>
      <c r="G36" s="100">
        <f>VLOOKUP(A36, '2. 2014 Continuity Schedule'!$C$20:$BQ$82, MATCH('2. 2014 Continuity Schedule'!BN$20, '2. 2014 Continuity Schedule'!C$20:BQ$20,0),FALSE)</f>
        <v>2003.0829342308</v>
      </c>
      <c r="H36" s="100">
        <f t="shared" si="1"/>
        <v>419716.32977431302</v>
      </c>
      <c r="I36" s="100">
        <f>VLOOKUP(A36, '2. 2014 Continuity Schedule'!$C$20:$BQ$82, MATCH('2. 2014 Continuity Schedule'!BP$20, '2. 2014 Continuity Schedule'!C$20:BQ$20,0),FALSE)</f>
        <v>640957.03</v>
      </c>
      <c r="J36" s="100">
        <f>VLOOKUP(A36, '2. 2014 Continuity Schedule'!$C$20:$BQ$82, MATCH('2. 2014 Continuity Schedule'!BQ$20, '2. 2014 Continuity Schedule'!C$20:BQ$20,0),FALSE)</f>
        <v>4.9478282802738249E-2</v>
      </c>
    </row>
    <row r="37" spans="1:10" ht="42.75" x14ac:dyDescent="0.2">
      <c r="A37" s="200" t="s">
        <v>48</v>
      </c>
      <c r="B37" s="201">
        <v>1592</v>
      </c>
      <c r="C37" s="100">
        <f>VLOOKUP(A37, '2. 2014 Continuity Schedule'!$C$20:$BQ$82, MATCH('2. 2014 Continuity Schedule'!BK$20, '2. 2014 Continuity Schedule'!C$20:BQ$20,0),FALSE)</f>
        <v>-196.96818105645772</v>
      </c>
      <c r="D37" s="100">
        <f>VLOOKUP(A37, '2. 2014 Continuity Schedule'!$C$20:$BQ$82, MATCH('2. 2014 Continuity Schedule'!BL$20, '2. 2014 Continuity Schedule'!C$20:BQ$20,0),FALSE)</f>
        <v>-9.9870387068004227</v>
      </c>
      <c r="E37" s="100">
        <f t="shared" si="0"/>
        <v>-206.95521976325816</v>
      </c>
      <c r="F37" s="100">
        <f>VLOOKUP(A37, '2. 2014 Continuity Schedule'!$C$20:$BQ$82, MATCH('2. 2014 Continuity Schedule'!BM$20, '2. 2014 Continuity Schedule'!C$20:BQ$20,0),FALSE)</f>
        <v>-2.8954322615299293</v>
      </c>
      <c r="G37" s="100">
        <f>VLOOKUP(A37, '2. 2014 Continuity Schedule'!$C$20:$BQ$82, MATCH('2. 2014 Continuity Schedule'!BN$20, '2. 2014 Continuity Schedule'!C$20:BQ$20,0),FALSE)</f>
        <v>-0.96514408717664291</v>
      </c>
      <c r="H37" s="100">
        <f t="shared" si="1"/>
        <v>-210.81579611196472</v>
      </c>
      <c r="I37" s="100">
        <f>VLOOKUP(A37, '2. 2014 Continuity Schedule'!$C$20:$BQ$82, MATCH('2. 2014 Continuity Schedule'!BP$20, '2. 2014 Continuity Schedule'!C$20:BQ$20,0),FALSE)</f>
        <v>-206.91</v>
      </c>
      <c r="J37" s="100">
        <f>VLOOKUP(A37, '2. 2014 Continuity Schedule'!$C$20:$BQ$82, MATCH('2. 2014 Continuity Schedule'!BQ$20, '2. 2014 Continuity Schedule'!C$20:BQ$20,0),FALSE)</f>
        <v>4.5219763258160128E-2</v>
      </c>
    </row>
    <row r="38" spans="1:10" ht="28.5" x14ac:dyDescent="0.2">
      <c r="A38" s="200" t="s">
        <v>47</v>
      </c>
      <c r="B38" s="201">
        <v>1592</v>
      </c>
      <c r="C38" s="100">
        <f>VLOOKUP(A38, '2. 2014 Continuity Schedule'!$C$20:$BQ$82, MATCH('2. 2014 Continuity Schedule'!BK$20, '2. 2014 Continuity Schedule'!C$20:BQ$20,0),FALSE)</f>
        <v>0</v>
      </c>
      <c r="D38" s="100">
        <f>VLOOKUP(A38, '2. 2014 Continuity Schedule'!$C$20:$BQ$82, MATCH('2. 2014 Continuity Schedule'!BL$20, '2. 2014 Continuity Schedule'!C$20:BQ$20,0),FALSE)</f>
        <v>0</v>
      </c>
      <c r="E38" s="100">
        <f t="shared" si="0"/>
        <v>0</v>
      </c>
      <c r="F38" s="100">
        <f>VLOOKUP(A38, '2. 2014 Continuity Schedule'!$C$20:$BQ$82, MATCH('2. 2014 Continuity Schedule'!BM$20, '2. 2014 Continuity Schedule'!C$20:BQ$20,0),FALSE)</f>
        <v>0</v>
      </c>
      <c r="G38" s="100">
        <f>VLOOKUP(A38, '2. 2014 Continuity Schedule'!$C$20:$BQ$82, MATCH('2. 2014 Continuity Schedule'!BN$20, '2. 2014 Continuity Schedule'!C$20:BQ$20,0),FALSE)</f>
        <v>0</v>
      </c>
      <c r="H38" s="100">
        <f t="shared" si="1"/>
        <v>0</v>
      </c>
      <c r="I38" s="100">
        <f>VLOOKUP(A38, '2. 2014 Continuity Schedule'!$C$20:$BQ$82, MATCH('2. 2014 Continuity Schedule'!BP$20, '2. 2014 Continuity Schedule'!C$20:BQ$20,0),FALSE)</f>
        <v>0</v>
      </c>
      <c r="J38" s="100">
        <f>VLOOKUP(A38, '2. 2014 Continuity Schedule'!$C$20:$BQ$82, MATCH('2. 2014 Continuity Schedule'!BQ$20, '2. 2014 Continuity Schedule'!C$20:BQ$20,0),FALSE)</f>
        <v>0</v>
      </c>
    </row>
    <row r="39" spans="1:10" ht="16.5" x14ac:dyDescent="0.2">
      <c r="A39" s="202" t="s">
        <v>70</v>
      </c>
      <c r="B39" s="197">
        <v>1595</v>
      </c>
      <c r="C39" s="100" t="e">
        <f>VLOOKUP(A39, '2. 2014 Continuity Schedule'!$C$20:$BQ$82, MATCH('2. 2014 Continuity Schedule'!BK$20, '2. 2014 Continuity Schedule'!C$20:BQ$20,0),FALSE)</f>
        <v>#N/A</v>
      </c>
      <c r="D39" s="100" t="e">
        <f>VLOOKUP(A39, '2. 2014 Continuity Schedule'!$C$20:$BQ$82, MATCH('2. 2014 Continuity Schedule'!BL$20, '2. 2014 Continuity Schedule'!C$20:BQ$20,0),FALSE)</f>
        <v>#N/A</v>
      </c>
      <c r="E39" s="100" t="e">
        <f t="shared" si="0"/>
        <v>#N/A</v>
      </c>
      <c r="F39" s="100" t="e">
        <f>VLOOKUP(A39, '2. 2014 Continuity Schedule'!$C$20:$BQ$82, MATCH('2. 2014 Continuity Schedule'!BM$20, '2. 2014 Continuity Schedule'!C$20:BQ$20,0),FALSE)</f>
        <v>#N/A</v>
      </c>
      <c r="G39" s="100" t="e">
        <f>VLOOKUP(A39, '2. 2014 Continuity Schedule'!$C$20:$BQ$82, MATCH('2. 2014 Continuity Schedule'!BN$20, '2. 2014 Continuity Schedule'!C$20:BQ$20,0),FALSE)</f>
        <v>#N/A</v>
      </c>
      <c r="H39" s="100" t="e">
        <f t="shared" si="1"/>
        <v>#N/A</v>
      </c>
      <c r="I39" s="100" t="e">
        <f>VLOOKUP(A39, '2. 2014 Continuity Schedule'!$C$20:$BQ$82, MATCH('2. 2014 Continuity Schedule'!BP$20, '2. 2014 Continuity Schedule'!C$20:BQ$20,0),FALSE)</f>
        <v>#N/A</v>
      </c>
      <c r="J39" s="100" t="e">
        <f>VLOOKUP(A39, '2. 2014 Continuity Schedule'!$C$20:$BQ$82, MATCH('2. 2014 Continuity Schedule'!BQ$20, '2. 2014 Continuity Schedule'!C$20:BQ$20,0),FALSE)</f>
        <v>#N/A</v>
      </c>
    </row>
    <row r="40" spans="1:10" ht="16.5" x14ac:dyDescent="0.2">
      <c r="A40" s="202" t="s">
        <v>71</v>
      </c>
      <c r="B40" s="197">
        <v>1595</v>
      </c>
      <c r="C40" s="100" t="e">
        <f>VLOOKUP(A40, '2. 2014 Continuity Schedule'!$C$20:$BQ$82, MATCH('2. 2014 Continuity Schedule'!BK$20, '2. 2014 Continuity Schedule'!C$20:BQ$20,0),FALSE)</f>
        <v>#N/A</v>
      </c>
      <c r="D40" s="100" t="e">
        <f>VLOOKUP(A40, '2. 2014 Continuity Schedule'!$C$20:$BQ$82, MATCH('2. 2014 Continuity Schedule'!BL$20, '2. 2014 Continuity Schedule'!C$20:BQ$20,0),FALSE)</f>
        <v>#N/A</v>
      </c>
      <c r="E40" s="100" t="e">
        <f t="shared" si="0"/>
        <v>#N/A</v>
      </c>
      <c r="F40" s="100" t="e">
        <f>VLOOKUP(A40, '2. 2014 Continuity Schedule'!$C$20:$BQ$82, MATCH('2. 2014 Continuity Schedule'!BM$20, '2. 2014 Continuity Schedule'!C$20:BQ$20,0),FALSE)</f>
        <v>#N/A</v>
      </c>
      <c r="G40" s="100" t="e">
        <f>VLOOKUP(A40, '2. 2014 Continuity Schedule'!$C$20:$BQ$82, MATCH('2. 2014 Continuity Schedule'!BN$20, '2. 2014 Continuity Schedule'!C$20:BQ$20,0),FALSE)</f>
        <v>#N/A</v>
      </c>
      <c r="H40" s="100" t="e">
        <f t="shared" si="1"/>
        <v>#N/A</v>
      </c>
      <c r="I40" s="100" t="e">
        <f>VLOOKUP(A40, '2. 2014 Continuity Schedule'!$C$20:$BQ$82, MATCH('2. 2014 Continuity Schedule'!BP$20, '2. 2014 Continuity Schedule'!C$20:BQ$20,0),FALSE)</f>
        <v>#N/A</v>
      </c>
      <c r="J40" s="100" t="e">
        <f>VLOOKUP(A40, '2. 2014 Continuity Schedule'!$C$20:$BQ$82, MATCH('2. 2014 Continuity Schedule'!BQ$20, '2. 2014 Continuity Schedule'!C$20:BQ$20,0),FALSE)</f>
        <v>#N/A</v>
      </c>
    </row>
    <row r="41" spans="1:10" ht="16.5" x14ac:dyDescent="0.2">
      <c r="A41" s="202" t="s">
        <v>72</v>
      </c>
      <c r="B41" s="197">
        <v>1595</v>
      </c>
      <c r="C41" s="100" t="e">
        <f>VLOOKUP(A41, '2. 2014 Continuity Schedule'!$C$20:$BQ$82, MATCH('2. 2014 Continuity Schedule'!BK$20, '2. 2014 Continuity Schedule'!C$20:BQ$20,0),FALSE)</f>
        <v>#N/A</v>
      </c>
      <c r="D41" s="100" t="e">
        <f>VLOOKUP(A41, '2. 2014 Continuity Schedule'!$C$20:$BQ$82, MATCH('2. 2014 Continuity Schedule'!BL$20, '2. 2014 Continuity Schedule'!C$20:BQ$20,0),FALSE)</f>
        <v>#N/A</v>
      </c>
      <c r="E41" s="100" t="e">
        <f t="shared" si="0"/>
        <v>#N/A</v>
      </c>
      <c r="F41" s="100" t="e">
        <f>VLOOKUP(A41, '2. 2014 Continuity Schedule'!$C$20:$BQ$82, MATCH('2. 2014 Continuity Schedule'!BM$20, '2. 2014 Continuity Schedule'!C$20:BQ$20,0),FALSE)</f>
        <v>#N/A</v>
      </c>
      <c r="G41" s="100" t="e">
        <f>VLOOKUP(A41, '2. 2014 Continuity Schedule'!$C$20:$BQ$82, MATCH('2. 2014 Continuity Schedule'!BN$20, '2. 2014 Continuity Schedule'!C$20:BQ$20,0),FALSE)</f>
        <v>#N/A</v>
      </c>
      <c r="H41" s="100" t="e">
        <f t="shared" si="1"/>
        <v>#N/A</v>
      </c>
      <c r="I41" s="100" t="e">
        <f>VLOOKUP(A41, '2. 2014 Continuity Schedule'!$C$20:$BQ$82, MATCH('2. 2014 Continuity Schedule'!BP$20, '2. 2014 Continuity Schedule'!C$20:BQ$20,0),FALSE)</f>
        <v>#N/A</v>
      </c>
      <c r="J41" s="100" t="e">
        <f>VLOOKUP(A41, '2. 2014 Continuity Schedule'!$C$20:$BQ$82, MATCH('2. 2014 Continuity Schedule'!BQ$20, '2. 2014 Continuity Schedule'!C$20:BQ$20,0),FALSE)</f>
        <v>#N/A</v>
      </c>
    </row>
    <row r="42" spans="1:10" ht="16.5" x14ac:dyDescent="0.2">
      <c r="A42" s="202" t="s">
        <v>130</v>
      </c>
      <c r="B42" s="197">
        <v>1595</v>
      </c>
      <c r="C42" s="100" t="e">
        <f>VLOOKUP(A42, '2. 2014 Continuity Schedule'!$C$20:$BQ$82, MATCH('2. 2014 Continuity Schedule'!BK$20, '2. 2014 Continuity Schedule'!C$20:BQ$20,0),FALSE)</f>
        <v>#N/A</v>
      </c>
      <c r="D42" s="100" t="e">
        <f>VLOOKUP(A42, '2. 2014 Continuity Schedule'!$C$20:$BQ$82, MATCH('2. 2014 Continuity Schedule'!BL$20, '2. 2014 Continuity Schedule'!C$20:BQ$20,0),FALSE)</f>
        <v>#N/A</v>
      </c>
      <c r="E42" s="100" t="e">
        <f t="shared" si="0"/>
        <v>#N/A</v>
      </c>
      <c r="F42" s="100" t="e">
        <f>VLOOKUP(A42, '2. 2014 Continuity Schedule'!$C$20:$BQ$82, MATCH('2. 2014 Continuity Schedule'!BM$20, '2. 2014 Continuity Schedule'!C$20:BQ$20,0),FALSE)</f>
        <v>#N/A</v>
      </c>
      <c r="G42" s="100" t="e">
        <f>VLOOKUP(A42, '2. 2014 Continuity Schedule'!$C$20:$BQ$82, MATCH('2. 2014 Continuity Schedule'!BN$20, '2. 2014 Continuity Schedule'!C$20:BQ$20,0),FALSE)</f>
        <v>#N/A</v>
      </c>
      <c r="H42" s="100" t="e">
        <f t="shared" si="1"/>
        <v>#N/A</v>
      </c>
      <c r="I42" s="100" t="e">
        <f>VLOOKUP(A42, '2. 2014 Continuity Schedule'!$C$20:$BQ$82, MATCH('2. 2014 Continuity Schedule'!BP$20, '2. 2014 Continuity Schedule'!C$20:BQ$20,0),FALSE)</f>
        <v>#N/A</v>
      </c>
      <c r="J42" s="100" t="e">
        <f>VLOOKUP(A42, '2. 2014 Continuity Schedule'!$C$20:$BQ$82, MATCH('2. 2014 Continuity Schedule'!BQ$20, '2. 2014 Continuity Schedule'!C$20:BQ$20,0),FALSE)</f>
        <v>#N/A</v>
      </c>
    </row>
    <row r="43" spans="1:10" ht="16.5" x14ac:dyDescent="0.2">
      <c r="A43" s="202" t="s">
        <v>243</v>
      </c>
      <c r="B43" s="197">
        <v>1595</v>
      </c>
      <c r="C43" s="100" t="e">
        <f>VLOOKUP(A43, '2. 2014 Continuity Schedule'!$C$20:$BQ$82, MATCH('2. 2014 Continuity Schedule'!BK$20, '2. 2014 Continuity Schedule'!C$20:BQ$20,0),FALSE)</f>
        <v>#N/A</v>
      </c>
      <c r="D43" s="100" t="e">
        <f>VLOOKUP(A43, '2. 2014 Continuity Schedule'!$C$20:$BQ$82, MATCH('2. 2014 Continuity Schedule'!BL$20, '2. 2014 Continuity Schedule'!C$20:BQ$20,0),FALSE)</f>
        <v>#N/A</v>
      </c>
      <c r="E43" s="100" t="e">
        <f t="shared" si="0"/>
        <v>#N/A</v>
      </c>
      <c r="F43" s="100" t="e">
        <f>VLOOKUP(A43, '2. 2014 Continuity Schedule'!$C$20:$BQ$82, MATCH('2. 2014 Continuity Schedule'!BM$20, '2. 2014 Continuity Schedule'!C$20:BQ$20,0),FALSE)</f>
        <v>#N/A</v>
      </c>
      <c r="G43" s="100" t="e">
        <f>VLOOKUP(A43, '2. 2014 Continuity Schedule'!$C$20:$BQ$82, MATCH('2. 2014 Continuity Schedule'!BN$20, '2. 2014 Continuity Schedule'!C$20:BQ$20,0),FALSE)</f>
        <v>#N/A</v>
      </c>
      <c r="H43" s="100" t="e">
        <f t="shared" si="1"/>
        <v>#N/A</v>
      </c>
      <c r="I43" s="100" t="e">
        <f>VLOOKUP(A43, '2. 2014 Continuity Schedule'!$C$20:$BQ$82, MATCH('2. 2014 Continuity Schedule'!BP$20, '2. 2014 Continuity Schedule'!C$20:BQ$20,0),FALSE)</f>
        <v>#N/A</v>
      </c>
      <c r="J43" s="100" t="e">
        <f>VLOOKUP(A43, '2. 2014 Continuity Schedule'!$C$20:$BQ$82, MATCH('2. 2014 Continuity Schedule'!BQ$20, '2. 2014 Continuity Schedule'!C$20:BQ$20,0),FALSE)</f>
        <v>#N/A</v>
      </c>
    </row>
    <row r="44" spans="1:10" ht="14.25" x14ac:dyDescent="0.2">
      <c r="A44" s="196" t="s">
        <v>7</v>
      </c>
      <c r="B44" s="197">
        <v>2425</v>
      </c>
      <c r="C44" s="100">
        <f>VLOOKUP(A44, '2. 2014 Continuity Schedule'!$C$20:$BQ$82, MATCH('2. 2014 Continuity Schedule'!BK$20, '2. 2014 Continuity Schedule'!C$20:BQ$20,0),FALSE)</f>
        <v>0</v>
      </c>
      <c r="D44" s="100">
        <f>VLOOKUP(A44, '2. 2014 Continuity Schedule'!$C$20:$BQ$82, MATCH('2. 2014 Continuity Schedule'!BL$20, '2. 2014 Continuity Schedule'!C$20:BQ$20,0),FALSE)</f>
        <v>0</v>
      </c>
      <c r="E44" s="100">
        <f t="shared" si="0"/>
        <v>0</v>
      </c>
      <c r="F44" s="100">
        <f>VLOOKUP(A44, '2. 2014 Continuity Schedule'!$C$20:$BQ$82, MATCH('2. 2014 Continuity Schedule'!BM$20, '2. 2014 Continuity Schedule'!C$20:BQ$20,0),FALSE)</f>
        <v>0</v>
      </c>
      <c r="G44" s="100">
        <f>VLOOKUP(A44, '2. 2014 Continuity Schedule'!$C$20:$BQ$82, MATCH('2. 2014 Continuity Schedule'!BN$20, '2. 2014 Continuity Schedule'!C$20:BQ$20,0),FALSE)</f>
        <v>0</v>
      </c>
      <c r="H44" s="100">
        <f t="shared" si="1"/>
        <v>0</v>
      </c>
      <c r="I44" s="100">
        <f>VLOOKUP(A44, '2. 2014 Continuity Schedule'!$C$20:$BQ$82, MATCH('2. 2014 Continuity Schedule'!BP$20, '2. 2014 Continuity Schedule'!C$20:BQ$20,0),FALSE)</f>
        <v>0</v>
      </c>
      <c r="J44" s="100">
        <f>VLOOKUP(A44, '2. 2014 Continuity Schedule'!$C$20:$BQ$82, MATCH('2. 2014 Continuity Schedule'!BQ$20, '2. 2014 Continuity Schedule'!C$20:BQ$20,0),FALSE)</f>
        <v>0</v>
      </c>
    </row>
    <row r="45" spans="1:10" ht="14.25" x14ac:dyDescent="0.2">
      <c r="A45" s="4"/>
      <c r="B45" s="4"/>
    </row>
    <row r="46" spans="1:10" ht="15" x14ac:dyDescent="0.25">
      <c r="A46" s="10"/>
      <c r="B46" s="10"/>
    </row>
    <row r="47" spans="1:10" ht="15" x14ac:dyDescent="0.25">
      <c r="A47" s="10"/>
      <c r="B47" s="10"/>
    </row>
    <row r="48" spans="1:10" ht="15" x14ac:dyDescent="0.25">
      <c r="A48" s="11"/>
      <c r="B48" s="12"/>
    </row>
    <row r="49" spans="1:2" ht="15" x14ac:dyDescent="0.25">
      <c r="A49" s="11"/>
      <c r="B49" s="11"/>
    </row>
    <row r="50" spans="1:2" ht="23.25" x14ac:dyDescent="0.25">
      <c r="A50" s="55"/>
      <c r="B50" s="11"/>
    </row>
    <row r="51" spans="1:2" ht="14.25" x14ac:dyDescent="0.2">
      <c r="A51" s="5"/>
      <c r="B51" s="5"/>
    </row>
    <row r="52" spans="1:2" ht="15" x14ac:dyDescent="0.25">
      <c r="A52" s="14"/>
      <c r="B52" s="5"/>
    </row>
    <row r="53" spans="1:2" ht="14.25" x14ac:dyDescent="0.2">
      <c r="A53" s="5"/>
      <c r="B53" s="5"/>
    </row>
    <row r="54" spans="1:2" ht="14.25" x14ac:dyDescent="0.2">
      <c r="A54" s="5"/>
      <c r="B54" s="5"/>
    </row>
    <row r="55" spans="1:2" ht="15" x14ac:dyDescent="0.25">
      <c r="A55" s="14"/>
      <c r="B55" s="5"/>
    </row>
    <row r="56" spans="1:2" ht="14.25" x14ac:dyDescent="0.2">
      <c r="A56" s="15"/>
      <c r="B56" s="15"/>
    </row>
    <row r="57" spans="1:2" ht="14.25" x14ac:dyDescent="0.2">
      <c r="A57" s="15"/>
      <c r="B57" s="15"/>
    </row>
    <row r="58" spans="1:2" ht="15" x14ac:dyDescent="0.25">
      <c r="A58" s="58"/>
      <c r="B58" s="59"/>
    </row>
    <row r="59" spans="1:2" ht="15" x14ac:dyDescent="0.25">
      <c r="A59" s="58"/>
      <c r="B59" s="59"/>
    </row>
    <row r="60" spans="1:2" ht="15" x14ac:dyDescent="0.25">
      <c r="A60" s="16"/>
      <c r="B60" s="15"/>
    </row>
    <row r="61" spans="1:2" ht="14.25" x14ac:dyDescent="0.2">
      <c r="A61" s="15"/>
      <c r="B61" s="15"/>
    </row>
    <row r="62" spans="1:2" ht="14.25" x14ac:dyDescent="0.2">
      <c r="A62" s="4"/>
      <c r="B62" s="7"/>
    </row>
  </sheetData>
  <sortState ref="A1:B59">
    <sortCondition ref="B1:B59"/>
  </sortState>
  <mergeCells count="8">
    <mergeCell ref="I1:I3"/>
    <mergeCell ref="J1:J3"/>
    <mergeCell ref="C1:C3"/>
    <mergeCell ref="D1:D3"/>
    <mergeCell ref="F1:F3"/>
    <mergeCell ref="G1:G3"/>
    <mergeCell ref="H1:H3"/>
    <mergeCell ref="E1: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LG Extranet Document" ma:contentTypeID="0x01010B00740080268B3A874AB1F7373EA63B124300A64ADB4BBFEE234C8D2E6A6F1AC81A90" ma:contentTypeVersion="2" ma:contentTypeDescription="The Dublin Core metadata element set." ma:contentTypeScope="" ma:versionID="059fe09e7177bc894b201749d704955b">
  <xsd:schema xmlns:xsd="http://www.w3.org/2001/XMLSchema" xmlns:xs="http://www.w3.org/2001/XMLSchema" xmlns:p="http://schemas.microsoft.com/office/2006/metadata/properties" xmlns:ns1="http://schemas.microsoft.com/sharepoint/v3" xmlns:ns2="http://schemas.microsoft.com/sharepoint/v3/fields" targetNamespace="http://schemas.microsoft.com/office/2006/metadata/properties" ma:root="true" ma:fieldsID="c7397867e00252236526f59567bdabaa" ns1:_="" ns2:_="">
    <xsd:import namespace="http://schemas.microsoft.com/sharepoint/v3"/>
    <xsd:import namespace="http://schemas.microsoft.com/sharepoint/v3/fields"/>
    <xsd:element name="properties">
      <xsd:complexType>
        <xsd:sequence>
          <xsd:element name="documentManagement">
            <xsd:complexType>
              <xsd:all>
                <xsd:element ref="ns2:_Contributor" minOccurs="0"/>
                <xsd:element ref="ns2:_Coverage" minOccurs="0"/>
                <xsd:element ref="ns2:_DCDateCreated" minOccurs="0"/>
                <xsd:element ref="ns2:_DCDateModified" minOccurs="0"/>
                <xsd:element ref="ns2:_Format" minOccurs="0"/>
                <xsd:element ref="ns2:_Identifier" minOccurs="0"/>
                <xsd:element ref="ns1:Language" minOccurs="0"/>
                <xsd:element ref="ns2:_Publisher" minOccurs="0"/>
                <xsd:element ref="ns2:_Relation" minOccurs="0"/>
                <xsd:element ref="ns2:_RightsManagement" minOccurs="0"/>
                <xsd:element ref="ns2:_Source" minOccurs="0"/>
                <xsd:element ref="ns2:_Resourc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5"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7"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8" nillable="true" ma:displayName="Coverage" ma:description="The extent or scope" ma:internalName="_Coverage">
      <xsd:simpleType>
        <xsd:restriction base="dms:Text"/>
      </xsd:simpleType>
    </xsd:element>
    <xsd:element name="_DCDateCreated" ma:index="10" nillable="true" ma:displayName="Date Created" ma:description="The date on which this resource was created" ma:format="DateTime" ma:internalName="_DCDateCreated">
      <xsd:simpleType>
        <xsd:restriction base="dms:DateTime"/>
      </xsd:simpleType>
    </xsd:element>
    <xsd:element name="_DCDateModified" ma:index="11" nillable="true" ma:displayName="Date Modified" ma:description="The date on which this resource was last modified" ma:format="DateTime" ma:internalName="_DCDateModified">
      <xsd:simpleType>
        <xsd:restriction base="dms:DateTime"/>
      </xsd:simpleType>
    </xsd:element>
    <xsd:element name="_Format" ma:index="13" nillable="true" ma:displayName="Format" ma:description="Media-type, file format or dimensions" ma:internalName="_Format">
      <xsd:simpleType>
        <xsd:restriction base="dms:Text"/>
      </xsd:simpleType>
    </xsd:element>
    <xsd:element name="_Identifier" ma:index="14" nillable="true" ma:displayName="Resource Identifier" ma:description="An identifying string or number, usually conforming to a formal identification system" ma:internalName="_Identifier">
      <xsd:simpleType>
        <xsd:restriction base="dms:Text"/>
      </xsd:simpleType>
    </xsd:element>
    <xsd:element name="_Publisher" ma:index="16" nillable="true" ma:displayName="Publisher" ma:description="The person, organization or service that published this resource" ma:internalName="_Publisher">
      <xsd:simpleType>
        <xsd:restriction base="dms:Text"/>
      </xsd:simpleType>
    </xsd:element>
    <xsd:element name="_Relation" ma:index="17" nillable="true" ma:displayName="Relation" ma:description="References to related resources" ma:internalName="_Relation">
      <xsd:simpleType>
        <xsd:restriction base="dms:Note">
          <xsd:maxLength value="255"/>
        </xsd:restriction>
      </xsd:simpleType>
    </xsd:element>
    <xsd:element name="_RightsManagement" ma:index="18" nillable="true" ma:displayName="Rights Management" ma:description="Information about rights held in or over this resource" ma:internalName="_RightsManagement">
      <xsd:simpleType>
        <xsd:restriction base="dms:Note">
          <xsd:maxLength value="255"/>
        </xsd:restriction>
      </xsd:simpleType>
    </xsd:element>
    <xsd:element name="_Source" ma:index="19" nillable="true" ma:displayName="Source" ma:description="References to resources from which this resource was derived" ma:internalName="_Source">
      <xsd:simpleType>
        <xsd:restriction base="dms:Note">
          <xsd:maxLength value="255"/>
        </xsd:restriction>
      </xsd:simpleType>
    </xsd:element>
    <xsd:element name="_ResourceType" ma:index="23" nillable="true" ma:displayName="Resource Type" ma:description="A set of categories, functions, genres or aggregation levels" ma:internalName="_Resource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Creator"/>
        <xsd:element ref="dcterms:created" minOccurs="0" maxOccurs="1"/>
        <xsd:element ref="dc:identifier" minOccurs="0" maxOccurs="1"/>
        <xsd:element name="contentType" minOccurs="0" maxOccurs="1" type="xsd:string" ma:index="0" ma:displayName="Content Type"/>
        <xsd:element ref="dc:title" minOccurs="0" maxOccurs="1" ma:index="22" ma:displayName="Title"/>
        <xsd:element ref="dc:subject" minOccurs="0" maxOccurs="1" ma:index="21" ma:displayName="Subject"/>
        <xsd:element ref="dc:description" minOccurs="0" maxOccurs="1" ma:index="12" ma:displayName="Description"/>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_Coverage xmlns="http://schemas.microsoft.com/sharepoint/v3/fields" xsi:nil="true"/>
    <_Identifier xmlns="http://schemas.microsoft.com/sharepoint/v3/fields" xsi:nil="true"/>
    <_ResourceType xmlns="http://schemas.microsoft.com/sharepoint/v3/fields" xsi:nil="true"/>
    <_RightsManagement xmlns="http://schemas.microsoft.com/sharepoint/v3/fields" xsi:nil="true"/>
    <_DCDateCreated xmlns="http://schemas.microsoft.com/sharepoint/v3/fields" xsi:nil="true"/>
  </documentManagement>
</p:properties>
</file>

<file path=customXml/itemProps1.xml><?xml version="1.0" encoding="utf-8"?>
<ds:datastoreItem xmlns:ds="http://schemas.openxmlformats.org/officeDocument/2006/customXml" ds:itemID="{B912470E-9114-4AF7-9515-617A1CEEEE17}">
  <ds:schemaRefs>
    <ds:schemaRef ds:uri="http://schemas.microsoft.com/sharepoint/v3/contenttype/forms"/>
  </ds:schemaRefs>
</ds:datastoreItem>
</file>

<file path=customXml/itemProps2.xml><?xml version="1.0" encoding="utf-8"?>
<ds:datastoreItem xmlns:ds="http://schemas.openxmlformats.org/officeDocument/2006/customXml" ds:itemID="{E09E2FF1-ECFA-4575-A7A6-40236884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97D917-5D7F-4795-AE92-B1A1E01942F0}">
  <ds:schemaRefs>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sharepoint/v3/field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1. Information Sheet</vt:lpstr>
      <vt:lpstr>2. 2014 Continuity Schedule</vt:lpstr>
      <vt:lpstr>3. Appendix A</vt:lpstr>
      <vt:lpstr>4. Billing Determinants</vt:lpstr>
      <vt:lpstr>5. Allocation of Balances</vt:lpstr>
      <vt:lpstr>6. Rate Rider Calculations</vt:lpstr>
      <vt:lpstr>Summary Sheet</vt:lpstr>
      <vt:lpstr>'1. Information Sheet'!Print_Area</vt:lpstr>
      <vt:lpstr>'2. 2014 Continuity Schedule'!Print_Area</vt:lpstr>
      <vt:lpstr>'3. Appendix A'!Print_Area</vt:lpstr>
      <vt:lpstr>'5. Allocation of Balances'!Print_Area</vt:lpstr>
      <vt:lpstr>'6. Rate Rider Calculations'!Print_Area</vt:lpstr>
      <vt:lpstr>'2. 2014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Bruce Bacon</cp:lastModifiedBy>
  <cp:lastPrinted>2015-04-16T18:45:20Z</cp:lastPrinted>
  <dcterms:created xsi:type="dcterms:W3CDTF">2005-04-25T20:13:02Z</dcterms:created>
  <dcterms:modified xsi:type="dcterms:W3CDTF">2015-05-26T18:50:36Z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0x01010B00740080268B3A874AB1F7373EA63B124300A64ADB4BBFEE234C8D2E6A6F1AC81A90</vt:lpwstr>
  </property>
</Properties>
</file>